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omments2.xml" ContentType="application/vnd.openxmlformats-officedocument.spreadsheetml.comments+xml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omments3.xml" ContentType="application/vnd.openxmlformats-officedocument.spreadsheetml.comments+xml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/Supplier Sheets/"/>
    </mc:Choice>
  </mc:AlternateContent>
  <xr:revisionPtr revIDLastSave="159" documentId="8_{F410050D-A575-4B69-9334-92681B0A608C}" xr6:coauthVersionLast="47" xr6:coauthVersionMax="47" xr10:uidLastSave="{6F5EF624-CE06-4634-973C-C6E69167589B}"/>
  <bookViews>
    <workbookView xWindow="-110" yWindow="-110" windowWidth="19420" windowHeight="11500" tabRatio="607" firstSheet="4" activeTab="9" xr2:uid="{00000000-000D-0000-FFFF-FFFF00000000}"/>
  </bookViews>
  <sheets>
    <sheet name="CSD List" sheetId="3" r:id="rId1"/>
    <sheet name="HF List" sheetId="5" r:id="rId2"/>
    <sheet name="CSD Pricing" sheetId="22" r:id="rId3"/>
    <sheet name="HF Pricing" sheetId="6" r:id="rId4"/>
    <sheet name="Rolling" sheetId="19" r:id="rId5"/>
    <sheet name="Balance Resinas" sheetId="18" r:id="rId6"/>
    <sheet name="FCST" sheetId="20" r:id="rId7"/>
    <sheet name="Entregas" sheetId="21" r:id="rId8"/>
    <sheet name="HF resina" sheetId="14" r:id="rId9"/>
    <sheet name="CSD Resina Ush" sheetId="12" r:id="rId10"/>
  </sheets>
  <externalReferences>
    <externalReference r:id="rId11"/>
  </externalReferences>
  <definedNames>
    <definedName name="_xlnm._FilterDatabase" localSheetId="0" hidden="1">'CSD List'!$A$39:$T$123</definedName>
    <definedName name="_xlnm._FilterDatabase" localSheetId="2" hidden="1">'CSD Pricing'!$A$2:$BF$58</definedName>
    <definedName name="_xlnm._FilterDatabase" localSheetId="7" hidden="1">Entregas!$A$1:$BA$112</definedName>
    <definedName name="_xlnm._FilterDatabase" localSheetId="6" hidden="1">FCST!$A$4:$BC$116</definedName>
    <definedName name="_xlnm.Print_Area" localSheetId="0">'CSD List'!$A$1:$H$36</definedName>
    <definedName name="_xlnm.Print_Area" localSheetId="1">'HF List'!$A$1:$H$25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4" i="6" l="1"/>
  <c r="DJ11" i="6"/>
  <c r="DJ9" i="6"/>
  <c r="DJ8" i="6"/>
  <c r="DJ10" i="6" s="1"/>
  <c r="DK3" i="6"/>
  <c r="DF12" i="22"/>
  <c r="DF11" i="22"/>
  <c r="DG79" i="22" l="1"/>
  <c r="DG78" i="22"/>
  <c r="DG77" i="22"/>
  <c r="DG76" i="22"/>
  <c r="DG75" i="22"/>
  <c r="DG74" i="22"/>
  <c r="DG73" i="22"/>
  <c r="DG72" i="22"/>
  <c r="DG71" i="22"/>
  <c r="DG70" i="22"/>
  <c r="DG69" i="22"/>
  <c r="DG68" i="22"/>
  <c r="DG67" i="22"/>
  <c r="DG66" i="22"/>
  <c r="DG65" i="22"/>
  <c r="DG64" i="22"/>
  <c r="DG63" i="22"/>
  <c r="DG62" i="22"/>
  <c r="DG49" i="22"/>
  <c r="DG15" i="22"/>
  <c r="DG14" i="22"/>
  <c r="DG50" i="22" s="1"/>
  <c r="DK38" i="6"/>
  <c r="DK37" i="6"/>
  <c r="DK36" i="6"/>
  <c r="DK35" i="6"/>
  <c r="DK34" i="6"/>
  <c r="DK33" i="6"/>
  <c r="DK23" i="6"/>
  <c r="DK14" i="6"/>
  <c r="DK13" i="6"/>
  <c r="DK18" i="6"/>
  <c r="DK2" i="6"/>
  <c r="R168" i="18"/>
  <c r="N168" i="18"/>
  <c r="J168" i="18"/>
  <c r="F168" i="18"/>
  <c r="B168" i="18"/>
  <c r="AY1951" i="21"/>
  <c r="AZ1951" i="21" s="1"/>
  <c r="AS1951" i="21"/>
  <c r="AW1951" i="21" s="1"/>
  <c r="AX1951" i="21" s="1"/>
  <c r="AR1951" i="21"/>
  <c r="AW1950" i="21"/>
  <c r="AX1950" i="21" s="1"/>
  <c r="AT1950" i="21"/>
  <c r="AV1950" i="21" s="1"/>
  <c r="AS1950" i="21"/>
  <c r="AY1950" i="21" s="1"/>
  <c r="AZ1950" i="21" s="1"/>
  <c r="AR1950" i="21"/>
  <c r="AY1949" i="21"/>
  <c r="AZ1949" i="21" s="1"/>
  <c r="AS1949" i="21"/>
  <c r="AW1949" i="21" s="1"/>
  <c r="AX1949" i="21" s="1"/>
  <c r="AR1949" i="21"/>
  <c r="AY1948" i="21"/>
  <c r="AZ1948" i="21" s="1"/>
  <c r="AS1948" i="21"/>
  <c r="AW1948" i="21" s="1"/>
  <c r="AX1948" i="21" s="1"/>
  <c r="AR1948" i="21"/>
  <c r="AY1947" i="21"/>
  <c r="AZ1947" i="21" s="1"/>
  <c r="AW1947" i="21"/>
  <c r="AX1947" i="21" s="1"/>
  <c r="AS1947" i="21"/>
  <c r="AT1947" i="21" s="1"/>
  <c r="AV1947" i="21" s="1"/>
  <c r="AR1947" i="21"/>
  <c r="AY1946" i="21"/>
  <c r="AZ1946" i="21" s="1"/>
  <c r="AS1946" i="21"/>
  <c r="AW1946" i="21" s="1"/>
  <c r="AX1946" i="21" s="1"/>
  <c r="AR1946" i="21"/>
  <c r="AT1945" i="21"/>
  <c r="AV1945" i="21" s="1"/>
  <c r="AS1945" i="21"/>
  <c r="AY1945" i="21" s="1"/>
  <c r="AZ1945" i="21" s="1"/>
  <c r="AR1945" i="21"/>
  <c r="AY1944" i="21"/>
  <c r="AZ1944" i="21" s="1"/>
  <c r="AW1944" i="21"/>
  <c r="AX1944" i="21" s="1"/>
  <c r="AS1944" i="21"/>
  <c r="AT1944" i="21" s="1"/>
  <c r="AV1944" i="21" s="1"/>
  <c r="AR1944" i="21"/>
  <c r="AY1943" i="21"/>
  <c r="AZ1943" i="21" s="1"/>
  <c r="AS1943" i="21"/>
  <c r="AW1943" i="21" s="1"/>
  <c r="AX1943" i="21" s="1"/>
  <c r="AR1943" i="21"/>
  <c r="AY1942" i="21"/>
  <c r="AZ1942" i="21" s="1"/>
  <c r="AS1942" i="21"/>
  <c r="AW1942" i="21" s="1"/>
  <c r="AX1942" i="21" s="1"/>
  <c r="AR1942" i="21"/>
  <c r="AY1941" i="21"/>
  <c r="AZ1941" i="21" s="1"/>
  <c r="AW1941" i="21"/>
  <c r="AX1941" i="21" s="1"/>
  <c r="AS1941" i="21"/>
  <c r="AT1941" i="21" s="1"/>
  <c r="AV1941" i="21" s="1"/>
  <c r="AR1941" i="21"/>
  <c r="AY1940" i="21"/>
  <c r="AZ1940" i="21" s="1"/>
  <c r="AS1940" i="21"/>
  <c r="AW1940" i="21" s="1"/>
  <c r="AX1940" i="21" s="1"/>
  <c r="AR1940" i="21"/>
  <c r="AY1939" i="21"/>
  <c r="AZ1939" i="21" s="1"/>
  <c r="AS1939" i="21"/>
  <c r="AW1939" i="21" s="1"/>
  <c r="AX1939" i="21" s="1"/>
  <c r="AR1939" i="21"/>
  <c r="AY1938" i="21"/>
  <c r="AZ1938" i="21" s="1"/>
  <c r="AS1938" i="21"/>
  <c r="AT1938" i="21" s="1"/>
  <c r="AV1938" i="21" s="1"/>
  <c r="AR1938" i="21"/>
  <c r="AY1937" i="21"/>
  <c r="AZ1937" i="21" s="1"/>
  <c r="AS1937" i="21"/>
  <c r="AR1937" i="21"/>
  <c r="AY1936" i="21"/>
  <c r="AZ1936" i="21" s="1"/>
  <c r="AS1936" i="21"/>
  <c r="AW1936" i="21" s="1"/>
  <c r="AX1936" i="21" s="1"/>
  <c r="AR1936" i="21"/>
  <c r="AT1935" i="21"/>
  <c r="AV1935" i="21" s="1"/>
  <c r="AS1935" i="21"/>
  <c r="AY1935" i="21" s="1"/>
  <c r="AZ1935" i="21" s="1"/>
  <c r="AR1935" i="21"/>
  <c r="AY1934" i="21"/>
  <c r="AZ1934" i="21" s="1"/>
  <c r="AS1934" i="21"/>
  <c r="AR1934" i="21"/>
  <c r="AY1933" i="21"/>
  <c r="AZ1933" i="21" s="1"/>
  <c r="AS1933" i="21"/>
  <c r="AW1933" i="21" s="1"/>
  <c r="AX1933" i="21" s="1"/>
  <c r="AR1933" i="21"/>
  <c r="AY1932" i="21"/>
  <c r="AZ1932" i="21" s="1"/>
  <c r="AS1932" i="21"/>
  <c r="AT1932" i="21" s="1"/>
  <c r="AV1932" i="21" s="1"/>
  <c r="AR1932" i="21"/>
  <c r="AY1931" i="21"/>
  <c r="AZ1931" i="21" s="1"/>
  <c r="AS1931" i="21"/>
  <c r="AR1931" i="21"/>
  <c r="AY1930" i="21"/>
  <c r="AZ1930" i="21" s="1"/>
  <c r="AS1930" i="21"/>
  <c r="AW1930" i="21" s="1"/>
  <c r="AX1930" i="21" s="1"/>
  <c r="AR1930" i="21"/>
  <c r="AY1929" i="21"/>
  <c r="AZ1929" i="21" s="1"/>
  <c r="AS1929" i="21"/>
  <c r="AT1929" i="21" s="1"/>
  <c r="AV1929" i="21" s="1"/>
  <c r="AR1929" i="21"/>
  <c r="AY1928" i="21"/>
  <c r="AZ1928" i="21" s="1"/>
  <c r="AS1928" i="21"/>
  <c r="AR1928" i="21"/>
  <c r="AY1927" i="21"/>
  <c r="AZ1927" i="21" s="1"/>
  <c r="AS1927" i="21"/>
  <c r="AW1927" i="21" s="1"/>
  <c r="AX1927" i="21" s="1"/>
  <c r="AR1927" i="21"/>
  <c r="AY1926" i="21"/>
  <c r="AZ1926" i="21" s="1"/>
  <c r="AS1926" i="21"/>
  <c r="AT1926" i="21" s="1"/>
  <c r="AV1926" i="21" s="1"/>
  <c r="AR1926" i="21"/>
  <c r="AY1925" i="21"/>
  <c r="AZ1925" i="21" s="1"/>
  <c r="AS1925" i="21"/>
  <c r="AR1925" i="21"/>
  <c r="AY1924" i="21"/>
  <c r="AZ1924" i="21" s="1"/>
  <c r="AS1924" i="21"/>
  <c r="AW1924" i="21" s="1"/>
  <c r="AX1924" i="21" s="1"/>
  <c r="AR1924" i="21"/>
  <c r="AY1923" i="21"/>
  <c r="AZ1923" i="21" s="1"/>
  <c r="AS1923" i="21"/>
  <c r="AT1923" i="21" s="1"/>
  <c r="AV1923" i="21" s="1"/>
  <c r="AR1923" i="21"/>
  <c r="AY1922" i="21"/>
  <c r="AZ1922" i="21" s="1"/>
  <c r="AS1922" i="21"/>
  <c r="AR1922" i="21"/>
  <c r="AY1921" i="21"/>
  <c r="AZ1921" i="21" s="1"/>
  <c r="AS1921" i="21"/>
  <c r="AR1921" i="21"/>
  <c r="AY1920" i="21"/>
  <c r="AZ1920" i="21" s="1"/>
  <c r="AW1920" i="21"/>
  <c r="AX1920" i="21" s="1"/>
  <c r="AS1920" i="21"/>
  <c r="AT1920" i="21" s="1"/>
  <c r="AV1920" i="21" s="1"/>
  <c r="AR1920" i="21"/>
  <c r="AY1919" i="21"/>
  <c r="AZ1919" i="21" s="1"/>
  <c r="AS1919" i="21"/>
  <c r="AR1919" i="21"/>
  <c r="AT1918" i="21"/>
  <c r="AV1918" i="21" s="1"/>
  <c r="AS1918" i="21"/>
  <c r="AR1918" i="21"/>
  <c r="AY1917" i="21"/>
  <c r="AZ1917" i="21" s="1"/>
  <c r="AS1917" i="21"/>
  <c r="AT1917" i="21" s="1"/>
  <c r="AV1917" i="21" s="1"/>
  <c r="AR1917" i="21"/>
  <c r="AY1916" i="21"/>
  <c r="AZ1916" i="21" s="1"/>
  <c r="AS1916" i="21"/>
  <c r="AR1916" i="21"/>
  <c r="AY1915" i="21"/>
  <c r="AZ1915" i="21" s="1"/>
  <c r="AS1915" i="21"/>
  <c r="AR1915" i="21"/>
  <c r="AY1914" i="21"/>
  <c r="AZ1914" i="21" s="1"/>
  <c r="AW1914" i="21"/>
  <c r="AX1914" i="21" s="1"/>
  <c r="AS1914" i="21"/>
  <c r="AT1914" i="21" s="1"/>
  <c r="AV1914" i="21" s="1"/>
  <c r="AR1914" i="21"/>
  <c r="AT1913" i="21"/>
  <c r="AV1913" i="21" s="1"/>
  <c r="AS1913" i="21"/>
  <c r="AR1913" i="21"/>
  <c r="AY1912" i="21"/>
  <c r="AZ1912" i="21" s="1"/>
  <c r="AS1912" i="21"/>
  <c r="AR1912" i="21"/>
  <c r="AY1911" i="21"/>
  <c r="AZ1911" i="21" s="1"/>
  <c r="AW1911" i="21"/>
  <c r="AX1911" i="21" s="1"/>
  <c r="AS1911" i="21"/>
  <c r="AT1911" i="21" s="1"/>
  <c r="AV1911" i="21" s="1"/>
  <c r="AR1911" i="21"/>
  <c r="AY1910" i="21"/>
  <c r="AZ1910" i="21" s="1"/>
  <c r="AS1910" i="21"/>
  <c r="AR1910" i="21"/>
  <c r="AY1909" i="21"/>
  <c r="AZ1909" i="21" s="1"/>
  <c r="AS1909" i="21"/>
  <c r="AR1909" i="21"/>
  <c r="AY1908" i="21"/>
  <c r="AZ1908" i="21" s="1"/>
  <c r="AS1908" i="21"/>
  <c r="AT1908" i="21" s="1"/>
  <c r="AV1908" i="21" s="1"/>
  <c r="AR1908" i="21"/>
  <c r="AY1907" i="21"/>
  <c r="AZ1907" i="21" s="1"/>
  <c r="AS1907" i="21"/>
  <c r="AR1907" i="21"/>
  <c r="AY1906" i="21"/>
  <c r="AZ1906" i="21" s="1"/>
  <c r="AS1906" i="21"/>
  <c r="AR1906" i="21"/>
  <c r="AY1905" i="21"/>
  <c r="AZ1905" i="21" s="1"/>
  <c r="AW1905" i="21"/>
  <c r="AX1905" i="21" s="1"/>
  <c r="AS1905" i="21"/>
  <c r="AT1905" i="21" s="1"/>
  <c r="AV1905" i="21" s="1"/>
  <c r="AR1905" i="21"/>
  <c r="AY1904" i="21"/>
  <c r="AZ1904" i="21" s="1"/>
  <c r="AS1904" i="21"/>
  <c r="AR1904" i="21"/>
  <c r="AT1903" i="21"/>
  <c r="AV1903" i="21" s="1"/>
  <c r="AS1903" i="21"/>
  <c r="AR1903" i="21"/>
  <c r="AY1902" i="21"/>
  <c r="AZ1902" i="21" s="1"/>
  <c r="AW1902" i="21"/>
  <c r="AX1902" i="21" s="1"/>
  <c r="AS1902" i="21"/>
  <c r="AT1902" i="21" s="1"/>
  <c r="AV1902" i="21" s="1"/>
  <c r="AR1902" i="21"/>
  <c r="AT1901" i="21"/>
  <c r="AV1901" i="21" s="1"/>
  <c r="AS1901" i="21"/>
  <c r="AR1901" i="21"/>
  <c r="AY1900" i="21"/>
  <c r="AZ1900" i="21" s="1"/>
  <c r="AS1900" i="21"/>
  <c r="AR1900" i="21"/>
  <c r="AW1899" i="21"/>
  <c r="AX1899" i="21" s="1"/>
  <c r="AT1899" i="21"/>
  <c r="AV1899" i="21" s="1"/>
  <c r="AS1899" i="21"/>
  <c r="AY1899" i="21" s="1"/>
  <c r="AZ1899" i="21" s="1"/>
  <c r="AR1899" i="21"/>
  <c r="AY1898" i="21"/>
  <c r="AZ1898" i="21" s="1"/>
  <c r="AS1898" i="21"/>
  <c r="AR1898" i="21"/>
  <c r="AY1897" i="21"/>
  <c r="AZ1897" i="21" s="1"/>
  <c r="AS1897" i="21"/>
  <c r="AR1897" i="21"/>
  <c r="AY1896" i="21"/>
  <c r="AZ1896" i="21" s="1"/>
  <c r="AW1896" i="21"/>
  <c r="AX1896" i="21" s="1"/>
  <c r="AS1896" i="21"/>
  <c r="AT1896" i="21" s="1"/>
  <c r="AV1896" i="21" s="1"/>
  <c r="AR1896" i="21"/>
  <c r="AY1895" i="21"/>
  <c r="AZ1895" i="21" s="1"/>
  <c r="AS1895" i="21"/>
  <c r="AR1895" i="21"/>
  <c r="AY1894" i="21"/>
  <c r="AZ1894" i="21" s="1"/>
  <c r="AS1894" i="21"/>
  <c r="AR1894" i="21"/>
  <c r="AY1893" i="21"/>
  <c r="AZ1893" i="21" s="1"/>
  <c r="AS1893" i="21"/>
  <c r="AT1893" i="21" s="1"/>
  <c r="AV1893" i="21" s="1"/>
  <c r="AR1893" i="21"/>
  <c r="AY1892" i="21"/>
  <c r="AZ1892" i="21" s="1"/>
  <c r="AS1892" i="21"/>
  <c r="AR1892" i="21"/>
  <c r="AY1891" i="21"/>
  <c r="AZ1891" i="21" s="1"/>
  <c r="AS1891" i="21"/>
  <c r="AT1891" i="21" s="1"/>
  <c r="AV1891" i="21" s="1"/>
  <c r="AR1891" i="21"/>
  <c r="AY1890" i="21"/>
  <c r="AZ1890" i="21" s="1"/>
  <c r="AS1890" i="21"/>
  <c r="AT1890" i="21" s="1"/>
  <c r="AV1890" i="21" s="1"/>
  <c r="AR1890" i="21"/>
  <c r="AY1889" i="21"/>
  <c r="AZ1889" i="21" s="1"/>
  <c r="AS1889" i="21"/>
  <c r="AR1889" i="21"/>
  <c r="AY1888" i="21"/>
  <c r="AZ1888" i="21" s="1"/>
  <c r="AS1888" i="21"/>
  <c r="AT1888" i="21" s="1"/>
  <c r="AV1888" i="21" s="1"/>
  <c r="AR1888" i="21"/>
  <c r="AY1887" i="21"/>
  <c r="AZ1887" i="21" s="1"/>
  <c r="AS1887" i="21"/>
  <c r="AT1887" i="21" s="1"/>
  <c r="AV1887" i="21" s="1"/>
  <c r="AR1887" i="21"/>
  <c r="AT1886" i="21"/>
  <c r="AV1886" i="21" s="1"/>
  <c r="AS1886" i="21"/>
  <c r="AR1886" i="21"/>
  <c r="AY1885" i="21"/>
  <c r="AZ1885" i="21" s="1"/>
  <c r="AS1885" i="21"/>
  <c r="AT1885" i="21" s="1"/>
  <c r="AV1885" i="21" s="1"/>
  <c r="AR1885" i="21"/>
  <c r="AY1884" i="21"/>
  <c r="AZ1884" i="21" s="1"/>
  <c r="AW1884" i="21"/>
  <c r="AX1884" i="21" s="1"/>
  <c r="AS1884" i="21"/>
  <c r="AT1884" i="21" s="1"/>
  <c r="AV1884" i="21" s="1"/>
  <c r="AR1884" i="21"/>
  <c r="AY1883" i="21"/>
  <c r="AZ1883" i="21" s="1"/>
  <c r="AS1883" i="21"/>
  <c r="AR1883" i="21"/>
  <c r="AY1882" i="21"/>
  <c r="AZ1882" i="21" s="1"/>
  <c r="AW1882" i="21"/>
  <c r="AX1882" i="21" s="1"/>
  <c r="AS1882" i="21"/>
  <c r="AT1882" i="21" s="1"/>
  <c r="AV1882" i="21" s="1"/>
  <c r="AR1882" i="21"/>
  <c r="AY1881" i="21"/>
  <c r="AZ1881" i="21" s="1"/>
  <c r="AS1881" i="21"/>
  <c r="AT1881" i="21" s="1"/>
  <c r="AV1881" i="21" s="1"/>
  <c r="AR1881" i="21"/>
  <c r="AT1880" i="21"/>
  <c r="AV1880" i="21" s="1"/>
  <c r="AS1880" i="21"/>
  <c r="AW1880" i="21" s="1"/>
  <c r="AX1880" i="21" s="1"/>
  <c r="AR1880" i="21"/>
  <c r="AY1879" i="21"/>
  <c r="AZ1879" i="21" s="1"/>
  <c r="AW1879" i="21"/>
  <c r="AX1879" i="21" s="1"/>
  <c r="AT1879" i="21"/>
  <c r="AV1879" i="21" s="1"/>
  <c r="AS1879" i="21"/>
  <c r="AR1879" i="21"/>
  <c r="AY1878" i="21"/>
  <c r="AZ1878" i="21" s="1"/>
  <c r="AS1878" i="21"/>
  <c r="AT1878" i="21" s="1"/>
  <c r="AV1878" i="21" s="1"/>
  <c r="AR1878" i="21"/>
  <c r="AY1877" i="21"/>
  <c r="AZ1877" i="21" s="1"/>
  <c r="AS1877" i="21"/>
  <c r="AR1877" i="21"/>
  <c r="AY1876" i="21"/>
  <c r="AZ1876" i="21" s="1"/>
  <c r="AW1876" i="21"/>
  <c r="AX1876" i="21" s="1"/>
  <c r="AS1876" i="21"/>
  <c r="AT1876" i="21" s="1"/>
  <c r="AV1876" i="21" s="1"/>
  <c r="AR1876" i="21"/>
  <c r="AY1875" i="21"/>
  <c r="AZ1875" i="21" s="1"/>
  <c r="AS1875" i="21"/>
  <c r="AT1875" i="21" s="1"/>
  <c r="AV1875" i="21" s="1"/>
  <c r="AR1875" i="21"/>
  <c r="AT1874" i="21"/>
  <c r="AV1874" i="21" s="1"/>
  <c r="AS1874" i="21"/>
  <c r="AW1874" i="21" s="1"/>
  <c r="AX1874" i="21" s="1"/>
  <c r="AR1874" i="21"/>
  <c r="AY1873" i="21"/>
  <c r="AZ1873" i="21" s="1"/>
  <c r="AW1873" i="21"/>
  <c r="AX1873" i="21" s="1"/>
  <c r="AT1873" i="21"/>
  <c r="AV1873" i="21" s="1"/>
  <c r="AS1873" i="21"/>
  <c r="AR1873" i="21"/>
  <c r="AY1872" i="21"/>
  <c r="AZ1872" i="21" s="1"/>
  <c r="AW1872" i="21"/>
  <c r="AX1872" i="21" s="1"/>
  <c r="AS1872" i="21"/>
  <c r="AT1872" i="21" s="1"/>
  <c r="AV1872" i="21" s="1"/>
  <c r="AR1872" i="21"/>
  <c r="AY1871" i="21"/>
  <c r="AZ1871" i="21" s="1"/>
  <c r="AS1871" i="21"/>
  <c r="AR1871" i="21"/>
  <c r="AY1870" i="21"/>
  <c r="AZ1870" i="21" s="1"/>
  <c r="AW1870" i="21"/>
  <c r="AX1870" i="21" s="1"/>
  <c r="AT1870" i="21"/>
  <c r="AV1870" i="21" s="1"/>
  <c r="AS1870" i="21"/>
  <c r="AR1870" i="21"/>
  <c r="AY1869" i="21"/>
  <c r="AZ1869" i="21" s="1"/>
  <c r="AS1869" i="21"/>
  <c r="AT1869" i="21" s="1"/>
  <c r="AV1869" i="21" s="1"/>
  <c r="AR1869" i="21"/>
  <c r="AY1868" i="21"/>
  <c r="AZ1868" i="21" s="1"/>
  <c r="AS1868" i="21"/>
  <c r="AR1868" i="21"/>
  <c r="AT1867" i="21"/>
  <c r="AV1867" i="21" s="1"/>
  <c r="AS1867" i="21"/>
  <c r="AY1867" i="21" s="1"/>
  <c r="AZ1867" i="21" s="1"/>
  <c r="AR1867" i="21"/>
  <c r="AY1866" i="21"/>
  <c r="AZ1866" i="21" s="1"/>
  <c r="AS1866" i="21"/>
  <c r="AT1866" i="21" s="1"/>
  <c r="AV1866" i="21" s="1"/>
  <c r="AR1866" i="21"/>
  <c r="AY1865" i="21"/>
  <c r="AZ1865" i="21" s="1"/>
  <c r="AS1865" i="21"/>
  <c r="AR1865" i="21"/>
  <c r="AY1864" i="21"/>
  <c r="AZ1864" i="21" s="1"/>
  <c r="AW1864" i="21"/>
  <c r="AX1864" i="21" s="1"/>
  <c r="AS1864" i="21"/>
  <c r="AT1864" i="21" s="1"/>
  <c r="AV1864" i="21" s="1"/>
  <c r="AR1864" i="21"/>
  <c r="AY1863" i="21"/>
  <c r="AZ1863" i="21" s="1"/>
  <c r="AT1863" i="21"/>
  <c r="AV1863" i="21" s="1"/>
  <c r="AS1863" i="21"/>
  <c r="AW1863" i="21" s="1"/>
  <c r="AX1863" i="21" s="1"/>
  <c r="AR1863" i="21"/>
  <c r="AY1862" i="21"/>
  <c r="AZ1862" i="21" s="1"/>
  <c r="AS1862" i="21"/>
  <c r="AR1862" i="21"/>
  <c r="AY1861" i="21"/>
  <c r="AZ1861" i="21" s="1"/>
  <c r="AW1861" i="21"/>
  <c r="AX1861" i="21" s="1"/>
  <c r="AT1861" i="21"/>
  <c r="AV1861" i="21" s="1"/>
  <c r="AS1861" i="21"/>
  <c r="AR1861" i="21"/>
  <c r="AY1860" i="21"/>
  <c r="AZ1860" i="21" s="1"/>
  <c r="AW1860" i="21"/>
  <c r="AX1860" i="21" s="1"/>
  <c r="AS1860" i="21"/>
  <c r="AT1860" i="21" s="1"/>
  <c r="AV1860" i="21" s="1"/>
  <c r="AR1860" i="21"/>
  <c r="AT1859" i="21"/>
  <c r="AV1859" i="21" s="1"/>
  <c r="AS1859" i="21"/>
  <c r="AW1859" i="21" s="1"/>
  <c r="AX1859" i="21" s="1"/>
  <c r="AR1859" i="21"/>
  <c r="AY1858" i="21"/>
  <c r="AZ1858" i="21" s="1"/>
  <c r="AT1858" i="21"/>
  <c r="AV1858" i="21" s="1"/>
  <c r="AS1858" i="21"/>
  <c r="AW1858" i="21" s="1"/>
  <c r="AX1858" i="21" s="1"/>
  <c r="AR1858" i="21"/>
  <c r="AY1857" i="21"/>
  <c r="AZ1857" i="21" s="1"/>
  <c r="AS1857" i="21"/>
  <c r="AT1857" i="21" s="1"/>
  <c r="AV1857" i="21" s="1"/>
  <c r="AR1857" i="21"/>
  <c r="AY1856" i="21"/>
  <c r="AZ1856" i="21" s="1"/>
  <c r="AS1856" i="21"/>
  <c r="AR1856" i="21"/>
  <c r="AT1855" i="21"/>
  <c r="AV1855" i="21" s="1"/>
  <c r="AS1855" i="21"/>
  <c r="AY1855" i="21" s="1"/>
  <c r="AZ1855" i="21" s="1"/>
  <c r="AR1855" i="21"/>
  <c r="K168" i="18"/>
  <c r="O168" i="18" s="1"/>
  <c r="G168" i="18"/>
  <c r="C168" i="18"/>
  <c r="S168" i="18" s="1"/>
  <c r="Q167" i="18"/>
  <c r="M167" i="18"/>
  <c r="I167" i="18"/>
  <c r="E167" i="18"/>
  <c r="A167" i="18"/>
  <c r="A165" i="18"/>
  <c r="M165" i="18" s="1"/>
  <c r="J61" i="12"/>
  <c r="I61" i="12"/>
  <c r="U61" i="12" s="1"/>
  <c r="AB60" i="14"/>
  <c r="Y60" i="14"/>
  <c r="X60" i="14"/>
  <c r="C60" i="14"/>
  <c r="O60" i="14" s="1"/>
  <c r="B60" i="14"/>
  <c r="AA60" i="14" s="1"/>
  <c r="DI11" i="6"/>
  <c r="DI9" i="6"/>
  <c r="DI8" i="6"/>
  <c r="DI10" i="6" s="1"/>
  <c r="DG91" i="22" l="1"/>
  <c r="DG92" i="22"/>
  <c r="DG40" i="22"/>
  <c r="DG52" i="22"/>
  <c r="DG94" i="22" s="1"/>
  <c r="DG51" i="22"/>
  <c r="DG93" i="22" s="1"/>
  <c r="DG41" i="22"/>
  <c r="DG83" i="22" s="1"/>
  <c r="DG53" i="22"/>
  <c r="DG95" i="22" s="1"/>
  <c r="DG42" i="22"/>
  <c r="DG84" i="22" s="1"/>
  <c r="DG54" i="22"/>
  <c r="DG96" i="22" s="1"/>
  <c r="DG82" i="22"/>
  <c r="DG43" i="22"/>
  <c r="DG85" i="22" s="1"/>
  <c r="DG44" i="22"/>
  <c r="DG86" i="22" s="1"/>
  <c r="DG56" i="22"/>
  <c r="DG98" i="22" s="1"/>
  <c r="DG124" i="22"/>
  <c r="DG55" i="22"/>
  <c r="DG97" i="22" s="1"/>
  <c r="DG45" i="22"/>
  <c r="DG87" i="22" s="1"/>
  <c r="DG57" i="22"/>
  <c r="DG99" i="22" s="1"/>
  <c r="DG46" i="22"/>
  <c r="DG88" i="22" s="1"/>
  <c r="DG58" i="22"/>
  <c r="DG100" i="22" s="1"/>
  <c r="DG47" i="22"/>
  <c r="DG89" i="22" s="1"/>
  <c r="DG61" i="22"/>
  <c r="DG48" i="22"/>
  <c r="DG90" i="22" s="1"/>
  <c r="DG103" i="22"/>
  <c r="DK24" i="6"/>
  <c r="DK17" i="6"/>
  <c r="DK30" i="6"/>
  <c r="DK44" i="6" s="1"/>
  <c r="DK53" i="6" s="1"/>
  <c r="DK62" i="6" s="1"/>
  <c r="DK5" i="6"/>
  <c r="DK20" i="6" s="1"/>
  <c r="DK19" i="6"/>
  <c r="DK21" i="6"/>
  <c r="AW1890" i="21"/>
  <c r="AX1890" i="21" s="1"/>
  <c r="AW1904" i="21"/>
  <c r="AX1904" i="21" s="1"/>
  <c r="AT1904" i="21"/>
  <c r="AV1904" i="21" s="1"/>
  <c r="AW1912" i="21"/>
  <c r="AX1912" i="21" s="1"/>
  <c r="AT1912" i="21"/>
  <c r="AV1912" i="21" s="1"/>
  <c r="AW1923" i="21"/>
  <c r="AX1923" i="21" s="1"/>
  <c r="AW1926" i="21"/>
  <c r="AX1926" i="21" s="1"/>
  <c r="AW1929" i="21"/>
  <c r="AX1929" i="21" s="1"/>
  <c r="AW1932" i="21"/>
  <c r="AX1932" i="21" s="1"/>
  <c r="AW1938" i="21"/>
  <c r="AX1938" i="21" s="1"/>
  <c r="AW1935" i="21"/>
  <c r="AX1935" i="21" s="1"/>
  <c r="AY1880" i="21"/>
  <c r="AZ1880" i="21" s="1"/>
  <c r="AW1893" i="21"/>
  <c r="AX1893" i="21" s="1"/>
  <c r="AW1907" i="21"/>
  <c r="AX1907" i="21" s="1"/>
  <c r="AT1907" i="21"/>
  <c r="AV1907" i="21" s="1"/>
  <c r="AY1918" i="21"/>
  <c r="AZ1918" i="21" s="1"/>
  <c r="AW1918" i="21"/>
  <c r="AX1918" i="21" s="1"/>
  <c r="AY1901" i="21"/>
  <c r="AZ1901" i="21" s="1"/>
  <c r="AW1901" i="21"/>
  <c r="AX1901" i="21" s="1"/>
  <c r="AW1857" i="21"/>
  <c r="AX1857" i="21" s="1"/>
  <c r="AW1866" i="21"/>
  <c r="AX1866" i="21" s="1"/>
  <c r="AW1871" i="21"/>
  <c r="AX1871" i="21" s="1"/>
  <c r="AT1871" i="21"/>
  <c r="AV1871" i="21" s="1"/>
  <c r="AW1878" i="21"/>
  <c r="AX1878" i="21" s="1"/>
  <c r="AW1885" i="21"/>
  <c r="AX1885" i="21" s="1"/>
  <c r="AW1915" i="21"/>
  <c r="AX1915" i="21" s="1"/>
  <c r="AT1915" i="21"/>
  <c r="AV1915" i="21" s="1"/>
  <c r="AY1859" i="21"/>
  <c r="AZ1859" i="21" s="1"/>
  <c r="AW1869" i="21"/>
  <c r="AX1869" i="21" s="1"/>
  <c r="AW1883" i="21"/>
  <c r="AX1883" i="21" s="1"/>
  <c r="AT1883" i="21"/>
  <c r="AV1883" i="21" s="1"/>
  <c r="AW1888" i="21"/>
  <c r="AX1888" i="21" s="1"/>
  <c r="AW1910" i="21"/>
  <c r="AX1910" i="21" s="1"/>
  <c r="AT1910" i="21"/>
  <c r="AV1910" i="21" s="1"/>
  <c r="AW1921" i="21"/>
  <c r="AX1921" i="21" s="1"/>
  <c r="AT1921" i="21"/>
  <c r="AV1921" i="21" s="1"/>
  <c r="AW1862" i="21"/>
  <c r="AX1862" i="21" s="1"/>
  <c r="AT1862" i="21"/>
  <c r="AV1862" i="21" s="1"/>
  <c r="AY1913" i="21"/>
  <c r="AZ1913" i="21" s="1"/>
  <c r="AW1913" i="21"/>
  <c r="AX1913" i="21" s="1"/>
  <c r="AW1909" i="21"/>
  <c r="AX1909" i="21" s="1"/>
  <c r="AT1909" i="21"/>
  <c r="AV1909" i="21" s="1"/>
  <c r="AW1881" i="21"/>
  <c r="AX1881" i="21" s="1"/>
  <c r="AY1886" i="21"/>
  <c r="AZ1886" i="21" s="1"/>
  <c r="AW1886" i="21"/>
  <c r="AX1886" i="21" s="1"/>
  <c r="AW1891" i="21"/>
  <c r="AX1891" i="21" s="1"/>
  <c r="AW1916" i="21"/>
  <c r="AX1916" i="21" s="1"/>
  <c r="AT1916" i="21"/>
  <c r="AV1916" i="21" s="1"/>
  <c r="AW1894" i="21"/>
  <c r="AX1894" i="21" s="1"/>
  <c r="AT1894" i="21"/>
  <c r="AV1894" i="21" s="1"/>
  <c r="AW1919" i="21"/>
  <c r="AX1919" i="21" s="1"/>
  <c r="AT1919" i="21"/>
  <c r="AV1919" i="21" s="1"/>
  <c r="AW1856" i="21"/>
  <c r="AX1856" i="21" s="1"/>
  <c r="AT1856" i="21"/>
  <c r="AV1856" i="21" s="1"/>
  <c r="AW1867" i="21"/>
  <c r="AX1867" i="21" s="1"/>
  <c r="AY1874" i="21"/>
  <c r="AZ1874" i="21" s="1"/>
  <c r="AW1889" i="21"/>
  <c r="AX1889" i="21" s="1"/>
  <c r="AT1889" i="21"/>
  <c r="AV1889" i="21" s="1"/>
  <c r="AW1897" i="21"/>
  <c r="AX1897" i="21" s="1"/>
  <c r="AT1897" i="21"/>
  <c r="AV1897" i="21" s="1"/>
  <c r="AW1908" i="21"/>
  <c r="AX1908" i="21" s="1"/>
  <c r="AW1922" i="21"/>
  <c r="AX1922" i="21" s="1"/>
  <c r="AT1922" i="21"/>
  <c r="AV1922" i="21" s="1"/>
  <c r="AW1865" i="21"/>
  <c r="AX1865" i="21" s="1"/>
  <c r="AT1865" i="21"/>
  <c r="AV1865" i="21" s="1"/>
  <c r="AW1877" i="21"/>
  <c r="AX1877" i="21" s="1"/>
  <c r="AT1877" i="21"/>
  <c r="AV1877" i="21" s="1"/>
  <c r="AW1900" i="21"/>
  <c r="AX1900" i="21" s="1"/>
  <c r="AT1900" i="21"/>
  <c r="AV1900" i="21" s="1"/>
  <c r="AW1925" i="21"/>
  <c r="AX1925" i="21" s="1"/>
  <c r="AT1925" i="21"/>
  <c r="AV1925" i="21" s="1"/>
  <c r="AW1928" i="21"/>
  <c r="AX1928" i="21" s="1"/>
  <c r="AT1928" i="21"/>
  <c r="AV1928" i="21" s="1"/>
  <c r="AW1931" i="21"/>
  <c r="AX1931" i="21" s="1"/>
  <c r="AT1931" i="21"/>
  <c r="AV1931" i="21" s="1"/>
  <c r="AW1934" i="21"/>
  <c r="AX1934" i="21" s="1"/>
  <c r="AT1934" i="21"/>
  <c r="AV1934" i="21" s="1"/>
  <c r="AW1937" i="21"/>
  <c r="AX1937" i="21" s="1"/>
  <c r="AT1937" i="21"/>
  <c r="AV1937" i="21" s="1"/>
  <c r="AW1898" i="21"/>
  <c r="AX1898" i="21" s="1"/>
  <c r="AT1898" i="21"/>
  <c r="AV1898" i="21" s="1"/>
  <c r="AW1892" i="21"/>
  <c r="AX1892" i="21" s="1"/>
  <c r="AT1892" i="21"/>
  <c r="AV1892" i="21" s="1"/>
  <c r="AY1903" i="21"/>
  <c r="AZ1903" i="21" s="1"/>
  <c r="AW1903" i="21"/>
  <c r="AX1903" i="21" s="1"/>
  <c r="AW1868" i="21"/>
  <c r="AX1868" i="21" s="1"/>
  <c r="AT1868" i="21"/>
  <c r="AV1868" i="21" s="1"/>
  <c r="AW1875" i="21"/>
  <c r="AX1875" i="21" s="1"/>
  <c r="AW1887" i="21"/>
  <c r="AX1887" i="21" s="1"/>
  <c r="AW1895" i="21"/>
  <c r="AX1895" i="21" s="1"/>
  <c r="AT1895" i="21"/>
  <c r="AV1895" i="21" s="1"/>
  <c r="AW1906" i="21"/>
  <c r="AX1906" i="21" s="1"/>
  <c r="AT1906" i="21"/>
  <c r="AV1906" i="21" s="1"/>
  <c r="AW1917" i="21"/>
  <c r="AX1917" i="21" s="1"/>
  <c r="AT1940" i="21"/>
  <c r="AV1940" i="21" s="1"/>
  <c r="AT1943" i="21"/>
  <c r="AV1943" i="21" s="1"/>
  <c r="AT1946" i="21"/>
  <c r="AV1946" i="21" s="1"/>
  <c r="AT1949" i="21"/>
  <c r="AV1949" i="21" s="1"/>
  <c r="AT1924" i="21"/>
  <c r="AV1924" i="21" s="1"/>
  <c r="AT1927" i="21"/>
  <c r="AV1927" i="21" s="1"/>
  <c r="AT1930" i="21"/>
  <c r="AV1930" i="21" s="1"/>
  <c r="AT1933" i="21"/>
  <c r="AV1933" i="21" s="1"/>
  <c r="AT1936" i="21"/>
  <c r="AV1936" i="21" s="1"/>
  <c r="AT1939" i="21"/>
  <c r="AV1939" i="21" s="1"/>
  <c r="AT1942" i="21"/>
  <c r="AV1942" i="21" s="1"/>
  <c r="AT1948" i="21"/>
  <c r="AV1948" i="21" s="1"/>
  <c r="AT1951" i="21"/>
  <c r="AV1951" i="21" s="1"/>
  <c r="AW1945" i="21"/>
  <c r="AX1945" i="21" s="1"/>
  <c r="AW1855" i="21"/>
  <c r="AX1855" i="21" s="1"/>
  <c r="O166" i="18"/>
  <c r="M172" i="18"/>
  <c r="N166" i="18"/>
  <c r="Q165" i="18"/>
  <c r="B166" i="18"/>
  <c r="C166" i="18"/>
  <c r="E165" i="18"/>
  <c r="I165" i="18"/>
  <c r="A172" i="18"/>
  <c r="K60" i="14"/>
  <c r="L60" i="14"/>
  <c r="AI60" i="14"/>
  <c r="AU60" i="14" s="1"/>
  <c r="DE11" i="22"/>
  <c r="DF14" i="22" s="1"/>
  <c r="DJ38" i="6"/>
  <c r="DJ37" i="6"/>
  <c r="DJ36" i="6"/>
  <c r="DJ35" i="6"/>
  <c r="DJ34" i="6"/>
  <c r="DJ33" i="6"/>
  <c r="DJ14" i="6"/>
  <c r="DJ13" i="6"/>
  <c r="DK31" i="6" s="1"/>
  <c r="DK45" i="6" s="1"/>
  <c r="DJ2" i="6"/>
  <c r="DF79" i="22"/>
  <c r="DF78" i="22"/>
  <c r="DF77" i="22"/>
  <c r="DF76" i="22"/>
  <c r="DF75" i="22"/>
  <c r="DF74" i="22"/>
  <c r="DF73" i="22"/>
  <c r="DF72" i="22"/>
  <c r="DF71" i="22"/>
  <c r="DF70" i="22"/>
  <c r="DF69" i="22"/>
  <c r="DF68" i="22"/>
  <c r="DF67" i="22"/>
  <c r="DF66" i="22"/>
  <c r="DF65" i="22"/>
  <c r="DF64" i="22"/>
  <c r="DF63" i="22"/>
  <c r="DF62" i="22"/>
  <c r="DF15" i="22"/>
  <c r="R159" i="18"/>
  <c r="N159" i="18"/>
  <c r="J159" i="18"/>
  <c r="F159" i="18"/>
  <c r="B159" i="18"/>
  <c r="AY1853" i="21"/>
  <c r="AZ1853" i="21" s="1"/>
  <c r="AS1853" i="21"/>
  <c r="AW1853" i="21" s="1"/>
  <c r="AX1853" i="21" s="1"/>
  <c r="AR1853" i="21"/>
  <c r="AY1852" i="21"/>
  <c r="AZ1852" i="21" s="1"/>
  <c r="AW1852" i="21"/>
  <c r="AX1852" i="21" s="1"/>
  <c r="AS1852" i="21"/>
  <c r="AT1852" i="21" s="1"/>
  <c r="AV1852" i="21" s="1"/>
  <c r="AR1852" i="21"/>
  <c r="AY1851" i="21"/>
  <c r="AZ1851" i="21" s="1"/>
  <c r="AW1851" i="21"/>
  <c r="AX1851" i="21" s="1"/>
  <c r="AT1851" i="21"/>
  <c r="AV1851" i="21" s="1"/>
  <c r="AS1851" i="21"/>
  <c r="AR1851" i="21"/>
  <c r="AY1850" i="21"/>
  <c r="AZ1850" i="21" s="1"/>
  <c r="AS1850" i="21"/>
  <c r="AW1850" i="21" s="1"/>
  <c r="AX1850" i="21" s="1"/>
  <c r="AR1850" i="21"/>
  <c r="AY1849" i="21"/>
  <c r="AZ1849" i="21" s="1"/>
  <c r="AW1849" i="21"/>
  <c r="AX1849" i="21" s="1"/>
  <c r="AS1849" i="21"/>
  <c r="AT1849" i="21" s="1"/>
  <c r="AV1849" i="21" s="1"/>
  <c r="AR1849" i="21"/>
  <c r="AY1848" i="21"/>
  <c r="AZ1848" i="21" s="1"/>
  <c r="AW1848" i="21"/>
  <c r="AX1848" i="21" s="1"/>
  <c r="AT1848" i="21"/>
  <c r="AV1848" i="21" s="1"/>
  <c r="AS1848" i="21"/>
  <c r="AR1848" i="21"/>
  <c r="AY1847" i="21"/>
  <c r="AZ1847" i="21" s="1"/>
  <c r="AS1847" i="21"/>
  <c r="AW1847" i="21" s="1"/>
  <c r="AX1847" i="21" s="1"/>
  <c r="AR1847" i="21"/>
  <c r="AY1846" i="21"/>
  <c r="AZ1846" i="21" s="1"/>
  <c r="AW1846" i="21"/>
  <c r="AX1846" i="21" s="1"/>
  <c r="AS1846" i="21"/>
  <c r="AT1846" i="21" s="1"/>
  <c r="AV1846" i="21" s="1"/>
  <c r="AR1846" i="21"/>
  <c r="AY1845" i="21"/>
  <c r="AZ1845" i="21" s="1"/>
  <c r="AW1845" i="21"/>
  <c r="AX1845" i="21" s="1"/>
  <c r="AT1845" i="21"/>
  <c r="AV1845" i="21" s="1"/>
  <c r="AS1845" i="21"/>
  <c r="AR1845" i="21"/>
  <c r="AY1844" i="21"/>
  <c r="AZ1844" i="21" s="1"/>
  <c r="AS1844" i="21"/>
  <c r="AW1844" i="21" s="1"/>
  <c r="AX1844" i="21" s="1"/>
  <c r="AR1844" i="21"/>
  <c r="AY1843" i="21"/>
  <c r="AZ1843" i="21" s="1"/>
  <c r="AW1843" i="21"/>
  <c r="AX1843" i="21" s="1"/>
  <c r="AS1843" i="21"/>
  <c r="AT1843" i="21" s="1"/>
  <c r="AV1843" i="21" s="1"/>
  <c r="AR1843" i="21"/>
  <c r="AY1842" i="21"/>
  <c r="AZ1842" i="21" s="1"/>
  <c r="AW1842" i="21"/>
  <c r="AX1842" i="21" s="1"/>
  <c r="AT1842" i="21"/>
  <c r="AV1842" i="21" s="1"/>
  <c r="AS1842" i="21"/>
  <c r="AR1842" i="21"/>
  <c r="AY1841" i="21"/>
  <c r="AZ1841" i="21" s="1"/>
  <c r="AS1841" i="21"/>
  <c r="AW1841" i="21" s="1"/>
  <c r="AX1841" i="21" s="1"/>
  <c r="AR1841" i="21"/>
  <c r="AY1840" i="21"/>
  <c r="AZ1840" i="21" s="1"/>
  <c r="AW1840" i="21"/>
  <c r="AX1840" i="21" s="1"/>
  <c r="AS1840" i="21"/>
  <c r="AT1840" i="21" s="1"/>
  <c r="AV1840" i="21" s="1"/>
  <c r="AR1840" i="21"/>
  <c r="AY1839" i="21"/>
  <c r="AZ1839" i="21" s="1"/>
  <c r="AW1839" i="21"/>
  <c r="AX1839" i="21" s="1"/>
  <c r="AT1839" i="21"/>
  <c r="AV1839" i="21" s="1"/>
  <c r="AS1839" i="21"/>
  <c r="AR1839" i="21"/>
  <c r="AY1838" i="21"/>
  <c r="AZ1838" i="21" s="1"/>
  <c r="AS1838" i="21"/>
  <c r="AW1838" i="21" s="1"/>
  <c r="AX1838" i="21" s="1"/>
  <c r="AR1838" i="21"/>
  <c r="AY1837" i="21"/>
  <c r="AZ1837" i="21" s="1"/>
  <c r="AS1837" i="21"/>
  <c r="AT1837" i="21" s="1"/>
  <c r="AV1837" i="21" s="1"/>
  <c r="AR1837" i="21"/>
  <c r="AY1836" i="21"/>
  <c r="AZ1836" i="21" s="1"/>
  <c r="AW1836" i="21"/>
  <c r="AX1836" i="21" s="1"/>
  <c r="AT1836" i="21"/>
  <c r="AV1836" i="21" s="1"/>
  <c r="AS1836" i="21"/>
  <c r="AR1836" i="21"/>
  <c r="AY1835" i="21"/>
  <c r="AZ1835" i="21" s="1"/>
  <c r="AS1835" i="21"/>
  <c r="AR1835" i="21"/>
  <c r="AY1834" i="21"/>
  <c r="AZ1834" i="21" s="1"/>
  <c r="AW1834" i="21"/>
  <c r="AX1834" i="21" s="1"/>
  <c r="AS1834" i="21"/>
  <c r="AT1834" i="21" s="1"/>
  <c r="AV1834" i="21" s="1"/>
  <c r="AR1834" i="21"/>
  <c r="AY1833" i="21"/>
  <c r="AZ1833" i="21" s="1"/>
  <c r="AW1833" i="21"/>
  <c r="AX1833" i="21" s="1"/>
  <c r="AT1833" i="21"/>
  <c r="AV1833" i="21" s="1"/>
  <c r="AS1833" i="21"/>
  <c r="AR1833" i="21"/>
  <c r="AY1832" i="21"/>
  <c r="AZ1832" i="21" s="1"/>
  <c r="AS1832" i="21"/>
  <c r="AR1832" i="21"/>
  <c r="AY1831" i="21"/>
  <c r="AZ1831" i="21" s="1"/>
  <c r="AW1831" i="21"/>
  <c r="AX1831" i="21" s="1"/>
  <c r="AS1831" i="21"/>
  <c r="AT1831" i="21" s="1"/>
  <c r="AV1831" i="21" s="1"/>
  <c r="AR1831" i="21"/>
  <c r="AY1830" i="21"/>
  <c r="AZ1830" i="21" s="1"/>
  <c r="AW1830" i="21"/>
  <c r="AX1830" i="21" s="1"/>
  <c r="AT1830" i="21"/>
  <c r="AV1830" i="21" s="1"/>
  <c r="AS1830" i="21"/>
  <c r="AR1830" i="21"/>
  <c r="AY1829" i="21"/>
  <c r="AZ1829" i="21" s="1"/>
  <c r="AS1829" i="21"/>
  <c r="AR1829" i="21"/>
  <c r="AY1828" i="21"/>
  <c r="AZ1828" i="21" s="1"/>
  <c r="AS1828" i="21"/>
  <c r="AT1828" i="21" s="1"/>
  <c r="AV1828" i="21" s="1"/>
  <c r="AR1828" i="21"/>
  <c r="AY1827" i="21"/>
  <c r="AZ1827" i="21" s="1"/>
  <c r="AW1827" i="21"/>
  <c r="AX1827" i="21" s="1"/>
  <c r="AT1827" i="21"/>
  <c r="AV1827" i="21" s="1"/>
  <c r="AS1827" i="21"/>
  <c r="AR1827" i="21"/>
  <c r="AY1826" i="21"/>
  <c r="AZ1826" i="21" s="1"/>
  <c r="AS1826" i="21"/>
  <c r="AR1826" i="21"/>
  <c r="AY1825" i="21"/>
  <c r="AZ1825" i="21" s="1"/>
  <c r="AS1825" i="21"/>
  <c r="AT1825" i="21" s="1"/>
  <c r="AV1825" i="21" s="1"/>
  <c r="AR1825" i="21"/>
  <c r="AY1824" i="21"/>
  <c r="AZ1824" i="21" s="1"/>
  <c r="AW1824" i="21"/>
  <c r="AX1824" i="21" s="1"/>
  <c r="AT1824" i="21"/>
  <c r="AV1824" i="21" s="1"/>
  <c r="AS1824" i="21"/>
  <c r="AR1824" i="21"/>
  <c r="AY1823" i="21"/>
  <c r="AZ1823" i="21" s="1"/>
  <c r="AS1823" i="21"/>
  <c r="AR1823" i="21"/>
  <c r="AY1822" i="21"/>
  <c r="AZ1822" i="21" s="1"/>
  <c r="AW1822" i="21"/>
  <c r="AX1822" i="21" s="1"/>
  <c r="AS1822" i="21"/>
  <c r="AT1822" i="21" s="1"/>
  <c r="AV1822" i="21" s="1"/>
  <c r="AR1822" i="21"/>
  <c r="AY1821" i="21"/>
  <c r="AZ1821" i="21" s="1"/>
  <c r="AW1821" i="21"/>
  <c r="AX1821" i="21" s="1"/>
  <c r="AT1821" i="21"/>
  <c r="AV1821" i="21" s="1"/>
  <c r="AS1821" i="21"/>
  <c r="AR1821" i="21"/>
  <c r="AY1820" i="21"/>
  <c r="AZ1820" i="21" s="1"/>
  <c r="AS1820" i="21"/>
  <c r="AR1820" i="21"/>
  <c r="AY1819" i="21"/>
  <c r="AZ1819" i="21" s="1"/>
  <c r="AS1819" i="21"/>
  <c r="AT1819" i="21" s="1"/>
  <c r="AV1819" i="21" s="1"/>
  <c r="AR1819" i="21"/>
  <c r="AY1818" i="21"/>
  <c r="AZ1818" i="21" s="1"/>
  <c r="AW1818" i="21"/>
  <c r="AX1818" i="21" s="1"/>
  <c r="AT1818" i="21"/>
  <c r="AV1818" i="21" s="1"/>
  <c r="AS1818" i="21"/>
  <c r="AR1818" i="21"/>
  <c r="AY1817" i="21"/>
  <c r="AZ1817" i="21" s="1"/>
  <c r="AS1817" i="21"/>
  <c r="AR1817" i="21"/>
  <c r="AY1816" i="21"/>
  <c r="AZ1816" i="21" s="1"/>
  <c r="AS1816" i="21"/>
  <c r="AT1816" i="21" s="1"/>
  <c r="AV1816" i="21" s="1"/>
  <c r="AR1816" i="21"/>
  <c r="AY1815" i="21"/>
  <c r="AZ1815" i="21" s="1"/>
  <c r="AW1815" i="21"/>
  <c r="AX1815" i="21" s="1"/>
  <c r="AT1815" i="21"/>
  <c r="AV1815" i="21" s="1"/>
  <c r="AS1815" i="21"/>
  <c r="AR1815" i="21"/>
  <c r="AY1814" i="21"/>
  <c r="AZ1814" i="21" s="1"/>
  <c r="AS1814" i="21"/>
  <c r="AR1814" i="21"/>
  <c r="AY1813" i="21"/>
  <c r="AZ1813" i="21" s="1"/>
  <c r="AW1813" i="21"/>
  <c r="AX1813" i="21" s="1"/>
  <c r="AS1813" i="21"/>
  <c r="AT1813" i="21" s="1"/>
  <c r="AV1813" i="21" s="1"/>
  <c r="AR1813" i="21"/>
  <c r="AY1812" i="21"/>
  <c r="AZ1812" i="21" s="1"/>
  <c r="AW1812" i="21"/>
  <c r="AX1812" i="21" s="1"/>
  <c r="AT1812" i="21"/>
  <c r="AV1812" i="21" s="1"/>
  <c r="AS1812" i="21"/>
  <c r="AR1812" i="21"/>
  <c r="AY1811" i="21"/>
  <c r="AZ1811" i="21" s="1"/>
  <c r="AS1811" i="21"/>
  <c r="AR1811" i="21"/>
  <c r="AY1810" i="21"/>
  <c r="AZ1810" i="21" s="1"/>
  <c r="AW1810" i="21"/>
  <c r="AX1810" i="21" s="1"/>
  <c r="AS1810" i="21"/>
  <c r="AT1810" i="21" s="1"/>
  <c r="AV1810" i="21" s="1"/>
  <c r="AR1810" i="21"/>
  <c r="AY1809" i="21"/>
  <c r="AZ1809" i="21" s="1"/>
  <c r="AS1809" i="21"/>
  <c r="AW1809" i="21" s="1"/>
  <c r="AX1809" i="21" s="1"/>
  <c r="AR1809" i="21"/>
  <c r="AY1808" i="21"/>
  <c r="AZ1808" i="21" s="1"/>
  <c r="AS1808" i="21"/>
  <c r="AR1808" i="21"/>
  <c r="AY1807" i="21"/>
  <c r="AZ1807" i="21" s="1"/>
  <c r="AW1807" i="21"/>
  <c r="AX1807" i="21" s="1"/>
  <c r="AT1807" i="21"/>
  <c r="AV1807" i="21" s="1"/>
  <c r="AS1807" i="21"/>
  <c r="AR1807" i="21"/>
  <c r="AY1806" i="21"/>
  <c r="AZ1806" i="21" s="1"/>
  <c r="AS1806" i="21"/>
  <c r="AW1806" i="21" s="1"/>
  <c r="AX1806" i="21" s="1"/>
  <c r="AR1806" i="21"/>
  <c r="AY1805" i="21"/>
  <c r="AZ1805" i="21" s="1"/>
  <c r="AS1805" i="21"/>
  <c r="AR1805" i="21"/>
  <c r="AY1804" i="21"/>
  <c r="AZ1804" i="21" s="1"/>
  <c r="AT1804" i="21"/>
  <c r="AV1804" i="21" s="1"/>
  <c r="AS1804" i="21"/>
  <c r="AW1804" i="21" s="1"/>
  <c r="AX1804" i="21" s="1"/>
  <c r="AR1804" i="21"/>
  <c r="AY1803" i="21"/>
  <c r="AZ1803" i="21" s="1"/>
  <c r="AT1803" i="21"/>
  <c r="AV1803" i="21" s="1"/>
  <c r="AS1803" i="21"/>
  <c r="AW1803" i="21" s="1"/>
  <c r="AX1803" i="21" s="1"/>
  <c r="AR1803" i="21"/>
  <c r="AY1802" i="21"/>
  <c r="AZ1802" i="21" s="1"/>
  <c r="AS1802" i="21"/>
  <c r="AR1802" i="21"/>
  <c r="AY1801" i="21"/>
  <c r="AZ1801" i="21" s="1"/>
  <c r="AT1801" i="21"/>
  <c r="AV1801" i="21" s="1"/>
  <c r="AS1801" i="21"/>
  <c r="AW1801" i="21" s="1"/>
  <c r="AX1801" i="21" s="1"/>
  <c r="AR1801" i="21"/>
  <c r="AY1800" i="21"/>
  <c r="AZ1800" i="21" s="1"/>
  <c r="AS1800" i="21"/>
  <c r="AW1800" i="21" s="1"/>
  <c r="AX1800" i="21" s="1"/>
  <c r="AR1800" i="21"/>
  <c r="AY1799" i="21"/>
  <c r="AZ1799" i="21" s="1"/>
  <c r="AS1799" i="21"/>
  <c r="AT1799" i="21" s="1"/>
  <c r="AV1799" i="21" s="1"/>
  <c r="AR1799" i="21"/>
  <c r="AY1798" i="21"/>
  <c r="AZ1798" i="21" s="1"/>
  <c r="AW1798" i="21"/>
  <c r="AX1798" i="21" s="1"/>
  <c r="AS1798" i="21"/>
  <c r="AT1798" i="21" s="1"/>
  <c r="AV1798" i="21" s="1"/>
  <c r="AR1798" i="21"/>
  <c r="AY1797" i="21"/>
  <c r="AZ1797" i="21" s="1"/>
  <c r="AS1797" i="21"/>
  <c r="AW1797" i="21" s="1"/>
  <c r="AX1797" i="21" s="1"/>
  <c r="AR1797" i="21"/>
  <c r="AY1796" i="21"/>
  <c r="AZ1796" i="21" s="1"/>
  <c r="AW1796" i="21"/>
  <c r="AX1796" i="21" s="1"/>
  <c r="AS1796" i="21"/>
  <c r="AT1796" i="21" s="1"/>
  <c r="AV1796" i="21" s="1"/>
  <c r="AR1796" i="21"/>
  <c r="AY1795" i="21"/>
  <c r="AZ1795" i="21" s="1"/>
  <c r="AW1795" i="21"/>
  <c r="AX1795" i="21" s="1"/>
  <c r="AS1795" i="21"/>
  <c r="AT1795" i="21" s="1"/>
  <c r="AV1795" i="21" s="1"/>
  <c r="AR1795" i="21"/>
  <c r="AY1794" i="21"/>
  <c r="AZ1794" i="21" s="1"/>
  <c r="AW1794" i="21"/>
  <c r="AX1794" i="21" s="1"/>
  <c r="AT1794" i="21"/>
  <c r="AV1794" i="21" s="1"/>
  <c r="AS1794" i="21"/>
  <c r="AR1794" i="21"/>
  <c r="AY1793" i="21"/>
  <c r="AZ1793" i="21" s="1"/>
  <c r="AW1793" i="21"/>
  <c r="AX1793" i="21" s="1"/>
  <c r="AS1793" i="21"/>
  <c r="AT1793" i="21" s="1"/>
  <c r="AV1793" i="21" s="1"/>
  <c r="AR1793" i="21"/>
  <c r="AY1792" i="21"/>
  <c r="AZ1792" i="21" s="1"/>
  <c r="AW1792" i="21"/>
  <c r="AX1792" i="21" s="1"/>
  <c r="AT1792" i="21"/>
  <c r="AV1792" i="21" s="1"/>
  <c r="AS1792" i="21"/>
  <c r="AR1792" i="21"/>
  <c r="AY1791" i="21"/>
  <c r="AZ1791" i="21" s="1"/>
  <c r="AW1791" i="21"/>
  <c r="AX1791" i="21" s="1"/>
  <c r="AT1791" i="21"/>
  <c r="AV1791" i="21" s="1"/>
  <c r="AS1791" i="21"/>
  <c r="AR1791" i="21"/>
  <c r="AY1790" i="21"/>
  <c r="AZ1790" i="21" s="1"/>
  <c r="AW1790" i="21"/>
  <c r="AX1790" i="21" s="1"/>
  <c r="AS1790" i="21"/>
  <c r="AT1790" i="21" s="1"/>
  <c r="AV1790" i="21" s="1"/>
  <c r="AR1790" i="21"/>
  <c r="AY1789" i="21"/>
  <c r="AZ1789" i="21" s="1"/>
  <c r="AS1789" i="21"/>
  <c r="AT1789" i="21" s="1"/>
  <c r="AV1789" i="21" s="1"/>
  <c r="AR1789" i="21"/>
  <c r="AT1788" i="21"/>
  <c r="AV1788" i="21" s="1"/>
  <c r="AS1788" i="21"/>
  <c r="AY1788" i="21" s="1"/>
  <c r="AZ1788" i="21" s="1"/>
  <c r="AR1788" i="21"/>
  <c r="AT1787" i="21"/>
  <c r="AV1787" i="21" s="1"/>
  <c r="AS1787" i="21"/>
  <c r="AY1787" i="21" s="1"/>
  <c r="AZ1787" i="21" s="1"/>
  <c r="AR1787" i="21"/>
  <c r="AY1786" i="21"/>
  <c r="AZ1786" i="21" s="1"/>
  <c r="AS1786" i="21"/>
  <c r="AT1786" i="21" s="1"/>
  <c r="AV1786" i="21" s="1"/>
  <c r="AR1786" i="21"/>
  <c r="AY1785" i="21"/>
  <c r="AZ1785" i="21" s="1"/>
  <c r="AS1785" i="21"/>
  <c r="AT1785" i="21" s="1"/>
  <c r="AV1785" i="21" s="1"/>
  <c r="AR1785" i="21"/>
  <c r="AY1784" i="21"/>
  <c r="AZ1784" i="21" s="1"/>
  <c r="AW1784" i="21"/>
  <c r="AX1784" i="21" s="1"/>
  <c r="AS1784" i="21"/>
  <c r="AT1784" i="21" s="1"/>
  <c r="AV1784" i="21" s="1"/>
  <c r="AR1784" i="21"/>
  <c r="AY1783" i="21"/>
  <c r="AZ1783" i="21" s="1"/>
  <c r="AS1783" i="21"/>
  <c r="AW1783" i="21" s="1"/>
  <c r="AX1783" i="21" s="1"/>
  <c r="AR1783" i="21"/>
  <c r="AT1782" i="21"/>
  <c r="AV1782" i="21" s="1"/>
  <c r="AS1782" i="21"/>
  <c r="AY1782" i="21" s="1"/>
  <c r="AZ1782" i="21" s="1"/>
  <c r="AR1782" i="21"/>
  <c r="AY1781" i="21"/>
  <c r="AZ1781" i="21" s="1"/>
  <c r="AW1781" i="21"/>
  <c r="AX1781" i="21" s="1"/>
  <c r="AT1781" i="21"/>
  <c r="AV1781" i="21" s="1"/>
  <c r="AS1781" i="21"/>
  <c r="AR1781" i="21"/>
  <c r="AY1780" i="21"/>
  <c r="AZ1780" i="21" s="1"/>
  <c r="AS1780" i="21"/>
  <c r="AW1780" i="21" s="1"/>
  <c r="AX1780" i="21" s="1"/>
  <c r="AR1780" i="21"/>
  <c r="AW1779" i="21"/>
  <c r="AX1779" i="21" s="1"/>
  <c r="AT1779" i="21"/>
  <c r="AV1779" i="21" s="1"/>
  <c r="AS1779" i="21"/>
  <c r="AY1779" i="21" s="1"/>
  <c r="AZ1779" i="21" s="1"/>
  <c r="AR1779" i="21"/>
  <c r="AW1778" i="21"/>
  <c r="AX1778" i="21" s="1"/>
  <c r="AT1778" i="21"/>
  <c r="AV1778" i="21" s="1"/>
  <c r="AS1778" i="21"/>
  <c r="AY1778" i="21" s="1"/>
  <c r="AZ1778" i="21" s="1"/>
  <c r="AR1778" i="21"/>
  <c r="AY1777" i="21"/>
  <c r="AZ1777" i="21" s="1"/>
  <c r="AW1777" i="21"/>
  <c r="AX1777" i="21" s="1"/>
  <c r="AT1777" i="21"/>
  <c r="AV1777" i="21" s="1"/>
  <c r="AS1777" i="21"/>
  <c r="AR1777" i="21"/>
  <c r="AY1776" i="21"/>
  <c r="AZ1776" i="21" s="1"/>
  <c r="AW1776" i="21"/>
  <c r="AX1776" i="21" s="1"/>
  <c r="AS1776" i="21"/>
  <c r="AT1776" i="21" s="1"/>
  <c r="AV1776" i="21" s="1"/>
  <c r="AR1776" i="21"/>
  <c r="AY1775" i="21"/>
  <c r="AZ1775" i="21" s="1"/>
  <c r="AW1775" i="21"/>
  <c r="AX1775" i="21" s="1"/>
  <c r="AT1775" i="21"/>
  <c r="AV1775" i="21" s="1"/>
  <c r="AS1775" i="21"/>
  <c r="AR1775" i="21"/>
  <c r="AY1774" i="21"/>
  <c r="AZ1774" i="21" s="1"/>
  <c r="AW1774" i="21"/>
  <c r="AX1774" i="21" s="1"/>
  <c r="AS1774" i="21"/>
  <c r="AT1774" i="21" s="1"/>
  <c r="AV1774" i="21" s="1"/>
  <c r="AR1774" i="21"/>
  <c r="AW1773" i="21"/>
  <c r="AX1773" i="21" s="1"/>
  <c r="AT1773" i="21"/>
  <c r="AV1773" i="21" s="1"/>
  <c r="AS1773" i="21"/>
  <c r="AY1773" i="21" s="1"/>
  <c r="AZ1773" i="21" s="1"/>
  <c r="AR1773" i="21"/>
  <c r="AW1772" i="21"/>
  <c r="AX1772" i="21" s="1"/>
  <c r="AT1772" i="21"/>
  <c r="AV1772" i="21" s="1"/>
  <c r="AS1772" i="21"/>
  <c r="AY1772" i="21" s="1"/>
  <c r="AZ1772" i="21" s="1"/>
  <c r="AR1772" i="21"/>
  <c r="AY1771" i="21"/>
  <c r="AZ1771" i="21" s="1"/>
  <c r="AW1771" i="21"/>
  <c r="AX1771" i="21" s="1"/>
  <c r="AT1771" i="21"/>
  <c r="AV1771" i="21" s="1"/>
  <c r="AS1771" i="21"/>
  <c r="AR1771" i="21"/>
  <c r="AY1770" i="21"/>
  <c r="AZ1770" i="21" s="1"/>
  <c r="AW1770" i="21"/>
  <c r="AX1770" i="21" s="1"/>
  <c r="AT1770" i="21"/>
  <c r="AV1770" i="21" s="1"/>
  <c r="AS1770" i="21"/>
  <c r="AR1770" i="21"/>
  <c r="AY1769" i="21"/>
  <c r="AZ1769" i="21" s="1"/>
  <c r="AS1769" i="21"/>
  <c r="AT1769" i="21" s="1"/>
  <c r="AV1769" i="21" s="1"/>
  <c r="AR1769" i="21"/>
  <c r="AY1768" i="21"/>
  <c r="AZ1768" i="21" s="1"/>
  <c r="AS1768" i="21"/>
  <c r="AT1768" i="21" s="1"/>
  <c r="AV1768" i="21" s="1"/>
  <c r="AR1768" i="21"/>
  <c r="AY1767" i="21"/>
  <c r="AZ1767" i="21" s="1"/>
  <c r="AS1767" i="21"/>
  <c r="AW1767" i="21" s="1"/>
  <c r="AX1767" i="21" s="1"/>
  <c r="AR1767" i="21"/>
  <c r="AT1766" i="21"/>
  <c r="AV1766" i="21" s="1"/>
  <c r="AS1766" i="21"/>
  <c r="AY1766" i="21" s="1"/>
  <c r="AZ1766" i="21" s="1"/>
  <c r="AR1766" i="21"/>
  <c r="AT1765" i="21"/>
  <c r="AV1765" i="21" s="1"/>
  <c r="AS1765" i="21"/>
  <c r="AW1765" i="21" s="1"/>
  <c r="AX1765" i="21" s="1"/>
  <c r="AR1765" i="21"/>
  <c r="AY1764" i="21"/>
  <c r="AZ1764" i="21" s="1"/>
  <c r="AS1764" i="21"/>
  <c r="AW1764" i="21" s="1"/>
  <c r="AX1764" i="21" s="1"/>
  <c r="AR1764" i="21"/>
  <c r="AY1763" i="21"/>
  <c r="AZ1763" i="21" s="1"/>
  <c r="AS1763" i="21"/>
  <c r="AT1763" i="21" s="1"/>
  <c r="AV1763" i="21" s="1"/>
  <c r="AR1763" i="21"/>
  <c r="AY1762" i="21"/>
  <c r="AZ1762" i="21" s="1"/>
  <c r="AT1762" i="21"/>
  <c r="AV1762" i="21" s="1"/>
  <c r="AS1762" i="21"/>
  <c r="AW1762" i="21" s="1"/>
  <c r="AX1762" i="21" s="1"/>
  <c r="AR1762" i="21"/>
  <c r="AT1761" i="21"/>
  <c r="AV1761" i="21" s="1"/>
  <c r="AS1761" i="21"/>
  <c r="AY1761" i="21" s="1"/>
  <c r="AZ1761" i="21" s="1"/>
  <c r="AR1761" i="21"/>
  <c r="AY1760" i="21"/>
  <c r="AZ1760" i="21" s="1"/>
  <c r="AW1760" i="21"/>
  <c r="AX1760" i="21" s="1"/>
  <c r="AS1760" i="21"/>
  <c r="AT1760" i="21" s="1"/>
  <c r="AV1760" i="21" s="1"/>
  <c r="AR1760" i="21"/>
  <c r="AY1759" i="21"/>
  <c r="AZ1759" i="21" s="1"/>
  <c r="AS1759" i="21"/>
  <c r="AW1759" i="21" s="1"/>
  <c r="AX1759" i="21" s="1"/>
  <c r="AR1759" i="21"/>
  <c r="AW1758" i="21"/>
  <c r="AX1758" i="21" s="1"/>
  <c r="AT1758" i="21"/>
  <c r="AV1758" i="21" s="1"/>
  <c r="AS1758" i="21"/>
  <c r="AY1758" i="21" s="1"/>
  <c r="AZ1758" i="21" s="1"/>
  <c r="AR1758" i="21"/>
  <c r="AW1757" i="21"/>
  <c r="AX1757" i="21" s="1"/>
  <c r="AT1757" i="21"/>
  <c r="AV1757" i="21" s="1"/>
  <c r="AS1757" i="21"/>
  <c r="AY1757" i="21" s="1"/>
  <c r="AZ1757" i="21" s="1"/>
  <c r="AR1757" i="21"/>
  <c r="AY1756" i="21"/>
  <c r="AZ1756" i="21" s="1"/>
  <c r="AW1756" i="21"/>
  <c r="AX1756" i="21" s="1"/>
  <c r="AT1756" i="21"/>
  <c r="AV1756" i="21" s="1"/>
  <c r="AS1756" i="21"/>
  <c r="AR1756" i="21"/>
  <c r="AW1755" i="21"/>
  <c r="AX1755" i="21" s="1"/>
  <c r="AT1755" i="21"/>
  <c r="AV1755" i="21" s="1"/>
  <c r="AS1755" i="21"/>
  <c r="AY1755" i="21" s="1"/>
  <c r="AZ1755" i="21" s="1"/>
  <c r="AR1755" i="21"/>
  <c r="AY1754" i="21"/>
  <c r="AZ1754" i="21" s="1"/>
  <c r="AS1754" i="21"/>
  <c r="AT1754" i="21" s="1"/>
  <c r="AV1754" i="21" s="1"/>
  <c r="AR1754" i="21"/>
  <c r="AT1753" i="21"/>
  <c r="AV1753" i="21" s="1"/>
  <c r="AS1753" i="21"/>
  <c r="AY1753" i="21" s="1"/>
  <c r="AZ1753" i="21" s="1"/>
  <c r="AR1753" i="21"/>
  <c r="AT1752" i="21"/>
  <c r="AV1752" i="21" s="1"/>
  <c r="AS1752" i="21"/>
  <c r="AY1752" i="21" s="1"/>
  <c r="AZ1752" i="21" s="1"/>
  <c r="AR1752" i="21"/>
  <c r="AY1751" i="21"/>
  <c r="AZ1751" i="21" s="1"/>
  <c r="AT1751" i="21"/>
  <c r="AV1751" i="21" s="1"/>
  <c r="AS1751" i="21"/>
  <c r="AW1751" i="21" s="1"/>
  <c r="AX1751" i="21" s="1"/>
  <c r="AR1751" i="21"/>
  <c r="AT1750" i="21"/>
  <c r="AV1750" i="21" s="1"/>
  <c r="AS1750" i="21"/>
  <c r="AW1750" i="21" s="1"/>
  <c r="AX1750" i="21" s="1"/>
  <c r="AR1750" i="21"/>
  <c r="AT1749" i="21"/>
  <c r="AV1749" i="21" s="1"/>
  <c r="AS1749" i="21"/>
  <c r="AY1749" i="21" s="1"/>
  <c r="AZ1749" i="21" s="1"/>
  <c r="AR1749" i="21"/>
  <c r="AY1748" i="21"/>
  <c r="AZ1748" i="21" s="1"/>
  <c r="AS1748" i="21"/>
  <c r="AT1748" i="21" s="1"/>
  <c r="AV1748" i="21" s="1"/>
  <c r="AR1748" i="21"/>
  <c r="AT1747" i="21"/>
  <c r="AV1747" i="21" s="1"/>
  <c r="AS1747" i="21"/>
  <c r="AY1747" i="21" s="1"/>
  <c r="AZ1747" i="21" s="1"/>
  <c r="AR1747" i="21"/>
  <c r="DK28" i="6" l="1"/>
  <c r="DK42" i="6" s="1"/>
  <c r="DK29" i="6"/>
  <c r="DK43" i="6" s="1"/>
  <c r="DK27" i="6"/>
  <c r="DK41" i="6" s="1"/>
  <c r="DK48" i="6" s="1"/>
  <c r="DK57" i="6" s="1"/>
  <c r="DK26" i="6"/>
  <c r="DK40" i="6" s="1"/>
  <c r="DK47" i="6"/>
  <c r="DK56" i="6" s="1"/>
  <c r="DK51" i="6"/>
  <c r="DK60" i="6" s="1"/>
  <c r="DK54" i="6"/>
  <c r="DK63" i="6" s="1"/>
  <c r="DK22" i="6"/>
  <c r="DK52" i="6" s="1"/>
  <c r="DK61" i="6" s="1"/>
  <c r="DK50" i="6"/>
  <c r="DK59" i="6" s="1"/>
  <c r="DK49" i="6"/>
  <c r="DK58" i="6" s="1"/>
  <c r="J166" i="18"/>
  <c r="I172" i="18"/>
  <c r="K166" i="18"/>
  <c r="J170" i="18" s="1"/>
  <c r="T25" i="19" s="1"/>
  <c r="B170" i="18"/>
  <c r="T7" i="19" s="1"/>
  <c r="G166" i="18"/>
  <c r="F170" i="18" s="1"/>
  <c r="T16" i="19" s="1"/>
  <c r="F166" i="18"/>
  <c r="E172" i="18"/>
  <c r="S166" i="18"/>
  <c r="Q172" i="18"/>
  <c r="R166" i="18"/>
  <c r="N170" i="18"/>
  <c r="T34" i="19" s="1"/>
  <c r="W60" i="14"/>
  <c r="DE12" i="22"/>
  <c r="DF50" i="22"/>
  <c r="DF92" i="22" s="1"/>
  <c r="DF40" i="22"/>
  <c r="DF51" i="22"/>
  <c r="DF93" i="22" s="1"/>
  <c r="DF52" i="22"/>
  <c r="DF94" i="22" s="1"/>
  <c r="DF41" i="22"/>
  <c r="DF83" i="22" s="1"/>
  <c r="DF53" i="22"/>
  <c r="DF95" i="22" s="1"/>
  <c r="DF42" i="22"/>
  <c r="DF84" i="22" s="1"/>
  <c r="DF54" i="22"/>
  <c r="DF96" i="22" s="1"/>
  <c r="DF82" i="22"/>
  <c r="DF43" i="22"/>
  <c r="DF85" i="22" s="1"/>
  <c r="DF44" i="22"/>
  <c r="DF86" i="22" s="1"/>
  <c r="DF56" i="22"/>
  <c r="DF98" i="22" s="1"/>
  <c r="DF124" i="22"/>
  <c r="DF55" i="22"/>
  <c r="DF97" i="22" s="1"/>
  <c r="DF45" i="22"/>
  <c r="DF87" i="22" s="1"/>
  <c r="DF57" i="22"/>
  <c r="DF99" i="22" s="1"/>
  <c r="DF46" i="22"/>
  <c r="DF88" i="22" s="1"/>
  <c r="DF58" i="22"/>
  <c r="DF100" i="22" s="1"/>
  <c r="DF47" i="22"/>
  <c r="DF89" i="22" s="1"/>
  <c r="DF61" i="22"/>
  <c r="DF48" i="22"/>
  <c r="DF90" i="22" s="1"/>
  <c r="DF49" i="22"/>
  <c r="DF91" i="22" s="1"/>
  <c r="DF103" i="22"/>
  <c r="AW1823" i="21"/>
  <c r="AX1823" i="21" s="1"/>
  <c r="AT1823" i="21"/>
  <c r="AV1823" i="21" s="1"/>
  <c r="AW1748" i="21"/>
  <c r="AX1748" i="21" s="1"/>
  <c r="AT1759" i="21"/>
  <c r="AV1759" i="21" s="1"/>
  <c r="AW1761" i="21"/>
  <c r="AX1761" i="21" s="1"/>
  <c r="AY1765" i="21"/>
  <c r="AZ1765" i="21" s="1"/>
  <c r="AT1780" i="21"/>
  <c r="AV1780" i="21" s="1"/>
  <c r="AT1797" i="21"/>
  <c r="AV1797" i="21" s="1"/>
  <c r="AW1799" i="21"/>
  <c r="AX1799" i="21" s="1"/>
  <c r="AW1808" i="21"/>
  <c r="AX1808" i="21" s="1"/>
  <c r="AT1808" i="21"/>
  <c r="AV1808" i="21" s="1"/>
  <c r="AW1828" i="21"/>
  <c r="AX1828" i="21" s="1"/>
  <c r="AY1750" i="21"/>
  <c r="AZ1750" i="21" s="1"/>
  <c r="AW1782" i="21"/>
  <c r="AX1782" i="21" s="1"/>
  <c r="AT1806" i="21"/>
  <c r="AV1806" i="21" s="1"/>
  <c r="AW1826" i="21"/>
  <c r="AX1826" i="21" s="1"/>
  <c r="AT1826" i="21"/>
  <c r="AV1826" i="21" s="1"/>
  <c r="AW1752" i="21"/>
  <c r="AX1752" i="21" s="1"/>
  <c r="AT1767" i="21"/>
  <c r="AV1767" i="21" s="1"/>
  <c r="AW1788" i="21"/>
  <c r="AX1788" i="21" s="1"/>
  <c r="AW1829" i="21"/>
  <c r="AX1829" i="21" s="1"/>
  <c r="AT1829" i="21"/>
  <c r="AV1829" i="21" s="1"/>
  <c r="AW1816" i="21"/>
  <c r="AX1816" i="21" s="1"/>
  <c r="AT1764" i="21"/>
  <c r="AV1764" i="21" s="1"/>
  <c r="AW1753" i="21"/>
  <c r="AX1753" i="21" s="1"/>
  <c r="AW1768" i="21"/>
  <c r="AX1768" i="21" s="1"/>
  <c r="AW1789" i="21"/>
  <c r="AX1789" i="21" s="1"/>
  <c r="AW1802" i="21"/>
  <c r="AX1802" i="21" s="1"/>
  <c r="AT1802" i="21"/>
  <c r="AV1802" i="21" s="1"/>
  <c r="AT1783" i="21"/>
  <c r="AV1783" i="21" s="1"/>
  <c r="AW1785" i="21"/>
  <c r="AX1785" i="21" s="1"/>
  <c r="AW1787" i="21"/>
  <c r="AX1787" i="21" s="1"/>
  <c r="AT1800" i="21"/>
  <c r="AV1800" i="21" s="1"/>
  <c r="AT1809" i="21"/>
  <c r="AV1809" i="21" s="1"/>
  <c r="AW1814" i="21"/>
  <c r="AX1814" i="21" s="1"/>
  <c r="AT1814" i="21"/>
  <c r="AV1814" i="21" s="1"/>
  <c r="AW1832" i="21"/>
  <c r="AX1832" i="21" s="1"/>
  <c r="AT1832" i="21"/>
  <c r="AV1832" i="21" s="1"/>
  <c r="AW1837" i="21"/>
  <c r="AX1837" i="21" s="1"/>
  <c r="AW1786" i="21"/>
  <c r="AX1786" i="21" s="1"/>
  <c r="AW1811" i="21"/>
  <c r="AX1811" i="21" s="1"/>
  <c r="AT1811" i="21"/>
  <c r="AV1811" i="21" s="1"/>
  <c r="AW1766" i="21"/>
  <c r="AX1766" i="21" s="1"/>
  <c r="AW1749" i="21"/>
  <c r="AX1749" i="21" s="1"/>
  <c r="AW1819" i="21"/>
  <c r="AX1819" i="21" s="1"/>
  <c r="AW1754" i="21"/>
  <c r="AX1754" i="21" s="1"/>
  <c r="AW1817" i="21"/>
  <c r="AX1817" i="21" s="1"/>
  <c r="AT1817" i="21"/>
  <c r="AV1817" i="21" s="1"/>
  <c r="AW1835" i="21"/>
  <c r="AX1835" i="21" s="1"/>
  <c r="AT1835" i="21"/>
  <c r="AV1835" i="21" s="1"/>
  <c r="AW1805" i="21"/>
  <c r="AX1805" i="21" s="1"/>
  <c r="AT1805" i="21"/>
  <c r="AV1805" i="21" s="1"/>
  <c r="AW1769" i="21"/>
  <c r="AX1769" i="21" s="1"/>
  <c r="AW1820" i="21"/>
  <c r="AX1820" i="21" s="1"/>
  <c r="AT1820" i="21"/>
  <c r="AV1820" i="21" s="1"/>
  <c r="AW1763" i="21"/>
  <c r="AX1763" i="21" s="1"/>
  <c r="AW1825" i="21"/>
  <c r="AX1825" i="21" s="1"/>
  <c r="AT1838" i="21"/>
  <c r="AV1838" i="21" s="1"/>
  <c r="AT1841" i="21"/>
  <c r="AV1841" i="21" s="1"/>
  <c r="AT1844" i="21"/>
  <c r="AV1844" i="21" s="1"/>
  <c r="AT1847" i="21"/>
  <c r="AV1847" i="21" s="1"/>
  <c r="AT1850" i="21"/>
  <c r="AV1850" i="21" s="1"/>
  <c r="AT1853" i="21"/>
  <c r="AV1853" i="21" s="1"/>
  <c r="AW1747" i="21"/>
  <c r="AX1747" i="21" s="1"/>
  <c r="R170" i="18" l="1"/>
  <c r="T43" i="19" s="1"/>
  <c r="K159" i="18"/>
  <c r="O159" i="18" s="1"/>
  <c r="G159" i="18"/>
  <c r="C159" i="18"/>
  <c r="S159" i="18" s="1"/>
  <c r="Q158" i="18"/>
  <c r="M158" i="18"/>
  <c r="I158" i="18"/>
  <c r="E158" i="18"/>
  <c r="A158" i="18"/>
  <c r="A156" i="18"/>
  <c r="E156" i="18" s="1"/>
  <c r="J60" i="12"/>
  <c r="I60" i="12"/>
  <c r="AB59" i="14"/>
  <c r="AI59" i="14" s="1"/>
  <c r="Y59" i="14"/>
  <c r="X59" i="14"/>
  <c r="C59" i="14"/>
  <c r="B59" i="14"/>
  <c r="AA59" i="14" s="1"/>
  <c r="DD11" i="22"/>
  <c r="DD12" i="22" s="1"/>
  <c r="DH11" i="6"/>
  <c r="DH9" i="6"/>
  <c r="DH8" i="6"/>
  <c r="DH10" i="6" s="1"/>
  <c r="DI38" i="6"/>
  <c r="DI37" i="6"/>
  <c r="DI36" i="6"/>
  <c r="DI35" i="6"/>
  <c r="DI34" i="6"/>
  <c r="DI33" i="6"/>
  <c r="DI14" i="6"/>
  <c r="DI13" i="6"/>
  <c r="DI2" i="6"/>
  <c r="G157" i="18" l="1"/>
  <c r="F157" i="18"/>
  <c r="E163" i="18"/>
  <c r="B157" i="18"/>
  <c r="A163" i="18"/>
  <c r="C157" i="18"/>
  <c r="B161" i="18" s="1"/>
  <c r="S7" i="19" s="1"/>
  <c r="I156" i="18"/>
  <c r="M156" i="18"/>
  <c r="Q156" i="18"/>
  <c r="U60" i="12"/>
  <c r="AU59" i="14"/>
  <c r="K59" i="14"/>
  <c r="L59" i="14"/>
  <c r="O59" i="14"/>
  <c r="M163" i="18" l="1"/>
  <c r="N157" i="18"/>
  <c r="O157" i="18"/>
  <c r="Q163" i="18"/>
  <c r="R157" i="18"/>
  <c r="S157" i="18"/>
  <c r="R161" i="18" s="1"/>
  <c r="S43" i="19" s="1"/>
  <c r="K157" i="18"/>
  <c r="J157" i="18"/>
  <c r="I163" i="18"/>
  <c r="F161" i="18"/>
  <c r="S16" i="19" s="1"/>
  <c r="W59" i="14"/>
  <c r="DE79" i="22"/>
  <c r="DE78" i="22"/>
  <c r="DE77" i="22"/>
  <c r="DE76" i="22"/>
  <c r="DE75" i="22"/>
  <c r="DE74" i="22"/>
  <c r="DE73" i="22"/>
  <c r="DE72" i="22"/>
  <c r="DE71" i="22"/>
  <c r="DE70" i="22"/>
  <c r="DE69" i="22"/>
  <c r="DE68" i="22"/>
  <c r="DE67" i="22"/>
  <c r="DE66" i="22"/>
  <c r="DE65" i="22"/>
  <c r="DE64" i="22"/>
  <c r="DE63" i="22"/>
  <c r="DE62" i="22"/>
  <c r="DE15" i="22"/>
  <c r="DE14" i="22"/>
  <c r="DE50" i="22" s="1"/>
  <c r="R150" i="18"/>
  <c r="N150" i="18"/>
  <c r="J150" i="18"/>
  <c r="F150" i="18"/>
  <c r="B150" i="18"/>
  <c r="J161" i="18" l="1"/>
  <c r="S25" i="19" s="1"/>
  <c r="N161" i="18"/>
  <c r="S34" i="19" s="1"/>
  <c r="DE42" i="22"/>
  <c r="DE84" i="22" s="1"/>
  <c r="DE52" i="22"/>
  <c r="DE94" i="22" s="1"/>
  <c r="DE49" i="22"/>
  <c r="DE51" i="22"/>
  <c r="DE93" i="22" s="1"/>
  <c r="DE54" i="22"/>
  <c r="DE96" i="22" s="1"/>
  <c r="DE92" i="22"/>
  <c r="DE40" i="22"/>
  <c r="DE82" i="22"/>
  <c r="DE91" i="22"/>
  <c r="DE48" i="22"/>
  <c r="DE90" i="22" s="1"/>
  <c r="DE41" i="22"/>
  <c r="DE83" i="22" s="1"/>
  <c r="DE53" i="22"/>
  <c r="DE95" i="22" s="1"/>
  <c r="DE55" i="22"/>
  <c r="DE97" i="22" s="1"/>
  <c r="DE124" i="22"/>
  <c r="DE43" i="22"/>
  <c r="DE85" i="22" s="1"/>
  <c r="DE56" i="22"/>
  <c r="DE98" i="22" s="1"/>
  <c r="DE45" i="22"/>
  <c r="DE87" i="22" s="1"/>
  <c r="DE57" i="22"/>
  <c r="DE99" i="22" s="1"/>
  <c r="DE46" i="22"/>
  <c r="DE88" i="22" s="1"/>
  <c r="DE58" i="22"/>
  <c r="DE100" i="22" s="1"/>
  <c r="DE44" i="22"/>
  <c r="DE86" i="22" s="1"/>
  <c r="DE47" i="22"/>
  <c r="DE89" i="22" s="1"/>
  <c r="DE61" i="22"/>
  <c r="DE103" i="22"/>
  <c r="AX112" i="20"/>
  <c r="AR1644" i="21" l="1"/>
  <c r="AS1644" i="21"/>
  <c r="AT1644" i="21" s="1"/>
  <c r="AV1644" i="21" s="1"/>
  <c r="AY1644" i="21"/>
  <c r="AZ1644" i="21" s="1"/>
  <c r="AR1645" i="21"/>
  <c r="AS1645" i="21"/>
  <c r="AT1645" i="21"/>
  <c r="AV1645" i="21" s="1"/>
  <c r="AW1645" i="21"/>
  <c r="AX1645" i="21" s="1"/>
  <c r="AY1645" i="21"/>
  <c r="AZ1645" i="21" s="1"/>
  <c r="AR1646" i="21"/>
  <c r="AS1646" i="21"/>
  <c r="AT1646" i="21" s="1"/>
  <c r="AV1646" i="21" s="1"/>
  <c r="AY1646" i="21"/>
  <c r="AZ1646" i="21" s="1"/>
  <c r="AR1647" i="21"/>
  <c r="AS1647" i="21"/>
  <c r="AT1647" i="21" s="1"/>
  <c r="AV1647" i="21" s="1"/>
  <c r="AW1647" i="21"/>
  <c r="AX1647" i="21" s="1"/>
  <c r="AY1647" i="21"/>
  <c r="AZ1647" i="21" s="1"/>
  <c r="AR1648" i="21"/>
  <c r="AS1648" i="21"/>
  <c r="AT1648" i="21" s="1"/>
  <c r="AV1648" i="21" s="1"/>
  <c r="AY1648" i="21"/>
  <c r="AZ1648" i="21" s="1"/>
  <c r="AR1649" i="21"/>
  <c r="AS1649" i="21"/>
  <c r="AT1649" i="21" s="1"/>
  <c r="AV1649" i="21" s="1"/>
  <c r="AW1649" i="21"/>
  <c r="AX1649" i="21" s="1"/>
  <c r="AY1649" i="21"/>
  <c r="AZ1649" i="21" s="1"/>
  <c r="AR1650" i="21"/>
  <c r="AS1650" i="21"/>
  <c r="AT1650" i="21" s="1"/>
  <c r="AV1650" i="21" s="1"/>
  <c r="AY1650" i="21"/>
  <c r="AZ1650" i="21" s="1"/>
  <c r="AR1651" i="21"/>
  <c r="AS1651" i="21"/>
  <c r="AT1651" i="21"/>
  <c r="AV1651" i="21" s="1"/>
  <c r="AW1651" i="21"/>
  <c r="AX1651" i="21" s="1"/>
  <c r="AY1651" i="21"/>
  <c r="AZ1651" i="21" s="1"/>
  <c r="AR1652" i="21"/>
  <c r="AS1652" i="21"/>
  <c r="AT1652" i="21" s="1"/>
  <c r="AV1652" i="21" s="1"/>
  <c r="AY1652" i="21"/>
  <c r="AZ1652" i="21" s="1"/>
  <c r="AR1653" i="21"/>
  <c r="AS1653" i="21"/>
  <c r="AT1653" i="21"/>
  <c r="AV1653" i="21" s="1"/>
  <c r="AW1653" i="21"/>
  <c r="AX1653" i="21" s="1"/>
  <c r="AY1653" i="21"/>
  <c r="AZ1653" i="21" s="1"/>
  <c r="AR1654" i="21"/>
  <c r="AS1654" i="21"/>
  <c r="AT1654" i="21" s="1"/>
  <c r="AV1654" i="21" s="1"/>
  <c r="AY1654" i="21"/>
  <c r="AZ1654" i="21" s="1"/>
  <c r="AR1655" i="21"/>
  <c r="AS1655" i="21"/>
  <c r="AT1655" i="21" s="1"/>
  <c r="AV1655" i="21" s="1"/>
  <c r="AW1655" i="21"/>
  <c r="AX1655" i="21" s="1"/>
  <c r="AY1655" i="21"/>
  <c r="AZ1655" i="21" s="1"/>
  <c r="AR1656" i="21"/>
  <c r="AS1656" i="21"/>
  <c r="AT1656" i="21" s="1"/>
  <c r="AV1656" i="21" s="1"/>
  <c r="AY1656" i="21"/>
  <c r="AZ1656" i="21" s="1"/>
  <c r="AR1657" i="21"/>
  <c r="AS1657" i="21"/>
  <c r="AT1657" i="21" s="1"/>
  <c r="AV1657" i="21" s="1"/>
  <c r="AW1657" i="21"/>
  <c r="AX1657" i="21" s="1"/>
  <c r="AY1657" i="21"/>
  <c r="AZ1657" i="21" s="1"/>
  <c r="AR1658" i="21"/>
  <c r="AS1658" i="21"/>
  <c r="AT1658" i="21" s="1"/>
  <c r="AV1658" i="21" s="1"/>
  <c r="AY1658" i="21"/>
  <c r="AZ1658" i="21" s="1"/>
  <c r="AR1659" i="21"/>
  <c r="AS1659" i="21"/>
  <c r="AT1659" i="21" s="1"/>
  <c r="AV1659" i="21" s="1"/>
  <c r="AW1659" i="21"/>
  <c r="AX1659" i="21" s="1"/>
  <c r="AY1659" i="21"/>
  <c r="AZ1659" i="21" s="1"/>
  <c r="AR1660" i="21"/>
  <c r="AS1660" i="21"/>
  <c r="AT1660" i="21" s="1"/>
  <c r="AV1660" i="21" s="1"/>
  <c r="AY1660" i="21"/>
  <c r="AZ1660" i="21" s="1"/>
  <c r="AR1661" i="21"/>
  <c r="AS1661" i="21"/>
  <c r="AT1661" i="21" s="1"/>
  <c r="AV1661" i="21" s="1"/>
  <c r="AW1661" i="21"/>
  <c r="AX1661" i="21" s="1"/>
  <c r="AY1661" i="21"/>
  <c r="AZ1661" i="21" s="1"/>
  <c r="AR1662" i="21"/>
  <c r="AS1662" i="21"/>
  <c r="AT1662" i="21" s="1"/>
  <c r="AV1662" i="21" s="1"/>
  <c r="AY1662" i="21"/>
  <c r="AZ1662" i="21" s="1"/>
  <c r="AR1663" i="21"/>
  <c r="AS1663" i="21"/>
  <c r="AT1663" i="21" s="1"/>
  <c r="AV1663" i="21" s="1"/>
  <c r="AW1663" i="21"/>
  <c r="AX1663" i="21" s="1"/>
  <c r="AY1663" i="21"/>
  <c r="AZ1663" i="21" s="1"/>
  <c r="AR1664" i="21"/>
  <c r="AS1664" i="21"/>
  <c r="AT1664" i="21" s="1"/>
  <c r="AV1664" i="21" s="1"/>
  <c r="AY1664" i="21"/>
  <c r="AZ1664" i="21" s="1"/>
  <c r="AR1665" i="21"/>
  <c r="AS1665" i="21"/>
  <c r="AT1665" i="21"/>
  <c r="AV1665" i="21" s="1"/>
  <c r="AW1665" i="21"/>
  <c r="AX1665" i="21" s="1"/>
  <c r="AY1665" i="21"/>
  <c r="AZ1665" i="21" s="1"/>
  <c r="AR1666" i="21"/>
  <c r="AS1666" i="21"/>
  <c r="AT1666" i="21" s="1"/>
  <c r="AV1666" i="21" s="1"/>
  <c r="AY1666" i="21"/>
  <c r="AZ1666" i="21" s="1"/>
  <c r="AR1667" i="21"/>
  <c r="AS1667" i="21"/>
  <c r="AT1667" i="21" s="1"/>
  <c r="AV1667" i="21" s="1"/>
  <c r="AW1667" i="21"/>
  <c r="AX1667" i="21" s="1"/>
  <c r="AY1667" i="21"/>
  <c r="AZ1667" i="21" s="1"/>
  <c r="AR1668" i="21"/>
  <c r="AS1668" i="21"/>
  <c r="AT1668" i="21" s="1"/>
  <c r="AV1668" i="21" s="1"/>
  <c r="AY1668" i="21"/>
  <c r="AZ1668" i="21" s="1"/>
  <c r="AR1669" i="21"/>
  <c r="AS1669" i="21"/>
  <c r="AT1669" i="21" s="1"/>
  <c r="AV1669" i="21" s="1"/>
  <c r="AW1669" i="21"/>
  <c r="AX1669" i="21" s="1"/>
  <c r="AY1669" i="21"/>
  <c r="AZ1669" i="21" s="1"/>
  <c r="AR1670" i="21"/>
  <c r="AS1670" i="21"/>
  <c r="AT1670" i="21" s="1"/>
  <c r="AV1670" i="21" s="1"/>
  <c r="AY1670" i="21"/>
  <c r="AZ1670" i="21" s="1"/>
  <c r="AR1671" i="21"/>
  <c r="AS1671" i="21"/>
  <c r="AT1671" i="21" s="1"/>
  <c r="AV1671" i="21" s="1"/>
  <c r="AW1671" i="21"/>
  <c r="AX1671" i="21" s="1"/>
  <c r="AY1671" i="21"/>
  <c r="AZ1671" i="21" s="1"/>
  <c r="AR1672" i="21"/>
  <c r="AS1672" i="21"/>
  <c r="AT1672" i="21" s="1"/>
  <c r="AV1672" i="21" s="1"/>
  <c r="AY1672" i="21"/>
  <c r="AZ1672" i="21" s="1"/>
  <c r="AR1673" i="21"/>
  <c r="AS1673" i="21"/>
  <c r="AT1673" i="21" s="1"/>
  <c r="AV1673" i="21" s="1"/>
  <c r="AW1673" i="21"/>
  <c r="AX1673" i="21" s="1"/>
  <c r="AY1673" i="21"/>
  <c r="AZ1673" i="21" s="1"/>
  <c r="AR1674" i="21"/>
  <c r="AS1674" i="21"/>
  <c r="AT1674" i="21" s="1"/>
  <c r="AV1674" i="21" s="1"/>
  <c r="AY1674" i="21"/>
  <c r="AZ1674" i="21" s="1"/>
  <c r="AR1675" i="21"/>
  <c r="AS1675" i="21"/>
  <c r="AT1675" i="21"/>
  <c r="AV1675" i="21" s="1"/>
  <c r="AW1675" i="21"/>
  <c r="AX1675" i="21" s="1"/>
  <c r="AY1675" i="21"/>
  <c r="AZ1675" i="21" s="1"/>
  <c r="AR1676" i="21"/>
  <c r="AS1676" i="21"/>
  <c r="AT1676" i="21" s="1"/>
  <c r="AV1676" i="21" s="1"/>
  <c r="AY1676" i="21"/>
  <c r="AZ1676" i="21" s="1"/>
  <c r="AR1677" i="21"/>
  <c r="AS1677" i="21"/>
  <c r="AT1677" i="21" s="1"/>
  <c r="AV1677" i="21" s="1"/>
  <c r="AW1677" i="21"/>
  <c r="AX1677" i="21" s="1"/>
  <c r="AY1677" i="21"/>
  <c r="AZ1677" i="21" s="1"/>
  <c r="AR1678" i="21"/>
  <c r="AS1678" i="21"/>
  <c r="AT1678" i="21" s="1"/>
  <c r="AV1678" i="21" s="1"/>
  <c r="AY1678" i="21"/>
  <c r="AZ1678" i="21" s="1"/>
  <c r="AR1679" i="21"/>
  <c r="AS1679" i="21"/>
  <c r="AT1679" i="21" s="1"/>
  <c r="AV1679" i="21" s="1"/>
  <c r="AW1679" i="21"/>
  <c r="AX1679" i="21" s="1"/>
  <c r="AY1679" i="21"/>
  <c r="AZ1679" i="21" s="1"/>
  <c r="AR1680" i="21"/>
  <c r="AS1680" i="21"/>
  <c r="AW1680" i="21" s="1"/>
  <c r="AX1680" i="21" s="1"/>
  <c r="AT1680" i="21"/>
  <c r="AV1680" i="21" s="1"/>
  <c r="AR1681" i="21"/>
  <c r="AS1681" i="21"/>
  <c r="AT1681" i="21" s="1"/>
  <c r="AV1681" i="21" s="1"/>
  <c r="AW1681" i="21"/>
  <c r="AX1681" i="21" s="1"/>
  <c r="AY1681" i="21"/>
  <c r="AZ1681" i="21" s="1"/>
  <c r="AR1682" i="21"/>
  <c r="AS1682" i="21"/>
  <c r="AW1682" i="21" s="1"/>
  <c r="AX1682" i="21" s="1"/>
  <c r="AT1682" i="21"/>
  <c r="AV1682" i="21" s="1"/>
  <c r="AR1683" i="21"/>
  <c r="AS1683" i="21"/>
  <c r="AT1683" i="21" s="1"/>
  <c r="AV1683" i="21" s="1"/>
  <c r="AW1683" i="21"/>
  <c r="AX1683" i="21" s="1"/>
  <c r="AY1683" i="21"/>
  <c r="AZ1683" i="21" s="1"/>
  <c r="AR1684" i="21"/>
  <c r="AS1684" i="21"/>
  <c r="AW1684" i="21" s="1"/>
  <c r="AX1684" i="21" s="1"/>
  <c r="AT1684" i="21"/>
  <c r="AV1684" i="21" s="1"/>
  <c r="AR1685" i="21"/>
  <c r="AS1685" i="21"/>
  <c r="AT1685" i="21" s="1"/>
  <c r="AV1685" i="21" s="1"/>
  <c r="AW1685" i="21"/>
  <c r="AX1685" i="21" s="1"/>
  <c r="AY1685" i="21"/>
  <c r="AZ1685" i="21" s="1"/>
  <c r="AR1686" i="21"/>
  <c r="AS1686" i="21"/>
  <c r="AT1686" i="21" s="1"/>
  <c r="AV1686" i="21" s="1"/>
  <c r="AY1686" i="21"/>
  <c r="AZ1686" i="21" s="1"/>
  <c r="AR1687" i="21"/>
  <c r="AS1687" i="21"/>
  <c r="AT1687" i="21"/>
  <c r="AV1687" i="21" s="1"/>
  <c r="AW1687" i="21"/>
  <c r="AX1687" i="21" s="1"/>
  <c r="AY1687" i="21"/>
  <c r="AZ1687" i="21" s="1"/>
  <c r="AR1688" i="21"/>
  <c r="AS1688" i="21"/>
  <c r="AT1688" i="21" s="1"/>
  <c r="AV1688" i="21" s="1"/>
  <c r="AY1688" i="21"/>
  <c r="AZ1688" i="21" s="1"/>
  <c r="AR1689" i="21"/>
  <c r="AS1689" i="21"/>
  <c r="AT1689" i="21" s="1"/>
  <c r="AV1689" i="21" s="1"/>
  <c r="AW1689" i="21"/>
  <c r="AX1689" i="21" s="1"/>
  <c r="AY1689" i="21"/>
  <c r="AZ1689" i="21" s="1"/>
  <c r="AR1690" i="21"/>
  <c r="AS1690" i="21"/>
  <c r="AW1690" i="21" s="1"/>
  <c r="AX1690" i="21" s="1"/>
  <c r="AT1690" i="21"/>
  <c r="AV1690" i="21" s="1"/>
  <c r="AR1691" i="21"/>
  <c r="AS1691" i="21"/>
  <c r="AT1691" i="21"/>
  <c r="AV1691" i="21" s="1"/>
  <c r="AW1691" i="21"/>
  <c r="AX1691" i="21" s="1"/>
  <c r="AY1691" i="21"/>
  <c r="AZ1691" i="21" s="1"/>
  <c r="AR1692" i="21"/>
  <c r="AS1692" i="21"/>
  <c r="AT1692" i="21" s="1"/>
  <c r="AV1692" i="21" s="1"/>
  <c r="AY1692" i="21"/>
  <c r="AZ1692" i="21" s="1"/>
  <c r="AR1693" i="21"/>
  <c r="AS1693" i="21"/>
  <c r="AT1693" i="21"/>
  <c r="AV1693" i="21" s="1"/>
  <c r="AW1693" i="21"/>
  <c r="AX1693" i="21" s="1"/>
  <c r="AY1693" i="21"/>
  <c r="AZ1693" i="21" s="1"/>
  <c r="AR1694" i="21"/>
  <c r="AS1694" i="21"/>
  <c r="AT1694" i="21" s="1"/>
  <c r="AV1694" i="21" s="1"/>
  <c r="AY1694" i="21"/>
  <c r="AZ1694" i="21" s="1"/>
  <c r="AR1695" i="21"/>
  <c r="AS1695" i="21"/>
  <c r="AT1695" i="21" s="1"/>
  <c r="AV1695" i="21" s="1"/>
  <c r="AW1695" i="21"/>
  <c r="AX1695" i="21" s="1"/>
  <c r="AY1695" i="21"/>
  <c r="AZ1695" i="21" s="1"/>
  <c r="AR1696" i="21"/>
  <c r="AS1696" i="21"/>
  <c r="AT1696" i="21" s="1"/>
  <c r="AV1696" i="21" s="1"/>
  <c r="AY1696" i="21"/>
  <c r="AZ1696" i="21" s="1"/>
  <c r="AR1697" i="21"/>
  <c r="AS1697" i="21"/>
  <c r="AT1697" i="21" s="1"/>
  <c r="AV1697" i="21" s="1"/>
  <c r="AW1697" i="21"/>
  <c r="AX1697" i="21" s="1"/>
  <c r="AY1697" i="21"/>
  <c r="AZ1697" i="21" s="1"/>
  <c r="AR1698" i="21"/>
  <c r="AS1698" i="21"/>
  <c r="AT1698" i="21" s="1"/>
  <c r="AV1698" i="21" s="1"/>
  <c r="AY1698" i="21"/>
  <c r="AZ1698" i="21" s="1"/>
  <c r="AR1699" i="21"/>
  <c r="AS1699" i="21"/>
  <c r="AT1699" i="21"/>
  <c r="AV1699" i="21" s="1"/>
  <c r="AW1699" i="21"/>
  <c r="AX1699" i="21" s="1"/>
  <c r="AY1699" i="21"/>
  <c r="AZ1699" i="21" s="1"/>
  <c r="AR1700" i="21"/>
  <c r="AS1700" i="21"/>
  <c r="AT1700" i="21" s="1"/>
  <c r="AV1700" i="21" s="1"/>
  <c r="AY1700" i="21"/>
  <c r="AZ1700" i="21" s="1"/>
  <c r="AR1701" i="21"/>
  <c r="AS1701" i="21"/>
  <c r="AT1701" i="21" s="1"/>
  <c r="AV1701" i="21" s="1"/>
  <c r="AW1701" i="21"/>
  <c r="AX1701" i="21" s="1"/>
  <c r="AY1701" i="21"/>
  <c r="AZ1701" i="21" s="1"/>
  <c r="AR1702" i="21"/>
  <c r="AS1702" i="21"/>
  <c r="AT1702" i="21" s="1"/>
  <c r="AV1702" i="21" s="1"/>
  <c r="AY1702" i="21"/>
  <c r="AZ1702" i="21" s="1"/>
  <c r="AR1703" i="21"/>
  <c r="AS1703" i="21"/>
  <c r="AT1703" i="21" s="1"/>
  <c r="AV1703" i="21" s="1"/>
  <c r="AW1703" i="21"/>
  <c r="AX1703" i="21" s="1"/>
  <c r="AY1703" i="21"/>
  <c r="AZ1703" i="21" s="1"/>
  <c r="AR1704" i="21"/>
  <c r="AS1704" i="21"/>
  <c r="AT1704" i="21" s="1"/>
  <c r="AV1704" i="21" s="1"/>
  <c r="AY1704" i="21"/>
  <c r="AZ1704" i="21" s="1"/>
  <c r="AR1705" i="21"/>
  <c r="AS1705" i="21"/>
  <c r="AT1705" i="21" s="1"/>
  <c r="AV1705" i="21" s="1"/>
  <c r="AW1705" i="21"/>
  <c r="AX1705" i="21" s="1"/>
  <c r="AY1705" i="21"/>
  <c r="AZ1705" i="21" s="1"/>
  <c r="AR1706" i="21"/>
  <c r="AS1706" i="21"/>
  <c r="AT1706" i="21" s="1"/>
  <c r="AV1706" i="21" s="1"/>
  <c r="AY1706" i="21"/>
  <c r="AZ1706" i="21" s="1"/>
  <c r="AR1707" i="21"/>
  <c r="AS1707" i="21"/>
  <c r="AT1707" i="21" s="1"/>
  <c r="AV1707" i="21" s="1"/>
  <c r="AW1707" i="21"/>
  <c r="AX1707" i="21" s="1"/>
  <c r="AY1707" i="21"/>
  <c r="AZ1707" i="21" s="1"/>
  <c r="AR1708" i="21"/>
  <c r="AS1708" i="21"/>
  <c r="AT1708" i="21" s="1"/>
  <c r="AV1708" i="21" s="1"/>
  <c r="AY1708" i="21"/>
  <c r="AZ1708" i="21" s="1"/>
  <c r="AR1709" i="21"/>
  <c r="AS1709" i="21"/>
  <c r="AT1709" i="21" s="1"/>
  <c r="AV1709" i="21" s="1"/>
  <c r="AW1709" i="21"/>
  <c r="AX1709" i="21" s="1"/>
  <c r="AY1709" i="21"/>
  <c r="AZ1709" i="21" s="1"/>
  <c r="AR1710" i="21"/>
  <c r="AS1710" i="21"/>
  <c r="AT1710" i="21" s="1"/>
  <c r="AV1710" i="21" s="1"/>
  <c r="AY1710" i="21"/>
  <c r="AZ1710" i="21" s="1"/>
  <c r="AR1711" i="21"/>
  <c r="AS1711" i="21"/>
  <c r="AT1711" i="21" s="1"/>
  <c r="AV1711" i="21" s="1"/>
  <c r="AW1711" i="21"/>
  <c r="AX1711" i="21" s="1"/>
  <c r="AY1711" i="21"/>
  <c r="AZ1711" i="21" s="1"/>
  <c r="AR1712" i="21"/>
  <c r="AS1712" i="21"/>
  <c r="AT1712" i="21" s="1"/>
  <c r="AV1712" i="21" s="1"/>
  <c r="AY1712" i="21"/>
  <c r="AZ1712" i="21" s="1"/>
  <c r="AR1713" i="21"/>
  <c r="AS1713" i="21"/>
  <c r="AT1713" i="21" s="1"/>
  <c r="AV1713" i="21" s="1"/>
  <c r="AW1713" i="21"/>
  <c r="AX1713" i="21" s="1"/>
  <c r="AY1713" i="21"/>
  <c r="AZ1713" i="21" s="1"/>
  <c r="AR1714" i="21"/>
  <c r="AS1714" i="21"/>
  <c r="AT1714" i="21" s="1"/>
  <c r="AV1714" i="21" s="1"/>
  <c r="AY1714" i="21"/>
  <c r="AZ1714" i="21" s="1"/>
  <c r="AR1715" i="21"/>
  <c r="AS1715" i="21"/>
  <c r="AT1715" i="21" s="1"/>
  <c r="AV1715" i="21" s="1"/>
  <c r="AW1715" i="21"/>
  <c r="AX1715" i="21" s="1"/>
  <c r="AY1715" i="21"/>
  <c r="AZ1715" i="21" s="1"/>
  <c r="AR1716" i="21"/>
  <c r="AS1716" i="21"/>
  <c r="AT1716" i="21" s="1"/>
  <c r="AV1716" i="21" s="1"/>
  <c r="AY1716" i="21"/>
  <c r="AZ1716" i="21" s="1"/>
  <c r="AR1717" i="21"/>
  <c r="AS1717" i="21"/>
  <c r="AT1717" i="21" s="1"/>
  <c r="AV1717" i="21" s="1"/>
  <c r="AW1717" i="21"/>
  <c r="AX1717" i="21" s="1"/>
  <c r="AY1717" i="21"/>
  <c r="AZ1717" i="21" s="1"/>
  <c r="AR1718" i="21"/>
  <c r="AS1718" i="21"/>
  <c r="AT1718" i="21" s="1"/>
  <c r="AV1718" i="21" s="1"/>
  <c r="AY1718" i="21"/>
  <c r="AZ1718" i="21" s="1"/>
  <c r="AR1719" i="21"/>
  <c r="AS1719" i="21"/>
  <c r="AT1719" i="21" s="1"/>
  <c r="AV1719" i="21" s="1"/>
  <c r="AW1719" i="21"/>
  <c r="AX1719" i="21" s="1"/>
  <c r="AY1719" i="21"/>
  <c r="AZ1719" i="21" s="1"/>
  <c r="AR1720" i="21"/>
  <c r="AS1720" i="21"/>
  <c r="AT1720" i="21" s="1"/>
  <c r="AV1720" i="21" s="1"/>
  <c r="AY1720" i="21"/>
  <c r="AZ1720" i="21" s="1"/>
  <c r="AR1721" i="21"/>
  <c r="AS1721" i="21"/>
  <c r="AT1721" i="21" s="1"/>
  <c r="AV1721" i="21" s="1"/>
  <c r="AW1721" i="21"/>
  <c r="AX1721" i="21" s="1"/>
  <c r="AY1721" i="21"/>
  <c r="AZ1721" i="21" s="1"/>
  <c r="AR1722" i="21"/>
  <c r="AS1722" i="21"/>
  <c r="AT1722" i="21" s="1"/>
  <c r="AV1722" i="21" s="1"/>
  <c r="AY1722" i="21"/>
  <c r="AZ1722" i="21" s="1"/>
  <c r="AR1723" i="21"/>
  <c r="AS1723" i="21"/>
  <c r="AT1723" i="21" s="1"/>
  <c r="AV1723" i="21" s="1"/>
  <c r="AW1723" i="21"/>
  <c r="AX1723" i="21" s="1"/>
  <c r="AY1723" i="21"/>
  <c r="AZ1723" i="21" s="1"/>
  <c r="AR1724" i="21"/>
  <c r="AS1724" i="21"/>
  <c r="AT1724" i="21" s="1"/>
  <c r="AV1724" i="21" s="1"/>
  <c r="AY1724" i="21"/>
  <c r="AZ1724" i="21" s="1"/>
  <c r="AR1725" i="21"/>
  <c r="AS1725" i="21"/>
  <c r="AT1725" i="21" s="1"/>
  <c r="AV1725" i="21" s="1"/>
  <c r="AW1725" i="21"/>
  <c r="AX1725" i="21" s="1"/>
  <c r="AY1725" i="21"/>
  <c r="AZ1725" i="21" s="1"/>
  <c r="AR1726" i="21"/>
  <c r="AS1726" i="21"/>
  <c r="AT1726" i="21" s="1"/>
  <c r="AV1726" i="21" s="1"/>
  <c r="AY1726" i="21"/>
  <c r="AZ1726" i="21" s="1"/>
  <c r="AR1727" i="21"/>
  <c r="AS1727" i="21"/>
  <c r="AW1727" i="21" s="1"/>
  <c r="AX1727" i="21" s="1"/>
  <c r="AY1727" i="21"/>
  <c r="AZ1727" i="21" s="1"/>
  <c r="AR1728" i="21"/>
  <c r="AS1728" i="21"/>
  <c r="AT1728" i="21" s="1"/>
  <c r="AV1728" i="21" s="1"/>
  <c r="AY1728" i="21"/>
  <c r="AZ1728" i="21" s="1"/>
  <c r="AR1729" i="21"/>
  <c r="AS1729" i="21"/>
  <c r="AT1729" i="21" s="1"/>
  <c r="AV1729" i="21" s="1"/>
  <c r="AW1729" i="21"/>
  <c r="AX1729" i="21" s="1"/>
  <c r="AY1729" i="21"/>
  <c r="AZ1729" i="21" s="1"/>
  <c r="AR1730" i="21"/>
  <c r="AS1730" i="21"/>
  <c r="AT1730" i="21" s="1"/>
  <c r="AV1730" i="21" s="1"/>
  <c r="AY1730" i="21"/>
  <c r="AZ1730" i="21" s="1"/>
  <c r="AR1731" i="21"/>
  <c r="AS1731" i="21"/>
  <c r="AT1731" i="21" s="1"/>
  <c r="AV1731" i="21" s="1"/>
  <c r="AW1731" i="21"/>
  <c r="AX1731" i="21" s="1"/>
  <c r="AY1731" i="21"/>
  <c r="AZ1731" i="21" s="1"/>
  <c r="AR1732" i="21"/>
  <c r="AS1732" i="21"/>
  <c r="AT1732" i="21" s="1"/>
  <c r="AV1732" i="21" s="1"/>
  <c r="AY1732" i="21"/>
  <c r="AZ1732" i="21" s="1"/>
  <c r="AR1733" i="21"/>
  <c r="AS1733" i="21"/>
  <c r="AT1733" i="21" s="1"/>
  <c r="AV1733" i="21" s="1"/>
  <c r="AW1733" i="21"/>
  <c r="AX1733" i="21" s="1"/>
  <c r="AY1733" i="21"/>
  <c r="AZ1733" i="21" s="1"/>
  <c r="AR1734" i="21"/>
  <c r="AS1734" i="21"/>
  <c r="AT1734" i="21" s="1"/>
  <c r="AV1734" i="21" s="1"/>
  <c r="AY1734" i="21"/>
  <c r="AZ1734" i="21" s="1"/>
  <c r="AR1735" i="21"/>
  <c r="AS1735" i="21"/>
  <c r="AT1735" i="21" s="1"/>
  <c r="AV1735" i="21" s="1"/>
  <c r="AW1735" i="21"/>
  <c r="AX1735" i="21" s="1"/>
  <c r="AY1735" i="21"/>
  <c r="AZ1735" i="21" s="1"/>
  <c r="AR1736" i="21"/>
  <c r="AS1736" i="21"/>
  <c r="AT1736" i="21" s="1"/>
  <c r="AV1736" i="21" s="1"/>
  <c r="AY1736" i="21"/>
  <c r="AZ1736" i="21" s="1"/>
  <c r="AR1737" i="21"/>
  <c r="AS1737" i="21"/>
  <c r="AT1737" i="21" s="1"/>
  <c r="AV1737" i="21" s="1"/>
  <c r="AW1737" i="21"/>
  <c r="AX1737" i="21" s="1"/>
  <c r="AY1737" i="21"/>
  <c r="AZ1737" i="21" s="1"/>
  <c r="AR1738" i="21"/>
  <c r="AS1738" i="21"/>
  <c r="AT1738" i="21" s="1"/>
  <c r="AV1738" i="21" s="1"/>
  <c r="AY1738" i="21"/>
  <c r="AZ1738" i="21" s="1"/>
  <c r="AR1739" i="21"/>
  <c r="AS1739" i="21"/>
  <c r="AT1739" i="21" s="1"/>
  <c r="AV1739" i="21" s="1"/>
  <c r="AW1739" i="21"/>
  <c r="AX1739" i="21" s="1"/>
  <c r="AY1739" i="21"/>
  <c r="AZ1739" i="21" s="1"/>
  <c r="AR1740" i="21"/>
  <c r="AS1740" i="21"/>
  <c r="AT1740" i="21" s="1"/>
  <c r="AV1740" i="21" s="1"/>
  <c r="AY1740" i="21"/>
  <c r="AZ1740" i="21" s="1"/>
  <c r="AR1741" i="21"/>
  <c r="AS1741" i="21"/>
  <c r="AT1741" i="21" s="1"/>
  <c r="AV1741" i="21" s="1"/>
  <c r="AW1741" i="21"/>
  <c r="AX1741" i="21" s="1"/>
  <c r="AY1741" i="21"/>
  <c r="AZ1741" i="21" s="1"/>
  <c r="AR1742" i="21"/>
  <c r="AS1742" i="21"/>
  <c r="AT1742" i="21" s="1"/>
  <c r="AV1742" i="21" s="1"/>
  <c r="AY1742" i="21"/>
  <c r="AZ1742" i="21" s="1"/>
  <c r="AR1743" i="21"/>
  <c r="AS1743" i="21"/>
  <c r="AT1743" i="21" s="1"/>
  <c r="AV1743" i="21" s="1"/>
  <c r="AW1743" i="21"/>
  <c r="AX1743" i="21" s="1"/>
  <c r="AY1743" i="21"/>
  <c r="AZ1743" i="21" s="1"/>
  <c r="AR1744" i="21"/>
  <c r="AS1744" i="21"/>
  <c r="AT1744" i="21" s="1"/>
  <c r="AV1744" i="21" s="1"/>
  <c r="AY1744" i="21"/>
  <c r="AZ1744" i="21" s="1"/>
  <c r="AR1745" i="21"/>
  <c r="AS1745" i="21"/>
  <c r="AT1745" i="21" s="1"/>
  <c r="AV1745" i="21" s="1"/>
  <c r="AW1745" i="21"/>
  <c r="AX1745" i="21" s="1"/>
  <c r="AY1745" i="21"/>
  <c r="AZ1745" i="21" s="1"/>
  <c r="AY1643" i="21"/>
  <c r="AZ1643" i="21" s="1"/>
  <c r="AS1643" i="21"/>
  <c r="AW1643" i="21" s="1"/>
  <c r="AX1643" i="21" s="1"/>
  <c r="AR1643" i="21"/>
  <c r="K150" i="18"/>
  <c r="O150" i="18" s="1"/>
  <c r="G150" i="18"/>
  <c r="C150" i="18"/>
  <c r="S150" i="18" s="1"/>
  <c r="Q149" i="18"/>
  <c r="M149" i="18"/>
  <c r="I149" i="18"/>
  <c r="E149" i="18"/>
  <c r="A149" i="18"/>
  <c r="A147" i="18"/>
  <c r="C148" i="18" s="1"/>
  <c r="Q131" i="18"/>
  <c r="M131" i="18"/>
  <c r="I131" i="18"/>
  <c r="E131" i="18"/>
  <c r="A131" i="18"/>
  <c r="Q140" i="18"/>
  <c r="M140" i="18"/>
  <c r="I140" i="18"/>
  <c r="E140" i="18"/>
  <c r="A140" i="18"/>
  <c r="AB58" i="14"/>
  <c r="X58" i="14"/>
  <c r="Y58" i="14" s="1"/>
  <c r="C58" i="14"/>
  <c r="B58" i="14"/>
  <c r="AA58" i="14" s="1"/>
  <c r="AT1727" i="21" l="1"/>
  <c r="AV1727" i="21" s="1"/>
  <c r="AY1684" i="21"/>
  <c r="AZ1684" i="21" s="1"/>
  <c r="AY1682" i="21"/>
  <c r="AZ1682" i="21" s="1"/>
  <c r="AY1680" i="21"/>
  <c r="AZ1680" i="21" s="1"/>
  <c r="AY1690" i="21"/>
  <c r="AZ1690" i="21" s="1"/>
  <c r="AW1744" i="21"/>
  <c r="AX1744" i="21" s="1"/>
  <c r="AW1742" i="21"/>
  <c r="AX1742" i="21" s="1"/>
  <c r="AW1740" i="21"/>
  <c r="AX1740" i="21" s="1"/>
  <c r="AW1738" i="21"/>
  <c r="AX1738" i="21" s="1"/>
  <c r="AW1736" i="21"/>
  <c r="AX1736" i="21" s="1"/>
  <c r="AW1734" i="21"/>
  <c r="AX1734" i="21" s="1"/>
  <c r="AW1732" i="21"/>
  <c r="AX1732" i="21" s="1"/>
  <c r="AW1730" i="21"/>
  <c r="AX1730" i="21" s="1"/>
  <c r="AW1728" i="21"/>
  <c r="AX1728" i="21" s="1"/>
  <c r="AW1726" i="21"/>
  <c r="AX1726" i="21" s="1"/>
  <c r="AW1724" i="21"/>
  <c r="AX1724" i="21" s="1"/>
  <c r="AW1722" i="21"/>
  <c r="AX1722" i="21" s="1"/>
  <c r="AW1720" i="21"/>
  <c r="AX1720" i="21" s="1"/>
  <c r="AW1718" i="21"/>
  <c r="AX1718" i="21" s="1"/>
  <c r="AW1716" i="21"/>
  <c r="AX1716" i="21" s="1"/>
  <c r="AW1714" i="21"/>
  <c r="AX1714" i="21" s="1"/>
  <c r="AW1712" i="21"/>
  <c r="AX1712" i="21" s="1"/>
  <c r="AW1710" i="21"/>
  <c r="AX1710" i="21" s="1"/>
  <c r="AW1708" i="21"/>
  <c r="AX1708" i="21" s="1"/>
  <c r="AW1706" i="21"/>
  <c r="AX1706" i="21" s="1"/>
  <c r="AW1704" i="21"/>
  <c r="AX1704" i="21" s="1"/>
  <c r="AW1702" i="21"/>
  <c r="AX1702" i="21" s="1"/>
  <c r="AW1700" i="21"/>
  <c r="AX1700" i="21" s="1"/>
  <c r="AW1698" i="21"/>
  <c r="AX1698" i="21" s="1"/>
  <c r="AW1696" i="21"/>
  <c r="AX1696" i="21" s="1"/>
  <c r="AW1694" i="21"/>
  <c r="AX1694" i="21" s="1"/>
  <c r="AW1692" i="21"/>
  <c r="AX1692" i="21" s="1"/>
  <c r="AW1688" i="21"/>
  <c r="AX1688" i="21" s="1"/>
  <c r="AW1686" i="21"/>
  <c r="AX1686" i="21" s="1"/>
  <c r="AW1678" i="21"/>
  <c r="AX1678" i="21" s="1"/>
  <c r="AW1676" i="21"/>
  <c r="AX1676" i="21" s="1"/>
  <c r="AW1674" i="21"/>
  <c r="AX1674" i="21" s="1"/>
  <c r="AW1672" i="21"/>
  <c r="AX1672" i="21" s="1"/>
  <c r="AW1670" i="21"/>
  <c r="AX1670" i="21" s="1"/>
  <c r="AW1668" i="21"/>
  <c r="AX1668" i="21" s="1"/>
  <c r="AW1666" i="21"/>
  <c r="AX1666" i="21" s="1"/>
  <c r="AW1664" i="21"/>
  <c r="AX1664" i="21" s="1"/>
  <c r="AW1662" i="21"/>
  <c r="AX1662" i="21" s="1"/>
  <c r="AW1660" i="21"/>
  <c r="AX1660" i="21" s="1"/>
  <c r="AW1658" i="21"/>
  <c r="AX1658" i="21" s="1"/>
  <c r="AW1656" i="21"/>
  <c r="AX1656" i="21" s="1"/>
  <c r="AW1654" i="21"/>
  <c r="AX1654" i="21" s="1"/>
  <c r="AW1652" i="21"/>
  <c r="AX1652" i="21" s="1"/>
  <c r="AW1650" i="21"/>
  <c r="AX1650" i="21" s="1"/>
  <c r="AW1648" i="21"/>
  <c r="AX1648" i="21" s="1"/>
  <c r="AW1646" i="21"/>
  <c r="AX1646" i="21" s="1"/>
  <c r="AW1644" i="21"/>
  <c r="AX1644" i="21" s="1"/>
  <c r="AT1643" i="21"/>
  <c r="AV1643" i="21" s="1"/>
  <c r="A154" i="18"/>
  <c r="E147" i="18"/>
  <c r="I147" i="18"/>
  <c r="M147" i="18"/>
  <c r="Q147" i="18"/>
  <c r="B148" i="18"/>
  <c r="B152" i="18" s="1"/>
  <c r="R7" i="19" s="1"/>
  <c r="K58" i="14"/>
  <c r="W58" i="14" s="1"/>
  <c r="O58" i="14"/>
  <c r="AI58" i="14"/>
  <c r="AU58" i="14" s="1"/>
  <c r="L58" i="14"/>
  <c r="S148" i="18" l="1"/>
  <c r="R148" i="18"/>
  <c r="Q154" i="18"/>
  <c r="O148" i="18"/>
  <c r="N148" i="18"/>
  <c r="M154" i="18"/>
  <c r="K148" i="18"/>
  <c r="J152" i="18" s="1"/>
  <c r="R25" i="19" s="1"/>
  <c r="J148" i="18"/>
  <c r="I154" i="18"/>
  <c r="G148" i="18"/>
  <c r="F148" i="18"/>
  <c r="E154" i="18"/>
  <c r="J59" i="12"/>
  <c r="I59" i="12"/>
  <c r="DG9" i="6"/>
  <c r="DG8" i="6"/>
  <c r="DG10" i="6" s="1"/>
  <c r="DH38" i="6"/>
  <c r="DH37" i="6"/>
  <c r="DH36" i="6"/>
  <c r="DH35" i="6"/>
  <c r="DH34" i="6"/>
  <c r="DH33" i="6"/>
  <c r="DH14" i="6"/>
  <c r="DH13" i="6"/>
  <c r="DH2" i="6"/>
  <c r="F152" i="18" l="1"/>
  <c r="R16" i="19" s="1"/>
  <c r="N152" i="18"/>
  <c r="R34" i="19" s="1"/>
  <c r="R152" i="18"/>
  <c r="R43" i="19" s="1"/>
  <c r="U59" i="12"/>
  <c r="DC11" i="22" l="1"/>
  <c r="O141" i="18"/>
  <c r="DD15" i="22"/>
  <c r="O57" i="14"/>
  <c r="DD14" i="22" l="1"/>
  <c r="DD103" i="22"/>
  <c r="DD124" i="22"/>
  <c r="DD61" i="22"/>
  <c r="DD40" i="22" l="1"/>
  <c r="DD82" i="22"/>
  <c r="AR1541" i="21" l="1"/>
  <c r="AS1541" i="21"/>
  <c r="AT1541" i="21" s="1"/>
  <c r="AV1541" i="21" s="1"/>
  <c r="AY1541" i="21"/>
  <c r="AZ1541" i="21" s="1"/>
  <c r="AR1542" i="21"/>
  <c r="AS1542" i="21"/>
  <c r="AT1542" i="21" s="1"/>
  <c r="AV1542" i="21" s="1"/>
  <c r="AY1542" i="21"/>
  <c r="AZ1542" i="21" s="1"/>
  <c r="AR1543" i="21"/>
  <c r="AS1543" i="21"/>
  <c r="AT1543" i="21" s="1"/>
  <c r="AV1543" i="21" s="1"/>
  <c r="AY1543" i="21"/>
  <c r="AZ1543" i="21" s="1"/>
  <c r="AR1544" i="21"/>
  <c r="AS1544" i="21"/>
  <c r="AT1544" i="21" s="1"/>
  <c r="AV1544" i="21" s="1"/>
  <c r="AY1544" i="21"/>
  <c r="AZ1544" i="21" s="1"/>
  <c r="AR1545" i="21"/>
  <c r="AS1545" i="21"/>
  <c r="AT1545" i="21" s="1"/>
  <c r="AV1545" i="21" s="1"/>
  <c r="AY1545" i="21"/>
  <c r="AZ1545" i="21" s="1"/>
  <c r="AR1546" i="21"/>
  <c r="AS1546" i="21"/>
  <c r="AW1546" i="21" s="1"/>
  <c r="AX1546" i="21" s="1"/>
  <c r="AT1546" i="21"/>
  <c r="AV1546" i="21" s="1"/>
  <c r="AR1547" i="21"/>
  <c r="AS1547" i="21"/>
  <c r="AT1547" i="21" s="1"/>
  <c r="AV1547" i="21" s="1"/>
  <c r="AY1547" i="21"/>
  <c r="AZ1547" i="21" s="1"/>
  <c r="AR1548" i="21"/>
  <c r="AS1548" i="21"/>
  <c r="AW1548" i="21" s="1"/>
  <c r="AX1548" i="21" s="1"/>
  <c r="AT1548" i="21"/>
  <c r="AV1548" i="21" s="1"/>
  <c r="AR1549" i="21"/>
  <c r="AS1549" i="21"/>
  <c r="AT1549" i="21" s="1"/>
  <c r="AV1549" i="21" s="1"/>
  <c r="AY1549" i="21"/>
  <c r="AZ1549" i="21" s="1"/>
  <c r="AR1550" i="21"/>
  <c r="AS1550" i="21"/>
  <c r="AT1550" i="21" s="1"/>
  <c r="AV1550" i="21" s="1"/>
  <c r="AY1550" i="21"/>
  <c r="AZ1550" i="21" s="1"/>
  <c r="AR1551" i="21"/>
  <c r="AS1551" i="21"/>
  <c r="AW1551" i="21" s="1"/>
  <c r="AX1551" i="21" s="1"/>
  <c r="AT1551" i="21"/>
  <c r="AV1551" i="21" s="1"/>
  <c r="AR1552" i="21"/>
  <c r="AS1552" i="21"/>
  <c r="AT1552" i="21" s="1"/>
  <c r="AV1552" i="21" s="1"/>
  <c r="AY1552" i="21"/>
  <c r="AZ1552" i="21" s="1"/>
  <c r="AR1553" i="21"/>
  <c r="AS1553" i="21"/>
  <c r="AT1553" i="21" s="1"/>
  <c r="AV1553" i="21" s="1"/>
  <c r="AY1553" i="21"/>
  <c r="AZ1553" i="21" s="1"/>
  <c r="AR1554" i="21"/>
  <c r="AS1554" i="21"/>
  <c r="AT1554" i="21" s="1"/>
  <c r="AV1554" i="21" s="1"/>
  <c r="AY1554" i="21"/>
  <c r="AZ1554" i="21" s="1"/>
  <c r="AR1555" i="21"/>
  <c r="AS1555" i="21"/>
  <c r="AT1555" i="21" s="1"/>
  <c r="AV1555" i="21" s="1"/>
  <c r="AY1555" i="21"/>
  <c r="AZ1555" i="21" s="1"/>
  <c r="AR1556" i="21"/>
  <c r="AS1556" i="21"/>
  <c r="AT1556" i="21" s="1"/>
  <c r="AV1556" i="21" s="1"/>
  <c r="AY1556" i="21"/>
  <c r="AZ1556" i="21" s="1"/>
  <c r="AR1557" i="21"/>
  <c r="AS1557" i="21"/>
  <c r="AW1557" i="21" s="1"/>
  <c r="AX1557" i="21" s="1"/>
  <c r="AT1557" i="21"/>
  <c r="AV1557" i="21" s="1"/>
  <c r="AR1558" i="21"/>
  <c r="AS1558" i="21"/>
  <c r="AT1558" i="21" s="1"/>
  <c r="AV1558" i="21" s="1"/>
  <c r="AY1558" i="21"/>
  <c r="AZ1558" i="21" s="1"/>
  <c r="AR1559" i="21"/>
  <c r="AS1559" i="21"/>
  <c r="AT1559" i="21" s="1"/>
  <c r="AV1559" i="21" s="1"/>
  <c r="AY1559" i="21"/>
  <c r="AZ1559" i="21" s="1"/>
  <c r="AR1560" i="21"/>
  <c r="AS1560" i="21"/>
  <c r="AT1560" i="21" s="1"/>
  <c r="AV1560" i="21" s="1"/>
  <c r="AY1560" i="21"/>
  <c r="AZ1560" i="21" s="1"/>
  <c r="AR1561" i="21"/>
  <c r="AS1561" i="21"/>
  <c r="AT1561" i="21" s="1"/>
  <c r="AV1561" i="21" s="1"/>
  <c r="AY1561" i="21"/>
  <c r="AZ1561" i="21" s="1"/>
  <c r="AR1562" i="21"/>
  <c r="AS1562" i="21"/>
  <c r="AT1562" i="21" s="1"/>
  <c r="AV1562" i="21" s="1"/>
  <c r="AY1562" i="21"/>
  <c r="AZ1562" i="21" s="1"/>
  <c r="AR1563" i="21"/>
  <c r="AS1563" i="21"/>
  <c r="AW1563" i="21" s="1"/>
  <c r="AX1563" i="21" s="1"/>
  <c r="AT1563" i="21"/>
  <c r="AV1563" i="21" s="1"/>
  <c r="AR1564" i="21"/>
  <c r="AS1564" i="21"/>
  <c r="AT1564" i="21" s="1"/>
  <c r="AV1564" i="21" s="1"/>
  <c r="AY1564" i="21"/>
  <c r="AZ1564" i="21" s="1"/>
  <c r="AR1565" i="21"/>
  <c r="AS1565" i="21"/>
  <c r="AT1565" i="21" s="1"/>
  <c r="AV1565" i="21" s="1"/>
  <c r="AY1565" i="21"/>
  <c r="AZ1565" i="21" s="1"/>
  <c r="AR1566" i="21"/>
  <c r="AS1566" i="21"/>
  <c r="AW1566" i="21" s="1"/>
  <c r="AX1566" i="21" s="1"/>
  <c r="AT1566" i="21"/>
  <c r="AV1566" i="21" s="1"/>
  <c r="AR1567" i="21"/>
  <c r="AS1567" i="21"/>
  <c r="AT1567" i="21" s="1"/>
  <c r="AV1567" i="21" s="1"/>
  <c r="AY1567" i="21"/>
  <c r="AZ1567" i="21" s="1"/>
  <c r="AR1568" i="21"/>
  <c r="AS1568" i="21"/>
  <c r="AT1568" i="21" s="1"/>
  <c r="AV1568" i="21" s="1"/>
  <c r="AY1568" i="21"/>
  <c r="AZ1568" i="21" s="1"/>
  <c r="AR1569" i="21"/>
  <c r="AS1569" i="21"/>
  <c r="AT1569" i="21" s="1"/>
  <c r="AV1569" i="21" s="1"/>
  <c r="AY1569" i="21"/>
  <c r="AZ1569" i="21" s="1"/>
  <c r="AR1570" i="21"/>
  <c r="AS1570" i="21"/>
  <c r="AT1570" i="21" s="1"/>
  <c r="AV1570" i="21" s="1"/>
  <c r="AY1570" i="21"/>
  <c r="AZ1570" i="21" s="1"/>
  <c r="AR1571" i="21"/>
  <c r="AS1571" i="21"/>
  <c r="AW1571" i="21" s="1"/>
  <c r="AX1571" i="21" s="1"/>
  <c r="AT1571" i="21"/>
  <c r="AV1571" i="21" s="1"/>
  <c r="AR1572" i="21"/>
  <c r="AS1572" i="21"/>
  <c r="AT1572" i="21" s="1"/>
  <c r="AV1572" i="21" s="1"/>
  <c r="AY1572" i="21"/>
  <c r="AZ1572" i="21" s="1"/>
  <c r="AR1573" i="21"/>
  <c r="AS1573" i="21"/>
  <c r="AT1573" i="21" s="1"/>
  <c r="AV1573" i="21" s="1"/>
  <c r="AY1573" i="21"/>
  <c r="AZ1573" i="21" s="1"/>
  <c r="AR1574" i="21"/>
  <c r="AS1574" i="21"/>
  <c r="AT1574" i="21" s="1"/>
  <c r="AV1574" i="21" s="1"/>
  <c r="AY1574" i="21"/>
  <c r="AZ1574" i="21" s="1"/>
  <c r="AR1575" i="21"/>
  <c r="AS1575" i="21"/>
  <c r="AW1575" i="21" s="1"/>
  <c r="AX1575" i="21" s="1"/>
  <c r="AT1575" i="21"/>
  <c r="AV1575" i="21" s="1"/>
  <c r="AR1576" i="21"/>
  <c r="AS1576" i="21"/>
  <c r="AT1576" i="21" s="1"/>
  <c r="AV1576" i="21" s="1"/>
  <c r="AY1576" i="21"/>
  <c r="AZ1576" i="21" s="1"/>
  <c r="AR1577" i="21"/>
  <c r="AS1577" i="21"/>
  <c r="AT1577" i="21" s="1"/>
  <c r="AV1577" i="21" s="1"/>
  <c r="AY1577" i="21"/>
  <c r="AZ1577" i="21" s="1"/>
  <c r="AR1578" i="21"/>
  <c r="AS1578" i="21"/>
  <c r="AW1578" i="21" s="1"/>
  <c r="AX1578" i="21" s="1"/>
  <c r="AT1578" i="21"/>
  <c r="AV1578" i="21" s="1"/>
  <c r="AR1579" i="21"/>
  <c r="AS1579" i="21"/>
  <c r="AT1579" i="21" s="1"/>
  <c r="AV1579" i="21" s="1"/>
  <c r="AY1579" i="21"/>
  <c r="AZ1579" i="21" s="1"/>
  <c r="AR1580" i="21"/>
  <c r="AS1580" i="21"/>
  <c r="AT1580" i="21" s="1"/>
  <c r="AV1580" i="21" s="1"/>
  <c r="AY1580" i="21"/>
  <c r="AZ1580" i="21" s="1"/>
  <c r="AR1581" i="21"/>
  <c r="AS1581" i="21"/>
  <c r="AW1581" i="21" s="1"/>
  <c r="AX1581" i="21" s="1"/>
  <c r="AT1581" i="21"/>
  <c r="AV1581" i="21" s="1"/>
  <c r="AR1582" i="21"/>
  <c r="AS1582" i="21"/>
  <c r="AT1582" i="21" s="1"/>
  <c r="AV1582" i="21" s="1"/>
  <c r="AY1582" i="21"/>
  <c r="AZ1582" i="21" s="1"/>
  <c r="AR1583" i="21"/>
  <c r="AS1583" i="21"/>
  <c r="AW1583" i="21" s="1"/>
  <c r="AX1583" i="21" s="1"/>
  <c r="AT1583" i="21"/>
  <c r="AV1583" i="21" s="1"/>
  <c r="AR1584" i="21"/>
  <c r="AS1584" i="21"/>
  <c r="AT1584" i="21" s="1"/>
  <c r="AV1584" i="21" s="1"/>
  <c r="AY1584" i="21"/>
  <c r="AZ1584" i="21" s="1"/>
  <c r="AR1585" i="21"/>
  <c r="AS1585" i="21"/>
  <c r="AT1585" i="21" s="1"/>
  <c r="AV1585" i="21" s="1"/>
  <c r="AY1585" i="21"/>
  <c r="AZ1585" i="21" s="1"/>
  <c r="AR1586" i="21"/>
  <c r="AS1586" i="21"/>
  <c r="AT1586" i="21" s="1"/>
  <c r="AV1586" i="21" s="1"/>
  <c r="AY1586" i="21"/>
  <c r="AZ1586" i="21" s="1"/>
  <c r="AR1587" i="21"/>
  <c r="AS1587" i="21"/>
  <c r="AW1587" i="21" s="1"/>
  <c r="AX1587" i="21" s="1"/>
  <c r="AT1587" i="21"/>
  <c r="AV1587" i="21" s="1"/>
  <c r="AR1588" i="21"/>
  <c r="AS1588" i="21"/>
  <c r="AT1588" i="21" s="1"/>
  <c r="AV1588" i="21" s="1"/>
  <c r="AY1588" i="21"/>
  <c r="AZ1588" i="21" s="1"/>
  <c r="AR1589" i="21"/>
  <c r="AS1589" i="21"/>
  <c r="AT1589" i="21" s="1"/>
  <c r="AV1589" i="21" s="1"/>
  <c r="AY1589" i="21"/>
  <c r="AZ1589" i="21" s="1"/>
  <c r="AR1590" i="21"/>
  <c r="AS1590" i="21"/>
  <c r="AT1590" i="21" s="1"/>
  <c r="AV1590" i="21" s="1"/>
  <c r="AY1590" i="21"/>
  <c r="AZ1590" i="21" s="1"/>
  <c r="AR1591" i="21"/>
  <c r="AS1591" i="21"/>
  <c r="AT1591" i="21" s="1"/>
  <c r="AV1591" i="21" s="1"/>
  <c r="AY1591" i="21"/>
  <c r="AZ1591" i="21" s="1"/>
  <c r="AR1592" i="21"/>
  <c r="AS1592" i="21"/>
  <c r="AW1592" i="21" s="1"/>
  <c r="AX1592" i="21" s="1"/>
  <c r="AT1592" i="21"/>
  <c r="AV1592" i="21" s="1"/>
  <c r="AR1593" i="21"/>
  <c r="AS1593" i="21"/>
  <c r="AT1593" i="21" s="1"/>
  <c r="AV1593" i="21" s="1"/>
  <c r="AY1593" i="21"/>
  <c r="AZ1593" i="21" s="1"/>
  <c r="AR1594" i="21"/>
  <c r="AS1594" i="21"/>
  <c r="AT1594" i="21" s="1"/>
  <c r="AV1594" i="21" s="1"/>
  <c r="AY1594" i="21"/>
  <c r="AZ1594" i="21" s="1"/>
  <c r="AR1595" i="21"/>
  <c r="AS1595" i="21"/>
  <c r="AT1595" i="21" s="1"/>
  <c r="AV1595" i="21" s="1"/>
  <c r="AY1595" i="21"/>
  <c r="AZ1595" i="21" s="1"/>
  <c r="AR1596" i="21"/>
  <c r="AS1596" i="21"/>
  <c r="AT1596" i="21" s="1"/>
  <c r="AV1596" i="21" s="1"/>
  <c r="AY1596" i="21"/>
  <c r="AZ1596" i="21" s="1"/>
  <c r="AR1597" i="21"/>
  <c r="AS1597" i="21"/>
  <c r="AT1597" i="21" s="1"/>
  <c r="AV1597" i="21" s="1"/>
  <c r="AY1597" i="21"/>
  <c r="AZ1597" i="21" s="1"/>
  <c r="AR1598" i="21"/>
  <c r="AS1598" i="21"/>
  <c r="AT1598" i="21" s="1"/>
  <c r="AV1598" i="21" s="1"/>
  <c r="AY1598" i="21"/>
  <c r="AZ1598" i="21" s="1"/>
  <c r="AR1599" i="21"/>
  <c r="AS1599" i="21"/>
  <c r="AT1599" i="21" s="1"/>
  <c r="AV1599" i="21" s="1"/>
  <c r="AY1599" i="21"/>
  <c r="AZ1599" i="21" s="1"/>
  <c r="AR1600" i="21"/>
  <c r="AS1600" i="21"/>
  <c r="AT1600" i="21" s="1"/>
  <c r="AV1600" i="21" s="1"/>
  <c r="AY1600" i="21"/>
  <c r="AZ1600" i="21" s="1"/>
  <c r="AR1601" i="21"/>
  <c r="AS1601" i="21"/>
  <c r="AT1601" i="21" s="1"/>
  <c r="AV1601" i="21" s="1"/>
  <c r="AY1601" i="21"/>
  <c r="AZ1601" i="21" s="1"/>
  <c r="AR1602" i="21"/>
  <c r="AS1602" i="21"/>
  <c r="AT1602" i="21" s="1"/>
  <c r="AV1602" i="21" s="1"/>
  <c r="AY1602" i="21"/>
  <c r="AZ1602" i="21" s="1"/>
  <c r="AR1603" i="21"/>
  <c r="AS1603" i="21"/>
  <c r="AT1603" i="21" s="1"/>
  <c r="AV1603" i="21" s="1"/>
  <c r="AY1603" i="21"/>
  <c r="AZ1603" i="21" s="1"/>
  <c r="AR1604" i="21"/>
  <c r="AS1604" i="21"/>
  <c r="AT1604" i="21" s="1"/>
  <c r="AV1604" i="21" s="1"/>
  <c r="AY1604" i="21"/>
  <c r="AZ1604" i="21" s="1"/>
  <c r="AR1605" i="21"/>
  <c r="AS1605" i="21"/>
  <c r="AT1605" i="21" s="1"/>
  <c r="AV1605" i="21" s="1"/>
  <c r="AY1605" i="21"/>
  <c r="AZ1605" i="21" s="1"/>
  <c r="AR1606" i="21"/>
  <c r="AS1606" i="21"/>
  <c r="AT1606" i="21" s="1"/>
  <c r="AV1606" i="21" s="1"/>
  <c r="AY1606" i="21"/>
  <c r="AZ1606" i="21" s="1"/>
  <c r="AR1607" i="21"/>
  <c r="AS1607" i="21"/>
  <c r="AT1607" i="21" s="1"/>
  <c r="AV1607" i="21" s="1"/>
  <c r="AY1607" i="21"/>
  <c r="AZ1607" i="21" s="1"/>
  <c r="AR1608" i="21"/>
  <c r="AS1608" i="21"/>
  <c r="AT1608" i="21" s="1"/>
  <c r="AV1608" i="21" s="1"/>
  <c r="AY1608" i="21"/>
  <c r="AZ1608" i="21" s="1"/>
  <c r="AR1609" i="21"/>
  <c r="AS1609" i="21"/>
  <c r="AT1609" i="21" s="1"/>
  <c r="AV1609" i="21" s="1"/>
  <c r="AY1609" i="21"/>
  <c r="AZ1609" i="21" s="1"/>
  <c r="AR1610" i="21"/>
  <c r="AS1610" i="21"/>
  <c r="AT1610" i="21" s="1"/>
  <c r="AV1610" i="21" s="1"/>
  <c r="AY1610" i="21"/>
  <c r="AZ1610" i="21" s="1"/>
  <c r="AR1611" i="21"/>
  <c r="AS1611" i="21"/>
  <c r="AT1611" i="21" s="1"/>
  <c r="AV1611" i="21" s="1"/>
  <c r="AY1611" i="21"/>
  <c r="AZ1611" i="21" s="1"/>
  <c r="AR1612" i="21"/>
  <c r="AS1612" i="21"/>
  <c r="AT1612" i="21" s="1"/>
  <c r="AV1612" i="21" s="1"/>
  <c r="AY1612" i="21"/>
  <c r="AZ1612" i="21" s="1"/>
  <c r="AR1613" i="21"/>
  <c r="AS1613" i="21"/>
  <c r="AT1613" i="21" s="1"/>
  <c r="AV1613" i="21" s="1"/>
  <c r="AY1613" i="21"/>
  <c r="AZ1613" i="21" s="1"/>
  <c r="AR1614" i="21"/>
  <c r="AS1614" i="21"/>
  <c r="AT1614" i="21" s="1"/>
  <c r="AV1614" i="21" s="1"/>
  <c r="AY1614" i="21"/>
  <c r="AZ1614" i="21" s="1"/>
  <c r="AR1615" i="21"/>
  <c r="AS1615" i="21"/>
  <c r="AT1615" i="21" s="1"/>
  <c r="AV1615" i="21" s="1"/>
  <c r="AY1615" i="21"/>
  <c r="AZ1615" i="21" s="1"/>
  <c r="AR1616" i="21"/>
  <c r="AS1616" i="21"/>
  <c r="AT1616" i="21" s="1"/>
  <c r="AV1616" i="21" s="1"/>
  <c r="AY1616" i="21"/>
  <c r="AZ1616" i="21" s="1"/>
  <c r="AR1617" i="21"/>
  <c r="AS1617" i="21"/>
  <c r="AT1617" i="21" s="1"/>
  <c r="AV1617" i="21" s="1"/>
  <c r="AY1617" i="21"/>
  <c r="AZ1617" i="21" s="1"/>
  <c r="AR1618" i="21"/>
  <c r="AS1618" i="21"/>
  <c r="AT1618" i="21" s="1"/>
  <c r="AV1618" i="21" s="1"/>
  <c r="AY1618" i="21"/>
  <c r="AZ1618" i="21" s="1"/>
  <c r="AR1619" i="21"/>
  <c r="AS1619" i="21"/>
  <c r="AT1619" i="21" s="1"/>
  <c r="AV1619" i="21" s="1"/>
  <c r="AY1619" i="21"/>
  <c r="AZ1619" i="21" s="1"/>
  <c r="AR1620" i="21"/>
  <c r="AS1620" i="21"/>
  <c r="AT1620" i="21" s="1"/>
  <c r="AV1620" i="21" s="1"/>
  <c r="AY1620" i="21"/>
  <c r="AZ1620" i="21" s="1"/>
  <c r="AR1621" i="21"/>
  <c r="AS1621" i="21"/>
  <c r="AT1621" i="21" s="1"/>
  <c r="AV1621" i="21" s="1"/>
  <c r="AY1621" i="21"/>
  <c r="AZ1621" i="21" s="1"/>
  <c r="AR1622" i="21"/>
  <c r="AS1622" i="21"/>
  <c r="AT1622" i="21" s="1"/>
  <c r="AV1622" i="21" s="1"/>
  <c r="AY1622" i="21"/>
  <c r="AZ1622" i="21" s="1"/>
  <c r="AR1623" i="21"/>
  <c r="AS1623" i="21"/>
  <c r="AT1623" i="21" s="1"/>
  <c r="AV1623" i="21" s="1"/>
  <c r="AY1623" i="21"/>
  <c r="AZ1623" i="21" s="1"/>
  <c r="AR1624" i="21"/>
  <c r="AS1624" i="21"/>
  <c r="AT1624" i="21" s="1"/>
  <c r="AV1624" i="21" s="1"/>
  <c r="AY1624" i="21"/>
  <c r="AZ1624" i="21" s="1"/>
  <c r="AR1625" i="21"/>
  <c r="AS1625" i="21"/>
  <c r="AT1625" i="21" s="1"/>
  <c r="AV1625" i="21" s="1"/>
  <c r="AY1625" i="21"/>
  <c r="AZ1625" i="21" s="1"/>
  <c r="AR1626" i="21"/>
  <c r="AS1626" i="21"/>
  <c r="AT1626" i="21" s="1"/>
  <c r="AV1626" i="21" s="1"/>
  <c r="AY1626" i="21"/>
  <c r="AZ1626" i="21" s="1"/>
  <c r="AR1627" i="21"/>
  <c r="AS1627" i="21"/>
  <c r="AT1627" i="21" s="1"/>
  <c r="AV1627" i="21" s="1"/>
  <c r="AY1627" i="21"/>
  <c r="AZ1627" i="21" s="1"/>
  <c r="AR1628" i="21"/>
  <c r="AS1628" i="21"/>
  <c r="AT1628" i="21" s="1"/>
  <c r="AV1628" i="21" s="1"/>
  <c r="AY1628" i="21"/>
  <c r="AZ1628" i="21" s="1"/>
  <c r="AR1629" i="21"/>
  <c r="AS1629" i="21"/>
  <c r="AT1629" i="21" s="1"/>
  <c r="AV1629" i="21" s="1"/>
  <c r="AY1629" i="21"/>
  <c r="AZ1629" i="21" s="1"/>
  <c r="AR1630" i="21"/>
  <c r="AS1630" i="21"/>
  <c r="AT1630" i="21" s="1"/>
  <c r="AV1630" i="21" s="1"/>
  <c r="AY1630" i="21"/>
  <c r="AZ1630" i="21" s="1"/>
  <c r="AR1631" i="21"/>
  <c r="AS1631" i="21"/>
  <c r="AT1631" i="21" s="1"/>
  <c r="AV1631" i="21" s="1"/>
  <c r="AY1631" i="21"/>
  <c r="AZ1631" i="21" s="1"/>
  <c r="AR1632" i="21"/>
  <c r="AS1632" i="21"/>
  <c r="AT1632" i="21" s="1"/>
  <c r="AV1632" i="21" s="1"/>
  <c r="AY1632" i="21"/>
  <c r="AZ1632" i="21" s="1"/>
  <c r="AR1633" i="21"/>
  <c r="AS1633" i="21"/>
  <c r="AT1633" i="21" s="1"/>
  <c r="AV1633" i="21" s="1"/>
  <c r="AY1633" i="21"/>
  <c r="AZ1633" i="21" s="1"/>
  <c r="AR1634" i="21"/>
  <c r="AS1634" i="21"/>
  <c r="AT1634" i="21" s="1"/>
  <c r="AV1634" i="21" s="1"/>
  <c r="AY1634" i="21"/>
  <c r="AZ1634" i="21" s="1"/>
  <c r="AR1635" i="21"/>
  <c r="AS1635" i="21"/>
  <c r="AT1635" i="21" s="1"/>
  <c r="AV1635" i="21" s="1"/>
  <c r="AY1635" i="21"/>
  <c r="AZ1635" i="21" s="1"/>
  <c r="AR1636" i="21"/>
  <c r="AS1636" i="21"/>
  <c r="AT1636" i="21" s="1"/>
  <c r="AV1636" i="21" s="1"/>
  <c r="AY1636" i="21"/>
  <c r="AZ1636" i="21" s="1"/>
  <c r="AR1637" i="21"/>
  <c r="AS1637" i="21"/>
  <c r="AT1637" i="21" s="1"/>
  <c r="AV1637" i="21" s="1"/>
  <c r="AY1637" i="21"/>
  <c r="AZ1637" i="21" s="1"/>
  <c r="AR1638" i="21"/>
  <c r="AS1638" i="21"/>
  <c r="AT1638" i="21" s="1"/>
  <c r="AV1638" i="21" s="1"/>
  <c r="AY1638" i="21"/>
  <c r="AZ1638" i="21" s="1"/>
  <c r="AR1639" i="21"/>
  <c r="AS1639" i="21"/>
  <c r="AT1639" i="21" s="1"/>
  <c r="AV1639" i="21" s="1"/>
  <c r="AY1639" i="21"/>
  <c r="AZ1639" i="21" s="1"/>
  <c r="AR1640" i="21"/>
  <c r="AS1640" i="21"/>
  <c r="AT1640" i="21" s="1"/>
  <c r="AV1640" i="21" s="1"/>
  <c r="AY1640" i="21"/>
  <c r="AZ1640" i="21" s="1"/>
  <c r="AR1641" i="21"/>
  <c r="AS1641" i="21"/>
  <c r="AT1641" i="21" s="1"/>
  <c r="AV1641" i="21" s="1"/>
  <c r="AY1641" i="21"/>
  <c r="AZ1641" i="21" s="1"/>
  <c r="AT1540" i="21"/>
  <c r="AV1540" i="21" s="1"/>
  <c r="AS1540" i="21"/>
  <c r="AY1540" i="21" s="1"/>
  <c r="AZ1540" i="21" s="1"/>
  <c r="AR1540" i="21"/>
  <c r="K141" i="18"/>
  <c r="G141" i="18"/>
  <c r="C141" i="18"/>
  <c r="R141" i="18"/>
  <c r="N141" i="18"/>
  <c r="J141" i="18"/>
  <c r="A145" i="18"/>
  <c r="S141" i="18"/>
  <c r="C139" i="18"/>
  <c r="B139" i="18"/>
  <c r="Q138" i="18"/>
  <c r="Q145" i="18" s="1"/>
  <c r="M138" i="18"/>
  <c r="N139" i="18" s="1"/>
  <c r="I138" i="18"/>
  <c r="K139" i="18" s="1"/>
  <c r="A138" i="18"/>
  <c r="E138" i="18" s="1"/>
  <c r="AB57" i="14"/>
  <c r="X57" i="14"/>
  <c r="Y57" i="14" s="1"/>
  <c r="C57" i="14"/>
  <c r="K57" i="14" s="1"/>
  <c r="B57" i="14"/>
  <c r="AA57" i="14" s="1"/>
  <c r="J58" i="12"/>
  <c r="I58" i="12"/>
  <c r="U58" i="12" s="1"/>
  <c r="S6" i="18"/>
  <c r="R132" i="18"/>
  <c r="N132" i="18"/>
  <c r="J132" i="18"/>
  <c r="F132" i="18"/>
  <c r="B132" i="18"/>
  <c r="K132" i="18"/>
  <c r="G132" i="18"/>
  <c r="C132" i="18"/>
  <c r="S132" i="18"/>
  <c r="O132" i="18"/>
  <c r="A129" i="18"/>
  <c r="C130" i="18" s="1"/>
  <c r="AR1424" i="21"/>
  <c r="AS1424" i="21"/>
  <c r="AT1424" i="21" s="1"/>
  <c r="AV1424" i="21" s="1"/>
  <c r="AY1424" i="21"/>
  <c r="AZ1424" i="21" s="1"/>
  <c r="AR1425" i="21"/>
  <c r="AS1425" i="21"/>
  <c r="AT1425" i="21" s="1"/>
  <c r="AV1425" i="21" s="1"/>
  <c r="AY1425" i="21"/>
  <c r="AZ1425" i="21" s="1"/>
  <c r="AR1426" i="21"/>
  <c r="AS1426" i="21"/>
  <c r="AT1426" i="21" s="1"/>
  <c r="AV1426" i="21" s="1"/>
  <c r="AY1426" i="21"/>
  <c r="AZ1426" i="21" s="1"/>
  <c r="AR1427" i="21"/>
  <c r="AS1427" i="21"/>
  <c r="AT1427" i="21" s="1"/>
  <c r="AV1427" i="21" s="1"/>
  <c r="AY1427" i="21"/>
  <c r="AZ1427" i="21" s="1"/>
  <c r="AR1428" i="21"/>
  <c r="AS1428" i="21"/>
  <c r="AT1428" i="21" s="1"/>
  <c r="AV1428" i="21" s="1"/>
  <c r="AY1428" i="21"/>
  <c r="AZ1428" i="21" s="1"/>
  <c r="AR1429" i="21"/>
  <c r="AS1429" i="21"/>
  <c r="AT1429" i="21" s="1"/>
  <c r="AV1429" i="21" s="1"/>
  <c r="AW1429" i="21"/>
  <c r="AX1429" i="21" s="1"/>
  <c r="AY1429" i="21"/>
  <c r="AZ1429" i="21" s="1"/>
  <c r="AR1430" i="21"/>
  <c r="AS1430" i="21"/>
  <c r="AT1430" i="21" s="1"/>
  <c r="AV1430" i="21" s="1"/>
  <c r="AY1430" i="21"/>
  <c r="AZ1430" i="21" s="1"/>
  <c r="AR1431" i="21"/>
  <c r="AS1431" i="21"/>
  <c r="AT1431" i="21" s="1"/>
  <c r="AV1431" i="21" s="1"/>
  <c r="AY1431" i="21"/>
  <c r="AZ1431" i="21" s="1"/>
  <c r="AR1432" i="21"/>
  <c r="AS1432" i="21"/>
  <c r="AY1432" i="21"/>
  <c r="AZ1432" i="21" s="1"/>
  <c r="AR1433" i="21"/>
  <c r="AS1433" i="21"/>
  <c r="AT1433" i="21" s="1"/>
  <c r="AV1433" i="21" s="1"/>
  <c r="AY1433" i="21"/>
  <c r="AZ1433" i="21" s="1"/>
  <c r="AR1434" i="21"/>
  <c r="AS1434" i="21"/>
  <c r="AY1434" i="21"/>
  <c r="AZ1434" i="21" s="1"/>
  <c r="AR1435" i="21"/>
  <c r="AS1435" i="21"/>
  <c r="AT1435" i="21" s="1"/>
  <c r="AV1435" i="21" s="1"/>
  <c r="AY1435" i="21"/>
  <c r="AZ1435" i="21" s="1"/>
  <c r="AR1436" i="21"/>
  <c r="AS1436" i="21"/>
  <c r="AY1436" i="21"/>
  <c r="AZ1436" i="21" s="1"/>
  <c r="AR1437" i="21"/>
  <c r="AS1437" i="21"/>
  <c r="AT1437" i="21" s="1"/>
  <c r="AV1437" i="21" s="1"/>
  <c r="AW1437" i="21"/>
  <c r="AX1437" i="21" s="1"/>
  <c r="AY1437" i="21"/>
  <c r="AZ1437" i="21" s="1"/>
  <c r="AR1438" i="21"/>
  <c r="AS1438" i="21"/>
  <c r="AY1438" i="21"/>
  <c r="AZ1438" i="21" s="1"/>
  <c r="AR1439" i="21"/>
  <c r="AS1439" i="21"/>
  <c r="AT1439" i="21" s="1"/>
  <c r="AV1439" i="21" s="1"/>
  <c r="AY1439" i="21"/>
  <c r="AZ1439" i="21" s="1"/>
  <c r="AR1440" i="21"/>
  <c r="AS1440" i="21"/>
  <c r="AY1440" i="21"/>
  <c r="AZ1440" i="21" s="1"/>
  <c r="AR1441" i="21"/>
  <c r="AS1441" i="21"/>
  <c r="AT1441" i="21" s="1"/>
  <c r="AV1441" i="21" s="1"/>
  <c r="AW1441" i="21"/>
  <c r="AX1441" i="21" s="1"/>
  <c r="AY1441" i="21"/>
  <c r="AZ1441" i="21" s="1"/>
  <c r="AR1442" i="21"/>
  <c r="AS1442" i="21"/>
  <c r="AT1442" i="21"/>
  <c r="AV1442" i="21" s="1"/>
  <c r="AR1443" i="21"/>
  <c r="AS1443" i="21"/>
  <c r="AT1443" i="21" s="1"/>
  <c r="AV1443" i="21" s="1"/>
  <c r="AY1443" i="21"/>
  <c r="AZ1443" i="21" s="1"/>
  <c r="AR1444" i="21"/>
  <c r="AS1444" i="21"/>
  <c r="AY1444" i="21"/>
  <c r="AZ1444" i="21" s="1"/>
  <c r="AR1445" i="21"/>
  <c r="AS1445" i="21"/>
  <c r="AT1445" i="21"/>
  <c r="AV1445" i="21" s="1"/>
  <c r="AW1445" i="21"/>
  <c r="AX1445" i="21" s="1"/>
  <c r="AY1445" i="21"/>
  <c r="AZ1445" i="21" s="1"/>
  <c r="AR1446" i="21"/>
  <c r="AS1446" i="21"/>
  <c r="AT1446" i="21"/>
  <c r="AV1446" i="21" s="1"/>
  <c r="AR1447" i="21"/>
  <c r="AS1447" i="21"/>
  <c r="AT1447" i="21" s="1"/>
  <c r="AV1447" i="21" s="1"/>
  <c r="AW1447" i="21"/>
  <c r="AX1447" i="21" s="1"/>
  <c r="AY1447" i="21"/>
  <c r="AZ1447" i="21" s="1"/>
  <c r="AR1448" i="21"/>
  <c r="AS1448" i="21"/>
  <c r="AY1448" i="21"/>
  <c r="AZ1448" i="21" s="1"/>
  <c r="AR1449" i="21"/>
  <c r="AS1449" i="21"/>
  <c r="AW1449" i="21" s="1"/>
  <c r="AX1449" i="21" s="1"/>
  <c r="AT1449" i="21"/>
  <c r="AV1449" i="21" s="1"/>
  <c r="AY1449" i="21"/>
  <c r="AZ1449" i="21" s="1"/>
  <c r="AR1450" i="21"/>
  <c r="AS1450" i="21"/>
  <c r="AY1450" i="21"/>
  <c r="AZ1450" i="21" s="1"/>
  <c r="AR1451" i="21"/>
  <c r="AS1451" i="21"/>
  <c r="AT1451" i="21"/>
  <c r="AV1451" i="21" s="1"/>
  <c r="AW1451" i="21"/>
  <c r="AX1451" i="21" s="1"/>
  <c r="AY1451" i="21"/>
  <c r="AZ1451" i="21" s="1"/>
  <c r="AR1452" i="21"/>
  <c r="AS1452" i="21"/>
  <c r="AY1452" i="21"/>
  <c r="AZ1452" i="21" s="1"/>
  <c r="AR1453" i="21"/>
  <c r="AS1453" i="21"/>
  <c r="AT1453" i="21"/>
  <c r="AV1453" i="21" s="1"/>
  <c r="AW1453" i="21"/>
  <c r="AX1453" i="21" s="1"/>
  <c r="AY1453" i="21"/>
  <c r="AZ1453" i="21" s="1"/>
  <c r="AR1454" i="21"/>
  <c r="AS1454" i="21"/>
  <c r="AY1454" i="21"/>
  <c r="AZ1454" i="21" s="1"/>
  <c r="AR1455" i="21"/>
  <c r="AS1455" i="21"/>
  <c r="AT1455" i="21" s="1"/>
  <c r="AV1455" i="21" s="1"/>
  <c r="AY1455" i="21"/>
  <c r="AZ1455" i="21" s="1"/>
  <c r="AR1456" i="21"/>
  <c r="AS1456" i="21"/>
  <c r="AY1456" i="21"/>
  <c r="AZ1456" i="21" s="1"/>
  <c r="AR1457" i="21"/>
  <c r="AS1457" i="21"/>
  <c r="AT1457" i="21"/>
  <c r="AV1457" i="21" s="1"/>
  <c r="AW1457" i="21"/>
  <c r="AX1457" i="21" s="1"/>
  <c r="AY1457" i="21"/>
  <c r="AZ1457" i="21" s="1"/>
  <c r="AR1458" i="21"/>
  <c r="AS1458" i="21"/>
  <c r="AY1458" i="21"/>
  <c r="AZ1458" i="21" s="1"/>
  <c r="AR1459" i="21"/>
  <c r="AS1459" i="21"/>
  <c r="AT1459" i="21"/>
  <c r="AV1459" i="21" s="1"/>
  <c r="AW1459" i="21"/>
  <c r="AX1459" i="21" s="1"/>
  <c r="AY1459" i="21"/>
  <c r="AZ1459" i="21" s="1"/>
  <c r="AR1460" i="21"/>
  <c r="AS1460" i="21"/>
  <c r="AY1460" i="21"/>
  <c r="AZ1460" i="21" s="1"/>
  <c r="AR1461" i="21"/>
  <c r="AS1461" i="21"/>
  <c r="AT1461" i="21"/>
  <c r="AV1461" i="21" s="1"/>
  <c r="AW1461" i="21"/>
  <c r="AX1461" i="21" s="1"/>
  <c r="AY1461" i="21"/>
  <c r="AZ1461" i="21" s="1"/>
  <c r="AR1462" i="21"/>
  <c r="AS1462" i="21"/>
  <c r="AY1462" i="21"/>
  <c r="AZ1462" i="21" s="1"/>
  <c r="AR1463" i="21"/>
  <c r="AS1463" i="21"/>
  <c r="AT1463" i="21" s="1"/>
  <c r="AV1463" i="21" s="1"/>
  <c r="AW1463" i="21"/>
  <c r="AX1463" i="21" s="1"/>
  <c r="AY1463" i="21"/>
  <c r="AZ1463" i="21" s="1"/>
  <c r="AR1464" i="21"/>
  <c r="AS1464" i="21"/>
  <c r="AY1464" i="21"/>
  <c r="AZ1464" i="21" s="1"/>
  <c r="AR1465" i="21"/>
  <c r="AS1465" i="21"/>
  <c r="AW1465" i="21" s="1"/>
  <c r="AX1465" i="21" s="1"/>
  <c r="AT1465" i="21"/>
  <c r="AV1465" i="21" s="1"/>
  <c r="AY1465" i="21"/>
  <c r="AZ1465" i="21" s="1"/>
  <c r="AR1466" i="21"/>
  <c r="AS1466" i="21"/>
  <c r="AY1466" i="21"/>
  <c r="AZ1466" i="21" s="1"/>
  <c r="AR1467" i="21"/>
  <c r="AS1467" i="21"/>
  <c r="AT1467" i="21"/>
  <c r="AV1467" i="21" s="1"/>
  <c r="AW1467" i="21"/>
  <c r="AX1467" i="21" s="1"/>
  <c r="AY1467" i="21"/>
  <c r="AZ1467" i="21" s="1"/>
  <c r="AR1468" i="21"/>
  <c r="AS1468" i="21"/>
  <c r="AY1468" i="21"/>
  <c r="AZ1468" i="21" s="1"/>
  <c r="AR1469" i="21"/>
  <c r="AS1469" i="21"/>
  <c r="AT1469" i="21"/>
  <c r="AV1469" i="21" s="1"/>
  <c r="AW1469" i="21"/>
  <c r="AX1469" i="21" s="1"/>
  <c r="AY1469" i="21"/>
  <c r="AZ1469" i="21" s="1"/>
  <c r="AR1470" i="21"/>
  <c r="AS1470" i="21"/>
  <c r="AY1470" i="21"/>
  <c r="AZ1470" i="21" s="1"/>
  <c r="AR1471" i="21"/>
  <c r="AS1471" i="21"/>
  <c r="AW1471" i="21" s="1"/>
  <c r="AX1471" i="21" s="1"/>
  <c r="AT1471" i="21"/>
  <c r="AV1471" i="21" s="1"/>
  <c r="AY1471" i="21"/>
  <c r="AZ1471" i="21" s="1"/>
  <c r="AR1472" i="21"/>
  <c r="AS1472" i="21"/>
  <c r="AW1472" i="21" s="1"/>
  <c r="AX1472" i="21" s="1"/>
  <c r="AT1472" i="21"/>
  <c r="AV1472" i="21" s="1"/>
  <c r="AY1472" i="21"/>
  <c r="AZ1472" i="21" s="1"/>
  <c r="AR1473" i="21"/>
  <c r="AS1473" i="21"/>
  <c r="AT1473" i="21"/>
  <c r="AV1473" i="21" s="1"/>
  <c r="AW1473" i="21"/>
  <c r="AX1473" i="21" s="1"/>
  <c r="AY1473" i="21"/>
  <c r="AZ1473" i="21" s="1"/>
  <c r="AR1474" i="21"/>
  <c r="AS1474" i="21"/>
  <c r="AW1474" i="21" s="1"/>
  <c r="AX1474" i="21" s="1"/>
  <c r="AT1474" i="21"/>
  <c r="AV1474" i="21" s="1"/>
  <c r="AY1474" i="21"/>
  <c r="AZ1474" i="21" s="1"/>
  <c r="AR1475" i="21"/>
  <c r="AS1475" i="21"/>
  <c r="AT1475" i="21"/>
  <c r="AV1475" i="21" s="1"/>
  <c r="AW1475" i="21"/>
  <c r="AX1475" i="21" s="1"/>
  <c r="AY1475" i="21"/>
  <c r="AZ1475" i="21" s="1"/>
  <c r="AR1476" i="21"/>
  <c r="AS1476" i="21"/>
  <c r="AW1476" i="21" s="1"/>
  <c r="AX1476" i="21" s="1"/>
  <c r="AT1476" i="21"/>
  <c r="AV1476" i="21" s="1"/>
  <c r="AY1476" i="21"/>
  <c r="AZ1476" i="21" s="1"/>
  <c r="AR1477" i="21"/>
  <c r="AS1477" i="21"/>
  <c r="AT1477" i="21" s="1"/>
  <c r="AV1477" i="21" s="1"/>
  <c r="AW1477" i="21"/>
  <c r="AX1477" i="21" s="1"/>
  <c r="AY1477" i="21"/>
  <c r="AZ1477" i="21" s="1"/>
  <c r="AR1478" i="21"/>
  <c r="AS1478" i="21"/>
  <c r="AW1478" i="21" s="1"/>
  <c r="AX1478" i="21" s="1"/>
  <c r="AT1478" i="21"/>
  <c r="AV1478" i="21" s="1"/>
  <c r="AY1478" i="21"/>
  <c r="AZ1478" i="21" s="1"/>
  <c r="AR1479" i="21"/>
  <c r="AS1479" i="21"/>
  <c r="AT1479" i="21"/>
  <c r="AV1479" i="21" s="1"/>
  <c r="AW1479" i="21"/>
  <c r="AX1479" i="21" s="1"/>
  <c r="AY1479" i="21"/>
  <c r="AZ1479" i="21" s="1"/>
  <c r="AR1480" i="21"/>
  <c r="AS1480" i="21"/>
  <c r="AW1480" i="21" s="1"/>
  <c r="AX1480" i="21" s="1"/>
  <c r="AY1480" i="21"/>
  <c r="AZ1480" i="21" s="1"/>
  <c r="AR1481" i="21"/>
  <c r="AS1481" i="21"/>
  <c r="AW1481" i="21" s="1"/>
  <c r="AX1481" i="21" s="1"/>
  <c r="AT1481" i="21"/>
  <c r="AV1481" i="21" s="1"/>
  <c r="AY1481" i="21"/>
  <c r="AZ1481" i="21" s="1"/>
  <c r="AR1482" i="21"/>
  <c r="AS1482" i="21"/>
  <c r="AW1482" i="21" s="1"/>
  <c r="AX1482" i="21" s="1"/>
  <c r="AT1482" i="21"/>
  <c r="AV1482" i="21" s="1"/>
  <c r="AY1482" i="21"/>
  <c r="AZ1482" i="21" s="1"/>
  <c r="AR1483" i="21"/>
  <c r="AS1483" i="21"/>
  <c r="AW1483" i="21" s="1"/>
  <c r="AX1483" i="21" s="1"/>
  <c r="AT1483" i="21"/>
  <c r="AV1483" i="21" s="1"/>
  <c r="AY1483" i="21"/>
  <c r="AZ1483" i="21" s="1"/>
  <c r="AR1484" i="21"/>
  <c r="AS1484" i="21"/>
  <c r="AW1484" i="21" s="1"/>
  <c r="AX1484" i="21" s="1"/>
  <c r="AT1484" i="21"/>
  <c r="AV1484" i="21" s="1"/>
  <c r="AY1484" i="21"/>
  <c r="AZ1484" i="21" s="1"/>
  <c r="AR1485" i="21"/>
  <c r="AS1485" i="21"/>
  <c r="AT1485" i="21"/>
  <c r="AV1485" i="21" s="1"/>
  <c r="AW1485" i="21"/>
  <c r="AX1485" i="21" s="1"/>
  <c r="AY1485" i="21"/>
  <c r="AZ1485" i="21" s="1"/>
  <c r="AR1486" i="21"/>
  <c r="AS1486" i="21"/>
  <c r="AW1486" i="21" s="1"/>
  <c r="AX1486" i="21" s="1"/>
  <c r="AT1486" i="21"/>
  <c r="AV1486" i="21" s="1"/>
  <c r="AY1486" i="21"/>
  <c r="AZ1486" i="21" s="1"/>
  <c r="AR1487" i="21"/>
  <c r="AS1487" i="21"/>
  <c r="AT1487" i="21" s="1"/>
  <c r="AV1487" i="21" s="1"/>
  <c r="AW1487" i="21"/>
  <c r="AX1487" i="21" s="1"/>
  <c r="AY1487" i="21"/>
  <c r="AZ1487" i="21" s="1"/>
  <c r="AR1488" i="21"/>
  <c r="AS1488" i="21"/>
  <c r="AW1488" i="21" s="1"/>
  <c r="AX1488" i="21" s="1"/>
  <c r="AT1488" i="21"/>
  <c r="AV1488" i="21" s="1"/>
  <c r="AY1488" i="21"/>
  <c r="AZ1488" i="21" s="1"/>
  <c r="AR1489" i="21"/>
  <c r="AS1489" i="21"/>
  <c r="AT1489" i="21" s="1"/>
  <c r="AV1489" i="21" s="1"/>
  <c r="AY1489" i="21"/>
  <c r="AZ1489" i="21" s="1"/>
  <c r="AR1490" i="21"/>
  <c r="AS1490" i="21"/>
  <c r="AW1490" i="21" s="1"/>
  <c r="AX1490" i="21" s="1"/>
  <c r="AT1490" i="21"/>
  <c r="AV1490" i="21" s="1"/>
  <c r="AY1490" i="21"/>
  <c r="AZ1490" i="21" s="1"/>
  <c r="AR1491" i="21"/>
  <c r="AS1491" i="21"/>
  <c r="AT1491" i="21"/>
  <c r="AV1491" i="21" s="1"/>
  <c r="AW1491" i="21"/>
  <c r="AX1491" i="21" s="1"/>
  <c r="AY1491" i="21"/>
  <c r="AZ1491" i="21" s="1"/>
  <c r="AR1492" i="21"/>
  <c r="AS1492" i="21"/>
  <c r="AW1492" i="21" s="1"/>
  <c r="AX1492" i="21" s="1"/>
  <c r="AT1492" i="21"/>
  <c r="AV1492" i="21" s="1"/>
  <c r="AY1492" i="21"/>
  <c r="AZ1492" i="21" s="1"/>
  <c r="AR1493" i="21"/>
  <c r="AS1493" i="21"/>
  <c r="AT1493" i="21"/>
  <c r="AV1493" i="21" s="1"/>
  <c r="AW1493" i="21"/>
  <c r="AX1493" i="21" s="1"/>
  <c r="AY1493" i="21"/>
  <c r="AZ1493" i="21" s="1"/>
  <c r="AR1494" i="21"/>
  <c r="AS1494" i="21"/>
  <c r="AW1494" i="21" s="1"/>
  <c r="AX1494" i="21" s="1"/>
  <c r="AT1494" i="21"/>
  <c r="AV1494" i="21" s="1"/>
  <c r="AY1494" i="21"/>
  <c r="AZ1494" i="21" s="1"/>
  <c r="AR1495" i="21"/>
  <c r="AS1495" i="21"/>
  <c r="AT1495" i="21"/>
  <c r="AV1495" i="21" s="1"/>
  <c r="AW1495" i="21"/>
  <c r="AX1495" i="21" s="1"/>
  <c r="AY1495" i="21"/>
  <c r="AZ1495" i="21" s="1"/>
  <c r="AR1496" i="21"/>
  <c r="AS1496" i="21"/>
  <c r="AW1496" i="21" s="1"/>
  <c r="AX1496" i="21" s="1"/>
  <c r="AY1496" i="21"/>
  <c r="AZ1496" i="21" s="1"/>
  <c r="AR1497" i="21"/>
  <c r="AS1497" i="21"/>
  <c r="AT1497" i="21"/>
  <c r="AV1497" i="21" s="1"/>
  <c r="AW1497" i="21"/>
  <c r="AX1497" i="21" s="1"/>
  <c r="AY1497" i="21"/>
  <c r="AZ1497" i="21" s="1"/>
  <c r="AR1498" i="21"/>
  <c r="AS1498" i="21"/>
  <c r="AW1498" i="21" s="1"/>
  <c r="AX1498" i="21" s="1"/>
  <c r="AT1498" i="21"/>
  <c r="AV1498" i="21" s="1"/>
  <c r="AY1498" i="21"/>
  <c r="AZ1498" i="21" s="1"/>
  <c r="AR1499" i="21"/>
  <c r="AS1499" i="21"/>
  <c r="AT1499" i="21"/>
  <c r="AV1499" i="21" s="1"/>
  <c r="AW1499" i="21"/>
  <c r="AX1499" i="21" s="1"/>
  <c r="AY1499" i="21"/>
  <c r="AZ1499" i="21" s="1"/>
  <c r="AR1500" i="21"/>
  <c r="AS1500" i="21"/>
  <c r="AW1500" i="21" s="1"/>
  <c r="AX1500" i="21" s="1"/>
  <c r="AY1500" i="21"/>
  <c r="AZ1500" i="21" s="1"/>
  <c r="AR1501" i="21"/>
  <c r="AS1501" i="21"/>
  <c r="AT1501" i="21"/>
  <c r="AV1501" i="21" s="1"/>
  <c r="AW1501" i="21"/>
  <c r="AX1501" i="21" s="1"/>
  <c r="AY1501" i="21"/>
  <c r="AZ1501" i="21" s="1"/>
  <c r="AR1502" i="21"/>
  <c r="AS1502" i="21"/>
  <c r="AW1502" i="21" s="1"/>
  <c r="AX1502" i="21" s="1"/>
  <c r="AT1502" i="21"/>
  <c r="AV1502" i="21" s="1"/>
  <c r="AY1502" i="21"/>
  <c r="AZ1502" i="21" s="1"/>
  <c r="AR1503" i="21"/>
  <c r="AS1503" i="21"/>
  <c r="AT1503" i="21"/>
  <c r="AV1503" i="21" s="1"/>
  <c r="AW1503" i="21"/>
  <c r="AX1503" i="21" s="1"/>
  <c r="AY1503" i="21"/>
  <c r="AZ1503" i="21" s="1"/>
  <c r="AR1504" i="21"/>
  <c r="AS1504" i="21"/>
  <c r="AW1504" i="21" s="1"/>
  <c r="AX1504" i="21" s="1"/>
  <c r="AT1504" i="21"/>
  <c r="AV1504" i="21" s="1"/>
  <c r="AY1504" i="21"/>
  <c r="AZ1504" i="21" s="1"/>
  <c r="AR1505" i="21"/>
  <c r="AS1505" i="21"/>
  <c r="AT1505" i="21"/>
  <c r="AV1505" i="21" s="1"/>
  <c r="AW1505" i="21"/>
  <c r="AX1505" i="21" s="1"/>
  <c r="AY1505" i="21"/>
  <c r="AZ1505" i="21" s="1"/>
  <c r="AR1506" i="21"/>
  <c r="AS1506" i="21"/>
  <c r="AW1506" i="21" s="1"/>
  <c r="AX1506" i="21" s="1"/>
  <c r="AT1506" i="21"/>
  <c r="AV1506" i="21" s="1"/>
  <c r="AY1506" i="21"/>
  <c r="AZ1506" i="21" s="1"/>
  <c r="AR1507" i="21"/>
  <c r="AS1507" i="21"/>
  <c r="AT1507" i="21"/>
  <c r="AV1507" i="21" s="1"/>
  <c r="AW1507" i="21"/>
  <c r="AX1507" i="21" s="1"/>
  <c r="AY1507" i="21"/>
  <c r="AZ1507" i="21" s="1"/>
  <c r="AR1508" i="21"/>
  <c r="AS1508" i="21"/>
  <c r="AW1508" i="21" s="1"/>
  <c r="AX1508" i="21" s="1"/>
  <c r="AT1508" i="21"/>
  <c r="AV1508" i="21" s="1"/>
  <c r="AY1508" i="21"/>
  <c r="AZ1508" i="21" s="1"/>
  <c r="AR1509" i="21"/>
  <c r="AS1509" i="21"/>
  <c r="AT1509" i="21"/>
  <c r="AV1509" i="21" s="1"/>
  <c r="AW1509" i="21"/>
  <c r="AX1509" i="21" s="1"/>
  <c r="AY1509" i="21"/>
  <c r="AZ1509" i="21" s="1"/>
  <c r="AR1510" i="21"/>
  <c r="AS1510" i="21"/>
  <c r="AW1510" i="21" s="1"/>
  <c r="AX1510" i="21" s="1"/>
  <c r="AY1510" i="21"/>
  <c r="AZ1510" i="21" s="1"/>
  <c r="AR1511" i="21"/>
  <c r="AS1511" i="21"/>
  <c r="AT1511" i="21"/>
  <c r="AV1511" i="21" s="1"/>
  <c r="AW1511" i="21"/>
  <c r="AX1511" i="21" s="1"/>
  <c r="AY1511" i="21"/>
  <c r="AZ1511" i="21" s="1"/>
  <c r="AR1512" i="21"/>
  <c r="AS1512" i="21"/>
  <c r="AW1512" i="21" s="1"/>
  <c r="AX1512" i="21" s="1"/>
  <c r="AY1512" i="21"/>
  <c r="AZ1512" i="21" s="1"/>
  <c r="AR1513" i="21"/>
  <c r="AS1513" i="21"/>
  <c r="AW1513" i="21" s="1"/>
  <c r="AX1513" i="21" s="1"/>
  <c r="AT1513" i="21"/>
  <c r="AV1513" i="21" s="1"/>
  <c r="AY1513" i="21"/>
  <c r="AZ1513" i="21" s="1"/>
  <c r="AR1514" i="21"/>
  <c r="AS1514" i="21"/>
  <c r="AW1514" i="21" s="1"/>
  <c r="AX1514" i="21" s="1"/>
  <c r="AT1514" i="21"/>
  <c r="AV1514" i="21" s="1"/>
  <c r="AY1514" i="21"/>
  <c r="AZ1514" i="21" s="1"/>
  <c r="AR1515" i="21"/>
  <c r="AS1515" i="21"/>
  <c r="AW1515" i="21" s="1"/>
  <c r="AX1515" i="21" s="1"/>
  <c r="AT1515" i="21"/>
  <c r="AV1515" i="21" s="1"/>
  <c r="AY1515" i="21"/>
  <c r="AZ1515" i="21" s="1"/>
  <c r="AR1516" i="21"/>
  <c r="AS1516" i="21"/>
  <c r="AW1516" i="21" s="1"/>
  <c r="AX1516" i="21" s="1"/>
  <c r="AT1516" i="21"/>
  <c r="AV1516" i="21" s="1"/>
  <c r="AY1516" i="21"/>
  <c r="AZ1516" i="21" s="1"/>
  <c r="AR1517" i="21"/>
  <c r="AS1517" i="21"/>
  <c r="AT1517" i="21"/>
  <c r="AV1517" i="21" s="1"/>
  <c r="AW1517" i="21"/>
  <c r="AX1517" i="21" s="1"/>
  <c r="AY1517" i="21"/>
  <c r="AZ1517" i="21" s="1"/>
  <c r="AR1518" i="21"/>
  <c r="AS1518" i="21"/>
  <c r="AW1518" i="21" s="1"/>
  <c r="AX1518" i="21" s="1"/>
  <c r="AT1518" i="21"/>
  <c r="AV1518" i="21" s="1"/>
  <c r="AY1518" i="21"/>
  <c r="AZ1518" i="21" s="1"/>
  <c r="AR1519" i="21"/>
  <c r="AS1519" i="21"/>
  <c r="AT1519" i="21" s="1"/>
  <c r="AV1519" i="21" s="1"/>
  <c r="AW1519" i="21"/>
  <c r="AX1519" i="21" s="1"/>
  <c r="AY1519" i="21"/>
  <c r="AZ1519" i="21" s="1"/>
  <c r="AR1520" i="21"/>
  <c r="AS1520" i="21"/>
  <c r="AW1520" i="21" s="1"/>
  <c r="AX1520" i="21" s="1"/>
  <c r="AT1520" i="21"/>
  <c r="AV1520" i="21" s="1"/>
  <c r="AY1520" i="21"/>
  <c r="AZ1520" i="21" s="1"/>
  <c r="AR1521" i="21"/>
  <c r="AS1521" i="21"/>
  <c r="AT1521" i="21" s="1"/>
  <c r="AV1521" i="21" s="1"/>
  <c r="AY1521" i="21"/>
  <c r="AZ1521" i="21" s="1"/>
  <c r="AR1522" i="21"/>
  <c r="AS1522" i="21"/>
  <c r="AW1522" i="21" s="1"/>
  <c r="AX1522" i="21" s="1"/>
  <c r="AT1522" i="21"/>
  <c r="AV1522" i="21" s="1"/>
  <c r="AY1522" i="21"/>
  <c r="AZ1522" i="21" s="1"/>
  <c r="AR1523" i="21"/>
  <c r="AS1523" i="21"/>
  <c r="AT1523" i="21"/>
  <c r="AV1523" i="21" s="1"/>
  <c r="AW1523" i="21"/>
  <c r="AX1523" i="21" s="1"/>
  <c r="AY1523" i="21"/>
  <c r="AZ1523" i="21" s="1"/>
  <c r="AR1524" i="21"/>
  <c r="AS1524" i="21"/>
  <c r="AW1524" i="21" s="1"/>
  <c r="AX1524" i="21" s="1"/>
  <c r="AT1524" i="21"/>
  <c r="AV1524" i="21" s="1"/>
  <c r="AY1524" i="21"/>
  <c r="AZ1524" i="21" s="1"/>
  <c r="AR1525" i="21"/>
  <c r="AS1525" i="21"/>
  <c r="AT1525" i="21"/>
  <c r="AV1525" i="21" s="1"/>
  <c r="AW1525" i="21"/>
  <c r="AX1525" i="21" s="1"/>
  <c r="AY1525" i="21"/>
  <c r="AZ1525" i="21" s="1"/>
  <c r="AR1526" i="21"/>
  <c r="AS1526" i="21"/>
  <c r="AW1526" i="21" s="1"/>
  <c r="AX1526" i="21" s="1"/>
  <c r="AT1526" i="21"/>
  <c r="AV1526" i="21" s="1"/>
  <c r="AY1526" i="21"/>
  <c r="AZ1526" i="21" s="1"/>
  <c r="AR1527" i="21"/>
  <c r="AS1527" i="21"/>
  <c r="AT1527" i="21"/>
  <c r="AV1527" i="21" s="1"/>
  <c r="AW1527" i="21"/>
  <c r="AX1527" i="21" s="1"/>
  <c r="AY1527" i="21"/>
  <c r="AZ1527" i="21" s="1"/>
  <c r="AR1528" i="21"/>
  <c r="AS1528" i="21"/>
  <c r="AW1528" i="21" s="1"/>
  <c r="AX1528" i="21" s="1"/>
  <c r="AT1528" i="21"/>
  <c r="AV1528" i="21" s="1"/>
  <c r="AY1528" i="21"/>
  <c r="AZ1528" i="21" s="1"/>
  <c r="AR1529" i="21"/>
  <c r="AS1529" i="21"/>
  <c r="AT1529" i="21"/>
  <c r="AV1529" i="21" s="1"/>
  <c r="AW1529" i="21"/>
  <c r="AX1529" i="21" s="1"/>
  <c r="AY1529" i="21"/>
  <c r="AZ1529" i="21" s="1"/>
  <c r="AR1530" i="21"/>
  <c r="AS1530" i="21"/>
  <c r="AW1530" i="21" s="1"/>
  <c r="AX1530" i="21" s="1"/>
  <c r="AT1530" i="21"/>
  <c r="AV1530" i="21" s="1"/>
  <c r="AY1530" i="21"/>
  <c r="AZ1530" i="21" s="1"/>
  <c r="AR1531" i="21"/>
  <c r="AS1531" i="21"/>
  <c r="AT1531" i="21"/>
  <c r="AV1531" i="21" s="1"/>
  <c r="AW1531" i="21"/>
  <c r="AX1531" i="21" s="1"/>
  <c r="AY1531" i="21"/>
  <c r="AZ1531" i="21" s="1"/>
  <c r="AR1532" i="21"/>
  <c r="AS1532" i="21"/>
  <c r="AW1532" i="21" s="1"/>
  <c r="AX1532" i="21" s="1"/>
  <c r="AY1532" i="21"/>
  <c r="AZ1532" i="21" s="1"/>
  <c r="AR1533" i="21"/>
  <c r="AS1533" i="21"/>
  <c r="AT1533" i="21"/>
  <c r="AV1533" i="21" s="1"/>
  <c r="AW1533" i="21"/>
  <c r="AX1533" i="21" s="1"/>
  <c r="AY1533" i="21"/>
  <c r="AZ1533" i="21" s="1"/>
  <c r="AR1534" i="21"/>
  <c r="AS1534" i="21"/>
  <c r="AW1534" i="21" s="1"/>
  <c r="AX1534" i="21" s="1"/>
  <c r="AT1534" i="21"/>
  <c r="AV1534" i="21" s="1"/>
  <c r="AY1534" i="21"/>
  <c r="AZ1534" i="21" s="1"/>
  <c r="AR1535" i="21"/>
  <c r="AS1535" i="21"/>
  <c r="AT1535" i="21"/>
  <c r="AV1535" i="21" s="1"/>
  <c r="AW1535" i="21"/>
  <c r="AX1535" i="21" s="1"/>
  <c r="AY1535" i="21"/>
  <c r="AZ1535" i="21" s="1"/>
  <c r="AR1536" i="21"/>
  <c r="AS1536" i="21"/>
  <c r="AW1536" i="21" s="1"/>
  <c r="AX1536" i="21" s="1"/>
  <c r="AY1536" i="21"/>
  <c r="AZ1536" i="21" s="1"/>
  <c r="AR1537" i="21"/>
  <c r="AS1537" i="21"/>
  <c r="AT1537" i="21"/>
  <c r="AV1537" i="21" s="1"/>
  <c r="AW1537" i="21"/>
  <c r="AX1537" i="21" s="1"/>
  <c r="AY1537" i="21"/>
  <c r="AZ1537" i="21" s="1"/>
  <c r="AR1538" i="21"/>
  <c r="AS1538" i="21"/>
  <c r="AW1538" i="21" s="1"/>
  <c r="AX1538" i="21" s="1"/>
  <c r="AT1538" i="21"/>
  <c r="AV1538" i="21" s="1"/>
  <c r="AY1538" i="21"/>
  <c r="AZ1538" i="21" s="1"/>
  <c r="AT1423" i="21"/>
  <c r="AV1423" i="21" s="1"/>
  <c r="AS1423" i="21"/>
  <c r="AY1423" i="21" s="1"/>
  <c r="AZ1423" i="21" s="1"/>
  <c r="AR1423" i="21"/>
  <c r="DF9" i="6"/>
  <c r="DF8" i="6"/>
  <c r="DB11" i="22"/>
  <c r="DC14" i="22" s="1"/>
  <c r="DG38" i="6"/>
  <c r="DG37" i="6"/>
  <c r="DG36" i="6"/>
  <c r="DG35" i="6"/>
  <c r="DG34" i="6"/>
  <c r="DG33" i="6"/>
  <c r="DG14" i="6"/>
  <c r="DG13" i="6"/>
  <c r="DG2" i="6"/>
  <c r="DC15" i="22"/>
  <c r="DF10" i="6" l="1"/>
  <c r="AY1592" i="21"/>
  <c r="AZ1592" i="21" s="1"/>
  <c r="AY1578" i="21"/>
  <c r="AZ1578" i="21" s="1"/>
  <c r="AY1566" i="21"/>
  <c r="AZ1566" i="21" s="1"/>
  <c r="AY1548" i="21"/>
  <c r="AZ1548" i="21" s="1"/>
  <c r="AY1546" i="21"/>
  <c r="AZ1546" i="21" s="1"/>
  <c r="AW1640" i="21"/>
  <c r="AX1640" i="21" s="1"/>
  <c r="AW1638" i="21"/>
  <c r="AX1638" i="21" s="1"/>
  <c r="AW1636" i="21"/>
  <c r="AX1636" i="21" s="1"/>
  <c r="AW1634" i="21"/>
  <c r="AX1634" i="21" s="1"/>
  <c r="AW1632" i="21"/>
  <c r="AX1632" i="21" s="1"/>
  <c r="AW1630" i="21"/>
  <c r="AX1630" i="21" s="1"/>
  <c r="AW1628" i="21"/>
  <c r="AX1628" i="21" s="1"/>
  <c r="AW1626" i="21"/>
  <c r="AX1626" i="21" s="1"/>
  <c r="AW1624" i="21"/>
  <c r="AX1624" i="21" s="1"/>
  <c r="AW1622" i="21"/>
  <c r="AX1622" i="21" s="1"/>
  <c r="AW1620" i="21"/>
  <c r="AX1620" i="21" s="1"/>
  <c r="AW1618" i="21"/>
  <c r="AX1618" i="21" s="1"/>
  <c r="AW1616" i="21"/>
  <c r="AX1616" i="21" s="1"/>
  <c r="AW1614" i="21"/>
  <c r="AX1614" i="21" s="1"/>
  <c r="AW1612" i="21"/>
  <c r="AX1612" i="21" s="1"/>
  <c r="AW1610" i="21"/>
  <c r="AX1610" i="21" s="1"/>
  <c r="AW1608" i="21"/>
  <c r="AX1608" i="21" s="1"/>
  <c r="AW1606" i="21"/>
  <c r="AX1606" i="21" s="1"/>
  <c r="AW1604" i="21"/>
  <c r="AX1604" i="21" s="1"/>
  <c r="AW1602" i="21"/>
  <c r="AX1602" i="21" s="1"/>
  <c r="AW1600" i="21"/>
  <c r="AX1600" i="21" s="1"/>
  <c r="AW1598" i="21"/>
  <c r="AX1598" i="21" s="1"/>
  <c r="AW1596" i="21"/>
  <c r="AX1596" i="21" s="1"/>
  <c r="AW1594" i="21"/>
  <c r="AX1594" i="21" s="1"/>
  <c r="AW1590" i="21"/>
  <c r="AX1590" i="21" s="1"/>
  <c r="AW1588" i="21"/>
  <c r="AX1588" i="21" s="1"/>
  <c r="AW1586" i="21"/>
  <c r="AX1586" i="21" s="1"/>
  <c r="AW1584" i="21"/>
  <c r="AX1584" i="21" s="1"/>
  <c r="AW1582" i="21"/>
  <c r="AX1582" i="21" s="1"/>
  <c r="AW1580" i="21"/>
  <c r="AX1580" i="21" s="1"/>
  <c r="AW1576" i="21"/>
  <c r="AX1576" i="21" s="1"/>
  <c r="AW1574" i="21"/>
  <c r="AX1574" i="21" s="1"/>
  <c r="AW1572" i="21"/>
  <c r="AX1572" i="21" s="1"/>
  <c r="AW1570" i="21"/>
  <c r="AX1570" i="21" s="1"/>
  <c r="AW1568" i="21"/>
  <c r="AX1568" i="21" s="1"/>
  <c r="AW1564" i="21"/>
  <c r="AX1564" i="21" s="1"/>
  <c r="AW1562" i="21"/>
  <c r="AX1562" i="21" s="1"/>
  <c r="AW1560" i="21"/>
  <c r="AX1560" i="21" s="1"/>
  <c r="AW1558" i="21"/>
  <c r="AX1558" i="21" s="1"/>
  <c r="AW1556" i="21"/>
  <c r="AX1556" i="21" s="1"/>
  <c r="AW1554" i="21"/>
  <c r="AX1554" i="21" s="1"/>
  <c r="AW1552" i="21"/>
  <c r="AX1552" i="21" s="1"/>
  <c r="AW1550" i="21"/>
  <c r="AX1550" i="21" s="1"/>
  <c r="AW1544" i="21"/>
  <c r="AX1544" i="21" s="1"/>
  <c r="AW1542" i="21"/>
  <c r="AX1542" i="21" s="1"/>
  <c r="B143" i="18"/>
  <c r="Q7" i="19" s="1"/>
  <c r="AY1587" i="21"/>
  <c r="AZ1587" i="21" s="1"/>
  <c r="AY1583" i="21"/>
  <c r="AZ1583" i="21" s="1"/>
  <c r="AY1581" i="21"/>
  <c r="AZ1581" i="21" s="1"/>
  <c r="AY1575" i="21"/>
  <c r="AZ1575" i="21" s="1"/>
  <c r="AY1571" i="21"/>
  <c r="AZ1571" i="21" s="1"/>
  <c r="AY1563" i="21"/>
  <c r="AZ1563" i="21" s="1"/>
  <c r="AY1557" i="21"/>
  <c r="AZ1557" i="21" s="1"/>
  <c r="AY1551" i="21"/>
  <c r="AZ1551" i="21" s="1"/>
  <c r="AW1641" i="21"/>
  <c r="AX1641" i="21" s="1"/>
  <c r="AW1639" i="21"/>
  <c r="AX1639" i="21" s="1"/>
  <c r="AW1637" i="21"/>
  <c r="AX1637" i="21" s="1"/>
  <c r="AW1635" i="21"/>
  <c r="AX1635" i="21" s="1"/>
  <c r="AW1633" i="21"/>
  <c r="AX1633" i="21" s="1"/>
  <c r="AW1631" i="21"/>
  <c r="AX1631" i="21" s="1"/>
  <c r="AW1629" i="21"/>
  <c r="AX1629" i="21" s="1"/>
  <c r="AW1627" i="21"/>
  <c r="AX1627" i="21" s="1"/>
  <c r="AW1625" i="21"/>
  <c r="AX1625" i="21" s="1"/>
  <c r="AW1623" i="21"/>
  <c r="AX1623" i="21" s="1"/>
  <c r="AW1621" i="21"/>
  <c r="AX1621" i="21" s="1"/>
  <c r="AW1619" i="21"/>
  <c r="AX1619" i="21" s="1"/>
  <c r="AW1617" i="21"/>
  <c r="AX1617" i="21" s="1"/>
  <c r="AW1615" i="21"/>
  <c r="AX1615" i="21" s="1"/>
  <c r="AW1613" i="21"/>
  <c r="AX1613" i="21" s="1"/>
  <c r="AW1611" i="21"/>
  <c r="AX1611" i="21" s="1"/>
  <c r="AW1609" i="21"/>
  <c r="AX1609" i="21" s="1"/>
  <c r="AW1607" i="21"/>
  <c r="AX1607" i="21" s="1"/>
  <c r="AW1605" i="21"/>
  <c r="AX1605" i="21" s="1"/>
  <c r="AW1603" i="21"/>
  <c r="AX1603" i="21" s="1"/>
  <c r="AW1601" i="21"/>
  <c r="AX1601" i="21" s="1"/>
  <c r="AW1599" i="21"/>
  <c r="AX1599" i="21" s="1"/>
  <c r="AW1597" i="21"/>
  <c r="AX1597" i="21" s="1"/>
  <c r="AW1595" i="21"/>
  <c r="AX1595" i="21" s="1"/>
  <c r="AW1593" i="21"/>
  <c r="AX1593" i="21" s="1"/>
  <c r="AW1591" i="21"/>
  <c r="AX1591" i="21" s="1"/>
  <c r="AW1589" i="21"/>
  <c r="AX1589" i="21" s="1"/>
  <c r="AW1585" i="21"/>
  <c r="AX1585" i="21" s="1"/>
  <c r="AW1579" i="21"/>
  <c r="AX1579" i="21" s="1"/>
  <c r="AW1577" i="21"/>
  <c r="AX1577" i="21" s="1"/>
  <c r="AW1573" i="21"/>
  <c r="AX1573" i="21" s="1"/>
  <c r="AW1569" i="21"/>
  <c r="AX1569" i="21" s="1"/>
  <c r="AW1567" i="21"/>
  <c r="AX1567" i="21" s="1"/>
  <c r="AW1565" i="21"/>
  <c r="AX1565" i="21" s="1"/>
  <c r="AW1561" i="21"/>
  <c r="AX1561" i="21" s="1"/>
  <c r="AW1559" i="21"/>
  <c r="AX1559" i="21" s="1"/>
  <c r="AW1555" i="21"/>
  <c r="AX1555" i="21" s="1"/>
  <c r="AW1553" i="21"/>
  <c r="AX1553" i="21" s="1"/>
  <c r="AW1549" i="21"/>
  <c r="AX1549" i="21" s="1"/>
  <c r="AW1547" i="21"/>
  <c r="AX1547" i="21" s="1"/>
  <c r="AW1545" i="21"/>
  <c r="AX1545" i="21" s="1"/>
  <c r="AW1543" i="21"/>
  <c r="AX1543" i="21" s="1"/>
  <c r="AW1541" i="21"/>
  <c r="AX1541" i="21" s="1"/>
  <c r="AW1540" i="21"/>
  <c r="AX1540" i="21" s="1"/>
  <c r="G139" i="18"/>
  <c r="F139" i="18"/>
  <c r="E145" i="18"/>
  <c r="O139" i="18"/>
  <c r="N143" i="18" s="1"/>
  <c r="Q34" i="19" s="1"/>
  <c r="R139" i="18"/>
  <c r="S139" i="18"/>
  <c r="R143" i="18" s="1"/>
  <c r="M145" i="18"/>
  <c r="J139" i="18"/>
  <c r="I145" i="18"/>
  <c r="L57" i="14"/>
  <c r="AI57" i="14"/>
  <c r="AU57" i="14" s="1"/>
  <c r="A136" i="18"/>
  <c r="E129" i="18"/>
  <c r="M129" i="18"/>
  <c r="Q129" i="18"/>
  <c r="B130" i="18"/>
  <c r="I129" i="18"/>
  <c r="AW1455" i="21"/>
  <c r="AX1455" i="21" s="1"/>
  <c r="AW1442" i="21"/>
  <c r="AX1442" i="21" s="1"/>
  <c r="AY1442" i="21"/>
  <c r="AZ1442" i="21" s="1"/>
  <c r="AW1435" i="21"/>
  <c r="AX1435" i="21" s="1"/>
  <c r="AT1458" i="21"/>
  <c r="AV1458" i="21" s="1"/>
  <c r="AW1458" i="21"/>
  <c r="AX1458" i="21" s="1"/>
  <c r="AT1468" i="21"/>
  <c r="AV1468" i="21" s="1"/>
  <c r="AW1468" i="21"/>
  <c r="AX1468" i="21" s="1"/>
  <c r="AT1438" i="21"/>
  <c r="AV1438" i="21" s="1"/>
  <c r="AW1438" i="21"/>
  <c r="AX1438" i="21" s="1"/>
  <c r="AW1431" i="21"/>
  <c r="AX1431" i="21" s="1"/>
  <c r="AW1427" i="21"/>
  <c r="AX1427" i="21" s="1"/>
  <c r="AT1434" i="21"/>
  <c r="AV1434" i="21" s="1"/>
  <c r="AW1434" i="21"/>
  <c r="AX1434" i="21" s="1"/>
  <c r="AT1500" i="21"/>
  <c r="AV1500" i="21" s="1"/>
  <c r="AT1464" i="21"/>
  <c r="AV1464" i="21" s="1"/>
  <c r="AW1464" i="21"/>
  <c r="AX1464" i="21" s="1"/>
  <c r="AT1454" i="21"/>
  <c r="AV1454" i="21" s="1"/>
  <c r="AW1454" i="21"/>
  <c r="AX1454" i="21" s="1"/>
  <c r="AT1536" i="21"/>
  <c r="AV1536" i="21" s="1"/>
  <c r="AT1510" i="21"/>
  <c r="AV1510" i="21" s="1"/>
  <c r="AT1466" i="21"/>
  <c r="AV1466" i="21" s="1"/>
  <c r="AW1466" i="21"/>
  <c r="AX1466" i="21" s="1"/>
  <c r="AT1450" i="21"/>
  <c r="AV1450" i="21" s="1"/>
  <c r="AW1450" i="21"/>
  <c r="AX1450" i="21" s="1"/>
  <c r="AT1440" i="21"/>
  <c r="AV1440" i="21" s="1"/>
  <c r="AW1440" i="21"/>
  <c r="AX1440" i="21" s="1"/>
  <c r="AW1433" i="21"/>
  <c r="AX1433" i="21" s="1"/>
  <c r="AT1452" i="21"/>
  <c r="AV1452" i="21" s="1"/>
  <c r="AW1452" i="21"/>
  <c r="AX1452" i="21" s="1"/>
  <c r="AT1532" i="21"/>
  <c r="AV1532" i="21" s="1"/>
  <c r="AT1470" i="21"/>
  <c r="AV1470" i="21" s="1"/>
  <c r="AW1470" i="21"/>
  <c r="AX1470" i="21" s="1"/>
  <c r="AT1448" i="21"/>
  <c r="AV1448" i="21" s="1"/>
  <c r="AW1448" i="21"/>
  <c r="AX1448" i="21" s="1"/>
  <c r="AT1460" i="21"/>
  <c r="AV1460" i="21" s="1"/>
  <c r="AW1460" i="21"/>
  <c r="AX1460" i="21" s="1"/>
  <c r="AT1456" i="21"/>
  <c r="AV1456" i="21" s="1"/>
  <c r="AW1456" i="21"/>
  <c r="AX1456" i="21" s="1"/>
  <c r="AT1436" i="21"/>
  <c r="AV1436" i="21" s="1"/>
  <c r="AW1436" i="21"/>
  <c r="AX1436" i="21" s="1"/>
  <c r="AT1496" i="21"/>
  <c r="AV1496" i="21" s="1"/>
  <c r="AT1444" i="21"/>
  <c r="AV1444" i="21" s="1"/>
  <c r="AW1444" i="21"/>
  <c r="AX1444" i="21" s="1"/>
  <c r="AW1443" i="21"/>
  <c r="AX1443" i="21" s="1"/>
  <c r="AW1521" i="21"/>
  <c r="AX1521" i="21" s="1"/>
  <c r="AW1489" i="21"/>
  <c r="AX1489" i="21" s="1"/>
  <c r="AT1462" i="21"/>
  <c r="AV1462" i="21" s="1"/>
  <c r="AW1462" i="21"/>
  <c r="AX1462" i="21" s="1"/>
  <c r="AW1446" i="21"/>
  <c r="AX1446" i="21" s="1"/>
  <c r="AY1446" i="21"/>
  <c r="AZ1446" i="21" s="1"/>
  <c r="AT1432" i="21"/>
  <c r="AV1432" i="21" s="1"/>
  <c r="AW1432" i="21"/>
  <c r="AX1432" i="21" s="1"/>
  <c r="AT1512" i="21"/>
  <c r="AV1512" i="21" s="1"/>
  <c r="AT1480" i="21"/>
  <c r="AV1480" i="21" s="1"/>
  <c r="AW1439" i="21"/>
  <c r="AX1439" i="21" s="1"/>
  <c r="AW1425" i="21"/>
  <c r="AX1425" i="21" s="1"/>
  <c r="AW1430" i="21"/>
  <c r="AX1430" i="21" s="1"/>
  <c r="AW1426" i="21"/>
  <c r="AX1426" i="21" s="1"/>
  <c r="AW1424" i="21"/>
  <c r="AX1424" i="21" s="1"/>
  <c r="AW1428" i="21"/>
  <c r="AX1428" i="21" s="1"/>
  <c r="AW1423" i="21"/>
  <c r="AX1423" i="21" s="1"/>
  <c r="DC40" i="22"/>
  <c r="DC82" i="22"/>
  <c r="DC124" i="22"/>
  <c r="DC61" i="22"/>
  <c r="DC103" i="22"/>
  <c r="AB56" i="14"/>
  <c r="Y56" i="14"/>
  <c r="X56" i="14"/>
  <c r="C56" i="14"/>
  <c r="K56" i="14" s="1"/>
  <c r="B56" i="14"/>
  <c r="AA56" i="14" s="1"/>
  <c r="J57" i="12"/>
  <c r="I57" i="12"/>
  <c r="DF14" i="6"/>
  <c r="DE9" i="6"/>
  <c r="DE8" i="6"/>
  <c r="DA11" i="22"/>
  <c r="DB14" i="22" s="1"/>
  <c r="DF38" i="6"/>
  <c r="DF37" i="6"/>
  <c r="DF36" i="6"/>
  <c r="DF35" i="6"/>
  <c r="DF34" i="6"/>
  <c r="DF33" i="6"/>
  <c r="DF2" i="6"/>
  <c r="DB15" i="22"/>
  <c r="B134" i="18" l="1"/>
  <c r="P7" i="19" s="1"/>
  <c r="J143" i="18"/>
  <c r="Q25" i="19" s="1"/>
  <c r="DE10" i="6"/>
  <c r="DF11" i="6" s="1"/>
  <c r="DG11" i="6"/>
  <c r="DF13" i="6"/>
  <c r="Q43" i="19"/>
  <c r="F143" i="18"/>
  <c r="Q16" i="19" s="1"/>
  <c r="W57" i="14"/>
  <c r="N130" i="18"/>
  <c r="O130" i="18"/>
  <c r="N134" i="18" s="1"/>
  <c r="M136" i="18"/>
  <c r="G130" i="18"/>
  <c r="F134" i="18" s="1"/>
  <c r="P16" i="19" s="1"/>
  <c r="F130" i="18"/>
  <c r="E136" i="18"/>
  <c r="K130" i="18"/>
  <c r="J130" i="18"/>
  <c r="I136" i="18"/>
  <c r="Q136" i="18"/>
  <c r="R130" i="18"/>
  <c r="S130" i="18"/>
  <c r="L56" i="14"/>
  <c r="O56" i="14"/>
  <c r="W56" i="14" s="1"/>
  <c r="AI56" i="14"/>
  <c r="AU56" i="14" s="1"/>
  <c r="U57" i="12"/>
  <c r="DB61" i="22"/>
  <c r="DB124" i="22"/>
  <c r="DB40" i="22"/>
  <c r="DB82" i="22"/>
  <c r="DB103" i="22"/>
  <c r="P34" i="19" l="1"/>
  <c r="R134" i="18"/>
  <c r="P43" i="19" s="1"/>
  <c r="J134" i="18"/>
  <c r="R123" i="18"/>
  <c r="N123" i="18"/>
  <c r="B123" i="18"/>
  <c r="A120" i="18"/>
  <c r="C121" i="18" s="1"/>
  <c r="P25" i="19" l="1"/>
  <c r="A127" i="18"/>
  <c r="E120" i="18"/>
  <c r="I120" i="18"/>
  <c r="M120" i="18"/>
  <c r="Q120" i="18"/>
  <c r="B121" i="18"/>
  <c r="K121" i="18" l="1"/>
  <c r="J121" i="18"/>
  <c r="I127" i="18"/>
  <c r="Q127" i="18"/>
  <c r="S121" i="18"/>
  <c r="R121" i="18"/>
  <c r="N121" i="18"/>
  <c r="M127" i="18"/>
  <c r="O121" i="18"/>
  <c r="G121" i="18"/>
  <c r="F121" i="18"/>
  <c r="E127" i="18"/>
  <c r="AR1316" i="21" l="1"/>
  <c r="AS1316" i="21"/>
  <c r="AT1316" i="21"/>
  <c r="AV1316" i="21" s="1"/>
  <c r="AW1316" i="21"/>
  <c r="AX1316" i="21" s="1"/>
  <c r="AY1316" i="21"/>
  <c r="AZ1316" i="21" s="1"/>
  <c r="AR1317" i="21"/>
  <c r="AS1317" i="21"/>
  <c r="AT1317" i="21" s="1"/>
  <c r="AV1317" i="21" s="1"/>
  <c r="AW1317" i="21"/>
  <c r="AX1317" i="21" s="1"/>
  <c r="AY1317" i="21"/>
  <c r="AZ1317" i="21" s="1"/>
  <c r="AR1318" i="21"/>
  <c r="AS1318" i="21"/>
  <c r="AY1318" i="21" s="1"/>
  <c r="AZ1318" i="21" s="1"/>
  <c r="AT1318" i="21"/>
  <c r="AV1318" i="21" s="1"/>
  <c r="AW1318" i="21"/>
  <c r="AX1318" i="21" s="1"/>
  <c r="AR1319" i="21"/>
  <c r="AS1319" i="21"/>
  <c r="AT1319" i="21" s="1"/>
  <c r="AV1319" i="21" s="1"/>
  <c r="AW1319" i="21"/>
  <c r="AX1319" i="21" s="1"/>
  <c r="AY1319" i="21"/>
  <c r="AZ1319" i="21" s="1"/>
  <c r="AR1320" i="21"/>
  <c r="AS1320" i="21"/>
  <c r="AT1320" i="21"/>
  <c r="AV1320" i="21" s="1"/>
  <c r="AW1320" i="21"/>
  <c r="AX1320" i="21" s="1"/>
  <c r="AY1320" i="21"/>
  <c r="AZ1320" i="21" s="1"/>
  <c r="AR1321" i="21"/>
  <c r="AS1321" i="21"/>
  <c r="AT1321" i="21" s="1"/>
  <c r="AV1321" i="21" s="1"/>
  <c r="AW1321" i="21"/>
  <c r="AX1321" i="21" s="1"/>
  <c r="AY1321" i="21"/>
  <c r="AZ1321" i="21" s="1"/>
  <c r="AR1322" i="21"/>
  <c r="AS1322" i="21"/>
  <c r="AT1322" i="21"/>
  <c r="AV1322" i="21" s="1"/>
  <c r="AW1322" i="21"/>
  <c r="AX1322" i="21" s="1"/>
  <c r="AY1322" i="21"/>
  <c r="AZ1322" i="21" s="1"/>
  <c r="AR1323" i="21"/>
  <c r="AS1323" i="21"/>
  <c r="AT1323" i="21" s="1"/>
  <c r="AV1323" i="21" s="1"/>
  <c r="AW1323" i="21"/>
  <c r="AX1323" i="21" s="1"/>
  <c r="AY1323" i="21"/>
  <c r="AZ1323" i="21" s="1"/>
  <c r="AR1324" i="21"/>
  <c r="AS1324" i="21"/>
  <c r="AT1324" i="21"/>
  <c r="AV1324" i="21" s="1"/>
  <c r="AW1324" i="21"/>
  <c r="AX1324" i="21" s="1"/>
  <c r="AY1324" i="21"/>
  <c r="AZ1324" i="21" s="1"/>
  <c r="AR1325" i="21"/>
  <c r="AS1325" i="21"/>
  <c r="AY1325" i="21" s="1"/>
  <c r="AZ1325" i="21" s="1"/>
  <c r="AT1325" i="21"/>
  <c r="AV1325" i="21" s="1"/>
  <c r="AW1325" i="21"/>
  <c r="AX1325" i="21" s="1"/>
  <c r="AR1326" i="21"/>
  <c r="AS1326" i="21"/>
  <c r="AT1326" i="21"/>
  <c r="AV1326" i="21" s="1"/>
  <c r="AW1326" i="21"/>
  <c r="AX1326" i="21" s="1"/>
  <c r="AY1326" i="21"/>
  <c r="AZ1326" i="21" s="1"/>
  <c r="AR1327" i="21"/>
  <c r="AS1327" i="21"/>
  <c r="AW1327" i="21" s="1"/>
  <c r="AX1327" i="21" s="1"/>
  <c r="AT1327" i="21"/>
  <c r="AV1327" i="21" s="1"/>
  <c r="AR1328" i="21"/>
  <c r="AS1328" i="21"/>
  <c r="AT1328" i="21"/>
  <c r="AV1328" i="21" s="1"/>
  <c r="AW1328" i="21"/>
  <c r="AX1328" i="21" s="1"/>
  <c r="AY1328" i="21"/>
  <c r="AZ1328" i="21" s="1"/>
  <c r="AR1329" i="21"/>
  <c r="AS1329" i="21"/>
  <c r="AW1329" i="21" s="1"/>
  <c r="AX1329" i="21" s="1"/>
  <c r="AT1329" i="21"/>
  <c r="AV1329" i="21" s="1"/>
  <c r="AR1330" i="21"/>
  <c r="AS1330" i="21"/>
  <c r="AT1330" i="21"/>
  <c r="AV1330" i="21" s="1"/>
  <c r="AW1330" i="21"/>
  <c r="AX1330" i="21" s="1"/>
  <c r="AY1330" i="21"/>
  <c r="AZ1330" i="21" s="1"/>
  <c r="AR1331" i="21"/>
  <c r="AS1331" i="21"/>
  <c r="AT1331" i="21" s="1"/>
  <c r="AV1331" i="21" s="1"/>
  <c r="AY1331" i="21"/>
  <c r="AZ1331" i="21" s="1"/>
  <c r="AR1332" i="21"/>
  <c r="AS1332" i="21"/>
  <c r="AT1332" i="21"/>
  <c r="AV1332" i="21" s="1"/>
  <c r="AW1332" i="21"/>
  <c r="AX1332" i="21" s="1"/>
  <c r="AY1332" i="21"/>
  <c r="AZ1332" i="21" s="1"/>
  <c r="AR1333" i="21"/>
  <c r="AS1333" i="21"/>
  <c r="AT1333" i="21" s="1"/>
  <c r="AV1333" i="21" s="1"/>
  <c r="AY1333" i="21"/>
  <c r="AZ1333" i="21" s="1"/>
  <c r="AR1334" i="21"/>
  <c r="AS1334" i="21"/>
  <c r="AT1334" i="21"/>
  <c r="AV1334" i="21" s="1"/>
  <c r="AW1334" i="21"/>
  <c r="AX1334" i="21" s="1"/>
  <c r="AY1334" i="21"/>
  <c r="AZ1334" i="21" s="1"/>
  <c r="AR1335" i="21"/>
  <c r="AS1335" i="21"/>
  <c r="AT1335" i="21" s="1"/>
  <c r="AV1335" i="21" s="1"/>
  <c r="AY1335" i="21"/>
  <c r="AZ1335" i="21" s="1"/>
  <c r="AR1336" i="21"/>
  <c r="AS1336" i="21"/>
  <c r="AW1336" i="21" s="1"/>
  <c r="AX1336" i="21" s="1"/>
  <c r="AT1336" i="21"/>
  <c r="AV1336" i="21" s="1"/>
  <c r="AY1336" i="21"/>
  <c r="AZ1336" i="21" s="1"/>
  <c r="AR1337" i="21"/>
  <c r="AS1337" i="21"/>
  <c r="AT1337" i="21" s="1"/>
  <c r="AV1337" i="21" s="1"/>
  <c r="AY1337" i="21"/>
  <c r="AZ1337" i="21" s="1"/>
  <c r="AR1338" i="21"/>
  <c r="AS1338" i="21"/>
  <c r="AW1338" i="21" s="1"/>
  <c r="AX1338" i="21" s="1"/>
  <c r="AT1338" i="21"/>
  <c r="AV1338" i="21" s="1"/>
  <c r="AR1339" i="21"/>
  <c r="AS1339" i="21"/>
  <c r="AT1339" i="21" s="1"/>
  <c r="AV1339" i="21" s="1"/>
  <c r="AY1339" i="21"/>
  <c r="AZ1339" i="21" s="1"/>
  <c r="AR1340" i="21"/>
  <c r="AS1340" i="21"/>
  <c r="AW1340" i="21" s="1"/>
  <c r="AX1340" i="21" s="1"/>
  <c r="AT1340" i="21"/>
  <c r="AV1340" i="21" s="1"/>
  <c r="AY1340" i="21"/>
  <c r="AZ1340" i="21" s="1"/>
  <c r="AR1341" i="21"/>
  <c r="AS1341" i="21"/>
  <c r="AT1341" i="21" s="1"/>
  <c r="AV1341" i="21" s="1"/>
  <c r="AY1341" i="21"/>
  <c r="AZ1341" i="21" s="1"/>
  <c r="AR1342" i="21"/>
  <c r="AS1342" i="21"/>
  <c r="AW1342" i="21" s="1"/>
  <c r="AX1342" i="21" s="1"/>
  <c r="AT1342" i="21"/>
  <c r="AV1342" i="21" s="1"/>
  <c r="AY1342" i="21"/>
  <c r="AZ1342" i="21" s="1"/>
  <c r="AR1343" i="21"/>
  <c r="AS1343" i="21"/>
  <c r="AT1343" i="21" s="1"/>
  <c r="AV1343" i="21" s="1"/>
  <c r="AY1343" i="21"/>
  <c r="AZ1343" i="21" s="1"/>
  <c r="AR1344" i="21"/>
  <c r="AS1344" i="21"/>
  <c r="AW1344" i="21" s="1"/>
  <c r="AX1344" i="21" s="1"/>
  <c r="AT1344" i="21"/>
  <c r="AV1344" i="21" s="1"/>
  <c r="AY1344" i="21"/>
  <c r="AZ1344" i="21" s="1"/>
  <c r="AR1345" i="21"/>
  <c r="AS1345" i="21"/>
  <c r="AW1345" i="21" s="1"/>
  <c r="AX1345" i="21" s="1"/>
  <c r="AT1345" i="21"/>
  <c r="AV1345" i="21" s="1"/>
  <c r="AR1346" i="21"/>
  <c r="AS1346" i="21"/>
  <c r="AW1346" i="21" s="1"/>
  <c r="AX1346" i="21" s="1"/>
  <c r="AT1346" i="21"/>
  <c r="AV1346" i="21" s="1"/>
  <c r="AY1346" i="21"/>
  <c r="AZ1346" i="21" s="1"/>
  <c r="AR1347" i="21"/>
  <c r="AS1347" i="21"/>
  <c r="AW1347" i="21" s="1"/>
  <c r="AX1347" i="21" s="1"/>
  <c r="AT1347" i="21"/>
  <c r="AV1347" i="21" s="1"/>
  <c r="AR1348" i="21"/>
  <c r="AS1348" i="21"/>
  <c r="AW1348" i="21" s="1"/>
  <c r="AX1348" i="21" s="1"/>
  <c r="AT1348" i="21"/>
  <c r="AV1348" i="21" s="1"/>
  <c r="AY1348" i="21"/>
  <c r="AZ1348" i="21" s="1"/>
  <c r="AR1349" i="21"/>
  <c r="AS1349" i="21"/>
  <c r="AT1349" i="21" s="1"/>
  <c r="AV1349" i="21" s="1"/>
  <c r="AY1349" i="21"/>
  <c r="AZ1349" i="21" s="1"/>
  <c r="AR1350" i="21"/>
  <c r="AS1350" i="21"/>
  <c r="AW1350" i="21" s="1"/>
  <c r="AX1350" i="21" s="1"/>
  <c r="AT1350" i="21"/>
  <c r="AV1350" i="21" s="1"/>
  <c r="AY1350" i="21"/>
  <c r="AZ1350" i="21" s="1"/>
  <c r="AR1351" i="21"/>
  <c r="AS1351" i="21"/>
  <c r="AT1351" i="21" s="1"/>
  <c r="AV1351" i="21" s="1"/>
  <c r="AY1351" i="21"/>
  <c r="AZ1351" i="21" s="1"/>
  <c r="AR1352" i="21"/>
  <c r="AS1352" i="21"/>
  <c r="AW1352" i="21" s="1"/>
  <c r="AX1352" i="21" s="1"/>
  <c r="AT1352" i="21"/>
  <c r="AV1352" i="21" s="1"/>
  <c r="AY1352" i="21"/>
  <c r="AZ1352" i="21" s="1"/>
  <c r="AR1353" i="21"/>
  <c r="AS1353" i="21"/>
  <c r="AW1353" i="21" s="1"/>
  <c r="AX1353" i="21" s="1"/>
  <c r="AT1353" i="21"/>
  <c r="AV1353" i="21" s="1"/>
  <c r="AR1354" i="21"/>
  <c r="AS1354" i="21"/>
  <c r="AW1354" i="21" s="1"/>
  <c r="AX1354" i="21" s="1"/>
  <c r="AT1354" i="21"/>
  <c r="AV1354" i="21" s="1"/>
  <c r="AR1355" i="21"/>
  <c r="AS1355" i="21"/>
  <c r="AT1355" i="21" s="1"/>
  <c r="AV1355" i="21" s="1"/>
  <c r="AY1355" i="21"/>
  <c r="AZ1355" i="21" s="1"/>
  <c r="AR1356" i="21"/>
  <c r="AS1356" i="21"/>
  <c r="AW1356" i="21" s="1"/>
  <c r="AX1356" i="21" s="1"/>
  <c r="AT1356" i="21"/>
  <c r="AV1356" i="21" s="1"/>
  <c r="AY1356" i="21"/>
  <c r="AZ1356" i="21" s="1"/>
  <c r="AR1357" i="21"/>
  <c r="AS1357" i="21"/>
  <c r="AT1357" i="21" s="1"/>
  <c r="AV1357" i="21" s="1"/>
  <c r="AY1357" i="21"/>
  <c r="AZ1357" i="21" s="1"/>
  <c r="AR1358" i="21"/>
  <c r="AS1358" i="21"/>
  <c r="AW1358" i="21" s="1"/>
  <c r="AX1358" i="21" s="1"/>
  <c r="AT1358" i="21"/>
  <c r="AV1358" i="21" s="1"/>
  <c r="AY1358" i="21"/>
  <c r="AZ1358" i="21" s="1"/>
  <c r="AR1359" i="21"/>
  <c r="AS1359" i="21"/>
  <c r="AT1359" i="21" s="1"/>
  <c r="AV1359" i="21" s="1"/>
  <c r="AY1359" i="21"/>
  <c r="AZ1359" i="21" s="1"/>
  <c r="AR1360" i="21"/>
  <c r="AS1360" i="21"/>
  <c r="AW1360" i="21" s="1"/>
  <c r="AX1360" i="21" s="1"/>
  <c r="AT1360" i="21"/>
  <c r="AV1360" i="21" s="1"/>
  <c r="AY1360" i="21"/>
  <c r="AZ1360" i="21" s="1"/>
  <c r="AR1361" i="21"/>
  <c r="AS1361" i="21"/>
  <c r="AT1361" i="21" s="1"/>
  <c r="AV1361" i="21" s="1"/>
  <c r="AY1361" i="21"/>
  <c r="AZ1361" i="21" s="1"/>
  <c r="AR1362" i="21"/>
  <c r="AS1362" i="21"/>
  <c r="AW1362" i="21" s="1"/>
  <c r="AX1362" i="21" s="1"/>
  <c r="AT1362" i="21"/>
  <c r="AV1362" i="21" s="1"/>
  <c r="AY1362" i="21"/>
  <c r="AZ1362" i="21" s="1"/>
  <c r="AR1363" i="21"/>
  <c r="AS1363" i="21"/>
  <c r="AT1363" i="21" s="1"/>
  <c r="AV1363" i="21" s="1"/>
  <c r="AY1363" i="21"/>
  <c r="AZ1363" i="21" s="1"/>
  <c r="AR1364" i="21"/>
  <c r="AS1364" i="21"/>
  <c r="AW1364" i="21" s="1"/>
  <c r="AX1364" i="21" s="1"/>
  <c r="AT1364" i="21"/>
  <c r="AV1364" i="21" s="1"/>
  <c r="AY1364" i="21"/>
  <c r="AZ1364" i="21" s="1"/>
  <c r="AR1365" i="21"/>
  <c r="AS1365" i="21"/>
  <c r="AT1365" i="21" s="1"/>
  <c r="AV1365" i="21" s="1"/>
  <c r="AY1365" i="21"/>
  <c r="AZ1365" i="21" s="1"/>
  <c r="AR1366" i="21"/>
  <c r="AS1366" i="21"/>
  <c r="AW1366" i="21" s="1"/>
  <c r="AX1366" i="21" s="1"/>
  <c r="AT1366" i="21"/>
  <c r="AV1366" i="21" s="1"/>
  <c r="AY1366" i="21"/>
  <c r="AZ1366" i="21" s="1"/>
  <c r="AR1367" i="21"/>
  <c r="AS1367" i="21"/>
  <c r="AT1367" i="21" s="1"/>
  <c r="AV1367" i="21" s="1"/>
  <c r="AY1367" i="21"/>
  <c r="AZ1367" i="21" s="1"/>
  <c r="AR1368" i="21"/>
  <c r="AS1368" i="21"/>
  <c r="AW1368" i="21" s="1"/>
  <c r="AX1368" i="21" s="1"/>
  <c r="AT1368" i="21"/>
  <c r="AV1368" i="21" s="1"/>
  <c r="AR1369" i="21"/>
  <c r="AS1369" i="21"/>
  <c r="AT1369" i="21" s="1"/>
  <c r="AV1369" i="21" s="1"/>
  <c r="AY1369" i="21"/>
  <c r="AZ1369" i="21" s="1"/>
  <c r="AR1370" i="21"/>
  <c r="AS1370" i="21"/>
  <c r="AW1370" i="21" s="1"/>
  <c r="AX1370" i="21" s="1"/>
  <c r="AT1370" i="21"/>
  <c r="AV1370" i="21" s="1"/>
  <c r="AR1371" i="21"/>
  <c r="AS1371" i="21"/>
  <c r="AT1371" i="21" s="1"/>
  <c r="AV1371" i="21" s="1"/>
  <c r="AY1371" i="21"/>
  <c r="AZ1371" i="21" s="1"/>
  <c r="AR1372" i="21"/>
  <c r="AS1372" i="21"/>
  <c r="AW1372" i="21" s="1"/>
  <c r="AX1372" i="21" s="1"/>
  <c r="AT1372" i="21"/>
  <c r="AV1372" i="21" s="1"/>
  <c r="AY1372" i="21"/>
  <c r="AZ1372" i="21" s="1"/>
  <c r="AR1373" i="21"/>
  <c r="AS1373" i="21"/>
  <c r="AT1373" i="21" s="1"/>
  <c r="AV1373" i="21" s="1"/>
  <c r="AY1373" i="21"/>
  <c r="AZ1373" i="21" s="1"/>
  <c r="AR1374" i="21"/>
  <c r="AS1374" i="21"/>
  <c r="AW1374" i="21" s="1"/>
  <c r="AX1374" i="21" s="1"/>
  <c r="AT1374" i="21"/>
  <c r="AV1374" i="21" s="1"/>
  <c r="AY1374" i="21"/>
  <c r="AZ1374" i="21" s="1"/>
  <c r="AR1375" i="21"/>
  <c r="AS1375" i="21"/>
  <c r="AT1375" i="21" s="1"/>
  <c r="AV1375" i="21" s="1"/>
  <c r="AY1375" i="21"/>
  <c r="AZ1375" i="21" s="1"/>
  <c r="AR1376" i="21"/>
  <c r="AS1376" i="21"/>
  <c r="AW1376" i="21" s="1"/>
  <c r="AX1376" i="21" s="1"/>
  <c r="AT1376" i="21"/>
  <c r="AV1376" i="21" s="1"/>
  <c r="AY1376" i="21"/>
  <c r="AZ1376" i="21" s="1"/>
  <c r="AR1377" i="21"/>
  <c r="AS1377" i="21"/>
  <c r="AT1377" i="21" s="1"/>
  <c r="AV1377" i="21" s="1"/>
  <c r="AY1377" i="21"/>
  <c r="AZ1377" i="21" s="1"/>
  <c r="AR1378" i="21"/>
  <c r="AS1378" i="21"/>
  <c r="AW1378" i="21" s="1"/>
  <c r="AX1378" i="21" s="1"/>
  <c r="AT1378" i="21"/>
  <c r="AV1378" i="21" s="1"/>
  <c r="AR1379" i="21"/>
  <c r="AS1379" i="21"/>
  <c r="AT1379" i="21" s="1"/>
  <c r="AV1379" i="21" s="1"/>
  <c r="AY1379" i="21"/>
  <c r="AZ1379" i="21" s="1"/>
  <c r="AR1380" i="21"/>
  <c r="AS1380" i="21"/>
  <c r="AW1380" i="21" s="1"/>
  <c r="AX1380" i="21" s="1"/>
  <c r="AT1380" i="21"/>
  <c r="AV1380" i="21" s="1"/>
  <c r="AY1380" i="21"/>
  <c r="AZ1380" i="21" s="1"/>
  <c r="AR1381" i="21"/>
  <c r="AS1381" i="21"/>
  <c r="AW1381" i="21" s="1"/>
  <c r="AX1381" i="21" s="1"/>
  <c r="AT1381" i="21"/>
  <c r="AV1381" i="21" s="1"/>
  <c r="AR1382" i="21"/>
  <c r="AS1382" i="21"/>
  <c r="AW1382" i="21" s="1"/>
  <c r="AX1382" i="21" s="1"/>
  <c r="AT1382" i="21"/>
  <c r="AV1382" i="21" s="1"/>
  <c r="AY1382" i="21"/>
  <c r="AZ1382" i="21" s="1"/>
  <c r="AR1383" i="21"/>
  <c r="AS1383" i="21"/>
  <c r="AT1383" i="21" s="1"/>
  <c r="AV1383" i="21" s="1"/>
  <c r="AY1383" i="21"/>
  <c r="AZ1383" i="21" s="1"/>
  <c r="AR1384" i="21"/>
  <c r="AS1384" i="21"/>
  <c r="AW1384" i="21" s="1"/>
  <c r="AX1384" i="21" s="1"/>
  <c r="AT1384" i="21"/>
  <c r="AV1384" i="21" s="1"/>
  <c r="AY1384" i="21"/>
  <c r="AZ1384" i="21" s="1"/>
  <c r="AR1385" i="21"/>
  <c r="AS1385" i="21"/>
  <c r="AT1385" i="21" s="1"/>
  <c r="AV1385" i="21" s="1"/>
  <c r="AY1385" i="21"/>
  <c r="AZ1385" i="21" s="1"/>
  <c r="AR1386" i="21"/>
  <c r="AS1386" i="21"/>
  <c r="AW1386" i="21" s="1"/>
  <c r="AX1386" i="21" s="1"/>
  <c r="AT1386" i="21"/>
  <c r="AV1386" i="21" s="1"/>
  <c r="AR1387" i="21"/>
  <c r="AS1387" i="21"/>
  <c r="AT1387" i="21" s="1"/>
  <c r="AV1387" i="21" s="1"/>
  <c r="AY1387" i="21"/>
  <c r="AZ1387" i="21" s="1"/>
  <c r="AR1388" i="21"/>
  <c r="AS1388" i="21"/>
  <c r="AW1388" i="21" s="1"/>
  <c r="AX1388" i="21" s="1"/>
  <c r="AT1388" i="21"/>
  <c r="AV1388" i="21" s="1"/>
  <c r="AY1388" i="21"/>
  <c r="AZ1388" i="21" s="1"/>
  <c r="AR1389" i="21"/>
  <c r="AS1389" i="21"/>
  <c r="AT1389" i="21" s="1"/>
  <c r="AV1389" i="21" s="1"/>
  <c r="AY1389" i="21"/>
  <c r="AZ1389" i="21" s="1"/>
  <c r="AR1390" i="21"/>
  <c r="AS1390" i="21"/>
  <c r="AW1390" i="21" s="1"/>
  <c r="AX1390" i="21" s="1"/>
  <c r="AT1390" i="21"/>
  <c r="AV1390" i="21" s="1"/>
  <c r="AY1390" i="21"/>
  <c r="AZ1390" i="21" s="1"/>
  <c r="AR1391" i="21"/>
  <c r="AS1391" i="21"/>
  <c r="AT1391" i="21" s="1"/>
  <c r="AV1391" i="21" s="1"/>
  <c r="AY1391" i="21"/>
  <c r="AZ1391" i="21" s="1"/>
  <c r="AR1392" i="21"/>
  <c r="AS1392" i="21"/>
  <c r="AW1392" i="21" s="1"/>
  <c r="AX1392" i="21" s="1"/>
  <c r="AT1392" i="21"/>
  <c r="AV1392" i="21" s="1"/>
  <c r="AY1392" i="21"/>
  <c r="AZ1392" i="21" s="1"/>
  <c r="AR1393" i="21"/>
  <c r="AS1393" i="21"/>
  <c r="AT1393" i="21" s="1"/>
  <c r="AV1393" i="21" s="1"/>
  <c r="AY1393" i="21"/>
  <c r="AZ1393" i="21" s="1"/>
  <c r="AR1394" i="21"/>
  <c r="AS1394" i="21"/>
  <c r="AW1394" i="21" s="1"/>
  <c r="AX1394" i="21" s="1"/>
  <c r="AT1394" i="21"/>
  <c r="AV1394" i="21" s="1"/>
  <c r="AY1394" i="21"/>
  <c r="AZ1394" i="21" s="1"/>
  <c r="AR1395" i="21"/>
  <c r="AS1395" i="21"/>
  <c r="AT1395" i="21" s="1"/>
  <c r="AV1395" i="21" s="1"/>
  <c r="AY1395" i="21"/>
  <c r="AZ1395" i="21" s="1"/>
  <c r="AR1396" i="21"/>
  <c r="AS1396" i="21"/>
  <c r="AW1396" i="21" s="1"/>
  <c r="AX1396" i="21" s="1"/>
  <c r="AT1396" i="21"/>
  <c r="AV1396" i="21" s="1"/>
  <c r="AY1396" i="21"/>
  <c r="AZ1396" i="21" s="1"/>
  <c r="AR1397" i="21"/>
  <c r="AS1397" i="21"/>
  <c r="AT1397" i="21" s="1"/>
  <c r="AV1397" i="21" s="1"/>
  <c r="AY1397" i="21"/>
  <c r="AZ1397" i="21" s="1"/>
  <c r="AR1398" i="21"/>
  <c r="AS1398" i="21"/>
  <c r="AW1398" i="21" s="1"/>
  <c r="AX1398" i="21" s="1"/>
  <c r="AT1398" i="21"/>
  <c r="AV1398" i="21" s="1"/>
  <c r="AY1398" i="21"/>
  <c r="AZ1398" i="21" s="1"/>
  <c r="AR1399" i="21"/>
  <c r="AS1399" i="21"/>
  <c r="AT1399" i="21" s="1"/>
  <c r="AV1399" i="21" s="1"/>
  <c r="AY1399" i="21"/>
  <c r="AZ1399" i="21" s="1"/>
  <c r="AR1400" i="21"/>
  <c r="AS1400" i="21"/>
  <c r="AW1400" i="21" s="1"/>
  <c r="AX1400" i="21" s="1"/>
  <c r="AT1400" i="21"/>
  <c r="AV1400" i="21" s="1"/>
  <c r="AY1400" i="21"/>
  <c r="AZ1400" i="21" s="1"/>
  <c r="AR1401" i="21"/>
  <c r="AS1401" i="21"/>
  <c r="AT1401" i="21" s="1"/>
  <c r="AV1401" i="21" s="1"/>
  <c r="AY1401" i="21"/>
  <c r="AZ1401" i="21" s="1"/>
  <c r="AR1402" i="21"/>
  <c r="AS1402" i="21"/>
  <c r="AW1402" i="21" s="1"/>
  <c r="AX1402" i="21" s="1"/>
  <c r="AT1402" i="21"/>
  <c r="AV1402" i="21" s="1"/>
  <c r="AY1402" i="21"/>
  <c r="AZ1402" i="21" s="1"/>
  <c r="AR1403" i="21"/>
  <c r="AS1403" i="21"/>
  <c r="AT1403" i="21" s="1"/>
  <c r="AV1403" i="21" s="1"/>
  <c r="AY1403" i="21"/>
  <c r="AZ1403" i="21" s="1"/>
  <c r="AR1404" i="21"/>
  <c r="AS1404" i="21"/>
  <c r="AW1404" i="21" s="1"/>
  <c r="AX1404" i="21" s="1"/>
  <c r="AT1404" i="21"/>
  <c r="AV1404" i="21" s="1"/>
  <c r="AY1404" i="21"/>
  <c r="AZ1404" i="21" s="1"/>
  <c r="AR1405" i="21"/>
  <c r="AS1405" i="21"/>
  <c r="AT1405" i="21" s="1"/>
  <c r="AV1405" i="21" s="1"/>
  <c r="AY1405" i="21"/>
  <c r="AZ1405" i="21" s="1"/>
  <c r="AR1406" i="21"/>
  <c r="AS1406" i="21"/>
  <c r="AW1406" i="21" s="1"/>
  <c r="AX1406" i="21" s="1"/>
  <c r="AT1406" i="21"/>
  <c r="AV1406" i="21" s="1"/>
  <c r="AY1406" i="21"/>
  <c r="AZ1406" i="21" s="1"/>
  <c r="AR1407" i="21"/>
  <c r="AS1407" i="21"/>
  <c r="AT1407" i="21" s="1"/>
  <c r="AV1407" i="21" s="1"/>
  <c r="AY1407" i="21"/>
  <c r="AZ1407" i="21" s="1"/>
  <c r="AR1408" i="21"/>
  <c r="AS1408" i="21"/>
  <c r="AW1408" i="21" s="1"/>
  <c r="AX1408" i="21" s="1"/>
  <c r="AT1408" i="21"/>
  <c r="AV1408" i="21" s="1"/>
  <c r="AY1408" i="21"/>
  <c r="AZ1408" i="21" s="1"/>
  <c r="AR1409" i="21"/>
  <c r="AS1409" i="21"/>
  <c r="AT1409" i="21" s="1"/>
  <c r="AV1409" i="21" s="1"/>
  <c r="AY1409" i="21"/>
  <c r="AZ1409" i="21" s="1"/>
  <c r="AR1410" i="21"/>
  <c r="AS1410" i="21"/>
  <c r="AW1410" i="21" s="1"/>
  <c r="AX1410" i="21" s="1"/>
  <c r="AT1410" i="21"/>
  <c r="AV1410" i="21" s="1"/>
  <c r="AY1410" i="21"/>
  <c r="AZ1410" i="21" s="1"/>
  <c r="AR1411" i="21"/>
  <c r="AS1411" i="21"/>
  <c r="AT1411" i="21" s="1"/>
  <c r="AV1411" i="21" s="1"/>
  <c r="AY1411" i="21"/>
  <c r="AZ1411" i="21" s="1"/>
  <c r="AR1412" i="21"/>
  <c r="AS1412" i="21"/>
  <c r="AW1412" i="21" s="1"/>
  <c r="AX1412" i="21" s="1"/>
  <c r="AT1412" i="21"/>
  <c r="AV1412" i="21" s="1"/>
  <c r="AY1412" i="21"/>
  <c r="AZ1412" i="21" s="1"/>
  <c r="AR1413" i="21"/>
  <c r="AS1413" i="21"/>
  <c r="AT1413" i="21" s="1"/>
  <c r="AV1413" i="21" s="1"/>
  <c r="AY1413" i="21"/>
  <c r="AZ1413" i="21" s="1"/>
  <c r="AR1414" i="21"/>
  <c r="AS1414" i="21"/>
  <c r="AW1414" i="21" s="1"/>
  <c r="AX1414" i="21" s="1"/>
  <c r="AT1414" i="21"/>
  <c r="AV1414" i="21" s="1"/>
  <c r="AY1414" i="21"/>
  <c r="AZ1414" i="21" s="1"/>
  <c r="AR1415" i="21"/>
  <c r="AS1415" i="21"/>
  <c r="AT1415" i="21" s="1"/>
  <c r="AV1415" i="21" s="1"/>
  <c r="AY1415" i="21"/>
  <c r="AZ1415" i="21" s="1"/>
  <c r="AR1416" i="21"/>
  <c r="AS1416" i="21"/>
  <c r="AW1416" i="21" s="1"/>
  <c r="AX1416" i="21" s="1"/>
  <c r="AT1416" i="21"/>
  <c r="AV1416" i="21" s="1"/>
  <c r="AY1416" i="21"/>
  <c r="AZ1416" i="21" s="1"/>
  <c r="AR1417" i="21"/>
  <c r="AS1417" i="21"/>
  <c r="AT1417" i="21" s="1"/>
  <c r="AV1417" i="21" s="1"/>
  <c r="AY1417" i="21"/>
  <c r="AZ1417" i="21" s="1"/>
  <c r="AR1418" i="21"/>
  <c r="AS1418" i="21"/>
  <c r="AW1418" i="21" s="1"/>
  <c r="AX1418" i="21" s="1"/>
  <c r="AT1418" i="21"/>
  <c r="AV1418" i="21" s="1"/>
  <c r="AY1418" i="21"/>
  <c r="AZ1418" i="21" s="1"/>
  <c r="AR1419" i="21"/>
  <c r="AS1419" i="21"/>
  <c r="AT1419" i="21" s="1"/>
  <c r="AV1419" i="21" s="1"/>
  <c r="AY1419" i="21"/>
  <c r="AZ1419" i="21" s="1"/>
  <c r="AR1420" i="21"/>
  <c r="AS1420" i="21"/>
  <c r="AW1420" i="21" s="1"/>
  <c r="AX1420" i="21" s="1"/>
  <c r="AT1420" i="21"/>
  <c r="AV1420" i="21" s="1"/>
  <c r="AY1420" i="21"/>
  <c r="AZ1420" i="21" s="1"/>
  <c r="AR1421" i="21"/>
  <c r="AS1421" i="21"/>
  <c r="AT1421" i="21" s="1"/>
  <c r="AV1421" i="21" s="1"/>
  <c r="AY1421" i="21"/>
  <c r="AZ1421" i="21" s="1"/>
  <c r="AT1315" i="21"/>
  <c r="AV1315" i="21" s="1"/>
  <c r="AS1315" i="21"/>
  <c r="AY1315" i="21" s="1"/>
  <c r="AZ1315" i="21" s="1"/>
  <c r="AR1315" i="21"/>
  <c r="B125" i="18" l="1"/>
  <c r="O7" i="19" s="1"/>
  <c r="J125" i="18"/>
  <c r="O25" i="19" s="1"/>
  <c r="F125" i="18"/>
  <c r="O16" i="19" s="1"/>
  <c r="AY1381" i="21"/>
  <c r="AZ1381" i="21" s="1"/>
  <c r="AY1353" i="21"/>
  <c r="AZ1353" i="21" s="1"/>
  <c r="AY1347" i="21"/>
  <c r="AZ1347" i="21" s="1"/>
  <c r="AY1345" i="21"/>
  <c r="AZ1345" i="21" s="1"/>
  <c r="AY1329" i="21"/>
  <c r="AZ1329" i="21" s="1"/>
  <c r="AY1327" i="21"/>
  <c r="AZ1327" i="21" s="1"/>
  <c r="AW1421" i="21"/>
  <c r="AX1421" i="21" s="1"/>
  <c r="AW1417" i="21"/>
  <c r="AX1417" i="21" s="1"/>
  <c r="AW1413" i="21"/>
  <c r="AX1413" i="21" s="1"/>
  <c r="AW1411" i="21"/>
  <c r="AX1411" i="21" s="1"/>
  <c r="AW1407" i="21"/>
  <c r="AX1407" i="21" s="1"/>
  <c r="AW1403" i="21"/>
  <c r="AX1403" i="21" s="1"/>
  <c r="AW1399" i="21"/>
  <c r="AX1399" i="21" s="1"/>
  <c r="AW1395" i="21"/>
  <c r="AX1395" i="21" s="1"/>
  <c r="AW1391" i="21"/>
  <c r="AX1391" i="21" s="1"/>
  <c r="AW1385" i="21"/>
  <c r="AX1385" i="21" s="1"/>
  <c r="AW1375" i="21"/>
  <c r="AX1375" i="21" s="1"/>
  <c r="AW1371" i="21"/>
  <c r="AX1371" i="21" s="1"/>
  <c r="AW1367" i="21"/>
  <c r="AX1367" i="21" s="1"/>
  <c r="AW1363" i="21"/>
  <c r="AX1363" i="21" s="1"/>
  <c r="AW1359" i="21"/>
  <c r="AX1359" i="21" s="1"/>
  <c r="AW1355" i="21"/>
  <c r="AX1355" i="21" s="1"/>
  <c r="AW1351" i="21"/>
  <c r="AX1351" i="21" s="1"/>
  <c r="AW1349" i="21"/>
  <c r="AX1349" i="21" s="1"/>
  <c r="AW1343" i="21"/>
  <c r="AX1343" i="21" s="1"/>
  <c r="AW1341" i="21"/>
  <c r="AX1341" i="21" s="1"/>
  <c r="AW1339" i="21"/>
  <c r="AX1339" i="21" s="1"/>
  <c r="AW1337" i="21"/>
  <c r="AX1337" i="21" s="1"/>
  <c r="AW1335" i="21"/>
  <c r="AX1335" i="21" s="1"/>
  <c r="AW1333" i="21"/>
  <c r="AX1333" i="21" s="1"/>
  <c r="AW1331" i="21"/>
  <c r="AX1331" i="21" s="1"/>
  <c r="AW1419" i="21"/>
  <c r="AX1419" i="21" s="1"/>
  <c r="AW1415" i="21"/>
  <c r="AX1415" i="21" s="1"/>
  <c r="AW1409" i="21"/>
  <c r="AX1409" i="21" s="1"/>
  <c r="AW1405" i="21"/>
  <c r="AX1405" i="21" s="1"/>
  <c r="AW1401" i="21"/>
  <c r="AX1401" i="21" s="1"/>
  <c r="AW1397" i="21"/>
  <c r="AX1397" i="21" s="1"/>
  <c r="AW1393" i="21"/>
  <c r="AX1393" i="21" s="1"/>
  <c r="AW1389" i="21"/>
  <c r="AX1389" i="21" s="1"/>
  <c r="AW1387" i="21"/>
  <c r="AX1387" i="21" s="1"/>
  <c r="AW1383" i="21"/>
  <c r="AX1383" i="21" s="1"/>
  <c r="AW1379" i="21"/>
  <c r="AX1379" i="21" s="1"/>
  <c r="AW1377" i="21"/>
  <c r="AX1377" i="21" s="1"/>
  <c r="AW1373" i="21"/>
  <c r="AX1373" i="21" s="1"/>
  <c r="AW1369" i="21"/>
  <c r="AX1369" i="21" s="1"/>
  <c r="AW1365" i="21"/>
  <c r="AX1365" i="21" s="1"/>
  <c r="AW1361" i="21"/>
  <c r="AX1361" i="21" s="1"/>
  <c r="AW1357" i="21"/>
  <c r="AX1357" i="21" s="1"/>
  <c r="AY1386" i="21"/>
  <c r="AZ1386" i="21" s="1"/>
  <c r="AY1378" i="21"/>
  <c r="AZ1378" i="21" s="1"/>
  <c r="AY1368" i="21"/>
  <c r="AZ1368" i="21" s="1"/>
  <c r="AY1354" i="21"/>
  <c r="AZ1354" i="21" s="1"/>
  <c r="AY1338" i="21"/>
  <c r="AZ1338" i="21" s="1"/>
  <c r="AY1370" i="21"/>
  <c r="AZ1370" i="21" s="1"/>
  <c r="AW1315" i="21"/>
  <c r="AX1315" i="21" s="1"/>
  <c r="N125" i="18" s="1"/>
  <c r="O34" i="19" s="1"/>
  <c r="R125" i="18" l="1"/>
  <c r="O43" i="19" s="1"/>
  <c r="C55" i="14"/>
  <c r="O55" i="14" s="1"/>
  <c r="J56" i="12"/>
  <c r="AB55" i="14"/>
  <c r="AI55" i="14" s="1"/>
  <c r="X55" i="14"/>
  <c r="Y55" i="14" s="1"/>
  <c r="B55" i="14"/>
  <c r="AA55" i="14" s="1"/>
  <c r="U56" i="12"/>
  <c r="C123" i="18" s="1"/>
  <c r="S123" i="18" s="1"/>
  <c r="I56" i="12"/>
  <c r="DE36" i="6"/>
  <c r="DD9" i="6"/>
  <c r="DD8" i="6"/>
  <c r="DD10" i="6" s="1"/>
  <c r="DE11" i="6" s="1"/>
  <c r="CZ11" i="22"/>
  <c r="DA14" i="22" s="1"/>
  <c r="DE38" i="6"/>
  <c r="DE37" i="6"/>
  <c r="DE35" i="6"/>
  <c r="DE34" i="6"/>
  <c r="DE33" i="6"/>
  <c r="DE14" i="6"/>
  <c r="DE13" i="6"/>
  <c r="DE2" i="6"/>
  <c r="DA15" i="22"/>
  <c r="U2" i="19"/>
  <c r="V2" i="19" s="1"/>
  <c r="U10" i="19"/>
  <c r="V10" i="19"/>
  <c r="W10" i="19"/>
  <c r="X10" i="19"/>
  <c r="U11" i="19"/>
  <c r="U19" i="19"/>
  <c r="U28" i="19" s="1"/>
  <c r="U37" i="19" s="1"/>
  <c r="V19" i="19"/>
  <c r="V28" i="19" s="1"/>
  <c r="V37" i="19" s="1"/>
  <c r="W19" i="19"/>
  <c r="W28" i="19" s="1"/>
  <c r="W37" i="19" s="1"/>
  <c r="X19" i="19"/>
  <c r="X28" i="19" s="1"/>
  <c r="X37" i="19" s="1"/>
  <c r="U20" i="19"/>
  <c r="U29" i="19" s="1"/>
  <c r="U38" i="19" s="1"/>
  <c r="T2" i="19"/>
  <c r="T28" i="19"/>
  <c r="T37" i="19" s="1"/>
  <c r="T19" i="19"/>
  <c r="T11" i="19"/>
  <c r="T20" i="19" s="1"/>
  <c r="T29" i="19" s="1"/>
  <c r="T38" i="19" s="1"/>
  <c r="T10" i="19"/>
  <c r="S11" i="19"/>
  <c r="S20" i="19" s="1"/>
  <c r="S29" i="19" s="1"/>
  <c r="S38" i="19" s="1"/>
  <c r="S10" i="19"/>
  <c r="S19" i="19" s="1"/>
  <c r="S28" i="19" s="1"/>
  <c r="S37" i="19" s="1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Z3" i="20"/>
  <c r="AA3" i="20"/>
  <c r="AB3" i="20"/>
  <c r="AC3" i="20"/>
  <c r="AD3" i="20"/>
  <c r="AE3" i="20"/>
  <c r="CP4" i="20"/>
  <c r="CP1" i="20" s="1"/>
  <c r="CQ4" i="20"/>
  <c r="CQ1" i="20" s="1"/>
  <c r="CR4" i="20"/>
  <c r="CR1" i="20" s="1"/>
  <c r="CS4" i="20"/>
  <c r="CS1" i="20" s="1"/>
  <c r="CT4" i="20"/>
  <c r="CT1" i="20" s="1"/>
  <c r="CU4" i="20"/>
  <c r="CU1" i="20" s="1"/>
  <c r="CP5" i="20"/>
  <c r="CQ5" i="20"/>
  <c r="CR5" i="20"/>
  <c r="CS5" i="20"/>
  <c r="CT5" i="20"/>
  <c r="CU5" i="20"/>
  <c r="CP6" i="20"/>
  <c r="CQ6" i="20"/>
  <c r="CR6" i="20"/>
  <c r="CS6" i="20"/>
  <c r="CT6" i="20"/>
  <c r="CU6" i="20"/>
  <c r="CP7" i="20"/>
  <c r="CQ7" i="20"/>
  <c r="CR7" i="20"/>
  <c r="CS7" i="20"/>
  <c r="CT7" i="20"/>
  <c r="CU7" i="20"/>
  <c r="CP8" i="20"/>
  <c r="CQ8" i="20"/>
  <c r="CR8" i="20"/>
  <c r="CS8" i="20"/>
  <c r="CT8" i="20"/>
  <c r="CU8" i="20"/>
  <c r="CP9" i="20"/>
  <c r="CQ9" i="20"/>
  <c r="CR9" i="20"/>
  <c r="CS9" i="20"/>
  <c r="CT9" i="20"/>
  <c r="CU9" i="20"/>
  <c r="CP10" i="20"/>
  <c r="CQ10" i="20"/>
  <c r="CR10" i="20"/>
  <c r="CS10" i="20"/>
  <c r="CT10" i="20"/>
  <c r="CU10" i="20"/>
  <c r="CP11" i="20"/>
  <c r="CQ11" i="20"/>
  <c r="CR11" i="20"/>
  <c r="CS11" i="20"/>
  <c r="CT11" i="20"/>
  <c r="CU11" i="20"/>
  <c r="CP12" i="20"/>
  <c r="CQ12" i="20"/>
  <c r="CR12" i="20"/>
  <c r="CS12" i="20"/>
  <c r="CT12" i="20"/>
  <c r="CU12" i="20"/>
  <c r="CP13" i="20"/>
  <c r="CQ13" i="20"/>
  <c r="CR13" i="20"/>
  <c r="CS13" i="20"/>
  <c r="CT13" i="20"/>
  <c r="CU13" i="20"/>
  <c r="CP14" i="20"/>
  <c r="CQ14" i="20"/>
  <c r="CR14" i="20"/>
  <c r="CS14" i="20"/>
  <c r="CT14" i="20"/>
  <c r="CU14" i="20"/>
  <c r="CP15" i="20"/>
  <c r="CQ15" i="20"/>
  <c r="CR15" i="20"/>
  <c r="CS15" i="20"/>
  <c r="CT15" i="20"/>
  <c r="CU15" i="20"/>
  <c r="CP16" i="20"/>
  <c r="CQ16" i="20"/>
  <c r="CR16" i="20"/>
  <c r="CS16" i="20"/>
  <c r="CT16" i="20"/>
  <c r="CU16" i="20"/>
  <c r="CP17" i="20"/>
  <c r="CQ17" i="20"/>
  <c r="CR17" i="20"/>
  <c r="CS17" i="20"/>
  <c r="CT17" i="20"/>
  <c r="CU17" i="20"/>
  <c r="CP18" i="20"/>
  <c r="CQ18" i="20"/>
  <c r="CR18" i="20"/>
  <c r="CS18" i="20"/>
  <c r="CT18" i="20"/>
  <c r="CU18" i="20"/>
  <c r="CP19" i="20"/>
  <c r="CQ19" i="20"/>
  <c r="CR19" i="20"/>
  <c r="CS19" i="20"/>
  <c r="CT19" i="20"/>
  <c r="CU19" i="20"/>
  <c r="CP20" i="20"/>
  <c r="CQ20" i="20"/>
  <c r="CR20" i="20"/>
  <c r="CS20" i="20"/>
  <c r="CT20" i="20"/>
  <c r="CU20" i="20"/>
  <c r="CP21" i="20"/>
  <c r="CQ21" i="20"/>
  <c r="CR21" i="20"/>
  <c r="CS21" i="20"/>
  <c r="CT21" i="20"/>
  <c r="CU21" i="20"/>
  <c r="CP22" i="20"/>
  <c r="CQ22" i="20"/>
  <c r="CR22" i="20"/>
  <c r="CS22" i="20"/>
  <c r="CT22" i="20"/>
  <c r="CU22" i="20"/>
  <c r="CP23" i="20"/>
  <c r="CQ23" i="20"/>
  <c r="CR23" i="20"/>
  <c r="CS23" i="20"/>
  <c r="CT23" i="20"/>
  <c r="CU23" i="20"/>
  <c r="CP24" i="20"/>
  <c r="CQ24" i="20"/>
  <c r="CR24" i="20"/>
  <c r="CS24" i="20"/>
  <c r="CT24" i="20"/>
  <c r="CU24" i="20"/>
  <c r="CP25" i="20"/>
  <c r="CQ25" i="20"/>
  <c r="CR25" i="20"/>
  <c r="CS25" i="20"/>
  <c r="CT25" i="20"/>
  <c r="CU25" i="20"/>
  <c r="CP26" i="20"/>
  <c r="CQ26" i="20"/>
  <c r="CR26" i="20"/>
  <c r="CS26" i="20"/>
  <c r="CT26" i="20"/>
  <c r="CU26" i="20"/>
  <c r="CP27" i="20"/>
  <c r="CQ27" i="20"/>
  <c r="CR27" i="20"/>
  <c r="CS27" i="20"/>
  <c r="CT27" i="20"/>
  <c r="CU27" i="20"/>
  <c r="CP28" i="20"/>
  <c r="CQ28" i="20"/>
  <c r="CR28" i="20"/>
  <c r="CS28" i="20"/>
  <c r="CT28" i="20"/>
  <c r="CU28" i="20"/>
  <c r="CP29" i="20"/>
  <c r="CQ29" i="20"/>
  <c r="CR29" i="20"/>
  <c r="CS29" i="20"/>
  <c r="CT29" i="20"/>
  <c r="CU29" i="20"/>
  <c r="CP30" i="20"/>
  <c r="CQ30" i="20"/>
  <c r="CR30" i="20"/>
  <c r="CS30" i="20"/>
  <c r="CT30" i="20"/>
  <c r="CU30" i="20"/>
  <c r="CP31" i="20"/>
  <c r="CQ31" i="20"/>
  <c r="CR31" i="20"/>
  <c r="CS31" i="20"/>
  <c r="CT31" i="20"/>
  <c r="CU31" i="20"/>
  <c r="CP32" i="20"/>
  <c r="CQ32" i="20"/>
  <c r="CR32" i="20"/>
  <c r="CS32" i="20"/>
  <c r="CT32" i="20"/>
  <c r="CU32" i="20"/>
  <c r="CP33" i="20"/>
  <c r="CQ33" i="20"/>
  <c r="CR33" i="20"/>
  <c r="CS33" i="20"/>
  <c r="CT33" i="20"/>
  <c r="CU33" i="20"/>
  <c r="CP34" i="20"/>
  <c r="CQ34" i="20"/>
  <c r="CR34" i="20"/>
  <c r="CS34" i="20"/>
  <c r="CT34" i="20"/>
  <c r="CU34" i="20"/>
  <c r="CP35" i="20"/>
  <c r="CQ35" i="20"/>
  <c r="CR35" i="20"/>
  <c r="CS35" i="20"/>
  <c r="CT35" i="20"/>
  <c r="CU35" i="20"/>
  <c r="CP36" i="20"/>
  <c r="CQ36" i="20"/>
  <c r="CR36" i="20"/>
  <c r="CS36" i="20"/>
  <c r="CT36" i="20"/>
  <c r="CU36" i="20"/>
  <c r="CP37" i="20"/>
  <c r="CQ37" i="20"/>
  <c r="CR37" i="20"/>
  <c r="CS37" i="20"/>
  <c r="CT37" i="20"/>
  <c r="CU37" i="20"/>
  <c r="CP38" i="20"/>
  <c r="CQ38" i="20"/>
  <c r="CR38" i="20"/>
  <c r="CS38" i="20"/>
  <c r="CT38" i="20"/>
  <c r="CU38" i="20"/>
  <c r="CP39" i="20"/>
  <c r="CQ39" i="20"/>
  <c r="CR39" i="20"/>
  <c r="CS39" i="20"/>
  <c r="CT39" i="20"/>
  <c r="CU39" i="20"/>
  <c r="CP40" i="20"/>
  <c r="CQ40" i="20"/>
  <c r="CR40" i="20"/>
  <c r="CS40" i="20"/>
  <c r="CT40" i="20"/>
  <c r="CU40" i="20"/>
  <c r="CP41" i="20"/>
  <c r="CQ41" i="20"/>
  <c r="CR41" i="20"/>
  <c r="CS41" i="20"/>
  <c r="CT41" i="20"/>
  <c r="CU41" i="20"/>
  <c r="CP42" i="20"/>
  <c r="CQ42" i="20"/>
  <c r="CR42" i="20"/>
  <c r="CS42" i="20"/>
  <c r="CT42" i="20"/>
  <c r="CU42" i="20"/>
  <c r="CP43" i="20"/>
  <c r="CQ43" i="20"/>
  <c r="CR43" i="20"/>
  <c r="CS43" i="20"/>
  <c r="CT43" i="20"/>
  <c r="CU43" i="20"/>
  <c r="CP44" i="20"/>
  <c r="CQ44" i="20"/>
  <c r="CR44" i="20"/>
  <c r="CS44" i="20"/>
  <c r="CT44" i="20"/>
  <c r="CU44" i="20"/>
  <c r="CP45" i="20"/>
  <c r="CQ45" i="20"/>
  <c r="CR45" i="20"/>
  <c r="CS45" i="20"/>
  <c r="CT45" i="20"/>
  <c r="CU45" i="20"/>
  <c r="CP46" i="20"/>
  <c r="CQ46" i="20"/>
  <c r="CR46" i="20"/>
  <c r="CS46" i="20"/>
  <c r="CT46" i="20"/>
  <c r="CU46" i="20"/>
  <c r="CP47" i="20"/>
  <c r="CQ47" i="20"/>
  <c r="CR47" i="20"/>
  <c r="CS47" i="20"/>
  <c r="CT47" i="20"/>
  <c r="CU47" i="20"/>
  <c r="CP48" i="20"/>
  <c r="CQ48" i="20"/>
  <c r="CR48" i="20"/>
  <c r="CS48" i="20"/>
  <c r="CT48" i="20"/>
  <c r="CU48" i="20"/>
  <c r="CP49" i="20"/>
  <c r="CQ49" i="20"/>
  <c r="CR49" i="20"/>
  <c r="CS49" i="20"/>
  <c r="CT49" i="20"/>
  <c r="CU49" i="20"/>
  <c r="CP50" i="20"/>
  <c r="CQ50" i="20"/>
  <c r="CR50" i="20"/>
  <c r="CS50" i="20"/>
  <c r="CT50" i="20"/>
  <c r="CU50" i="20"/>
  <c r="CP51" i="20"/>
  <c r="CQ51" i="20"/>
  <c r="CR51" i="20"/>
  <c r="CS51" i="20"/>
  <c r="CT51" i="20"/>
  <c r="CU51" i="20"/>
  <c r="CP52" i="20"/>
  <c r="CQ52" i="20"/>
  <c r="CR52" i="20"/>
  <c r="CS52" i="20"/>
  <c r="CT52" i="20"/>
  <c r="CU52" i="20"/>
  <c r="CP53" i="20"/>
  <c r="CQ53" i="20"/>
  <c r="CR53" i="20"/>
  <c r="CS53" i="20"/>
  <c r="CT53" i="20"/>
  <c r="CU53" i="20"/>
  <c r="CP54" i="20"/>
  <c r="CQ54" i="20"/>
  <c r="CR54" i="20"/>
  <c r="CS54" i="20"/>
  <c r="CT54" i="20"/>
  <c r="CU54" i="20"/>
  <c r="CP55" i="20"/>
  <c r="CQ55" i="20"/>
  <c r="CR55" i="20"/>
  <c r="CS55" i="20"/>
  <c r="CT55" i="20"/>
  <c r="CU55" i="20"/>
  <c r="CP56" i="20"/>
  <c r="CQ56" i="20"/>
  <c r="CR56" i="20"/>
  <c r="CS56" i="20"/>
  <c r="CT56" i="20"/>
  <c r="CU56" i="20"/>
  <c r="CP57" i="20"/>
  <c r="CQ57" i="20"/>
  <c r="CR57" i="20"/>
  <c r="CS57" i="20"/>
  <c r="CT57" i="20"/>
  <c r="CU57" i="20"/>
  <c r="CP58" i="20"/>
  <c r="CQ58" i="20"/>
  <c r="CR58" i="20"/>
  <c r="CS58" i="20"/>
  <c r="CT58" i="20"/>
  <c r="CU58" i="20"/>
  <c r="CP59" i="20"/>
  <c r="CQ59" i="20"/>
  <c r="CR59" i="20"/>
  <c r="CS59" i="20"/>
  <c r="CT59" i="20"/>
  <c r="CU59" i="20"/>
  <c r="CP60" i="20"/>
  <c r="CQ60" i="20"/>
  <c r="CR60" i="20"/>
  <c r="CS60" i="20"/>
  <c r="CT60" i="20"/>
  <c r="CU60" i="20"/>
  <c r="CP61" i="20"/>
  <c r="CQ61" i="20"/>
  <c r="CR61" i="20"/>
  <c r="CS61" i="20"/>
  <c r="CT61" i="20"/>
  <c r="CU61" i="20"/>
  <c r="CP62" i="20"/>
  <c r="CQ62" i="20"/>
  <c r="CR62" i="20"/>
  <c r="CS62" i="20"/>
  <c r="CT62" i="20"/>
  <c r="CU62" i="20"/>
  <c r="CP63" i="20"/>
  <c r="CQ63" i="20"/>
  <c r="CR63" i="20"/>
  <c r="CS63" i="20"/>
  <c r="CT63" i="20"/>
  <c r="CU63" i="20"/>
  <c r="CP64" i="20"/>
  <c r="CQ64" i="20"/>
  <c r="CR64" i="20"/>
  <c r="CS64" i="20"/>
  <c r="CT64" i="20"/>
  <c r="CU64" i="20"/>
  <c r="CP65" i="20"/>
  <c r="CQ65" i="20"/>
  <c r="CR65" i="20"/>
  <c r="CS65" i="20"/>
  <c r="CT65" i="20"/>
  <c r="CU65" i="20"/>
  <c r="CP66" i="20"/>
  <c r="CQ66" i="20"/>
  <c r="CR66" i="20"/>
  <c r="CS66" i="20"/>
  <c r="CT66" i="20"/>
  <c r="CU66" i="20"/>
  <c r="CP67" i="20"/>
  <c r="CQ67" i="20"/>
  <c r="CR67" i="20"/>
  <c r="CS67" i="20"/>
  <c r="CT67" i="20"/>
  <c r="CU67" i="20"/>
  <c r="CP68" i="20"/>
  <c r="CQ68" i="20"/>
  <c r="CR68" i="20"/>
  <c r="CS68" i="20"/>
  <c r="CT68" i="20"/>
  <c r="CU68" i="20"/>
  <c r="CP69" i="20"/>
  <c r="CQ69" i="20"/>
  <c r="CR69" i="20"/>
  <c r="CS69" i="20"/>
  <c r="CT69" i="20"/>
  <c r="CU69" i="20"/>
  <c r="CP70" i="20"/>
  <c r="CQ70" i="20"/>
  <c r="CR70" i="20"/>
  <c r="CS70" i="20"/>
  <c r="CT70" i="20"/>
  <c r="CU70" i="20"/>
  <c r="CP71" i="20"/>
  <c r="CQ71" i="20"/>
  <c r="CR71" i="20"/>
  <c r="CS71" i="20"/>
  <c r="CT71" i="20"/>
  <c r="CU71" i="20"/>
  <c r="CP72" i="20"/>
  <c r="CQ72" i="20"/>
  <c r="CR72" i="20"/>
  <c r="CS72" i="20"/>
  <c r="CT72" i="20"/>
  <c r="CU72" i="20"/>
  <c r="CP73" i="20"/>
  <c r="CQ73" i="20"/>
  <c r="CR73" i="20"/>
  <c r="CS73" i="20"/>
  <c r="CT73" i="20"/>
  <c r="CU73" i="20"/>
  <c r="CP74" i="20"/>
  <c r="CQ74" i="20"/>
  <c r="CR74" i="20"/>
  <c r="CS74" i="20"/>
  <c r="CT74" i="20"/>
  <c r="CU74" i="20"/>
  <c r="CP75" i="20"/>
  <c r="CQ75" i="20"/>
  <c r="CR75" i="20"/>
  <c r="CS75" i="20"/>
  <c r="CT75" i="20"/>
  <c r="CU75" i="20"/>
  <c r="CP76" i="20"/>
  <c r="CQ76" i="20"/>
  <c r="CR76" i="20"/>
  <c r="CS76" i="20"/>
  <c r="CT76" i="20"/>
  <c r="CU76" i="20"/>
  <c r="CP77" i="20"/>
  <c r="CQ77" i="20"/>
  <c r="CR77" i="20"/>
  <c r="CS77" i="20"/>
  <c r="CT77" i="20"/>
  <c r="CU77" i="20"/>
  <c r="CP78" i="20"/>
  <c r="CQ78" i="20"/>
  <c r="CR78" i="20"/>
  <c r="CS78" i="20"/>
  <c r="CT78" i="20"/>
  <c r="CU78" i="20"/>
  <c r="CP79" i="20"/>
  <c r="CQ79" i="20"/>
  <c r="CR79" i="20"/>
  <c r="CS79" i="20"/>
  <c r="CT79" i="20"/>
  <c r="CU79" i="20"/>
  <c r="CP80" i="20"/>
  <c r="CQ80" i="20"/>
  <c r="CR80" i="20"/>
  <c r="CS80" i="20"/>
  <c r="CT80" i="20"/>
  <c r="CU80" i="20"/>
  <c r="CP81" i="20"/>
  <c r="CQ81" i="20"/>
  <c r="CR81" i="20"/>
  <c r="CS81" i="20"/>
  <c r="CT81" i="20"/>
  <c r="CU81" i="20"/>
  <c r="CP82" i="20"/>
  <c r="CQ82" i="20"/>
  <c r="CR82" i="20"/>
  <c r="CS82" i="20"/>
  <c r="CT82" i="20"/>
  <c r="CU82" i="20"/>
  <c r="CP83" i="20"/>
  <c r="CQ83" i="20"/>
  <c r="CR83" i="20"/>
  <c r="CS83" i="20"/>
  <c r="CT83" i="20"/>
  <c r="CU83" i="20"/>
  <c r="CP84" i="20"/>
  <c r="CQ84" i="20"/>
  <c r="CR84" i="20"/>
  <c r="CS84" i="20"/>
  <c r="CT84" i="20"/>
  <c r="CU84" i="20"/>
  <c r="CP85" i="20"/>
  <c r="CQ85" i="20"/>
  <c r="CR85" i="20"/>
  <c r="CS85" i="20"/>
  <c r="CT85" i="20"/>
  <c r="CU85" i="20"/>
  <c r="CP86" i="20"/>
  <c r="CQ86" i="20"/>
  <c r="CR86" i="20"/>
  <c r="CS86" i="20"/>
  <c r="CT86" i="20"/>
  <c r="CU86" i="20"/>
  <c r="CP87" i="20"/>
  <c r="CQ87" i="20"/>
  <c r="CR87" i="20"/>
  <c r="CS87" i="20"/>
  <c r="CT87" i="20"/>
  <c r="CU87" i="20"/>
  <c r="CP88" i="20"/>
  <c r="CQ88" i="20"/>
  <c r="CR88" i="20"/>
  <c r="CS88" i="20"/>
  <c r="CT88" i="20"/>
  <c r="CU88" i="20"/>
  <c r="CP89" i="20"/>
  <c r="CQ89" i="20"/>
  <c r="CR89" i="20"/>
  <c r="CS89" i="20"/>
  <c r="CT89" i="20"/>
  <c r="CU89" i="20"/>
  <c r="CP90" i="20"/>
  <c r="CQ90" i="20"/>
  <c r="CR90" i="20"/>
  <c r="CS90" i="20"/>
  <c r="CT90" i="20"/>
  <c r="CU90" i="20"/>
  <c r="CP91" i="20"/>
  <c r="CQ91" i="20"/>
  <c r="CR91" i="20"/>
  <c r="CS91" i="20"/>
  <c r="CT91" i="20"/>
  <c r="CU91" i="20"/>
  <c r="CP92" i="20"/>
  <c r="CQ92" i="20"/>
  <c r="CR92" i="20"/>
  <c r="CS92" i="20"/>
  <c r="CT92" i="20"/>
  <c r="CU92" i="20"/>
  <c r="CP93" i="20"/>
  <c r="CQ93" i="20"/>
  <c r="CR93" i="20"/>
  <c r="CS93" i="20"/>
  <c r="CT93" i="20"/>
  <c r="CU93" i="20"/>
  <c r="CP94" i="20"/>
  <c r="CQ94" i="20"/>
  <c r="CR94" i="20"/>
  <c r="CS94" i="20"/>
  <c r="CT94" i="20"/>
  <c r="CU94" i="20"/>
  <c r="CP95" i="20"/>
  <c r="CQ95" i="20"/>
  <c r="CR95" i="20"/>
  <c r="CS95" i="20"/>
  <c r="CT95" i="20"/>
  <c r="CU95" i="20"/>
  <c r="CP96" i="20"/>
  <c r="CQ96" i="20"/>
  <c r="CR96" i="20"/>
  <c r="CS96" i="20"/>
  <c r="CT96" i="20"/>
  <c r="CU96" i="20"/>
  <c r="CP99" i="20"/>
  <c r="CQ99" i="20"/>
  <c r="CR99" i="20"/>
  <c r="CS99" i="20"/>
  <c r="CT99" i="20"/>
  <c r="CU99" i="20"/>
  <c r="CP100" i="20"/>
  <c r="CQ100" i="20"/>
  <c r="CR100" i="20"/>
  <c r="CS100" i="20"/>
  <c r="CT100" i="20"/>
  <c r="CU100" i="20"/>
  <c r="CP101" i="20"/>
  <c r="CQ101" i="20"/>
  <c r="CR101" i="20"/>
  <c r="CS101" i="20"/>
  <c r="CT101" i="20"/>
  <c r="CU101" i="20"/>
  <c r="CP102" i="20"/>
  <c r="CQ102" i="20"/>
  <c r="CR102" i="20"/>
  <c r="CS102" i="20"/>
  <c r="CT102" i="20"/>
  <c r="CU102" i="20"/>
  <c r="CP103" i="20"/>
  <c r="CQ103" i="20"/>
  <c r="CR103" i="20"/>
  <c r="CS103" i="20"/>
  <c r="CT103" i="20"/>
  <c r="CU103" i="20"/>
  <c r="CP104" i="20"/>
  <c r="CQ104" i="20"/>
  <c r="CR104" i="20"/>
  <c r="CS104" i="20"/>
  <c r="CT104" i="20"/>
  <c r="CU104" i="20"/>
  <c r="CP105" i="20"/>
  <c r="CQ105" i="20"/>
  <c r="CR105" i="20"/>
  <c r="CS105" i="20"/>
  <c r="CT105" i="20"/>
  <c r="CU105" i="20"/>
  <c r="CP106" i="20"/>
  <c r="CQ106" i="20"/>
  <c r="CR106" i="20"/>
  <c r="CS106" i="20"/>
  <c r="CT106" i="20"/>
  <c r="CU106" i="20"/>
  <c r="CP107" i="20"/>
  <c r="CQ107" i="20"/>
  <c r="CR107" i="20"/>
  <c r="CS107" i="20"/>
  <c r="CT107" i="20"/>
  <c r="CU107" i="20"/>
  <c r="CP108" i="20"/>
  <c r="CQ108" i="20"/>
  <c r="CR108" i="20"/>
  <c r="CS108" i="20"/>
  <c r="CT108" i="20"/>
  <c r="CU108" i="20"/>
  <c r="CP109" i="20"/>
  <c r="CQ109" i="20"/>
  <c r="CR109" i="20"/>
  <c r="CS109" i="20"/>
  <c r="CT109" i="20"/>
  <c r="CU109" i="20"/>
  <c r="CP110" i="20"/>
  <c r="CQ110" i="20"/>
  <c r="CR110" i="20"/>
  <c r="CS110" i="20"/>
  <c r="CT110" i="20"/>
  <c r="CU110" i="20"/>
  <c r="CP111" i="20"/>
  <c r="CQ111" i="20"/>
  <c r="CR111" i="20"/>
  <c r="CS111" i="20"/>
  <c r="CT111" i="20"/>
  <c r="CU111" i="20"/>
  <c r="CP112" i="20"/>
  <c r="CQ112" i="20"/>
  <c r="CR112" i="20"/>
  <c r="CS112" i="20"/>
  <c r="CT112" i="20"/>
  <c r="CU112" i="20"/>
  <c r="BS5" i="20"/>
  <c r="BT5" i="20"/>
  <c r="BU5" i="20"/>
  <c r="BV5" i="20"/>
  <c r="BW5" i="20"/>
  <c r="BX5" i="20"/>
  <c r="BS6" i="20"/>
  <c r="BT6" i="20"/>
  <c r="BU6" i="20"/>
  <c r="BV6" i="20"/>
  <c r="BW6" i="20"/>
  <c r="BX6" i="20"/>
  <c r="BS7" i="20"/>
  <c r="BT7" i="20"/>
  <c r="BU7" i="20"/>
  <c r="BV7" i="20"/>
  <c r="BW7" i="20"/>
  <c r="BX7" i="20"/>
  <c r="BS8" i="20"/>
  <c r="BT8" i="20"/>
  <c r="BU8" i="20"/>
  <c r="BV8" i="20"/>
  <c r="BW8" i="20"/>
  <c r="BX8" i="20"/>
  <c r="BS9" i="20"/>
  <c r="BT9" i="20"/>
  <c r="BU9" i="20"/>
  <c r="BV9" i="20"/>
  <c r="BW9" i="20"/>
  <c r="BX9" i="20"/>
  <c r="BS10" i="20"/>
  <c r="BT10" i="20"/>
  <c r="BU10" i="20"/>
  <c r="BV10" i="20"/>
  <c r="BW10" i="20"/>
  <c r="BX10" i="20"/>
  <c r="BS11" i="20"/>
  <c r="BT11" i="20"/>
  <c r="BU11" i="20"/>
  <c r="BV11" i="20"/>
  <c r="BW11" i="20"/>
  <c r="BX11" i="20"/>
  <c r="BS12" i="20"/>
  <c r="BT12" i="20"/>
  <c r="BU12" i="20"/>
  <c r="BV12" i="20"/>
  <c r="BW12" i="20"/>
  <c r="BX12" i="20"/>
  <c r="BS13" i="20"/>
  <c r="BT13" i="20"/>
  <c r="BU13" i="20"/>
  <c r="BV13" i="20"/>
  <c r="BW13" i="20"/>
  <c r="BX13" i="20"/>
  <c r="BS14" i="20"/>
  <c r="BT14" i="20"/>
  <c r="BU14" i="20"/>
  <c r="BV14" i="20"/>
  <c r="BW14" i="20"/>
  <c r="BX14" i="20"/>
  <c r="BS15" i="20"/>
  <c r="BT15" i="20"/>
  <c r="BU15" i="20"/>
  <c r="BV15" i="20"/>
  <c r="BW15" i="20"/>
  <c r="BX15" i="20"/>
  <c r="BS16" i="20"/>
  <c r="BT16" i="20"/>
  <c r="BU16" i="20"/>
  <c r="BV16" i="20"/>
  <c r="BW16" i="20"/>
  <c r="BX16" i="20"/>
  <c r="BS17" i="20"/>
  <c r="BT17" i="20"/>
  <c r="BU17" i="20"/>
  <c r="BV17" i="20"/>
  <c r="BW17" i="20"/>
  <c r="BX17" i="20"/>
  <c r="BS18" i="20"/>
  <c r="BT18" i="20"/>
  <c r="BU18" i="20"/>
  <c r="BV18" i="20"/>
  <c r="BW18" i="20"/>
  <c r="BX18" i="20"/>
  <c r="BS19" i="20"/>
  <c r="BT19" i="20"/>
  <c r="BU19" i="20"/>
  <c r="BV19" i="20"/>
  <c r="BW19" i="20"/>
  <c r="BX19" i="20"/>
  <c r="BS20" i="20"/>
  <c r="BT20" i="20"/>
  <c r="BU20" i="20"/>
  <c r="BV20" i="20"/>
  <c r="BW20" i="20"/>
  <c r="BX20" i="20"/>
  <c r="BS21" i="20"/>
  <c r="BT21" i="20"/>
  <c r="BU21" i="20"/>
  <c r="BV21" i="20"/>
  <c r="BW21" i="20"/>
  <c r="BX21" i="20"/>
  <c r="BS22" i="20"/>
  <c r="BT22" i="20"/>
  <c r="BU22" i="20"/>
  <c r="BV22" i="20"/>
  <c r="BW22" i="20"/>
  <c r="BX22" i="20"/>
  <c r="BS23" i="20"/>
  <c r="BT23" i="20"/>
  <c r="BU23" i="20"/>
  <c r="BV23" i="20"/>
  <c r="BW23" i="20"/>
  <c r="BX23" i="20"/>
  <c r="BS24" i="20"/>
  <c r="BT24" i="20"/>
  <c r="BU24" i="20"/>
  <c r="BV24" i="20"/>
  <c r="BW24" i="20"/>
  <c r="BX24" i="20"/>
  <c r="BS25" i="20"/>
  <c r="BT25" i="20"/>
  <c r="BU25" i="20"/>
  <c r="BV25" i="20"/>
  <c r="BW25" i="20"/>
  <c r="BX25" i="20"/>
  <c r="BS26" i="20"/>
  <c r="BT26" i="20"/>
  <c r="BU26" i="20"/>
  <c r="BV26" i="20"/>
  <c r="BW26" i="20"/>
  <c r="BX26" i="20"/>
  <c r="BS27" i="20"/>
  <c r="BT27" i="20"/>
  <c r="BU27" i="20"/>
  <c r="BV27" i="20"/>
  <c r="BW27" i="20"/>
  <c r="BX27" i="20"/>
  <c r="BS28" i="20"/>
  <c r="BT28" i="20"/>
  <c r="BU28" i="20"/>
  <c r="BV28" i="20"/>
  <c r="BW28" i="20"/>
  <c r="BX28" i="20"/>
  <c r="BS29" i="20"/>
  <c r="BT29" i="20"/>
  <c r="BU29" i="20"/>
  <c r="BV29" i="20"/>
  <c r="BW29" i="20"/>
  <c r="BX29" i="20"/>
  <c r="BS30" i="20"/>
  <c r="BT30" i="20"/>
  <c r="BU30" i="20"/>
  <c r="BV30" i="20"/>
  <c r="BW30" i="20"/>
  <c r="BX30" i="20"/>
  <c r="BS31" i="20"/>
  <c r="BT31" i="20"/>
  <c r="BU31" i="20"/>
  <c r="BV31" i="20"/>
  <c r="BW31" i="20"/>
  <c r="BX31" i="20"/>
  <c r="BS32" i="20"/>
  <c r="BT32" i="20"/>
  <c r="BU32" i="20"/>
  <c r="BV32" i="20"/>
  <c r="BW32" i="20"/>
  <c r="BX32" i="20"/>
  <c r="BS33" i="20"/>
  <c r="BT33" i="20"/>
  <c r="BU33" i="20"/>
  <c r="BV33" i="20"/>
  <c r="BW33" i="20"/>
  <c r="BX33" i="20"/>
  <c r="BS34" i="20"/>
  <c r="BT34" i="20"/>
  <c r="BU34" i="20"/>
  <c r="BV34" i="20"/>
  <c r="BW34" i="20"/>
  <c r="BX34" i="20"/>
  <c r="BS35" i="20"/>
  <c r="BT35" i="20"/>
  <c r="BU35" i="20"/>
  <c r="BV35" i="20"/>
  <c r="BW35" i="20"/>
  <c r="BX35" i="20"/>
  <c r="BS36" i="20"/>
  <c r="BT36" i="20"/>
  <c r="BU36" i="20"/>
  <c r="BV36" i="20"/>
  <c r="BW36" i="20"/>
  <c r="BX36" i="20"/>
  <c r="BS37" i="20"/>
  <c r="BT37" i="20"/>
  <c r="BU37" i="20"/>
  <c r="BV37" i="20"/>
  <c r="BW37" i="20"/>
  <c r="BX37" i="20"/>
  <c r="BS38" i="20"/>
  <c r="BT38" i="20"/>
  <c r="BU38" i="20"/>
  <c r="BV38" i="20"/>
  <c r="BW38" i="20"/>
  <c r="BX38" i="20"/>
  <c r="BS39" i="20"/>
  <c r="BT39" i="20"/>
  <c r="BU39" i="20"/>
  <c r="BV39" i="20"/>
  <c r="BW39" i="20"/>
  <c r="BX39" i="20"/>
  <c r="BS40" i="20"/>
  <c r="BT40" i="20"/>
  <c r="BU40" i="20"/>
  <c r="BV40" i="20"/>
  <c r="BW40" i="20"/>
  <c r="BX40" i="20"/>
  <c r="BS41" i="20"/>
  <c r="BT41" i="20"/>
  <c r="BU41" i="20"/>
  <c r="BV41" i="20"/>
  <c r="BW41" i="20"/>
  <c r="BX41" i="20"/>
  <c r="BS42" i="20"/>
  <c r="BT42" i="20"/>
  <c r="BU42" i="20"/>
  <c r="BV42" i="20"/>
  <c r="BW42" i="20"/>
  <c r="BX42" i="20"/>
  <c r="BS43" i="20"/>
  <c r="BT43" i="20"/>
  <c r="BU43" i="20"/>
  <c r="BV43" i="20"/>
  <c r="BW43" i="20"/>
  <c r="BX43" i="20"/>
  <c r="BS44" i="20"/>
  <c r="BT44" i="20"/>
  <c r="BU44" i="20"/>
  <c r="BV44" i="20"/>
  <c r="BW44" i="20"/>
  <c r="BX44" i="20"/>
  <c r="BS45" i="20"/>
  <c r="BT45" i="20"/>
  <c r="BU45" i="20"/>
  <c r="BV45" i="20"/>
  <c r="BW45" i="20"/>
  <c r="BX45" i="20"/>
  <c r="BS46" i="20"/>
  <c r="BT46" i="20"/>
  <c r="BU46" i="20"/>
  <c r="BV46" i="20"/>
  <c r="BW46" i="20"/>
  <c r="BX46" i="20"/>
  <c r="BS47" i="20"/>
  <c r="BT47" i="20"/>
  <c r="BU47" i="20"/>
  <c r="BV47" i="20"/>
  <c r="BW47" i="20"/>
  <c r="BX47" i="20"/>
  <c r="BS48" i="20"/>
  <c r="BT48" i="20"/>
  <c r="BU48" i="20"/>
  <c r="BV48" i="20"/>
  <c r="BW48" i="20"/>
  <c r="BX48" i="20"/>
  <c r="BS49" i="20"/>
  <c r="BT49" i="20"/>
  <c r="BU49" i="20"/>
  <c r="BV49" i="20"/>
  <c r="BW49" i="20"/>
  <c r="BX49" i="20"/>
  <c r="BS50" i="20"/>
  <c r="BT50" i="20"/>
  <c r="BU50" i="20"/>
  <c r="BV50" i="20"/>
  <c r="BW50" i="20"/>
  <c r="BX50" i="20"/>
  <c r="BS51" i="20"/>
  <c r="BT51" i="20"/>
  <c r="BU51" i="20"/>
  <c r="BV51" i="20"/>
  <c r="BW51" i="20"/>
  <c r="BX51" i="20"/>
  <c r="BS52" i="20"/>
  <c r="BT52" i="20"/>
  <c r="BU52" i="20"/>
  <c r="BV52" i="20"/>
  <c r="BW52" i="20"/>
  <c r="BX52" i="20"/>
  <c r="BS53" i="20"/>
  <c r="BT53" i="20"/>
  <c r="BU53" i="20"/>
  <c r="BV53" i="20"/>
  <c r="BW53" i="20"/>
  <c r="BX53" i="20"/>
  <c r="BS54" i="20"/>
  <c r="BT54" i="20"/>
  <c r="BU54" i="20"/>
  <c r="BV54" i="20"/>
  <c r="BW54" i="20"/>
  <c r="BX54" i="20"/>
  <c r="BS55" i="20"/>
  <c r="BT55" i="20"/>
  <c r="BU55" i="20"/>
  <c r="BV55" i="20"/>
  <c r="BW55" i="20"/>
  <c r="BX55" i="20"/>
  <c r="BS56" i="20"/>
  <c r="BT56" i="20"/>
  <c r="BU56" i="20"/>
  <c r="BV56" i="20"/>
  <c r="BW56" i="20"/>
  <c r="BX56" i="20"/>
  <c r="BS57" i="20"/>
  <c r="BT57" i="20"/>
  <c r="BU57" i="20"/>
  <c r="BV57" i="20"/>
  <c r="BW57" i="20"/>
  <c r="BX57" i="20"/>
  <c r="BS58" i="20"/>
  <c r="BT58" i="20"/>
  <c r="BU58" i="20"/>
  <c r="BV58" i="20"/>
  <c r="BW58" i="20"/>
  <c r="BX58" i="20"/>
  <c r="BS59" i="20"/>
  <c r="BT59" i="20"/>
  <c r="BU59" i="20"/>
  <c r="BV59" i="20"/>
  <c r="BW59" i="20"/>
  <c r="BX59" i="20"/>
  <c r="BS60" i="20"/>
  <c r="BT60" i="20"/>
  <c r="BU60" i="20"/>
  <c r="BV60" i="20"/>
  <c r="BW60" i="20"/>
  <c r="BX60" i="20"/>
  <c r="BS61" i="20"/>
  <c r="BT61" i="20"/>
  <c r="BU61" i="20"/>
  <c r="BV61" i="20"/>
  <c r="BW61" i="20"/>
  <c r="BX61" i="20"/>
  <c r="BS62" i="20"/>
  <c r="BT62" i="20"/>
  <c r="BU62" i="20"/>
  <c r="BV62" i="20"/>
  <c r="BW62" i="20"/>
  <c r="BX62" i="20"/>
  <c r="BS63" i="20"/>
  <c r="BT63" i="20"/>
  <c r="BU63" i="20"/>
  <c r="BV63" i="20"/>
  <c r="BW63" i="20"/>
  <c r="BX63" i="20"/>
  <c r="BS64" i="20"/>
  <c r="BT64" i="20"/>
  <c r="BU64" i="20"/>
  <c r="BV64" i="20"/>
  <c r="BW64" i="20"/>
  <c r="BX64" i="20"/>
  <c r="BS65" i="20"/>
  <c r="BT65" i="20"/>
  <c r="BU65" i="20"/>
  <c r="BV65" i="20"/>
  <c r="BW65" i="20"/>
  <c r="BX65" i="20"/>
  <c r="BS66" i="20"/>
  <c r="BT66" i="20"/>
  <c r="BU66" i="20"/>
  <c r="BV66" i="20"/>
  <c r="BW66" i="20"/>
  <c r="BX66" i="20"/>
  <c r="BS67" i="20"/>
  <c r="BT67" i="20"/>
  <c r="BU67" i="20"/>
  <c r="BV67" i="20"/>
  <c r="BW67" i="20"/>
  <c r="BX67" i="20"/>
  <c r="BS68" i="20"/>
  <c r="BT68" i="20"/>
  <c r="BU68" i="20"/>
  <c r="BV68" i="20"/>
  <c r="BW68" i="20"/>
  <c r="BX68" i="20"/>
  <c r="BS69" i="20"/>
  <c r="BT69" i="20"/>
  <c r="BU69" i="20"/>
  <c r="BV69" i="20"/>
  <c r="BW69" i="20"/>
  <c r="BX69" i="20"/>
  <c r="BS70" i="20"/>
  <c r="BT70" i="20"/>
  <c r="BU70" i="20"/>
  <c r="BV70" i="20"/>
  <c r="BW70" i="20"/>
  <c r="BX70" i="20"/>
  <c r="BS71" i="20"/>
  <c r="BT71" i="20"/>
  <c r="BU71" i="20"/>
  <c r="BV71" i="20"/>
  <c r="BW71" i="20"/>
  <c r="BX71" i="20"/>
  <c r="BS72" i="20"/>
  <c r="BT72" i="20"/>
  <c r="BU72" i="20"/>
  <c r="BV72" i="20"/>
  <c r="BW72" i="20"/>
  <c r="BX72" i="20"/>
  <c r="BS73" i="20"/>
  <c r="BT73" i="20"/>
  <c r="BU73" i="20"/>
  <c r="BV73" i="20"/>
  <c r="BW73" i="20"/>
  <c r="BX73" i="20"/>
  <c r="BS74" i="20"/>
  <c r="BT74" i="20"/>
  <c r="BU74" i="20"/>
  <c r="BV74" i="20"/>
  <c r="BW74" i="20"/>
  <c r="BX74" i="20"/>
  <c r="BS75" i="20"/>
  <c r="BT75" i="20"/>
  <c r="BU75" i="20"/>
  <c r="BV75" i="20"/>
  <c r="BW75" i="20"/>
  <c r="BX75" i="20"/>
  <c r="BS76" i="20"/>
  <c r="BT76" i="20"/>
  <c r="BU76" i="20"/>
  <c r="BV76" i="20"/>
  <c r="BW76" i="20"/>
  <c r="BX76" i="20"/>
  <c r="BS77" i="20"/>
  <c r="BT77" i="20"/>
  <c r="BU77" i="20"/>
  <c r="BV77" i="20"/>
  <c r="BW77" i="20"/>
  <c r="BX77" i="20"/>
  <c r="BS78" i="20"/>
  <c r="BT78" i="20"/>
  <c r="BU78" i="20"/>
  <c r="BV78" i="20"/>
  <c r="BW78" i="20"/>
  <c r="BX78" i="20"/>
  <c r="BS79" i="20"/>
  <c r="BT79" i="20"/>
  <c r="BU79" i="20"/>
  <c r="BV79" i="20"/>
  <c r="BW79" i="20"/>
  <c r="BX79" i="20"/>
  <c r="BS80" i="20"/>
  <c r="BT80" i="20"/>
  <c r="BU80" i="20"/>
  <c r="BV80" i="20"/>
  <c r="BW80" i="20"/>
  <c r="BX80" i="20"/>
  <c r="BS81" i="20"/>
  <c r="BT81" i="20"/>
  <c r="BU81" i="20"/>
  <c r="BV81" i="20"/>
  <c r="BW81" i="20"/>
  <c r="BX81" i="20"/>
  <c r="BS82" i="20"/>
  <c r="BT82" i="20"/>
  <c r="BU82" i="20"/>
  <c r="BV82" i="20"/>
  <c r="BW82" i="20"/>
  <c r="BX82" i="20"/>
  <c r="BS83" i="20"/>
  <c r="BT83" i="20"/>
  <c r="BU83" i="20"/>
  <c r="BV83" i="20"/>
  <c r="BW83" i="20"/>
  <c r="BX83" i="20"/>
  <c r="BS84" i="20"/>
  <c r="BT84" i="20"/>
  <c r="BU84" i="20"/>
  <c r="BV84" i="20"/>
  <c r="BW84" i="20"/>
  <c r="BX84" i="20"/>
  <c r="BS85" i="20"/>
  <c r="BT85" i="20"/>
  <c r="BU85" i="20"/>
  <c r="BV85" i="20"/>
  <c r="BW85" i="20"/>
  <c r="BX85" i="20"/>
  <c r="BS86" i="20"/>
  <c r="BT86" i="20"/>
  <c r="BU86" i="20"/>
  <c r="BV86" i="20"/>
  <c r="BW86" i="20"/>
  <c r="BX86" i="20"/>
  <c r="BS87" i="20"/>
  <c r="BT87" i="20"/>
  <c r="BU87" i="20"/>
  <c r="BV87" i="20"/>
  <c r="BW87" i="20"/>
  <c r="BX87" i="20"/>
  <c r="BS88" i="20"/>
  <c r="BT88" i="20"/>
  <c r="BU88" i="20"/>
  <c r="BV88" i="20"/>
  <c r="BW88" i="20"/>
  <c r="BX88" i="20"/>
  <c r="BS89" i="20"/>
  <c r="BT89" i="20"/>
  <c r="BU89" i="20"/>
  <c r="BV89" i="20"/>
  <c r="BW89" i="20"/>
  <c r="BX89" i="20"/>
  <c r="BS90" i="20"/>
  <c r="BT90" i="20"/>
  <c r="BU90" i="20"/>
  <c r="BV90" i="20"/>
  <c r="BW90" i="20"/>
  <c r="BX90" i="20"/>
  <c r="BS91" i="20"/>
  <c r="BT91" i="20"/>
  <c r="BU91" i="20"/>
  <c r="BV91" i="20"/>
  <c r="BW91" i="20"/>
  <c r="BX91" i="20"/>
  <c r="BS92" i="20"/>
  <c r="BT92" i="20"/>
  <c r="BU92" i="20"/>
  <c r="BV92" i="20"/>
  <c r="BW92" i="20"/>
  <c r="BX92" i="20"/>
  <c r="BS93" i="20"/>
  <c r="BT93" i="20"/>
  <c r="BU93" i="20"/>
  <c r="BV93" i="20"/>
  <c r="BW93" i="20"/>
  <c r="BX93" i="20"/>
  <c r="BS94" i="20"/>
  <c r="BT94" i="20"/>
  <c r="BU94" i="20"/>
  <c r="BV94" i="20"/>
  <c r="BW94" i="20"/>
  <c r="BX94" i="20"/>
  <c r="BS95" i="20"/>
  <c r="BT95" i="20"/>
  <c r="BU95" i="20"/>
  <c r="BV95" i="20"/>
  <c r="BW95" i="20"/>
  <c r="BX95" i="20"/>
  <c r="BS96" i="20"/>
  <c r="BT96" i="20"/>
  <c r="BU96" i="20"/>
  <c r="BV96" i="20"/>
  <c r="BW96" i="20"/>
  <c r="BX96" i="20"/>
  <c r="BS99" i="20"/>
  <c r="BT99" i="20"/>
  <c r="BU99" i="20"/>
  <c r="BV99" i="20"/>
  <c r="BW99" i="20"/>
  <c r="BX99" i="20"/>
  <c r="BS100" i="20"/>
  <c r="BT100" i="20"/>
  <c r="BU100" i="20"/>
  <c r="BV100" i="20"/>
  <c r="BW100" i="20"/>
  <c r="BX100" i="20"/>
  <c r="BS101" i="20"/>
  <c r="BT101" i="20"/>
  <c r="BU101" i="20"/>
  <c r="BV101" i="20"/>
  <c r="BW101" i="20"/>
  <c r="BX101" i="20"/>
  <c r="BS102" i="20"/>
  <c r="BT102" i="20"/>
  <c r="BU102" i="20"/>
  <c r="BV102" i="20"/>
  <c r="BW102" i="20"/>
  <c r="BX102" i="20"/>
  <c r="BS103" i="20"/>
  <c r="BT103" i="20"/>
  <c r="BU103" i="20"/>
  <c r="BV103" i="20"/>
  <c r="BW103" i="20"/>
  <c r="BX103" i="20"/>
  <c r="BS104" i="20"/>
  <c r="BT104" i="20"/>
  <c r="BU104" i="20"/>
  <c r="BV104" i="20"/>
  <c r="BW104" i="20"/>
  <c r="BX104" i="20"/>
  <c r="BS105" i="20"/>
  <c r="BT105" i="20"/>
  <c r="BU105" i="20"/>
  <c r="BV105" i="20"/>
  <c r="BW105" i="20"/>
  <c r="BX105" i="20"/>
  <c r="BS106" i="20"/>
  <c r="BT106" i="20"/>
  <c r="BU106" i="20"/>
  <c r="BV106" i="20"/>
  <c r="BW106" i="20"/>
  <c r="BX106" i="20"/>
  <c r="BS107" i="20"/>
  <c r="BT107" i="20"/>
  <c r="BU107" i="20"/>
  <c r="BV107" i="20"/>
  <c r="BW107" i="20"/>
  <c r="BX107" i="20"/>
  <c r="BS108" i="20"/>
  <c r="BT108" i="20"/>
  <c r="BU108" i="20"/>
  <c r="BV108" i="20"/>
  <c r="BW108" i="20"/>
  <c r="BX108" i="20"/>
  <c r="BS109" i="20"/>
  <c r="BT109" i="20"/>
  <c r="BU109" i="20"/>
  <c r="BV109" i="20"/>
  <c r="BW109" i="20"/>
  <c r="BX109" i="20"/>
  <c r="BS110" i="20"/>
  <c r="BT110" i="20"/>
  <c r="BU110" i="20"/>
  <c r="BV110" i="20"/>
  <c r="BW110" i="20"/>
  <c r="BX110" i="20"/>
  <c r="BS111" i="20"/>
  <c r="BT111" i="20"/>
  <c r="BU111" i="20"/>
  <c r="BV111" i="20"/>
  <c r="BW111" i="20"/>
  <c r="BX111" i="20"/>
  <c r="BS112" i="20"/>
  <c r="BT112" i="20"/>
  <c r="BU112" i="20"/>
  <c r="BV112" i="20"/>
  <c r="BW112" i="20"/>
  <c r="BX112" i="20"/>
  <c r="BS4" i="20"/>
  <c r="BS1" i="20" s="1"/>
  <c r="BT4" i="20"/>
  <c r="BT1" i="20" s="1"/>
  <c r="BU4" i="20"/>
  <c r="BU1" i="20" s="1"/>
  <c r="BV4" i="20"/>
  <c r="BV1" i="20" s="1"/>
  <c r="BW4" i="20"/>
  <c r="BW1" i="20" s="1"/>
  <c r="BX4" i="20"/>
  <c r="BX1" i="20" s="1"/>
  <c r="AV5" i="20"/>
  <c r="AW5" i="20"/>
  <c r="AX5" i="20"/>
  <c r="AY5" i="20"/>
  <c r="AZ5" i="20"/>
  <c r="BA5" i="20"/>
  <c r="AV8" i="20"/>
  <c r="AW8" i="20"/>
  <c r="AX8" i="20"/>
  <c r="AY8" i="20"/>
  <c r="AZ8" i="20"/>
  <c r="BA8" i="20"/>
  <c r="AV9" i="20"/>
  <c r="AW9" i="20"/>
  <c r="AX9" i="20"/>
  <c r="AY9" i="20"/>
  <c r="AZ9" i="20"/>
  <c r="BA9" i="20"/>
  <c r="AV6" i="20"/>
  <c r="AW6" i="20"/>
  <c r="AX6" i="20"/>
  <c r="AY6" i="20"/>
  <c r="AZ6" i="20"/>
  <c r="BA6" i="20"/>
  <c r="AV7" i="20"/>
  <c r="AW7" i="20"/>
  <c r="AX7" i="20"/>
  <c r="AY7" i="20"/>
  <c r="AZ7" i="20"/>
  <c r="BA7" i="20"/>
  <c r="AV10" i="20"/>
  <c r="AW10" i="20"/>
  <c r="AX10" i="20"/>
  <c r="AY10" i="20"/>
  <c r="AZ10" i="20"/>
  <c r="BA10" i="20"/>
  <c r="AV12" i="20"/>
  <c r="AW12" i="20"/>
  <c r="AX12" i="20"/>
  <c r="AY12" i="20"/>
  <c r="AZ12" i="20"/>
  <c r="BA12" i="20"/>
  <c r="AV13" i="20"/>
  <c r="AW13" i="20"/>
  <c r="AX13" i="20"/>
  <c r="AY13" i="20"/>
  <c r="AZ13" i="20"/>
  <c r="BA13" i="20"/>
  <c r="AV11" i="20"/>
  <c r="AW11" i="20"/>
  <c r="AX11" i="20"/>
  <c r="AY11" i="20"/>
  <c r="AZ11" i="20"/>
  <c r="BA11" i="20"/>
  <c r="AV14" i="20"/>
  <c r="AW14" i="20"/>
  <c r="AX14" i="20"/>
  <c r="AY14" i="20"/>
  <c r="AZ14" i="20"/>
  <c r="BA14" i="20"/>
  <c r="AV15" i="20"/>
  <c r="AW15" i="20"/>
  <c r="AX15" i="20"/>
  <c r="AY15" i="20"/>
  <c r="AZ15" i="20"/>
  <c r="BA15" i="20"/>
  <c r="AV21" i="20"/>
  <c r="AW21" i="20"/>
  <c r="AX21" i="20"/>
  <c r="AY21" i="20"/>
  <c r="AZ21" i="20"/>
  <c r="BA21" i="20"/>
  <c r="AV22" i="20"/>
  <c r="AW22" i="20"/>
  <c r="AX22" i="20"/>
  <c r="AY22" i="20"/>
  <c r="AZ22" i="20"/>
  <c r="BA22" i="20"/>
  <c r="AV23" i="20"/>
  <c r="AW23" i="20"/>
  <c r="AX23" i="20"/>
  <c r="AY23" i="20"/>
  <c r="AZ23" i="20"/>
  <c r="BA23" i="20"/>
  <c r="AV24" i="20"/>
  <c r="AW24" i="20"/>
  <c r="AX24" i="20"/>
  <c r="AY24" i="20"/>
  <c r="AZ24" i="20"/>
  <c r="BA24" i="20"/>
  <c r="AV16" i="20"/>
  <c r="AW16" i="20"/>
  <c r="AX16" i="20"/>
  <c r="AY16" i="20"/>
  <c r="AZ16" i="20"/>
  <c r="BA16" i="20"/>
  <c r="AV17" i="20"/>
  <c r="AW17" i="20"/>
  <c r="AX17" i="20"/>
  <c r="AY17" i="20"/>
  <c r="AZ17" i="20"/>
  <c r="BA17" i="20"/>
  <c r="AV18" i="20"/>
  <c r="AW18" i="20"/>
  <c r="AX18" i="20"/>
  <c r="AY18" i="20"/>
  <c r="AZ18" i="20"/>
  <c r="BA18" i="20"/>
  <c r="AV25" i="20"/>
  <c r="AW25" i="20"/>
  <c r="AX25" i="20"/>
  <c r="AY25" i="20"/>
  <c r="AZ25" i="20"/>
  <c r="BA25" i="20"/>
  <c r="AV19" i="20"/>
  <c r="AW19" i="20"/>
  <c r="AX19" i="20"/>
  <c r="AY19" i="20"/>
  <c r="AZ19" i="20"/>
  <c r="BA19" i="20"/>
  <c r="AV20" i="20"/>
  <c r="AW20" i="20"/>
  <c r="AX20" i="20"/>
  <c r="AY20" i="20"/>
  <c r="AZ20" i="20"/>
  <c r="BA20" i="20"/>
  <c r="AV26" i="20"/>
  <c r="AW26" i="20"/>
  <c r="AX26" i="20"/>
  <c r="AY26" i="20"/>
  <c r="AZ26" i="20"/>
  <c r="BA26" i="20"/>
  <c r="AV28" i="20"/>
  <c r="AW28" i="20"/>
  <c r="AX28" i="20"/>
  <c r="AY28" i="20"/>
  <c r="AZ28" i="20"/>
  <c r="BA28" i="20"/>
  <c r="AV27" i="20"/>
  <c r="AW27" i="20"/>
  <c r="AX27" i="20"/>
  <c r="AY27" i="20"/>
  <c r="AZ27" i="20"/>
  <c r="BA27" i="20"/>
  <c r="AV29" i="20"/>
  <c r="AW29" i="20"/>
  <c r="AX29" i="20"/>
  <c r="AY29" i="20"/>
  <c r="AZ29" i="20"/>
  <c r="BA29" i="20"/>
  <c r="AV30" i="20"/>
  <c r="AW30" i="20"/>
  <c r="AX30" i="20"/>
  <c r="AY30" i="20"/>
  <c r="AZ30" i="20"/>
  <c r="BA30" i="20"/>
  <c r="AV31" i="20"/>
  <c r="AW31" i="20"/>
  <c r="AX31" i="20"/>
  <c r="AY31" i="20"/>
  <c r="AZ31" i="20"/>
  <c r="BA31" i="20"/>
  <c r="AV32" i="20"/>
  <c r="AW32" i="20"/>
  <c r="AX32" i="20"/>
  <c r="AY32" i="20"/>
  <c r="AZ32" i="20"/>
  <c r="BA32" i="20"/>
  <c r="AV34" i="20"/>
  <c r="AW34" i="20"/>
  <c r="AX34" i="20"/>
  <c r="AY34" i="20"/>
  <c r="AZ34" i="20"/>
  <c r="BA34" i="20"/>
  <c r="AV35" i="20"/>
  <c r="AW35" i="20"/>
  <c r="AX35" i="20"/>
  <c r="AY35" i="20"/>
  <c r="AZ35" i="20"/>
  <c r="BA35" i="20"/>
  <c r="AV33" i="20"/>
  <c r="AW33" i="20"/>
  <c r="AX33" i="20"/>
  <c r="AY33" i="20"/>
  <c r="AZ33" i="20"/>
  <c r="BA33" i="20"/>
  <c r="AV36" i="20"/>
  <c r="AW36" i="20"/>
  <c r="AX36" i="20"/>
  <c r="AY36" i="20"/>
  <c r="AZ36" i="20"/>
  <c r="BA36" i="20"/>
  <c r="AV37" i="20"/>
  <c r="AW37" i="20"/>
  <c r="AX37" i="20"/>
  <c r="AY37" i="20"/>
  <c r="AZ37" i="20"/>
  <c r="BA37" i="20"/>
  <c r="AV38" i="20"/>
  <c r="AW38" i="20"/>
  <c r="AX38" i="20"/>
  <c r="AY38" i="20"/>
  <c r="AZ38" i="20"/>
  <c r="BA38" i="20"/>
  <c r="AV39" i="20"/>
  <c r="AW39" i="20"/>
  <c r="AX39" i="20"/>
  <c r="AY39" i="20"/>
  <c r="AZ39" i="20"/>
  <c r="BA39" i="20"/>
  <c r="AV40" i="20"/>
  <c r="AW40" i="20"/>
  <c r="AX40" i="20"/>
  <c r="AY40" i="20"/>
  <c r="AZ40" i="20"/>
  <c r="BA40" i="20"/>
  <c r="AV42" i="20"/>
  <c r="AW42" i="20"/>
  <c r="AX42" i="20"/>
  <c r="AY42" i="20"/>
  <c r="AZ42" i="20"/>
  <c r="BA42" i="20"/>
  <c r="AV43" i="20"/>
  <c r="AW43" i="20"/>
  <c r="AX43" i="20"/>
  <c r="AY43" i="20"/>
  <c r="AZ43" i="20"/>
  <c r="BA43" i="20"/>
  <c r="AV41" i="20"/>
  <c r="AW41" i="20"/>
  <c r="AX41" i="20"/>
  <c r="AY41" i="20"/>
  <c r="AZ41" i="20"/>
  <c r="BA41" i="20"/>
  <c r="AV44" i="20"/>
  <c r="AW44" i="20"/>
  <c r="AX44" i="20"/>
  <c r="AY44" i="20"/>
  <c r="AZ44" i="20"/>
  <c r="BA44" i="20"/>
  <c r="AV45" i="20"/>
  <c r="AW45" i="20"/>
  <c r="AX45" i="20"/>
  <c r="AY45" i="20"/>
  <c r="AZ45" i="20"/>
  <c r="BA45" i="20"/>
  <c r="AV46" i="20"/>
  <c r="AW46" i="20"/>
  <c r="AX46" i="20"/>
  <c r="AY46" i="20"/>
  <c r="AZ46" i="20"/>
  <c r="BA46" i="20"/>
  <c r="AV56" i="20"/>
  <c r="AW56" i="20"/>
  <c r="AX56" i="20"/>
  <c r="AY56" i="20"/>
  <c r="AZ56" i="20"/>
  <c r="BA56" i="20"/>
  <c r="AV60" i="20"/>
  <c r="AW60" i="20"/>
  <c r="AX60" i="20"/>
  <c r="AY60" i="20"/>
  <c r="AZ60" i="20"/>
  <c r="BA60" i="20"/>
  <c r="AV57" i="20"/>
  <c r="AW57" i="20"/>
  <c r="AX57" i="20"/>
  <c r="AY57" i="20"/>
  <c r="AZ57" i="20"/>
  <c r="BA57" i="20"/>
  <c r="AV59" i="20"/>
  <c r="AW59" i="20"/>
  <c r="AX59" i="20"/>
  <c r="AY59" i="20"/>
  <c r="AZ59" i="20"/>
  <c r="BA59" i="20"/>
  <c r="AV48" i="20"/>
  <c r="AW48" i="20"/>
  <c r="AX48" i="20"/>
  <c r="AY48" i="20"/>
  <c r="AZ48" i="20"/>
  <c r="BA48" i="20"/>
  <c r="AV49" i="20"/>
  <c r="AW49" i="20"/>
  <c r="AX49" i="20"/>
  <c r="AY49" i="20"/>
  <c r="AZ49" i="20"/>
  <c r="BA49" i="20"/>
  <c r="AV50" i="20"/>
  <c r="AW50" i="20"/>
  <c r="AX50" i="20"/>
  <c r="AY50" i="20"/>
  <c r="AZ50" i="20"/>
  <c r="BA50" i="20"/>
  <c r="AV51" i="20"/>
  <c r="AW51" i="20"/>
  <c r="AX51" i="20"/>
  <c r="AY51" i="20"/>
  <c r="AZ51" i="20"/>
  <c r="BA51" i="20"/>
  <c r="AV58" i="20"/>
  <c r="AW58" i="20"/>
  <c r="AX58" i="20"/>
  <c r="AY58" i="20"/>
  <c r="AZ58" i="20"/>
  <c r="BA58" i="20"/>
  <c r="AV61" i="20"/>
  <c r="AW61" i="20"/>
  <c r="AX61" i="20"/>
  <c r="AY61" i="20"/>
  <c r="AZ61" i="20"/>
  <c r="BA61" i="20"/>
  <c r="AV47" i="20"/>
  <c r="AW47" i="20"/>
  <c r="AX47" i="20"/>
  <c r="AY47" i="20"/>
  <c r="AZ47" i="20"/>
  <c r="BA47" i="20"/>
  <c r="AV52" i="20"/>
  <c r="AW52" i="20"/>
  <c r="AX52" i="20"/>
  <c r="AY52" i="20"/>
  <c r="AZ52" i="20"/>
  <c r="BA52" i="20"/>
  <c r="AV53" i="20"/>
  <c r="AW53" i="20"/>
  <c r="AX53" i="20"/>
  <c r="AY53" i="20"/>
  <c r="AZ53" i="20"/>
  <c r="BA53" i="20"/>
  <c r="AV54" i="20"/>
  <c r="AW54" i="20"/>
  <c r="AX54" i="20"/>
  <c r="AY54" i="20"/>
  <c r="AZ54" i="20"/>
  <c r="BA54" i="20"/>
  <c r="AV55" i="20"/>
  <c r="AW55" i="20"/>
  <c r="AX55" i="20"/>
  <c r="AY55" i="20"/>
  <c r="AZ55" i="20"/>
  <c r="BA55" i="20"/>
  <c r="AV62" i="20"/>
  <c r="AW62" i="20"/>
  <c r="AX62" i="20"/>
  <c r="AY62" i="20"/>
  <c r="AZ62" i="20"/>
  <c r="BA62" i="20"/>
  <c r="AV63" i="20"/>
  <c r="AW63" i="20"/>
  <c r="AX63" i="20"/>
  <c r="AY63" i="20"/>
  <c r="AZ63" i="20"/>
  <c r="BA63" i="20"/>
  <c r="AV67" i="20"/>
  <c r="AW67" i="20"/>
  <c r="AX67" i="20"/>
  <c r="AY67" i="20"/>
  <c r="AZ67" i="20"/>
  <c r="BA67" i="20"/>
  <c r="AV68" i="20"/>
  <c r="AW68" i="20"/>
  <c r="AX68" i="20"/>
  <c r="AY68" i="20"/>
  <c r="AZ68" i="20"/>
  <c r="BA68" i="20"/>
  <c r="AV65" i="20"/>
  <c r="AW65" i="20"/>
  <c r="AX65" i="20"/>
  <c r="AY65" i="20"/>
  <c r="AZ65" i="20"/>
  <c r="BA65" i="20"/>
  <c r="AV66" i="20"/>
  <c r="AW66" i="20"/>
  <c r="AX66" i="20"/>
  <c r="AY66" i="20"/>
  <c r="AZ66" i="20"/>
  <c r="BA66" i="20"/>
  <c r="AV69" i="20"/>
  <c r="AW69" i="20"/>
  <c r="AX69" i="20"/>
  <c r="AY69" i="20"/>
  <c r="AZ69" i="20"/>
  <c r="BA69" i="20"/>
  <c r="AV71" i="20"/>
  <c r="AW71" i="20"/>
  <c r="AX71" i="20"/>
  <c r="AY71" i="20"/>
  <c r="AZ71" i="20"/>
  <c r="BA71" i="20"/>
  <c r="AV72" i="20"/>
  <c r="AW72" i="20"/>
  <c r="AX72" i="20"/>
  <c r="AY72" i="20"/>
  <c r="AZ72" i="20"/>
  <c r="BA72" i="20"/>
  <c r="AV70" i="20"/>
  <c r="AW70" i="20"/>
  <c r="AX70" i="20"/>
  <c r="AY70" i="20"/>
  <c r="AZ70" i="20"/>
  <c r="BA70" i="20"/>
  <c r="AV73" i="20"/>
  <c r="AW73" i="20"/>
  <c r="AX73" i="20"/>
  <c r="AY73" i="20"/>
  <c r="AZ73" i="20"/>
  <c r="BA73" i="20"/>
  <c r="AV74" i="20"/>
  <c r="AW74" i="20"/>
  <c r="AX74" i="20"/>
  <c r="AY74" i="20"/>
  <c r="AZ74" i="20"/>
  <c r="BA74" i="20"/>
  <c r="AV64" i="20"/>
  <c r="AW64" i="20"/>
  <c r="AX64" i="20"/>
  <c r="AY64" i="20"/>
  <c r="AZ64" i="20"/>
  <c r="BA64" i="20"/>
  <c r="AV75" i="20"/>
  <c r="AW75" i="20"/>
  <c r="AX75" i="20"/>
  <c r="AY75" i="20"/>
  <c r="AZ75" i="20"/>
  <c r="BA75" i="20"/>
  <c r="AV76" i="20"/>
  <c r="AW76" i="20"/>
  <c r="AX76" i="20"/>
  <c r="AY76" i="20"/>
  <c r="AZ76" i="20"/>
  <c r="BA76" i="20"/>
  <c r="AV77" i="20"/>
  <c r="AW77" i="20"/>
  <c r="AX77" i="20"/>
  <c r="AY77" i="20"/>
  <c r="AZ77" i="20"/>
  <c r="BA77" i="20"/>
  <c r="AV78" i="20"/>
  <c r="AW78" i="20"/>
  <c r="AX78" i="20"/>
  <c r="AY78" i="20"/>
  <c r="AZ78" i="20"/>
  <c r="BA78" i="20"/>
  <c r="AV79" i="20"/>
  <c r="AW79" i="20"/>
  <c r="AX79" i="20"/>
  <c r="AY79" i="20"/>
  <c r="AZ79" i="20"/>
  <c r="BA79" i="20"/>
  <c r="AV82" i="20"/>
  <c r="AW82" i="20"/>
  <c r="AX82" i="20"/>
  <c r="AY82" i="20"/>
  <c r="AZ82" i="20"/>
  <c r="BA82" i="20"/>
  <c r="AV80" i="20"/>
  <c r="AW80" i="20"/>
  <c r="AX80" i="20"/>
  <c r="AY80" i="20"/>
  <c r="AZ80" i="20"/>
  <c r="BA80" i="20"/>
  <c r="AV81" i="20"/>
  <c r="AW81" i="20"/>
  <c r="AX81" i="20"/>
  <c r="AY81" i="20"/>
  <c r="AZ81" i="20"/>
  <c r="BA81" i="20"/>
  <c r="AV84" i="20"/>
  <c r="AW84" i="20"/>
  <c r="AX84" i="20"/>
  <c r="AY84" i="20"/>
  <c r="AZ84" i="20"/>
  <c r="BA84" i="20"/>
  <c r="AV83" i="20"/>
  <c r="AW83" i="20"/>
  <c r="AX83" i="20"/>
  <c r="AY83" i="20"/>
  <c r="AZ83" i="20"/>
  <c r="BA83" i="20"/>
  <c r="AV86" i="20"/>
  <c r="AW86" i="20"/>
  <c r="AX86" i="20"/>
  <c r="AY86" i="20"/>
  <c r="AZ86" i="20"/>
  <c r="BA86" i="20"/>
  <c r="AV87" i="20"/>
  <c r="AW87" i="20"/>
  <c r="AX87" i="20"/>
  <c r="AY87" i="20"/>
  <c r="AZ87" i="20"/>
  <c r="BA87" i="20"/>
  <c r="AV85" i="20"/>
  <c r="AW85" i="20"/>
  <c r="AX85" i="20"/>
  <c r="AY85" i="20"/>
  <c r="AZ85" i="20"/>
  <c r="BA85" i="20"/>
  <c r="AV88" i="20"/>
  <c r="AW88" i="20"/>
  <c r="AX88" i="20"/>
  <c r="AY88" i="20"/>
  <c r="AZ88" i="20"/>
  <c r="BA88" i="20"/>
  <c r="AV89" i="20"/>
  <c r="AW89" i="20"/>
  <c r="AX89" i="20"/>
  <c r="AY89" i="20"/>
  <c r="AZ89" i="20"/>
  <c r="BA89" i="20"/>
  <c r="AV94" i="20"/>
  <c r="AW94" i="20"/>
  <c r="AX94" i="20"/>
  <c r="AY94" i="20"/>
  <c r="AZ94" i="20"/>
  <c r="BA94" i="20"/>
  <c r="AV95" i="20"/>
  <c r="AW95" i="20"/>
  <c r="AX95" i="20"/>
  <c r="AY95" i="20"/>
  <c r="AZ95" i="20"/>
  <c r="BA95" i="20"/>
  <c r="AV90" i="20"/>
  <c r="AW90" i="20"/>
  <c r="AX90" i="20"/>
  <c r="AY90" i="20"/>
  <c r="AZ90" i="20"/>
  <c r="BA90" i="20"/>
  <c r="AV96" i="20"/>
  <c r="AW96" i="20"/>
  <c r="AX96" i="20"/>
  <c r="AY96" i="20"/>
  <c r="AZ96" i="20"/>
  <c r="BA96" i="20"/>
  <c r="AV97" i="20"/>
  <c r="AW97" i="20"/>
  <c r="AX97" i="20"/>
  <c r="AY97" i="20"/>
  <c r="AZ97" i="20"/>
  <c r="BA97" i="20"/>
  <c r="AV91" i="20"/>
  <c r="AW91" i="20"/>
  <c r="AX91" i="20"/>
  <c r="AY91" i="20"/>
  <c r="AZ91" i="20"/>
  <c r="BA91" i="20"/>
  <c r="AV92" i="20"/>
  <c r="AW92" i="20"/>
  <c r="AX92" i="20"/>
  <c r="AY92" i="20"/>
  <c r="AZ92" i="20"/>
  <c r="BA92" i="20"/>
  <c r="AV100" i="20"/>
  <c r="AW100" i="20"/>
  <c r="AX100" i="20"/>
  <c r="AY100" i="20"/>
  <c r="AZ100" i="20"/>
  <c r="BA100" i="20"/>
  <c r="AV99" i="20"/>
  <c r="AW99" i="20"/>
  <c r="AX99" i="20"/>
  <c r="AY99" i="20"/>
  <c r="AZ99" i="20"/>
  <c r="BA99" i="20"/>
  <c r="AV101" i="20"/>
  <c r="AW101" i="20"/>
  <c r="AX101" i="20"/>
  <c r="AY101" i="20"/>
  <c r="AZ101" i="20"/>
  <c r="BA101" i="20"/>
  <c r="AV103" i="20"/>
  <c r="AW103" i="20"/>
  <c r="AX103" i="20"/>
  <c r="AY103" i="20"/>
  <c r="AZ103" i="20"/>
  <c r="BA103" i="20"/>
  <c r="AV102" i="20"/>
  <c r="AW102" i="20"/>
  <c r="AX102" i="20"/>
  <c r="AY102" i="20"/>
  <c r="AZ102" i="20"/>
  <c r="BA102" i="20"/>
  <c r="AV104" i="20"/>
  <c r="AW104" i="20"/>
  <c r="AX104" i="20"/>
  <c r="AY104" i="20"/>
  <c r="AZ104" i="20"/>
  <c r="BA104" i="20"/>
  <c r="AV105" i="20"/>
  <c r="AW105" i="20"/>
  <c r="AX105" i="20"/>
  <c r="AY105" i="20"/>
  <c r="AZ105" i="20"/>
  <c r="BA105" i="20"/>
  <c r="AV106" i="20"/>
  <c r="AW106" i="20"/>
  <c r="AX106" i="20"/>
  <c r="AY106" i="20"/>
  <c r="AZ106" i="20"/>
  <c r="BA106" i="20"/>
  <c r="AV107" i="20"/>
  <c r="AW107" i="20"/>
  <c r="AX107" i="20"/>
  <c r="AY107" i="20"/>
  <c r="AZ107" i="20"/>
  <c r="BA107" i="20"/>
  <c r="AV108" i="20"/>
  <c r="AW108" i="20"/>
  <c r="AX108" i="20"/>
  <c r="AY108" i="20"/>
  <c r="AZ108" i="20"/>
  <c r="BA108" i="20"/>
  <c r="AV110" i="20"/>
  <c r="AW110" i="20"/>
  <c r="AX110" i="20"/>
  <c r="AY110" i="20"/>
  <c r="AZ110" i="20"/>
  <c r="BA110" i="20"/>
  <c r="AV111" i="20"/>
  <c r="AW111" i="20"/>
  <c r="AX111" i="20"/>
  <c r="AY111" i="20"/>
  <c r="AZ111" i="20"/>
  <c r="BA111" i="20"/>
  <c r="AV112" i="20"/>
  <c r="AW112" i="20"/>
  <c r="AY112" i="20"/>
  <c r="AZ112" i="20"/>
  <c r="BA112" i="20"/>
  <c r="AV109" i="20"/>
  <c r="AW109" i="20"/>
  <c r="AX109" i="20"/>
  <c r="AY109" i="20"/>
  <c r="AZ109" i="20"/>
  <c r="BA109" i="20"/>
  <c r="AV4" i="20"/>
  <c r="AV1" i="20" s="1"/>
  <c r="AW4" i="20"/>
  <c r="AW1" i="20" s="1"/>
  <c r="AX4" i="20"/>
  <c r="AX1" i="20" s="1"/>
  <c r="AY4" i="20"/>
  <c r="AY1" i="20" s="1"/>
  <c r="AZ4" i="20"/>
  <c r="AZ1" i="20" s="1"/>
  <c r="BA4" i="20"/>
  <c r="BA1" i="20" s="1"/>
  <c r="BB4" i="20"/>
  <c r="AR1227" i="21"/>
  <c r="AS1227" i="21"/>
  <c r="AT1227" i="21" s="1"/>
  <c r="AV1227" i="21" s="1"/>
  <c r="AY1227" i="21"/>
  <c r="AZ1227" i="21" s="1"/>
  <c r="AR1228" i="21"/>
  <c r="AS1228" i="21"/>
  <c r="AT1228" i="21" s="1"/>
  <c r="AV1228" i="21" s="1"/>
  <c r="AY1228" i="21"/>
  <c r="AZ1228" i="21" s="1"/>
  <c r="AR1229" i="21"/>
  <c r="AS1229" i="21"/>
  <c r="AW1229" i="21" s="1"/>
  <c r="AX1229" i="21" s="1"/>
  <c r="AT1229" i="21"/>
  <c r="AV1229" i="21" s="1"/>
  <c r="AR1230" i="21"/>
  <c r="AS1230" i="21"/>
  <c r="AW1230" i="21" s="1"/>
  <c r="AX1230" i="21" s="1"/>
  <c r="AT1230" i="21"/>
  <c r="AV1230" i="21" s="1"/>
  <c r="AY1230" i="21"/>
  <c r="AZ1230" i="21" s="1"/>
  <c r="AR1231" i="21"/>
  <c r="AS1231" i="21"/>
  <c r="AT1231" i="21" s="1"/>
  <c r="AV1231" i="21" s="1"/>
  <c r="AY1231" i="21"/>
  <c r="AZ1231" i="21" s="1"/>
  <c r="AR1232" i="21"/>
  <c r="AS1232" i="21"/>
  <c r="AW1232" i="21" s="1"/>
  <c r="AX1232" i="21" s="1"/>
  <c r="AT1232" i="21"/>
  <c r="AV1232" i="21" s="1"/>
  <c r="AR1233" i="21"/>
  <c r="AS1233" i="21"/>
  <c r="AW1233" i="21" s="1"/>
  <c r="AX1233" i="21" s="1"/>
  <c r="AT1233" i="21"/>
  <c r="AV1233" i="21" s="1"/>
  <c r="AR1234" i="21"/>
  <c r="AS1234" i="21"/>
  <c r="AW1234" i="21" s="1"/>
  <c r="AX1234" i="21" s="1"/>
  <c r="AT1234" i="21"/>
  <c r="AV1234" i="21" s="1"/>
  <c r="AY1234" i="21"/>
  <c r="AZ1234" i="21" s="1"/>
  <c r="AR1235" i="21"/>
  <c r="AS1235" i="21"/>
  <c r="AT1235" i="21" s="1"/>
  <c r="AV1235" i="21" s="1"/>
  <c r="AY1235" i="21"/>
  <c r="AZ1235" i="21" s="1"/>
  <c r="AR1236" i="21"/>
  <c r="AS1236" i="21"/>
  <c r="AW1236" i="21" s="1"/>
  <c r="AX1236" i="21" s="1"/>
  <c r="AT1236" i="21"/>
  <c r="AV1236" i="21" s="1"/>
  <c r="AR1237" i="21"/>
  <c r="AS1237" i="21"/>
  <c r="AY1237" i="21"/>
  <c r="AZ1237" i="21" s="1"/>
  <c r="AR1238" i="21"/>
  <c r="AS1238" i="21"/>
  <c r="AW1238" i="21" s="1"/>
  <c r="AX1238" i="21" s="1"/>
  <c r="AT1238" i="21"/>
  <c r="AV1238" i="21" s="1"/>
  <c r="AY1238" i="21"/>
  <c r="AZ1238" i="21" s="1"/>
  <c r="AR1239" i="21"/>
  <c r="AS1239" i="21"/>
  <c r="AY1239" i="21"/>
  <c r="AZ1239" i="21" s="1"/>
  <c r="AR1240" i="21"/>
  <c r="AS1240" i="21"/>
  <c r="AW1240" i="21" s="1"/>
  <c r="AX1240" i="21" s="1"/>
  <c r="AY1240" i="21"/>
  <c r="AZ1240" i="21" s="1"/>
  <c r="AR1241" i="21"/>
  <c r="AS1241" i="21"/>
  <c r="AY1241" i="21"/>
  <c r="AZ1241" i="21" s="1"/>
  <c r="AR1242" i="21"/>
  <c r="AS1242" i="21"/>
  <c r="AW1242" i="21" s="1"/>
  <c r="AX1242" i="21" s="1"/>
  <c r="AY1242" i="21"/>
  <c r="AZ1242" i="21" s="1"/>
  <c r="AR1243" i="21"/>
  <c r="AS1243" i="21"/>
  <c r="AY1243" i="21"/>
  <c r="AZ1243" i="21" s="1"/>
  <c r="AR1244" i="21"/>
  <c r="AS1244" i="21"/>
  <c r="AT1244" i="21"/>
  <c r="AV1244" i="21" s="1"/>
  <c r="AR1245" i="21"/>
  <c r="AS1245" i="21"/>
  <c r="AY1245" i="21"/>
  <c r="AZ1245" i="21" s="1"/>
  <c r="AR1246" i="21"/>
  <c r="AS1246" i="21"/>
  <c r="AW1246" i="21" s="1"/>
  <c r="AX1246" i="21" s="1"/>
  <c r="AT1246" i="21"/>
  <c r="AV1246" i="21" s="1"/>
  <c r="AY1246" i="21"/>
  <c r="AZ1246" i="21" s="1"/>
  <c r="AR1247" i="21"/>
  <c r="AS1247" i="21"/>
  <c r="AY1247" i="21"/>
  <c r="AZ1247" i="21" s="1"/>
  <c r="AR1248" i="21"/>
  <c r="AS1248" i="21"/>
  <c r="AT1248" i="21"/>
  <c r="AV1248" i="21" s="1"/>
  <c r="AR1249" i="21"/>
  <c r="AS1249" i="21"/>
  <c r="AY1249" i="21"/>
  <c r="AZ1249" i="21" s="1"/>
  <c r="AR1250" i="21"/>
  <c r="AS1250" i="21"/>
  <c r="AW1250" i="21" s="1"/>
  <c r="AX1250" i="21" s="1"/>
  <c r="AY1250" i="21"/>
  <c r="AZ1250" i="21" s="1"/>
  <c r="AR1251" i="21"/>
  <c r="AS1251" i="21"/>
  <c r="AT1251" i="21"/>
  <c r="AV1251" i="21" s="1"/>
  <c r="AR1252" i="21"/>
  <c r="AS1252" i="21"/>
  <c r="AW1252" i="21" s="1"/>
  <c r="AX1252" i="21" s="1"/>
  <c r="AY1252" i="21"/>
  <c r="AZ1252" i="21" s="1"/>
  <c r="AR1253" i="21"/>
  <c r="AS1253" i="21"/>
  <c r="AY1253" i="21"/>
  <c r="AZ1253" i="21" s="1"/>
  <c r="AR1254" i="21"/>
  <c r="AS1254" i="21"/>
  <c r="AW1254" i="21" s="1"/>
  <c r="AX1254" i="21" s="1"/>
  <c r="AT1254" i="21"/>
  <c r="AV1254" i="21" s="1"/>
  <c r="AR1255" i="21"/>
  <c r="AS1255" i="21"/>
  <c r="AY1255" i="21"/>
  <c r="AZ1255" i="21" s="1"/>
  <c r="AR1256" i="21"/>
  <c r="AS1256" i="21"/>
  <c r="AW1256" i="21" s="1"/>
  <c r="AX1256" i="21" s="1"/>
  <c r="AY1256" i="21"/>
  <c r="AZ1256" i="21" s="1"/>
  <c r="AR1257" i="21"/>
  <c r="AS1257" i="21"/>
  <c r="AY1257" i="21"/>
  <c r="AZ1257" i="21" s="1"/>
  <c r="AR1258" i="21"/>
  <c r="AS1258" i="21"/>
  <c r="AW1258" i="21" s="1"/>
  <c r="AX1258" i="21" s="1"/>
  <c r="AY1258" i="21"/>
  <c r="AZ1258" i="21" s="1"/>
  <c r="AR1259" i="21"/>
  <c r="AS1259" i="21"/>
  <c r="AT1259" i="21"/>
  <c r="AV1259" i="21" s="1"/>
  <c r="AR1260" i="21"/>
  <c r="AS1260" i="21"/>
  <c r="AW1260" i="21" s="1"/>
  <c r="AX1260" i="21" s="1"/>
  <c r="AT1260" i="21"/>
  <c r="AV1260" i="21" s="1"/>
  <c r="AR1261" i="21"/>
  <c r="AS1261" i="21"/>
  <c r="AT1261" i="21"/>
  <c r="AV1261" i="21" s="1"/>
  <c r="AR1262" i="21"/>
  <c r="AS1262" i="21"/>
  <c r="AW1262" i="21" s="1"/>
  <c r="AX1262" i="21" s="1"/>
  <c r="AY1262" i="21"/>
  <c r="AZ1262" i="21" s="1"/>
  <c r="AR1263" i="21"/>
  <c r="AS1263" i="21"/>
  <c r="AY1263" i="21"/>
  <c r="AZ1263" i="21" s="1"/>
  <c r="AR1264" i="21"/>
  <c r="AS1264" i="21"/>
  <c r="AW1264" i="21" s="1"/>
  <c r="AX1264" i="21" s="1"/>
  <c r="AY1264" i="21"/>
  <c r="AZ1264" i="21" s="1"/>
  <c r="AR1265" i="21"/>
  <c r="AS1265" i="21"/>
  <c r="AY1265" i="21"/>
  <c r="AZ1265" i="21" s="1"/>
  <c r="AR1266" i="21"/>
  <c r="AS1266" i="21"/>
  <c r="AW1266" i="21" s="1"/>
  <c r="AX1266" i="21" s="1"/>
  <c r="AY1266" i="21"/>
  <c r="AZ1266" i="21" s="1"/>
  <c r="AR1267" i="21"/>
  <c r="AS1267" i="21"/>
  <c r="AY1267" i="21"/>
  <c r="AZ1267" i="21" s="1"/>
  <c r="AR1268" i="21"/>
  <c r="AS1268" i="21"/>
  <c r="AW1268" i="21" s="1"/>
  <c r="AX1268" i="21" s="1"/>
  <c r="AT1268" i="21"/>
  <c r="AV1268" i="21" s="1"/>
  <c r="AR1269" i="21"/>
  <c r="AS1269" i="21"/>
  <c r="AY1269" i="21"/>
  <c r="AZ1269" i="21" s="1"/>
  <c r="AR1270" i="21"/>
  <c r="AS1270" i="21"/>
  <c r="AW1270" i="21" s="1"/>
  <c r="AX1270" i="21" s="1"/>
  <c r="AT1270" i="21"/>
  <c r="AV1270" i="21" s="1"/>
  <c r="AR1271" i="21"/>
  <c r="AS1271" i="21"/>
  <c r="AT1271" i="21"/>
  <c r="AV1271" i="21" s="1"/>
  <c r="AR1272" i="21"/>
  <c r="AS1272" i="21"/>
  <c r="AW1272" i="21" s="1"/>
  <c r="AX1272" i="21" s="1"/>
  <c r="AY1272" i="21"/>
  <c r="AZ1272" i="21" s="1"/>
  <c r="AR1273" i="21"/>
  <c r="AS1273" i="21"/>
  <c r="AY1273" i="21"/>
  <c r="AZ1273" i="21" s="1"/>
  <c r="AR1274" i="21"/>
  <c r="AS1274" i="21"/>
  <c r="AW1274" i="21" s="1"/>
  <c r="AX1274" i="21" s="1"/>
  <c r="AT1274" i="21"/>
  <c r="AV1274" i="21" s="1"/>
  <c r="AR1275" i="21"/>
  <c r="AS1275" i="21"/>
  <c r="AT1275" i="21"/>
  <c r="AV1275" i="21" s="1"/>
  <c r="AR1276" i="21"/>
  <c r="AS1276" i="21"/>
  <c r="AW1276" i="21" s="1"/>
  <c r="AX1276" i="21" s="1"/>
  <c r="AY1276" i="21"/>
  <c r="AZ1276" i="21" s="1"/>
  <c r="AR1277" i="21"/>
  <c r="AS1277" i="21"/>
  <c r="AY1277" i="21"/>
  <c r="AZ1277" i="21" s="1"/>
  <c r="AR1278" i="21"/>
  <c r="AS1278" i="21"/>
  <c r="AW1278" i="21" s="1"/>
  <c r="AX1278" i="21" s="1"/>
  <c r="AY1278" i="21"/>
  <c r="AZ1278" i="21" s="1"/>
  <c r="AR1279" i="21"/>
  <c r="AS1279" i="21"/>
  <c r="AY1279" i="21"/>
  <c r="AZ1279" i="21" s="1"/>
  <c r="AR1280" i="21"/>
  <c r="AS1280" i="21"/>
  <c r="AW1280" i="21" s="1"/>
  <c r="AX1280" i="21" s="1"/>
  <c r="AY1280" i="21"/>
  <c r="AZ1280" i="21" s="1"/>
  <c r="AR1281" i="21"/>
  <c r="AS1281" i="21"/>
  <c r="AY1281" i="21"/>
  <c r="AZ1281" i="21" s="1"/>
  <c r="AR1282" i="21"/>
  <c r="AS1282" i="21"/>
  <c r="AW1282" i="21" s="1"/>
  <c r="AX1282" i="21" s="1"/>
  <c r="AY1282" i="21"/>
  <c r="AZ1282" i="21" s="1"/>
  <c r="AR1283" i="21"/>
  <c r="AS1283" i="21"/>
  <c r="AY1283" i="21"/>
  <c r="AZ1283" i="21" s="1"/>
  <c r="AR1284" i="21"/>
  <c r="AS1284" i="21"/>
  <c r="AW1284" i="21" s="1"/>
  <c r="AX1284" i="21" s="1"/>
  <c r="AT1284" i="21"/>
  <c r="AV1284" i="21" s="1"/>
  <c r="AY1284" i="21"/>
  <c r="AZ1284" i="21" s="1"/>
  <c r="AR1285" i="21"/>
  <c r="AS1285" i="21"/>
  <c r="AY1285" i="21"/>
  <c r="AZ1285" i="21" s="1"/>
  <c r="AR1286" i="21"/>
  <c r="AS1286" i="21"/>
  <c r="AW1286" i="21" s="1"/>
  <c r="AX1286" i="21" s="1"/>
  <c r="AT1286" i="21"/>
  <c r="AV1286" i="21" s="1"/>
  <c r="AY1286" i="21"/>
  <c r="AZ1286" i="21" s="1"/>
  <c r="AR1287" i="21"/>
  <c r="AS1287" i="21"/>
  <c r="AY1287" i="21"/>
  <c r="AZ1287" i="21" s="1"/>
  <c r="AR1288" i="21"/>
  <c r="AS1288" i="21"/>
  <c r="AW1288" i="21" s="1"/>
  <c r="AX1288" i="21" s="1"/>
  <c r="AY1288" i="21"/>
  <c r="AZ1288" i="21" s="1"/>
  <c r="AR1289" i="21"/>
  <c r="AS1289" i="21"/>
  <c r="AY1289" i="21"/>
  <c r="AZ1289" i="21" s="1"/>
  <c r="AR1290" i="21"/>
  <c r="AS1290" i="21"/>
  <c r="AW1290" i="21" s="1"/>
  <c r="AX1290" i="21" s="1"/>
  <c r="AT1290" i="21"/>
  <c r="AV1290" i="21" s="1"/>
  <c r="AY1290" i="21"/>
  <c r="AZ1290" i="21" s="1"/>
  <c r="AR1291" i="21"/>
  <c r="AS1291" i="21"/>
  <c r="AY1291" i="21"/>
  <c r="AZ1291" i="21" s="1"/>
  <c r="AR1292" i="21"/>
  <c r="AS1292" i="21"/>
  <c r="AW1292" i="21" s="1"/>
  <c r="AX1292" i="21" s="1"/>
  <c r="AY1292" i="21"/>
  <c r="AZ1292" i="21" s="1"/>
  <c r="AR1293" i="21"/>
  <c r="AS1293" i="21"/>
  <c r="AY1293" i="21"/>
  <c r="AZ1293" i="21" s="1"/>
  <c r="AR1294" i="21"/>
  <c r="AS1294" i="21"/>
  <c r="AW1294" i="21" s="1"/>
  <c r="AX1294" i="21" s="1"/>
  <c r="AT1294" i="21"/>
  <c r="AV1294" i="21" s="1"/>
  <c r="AY1294" i="21"/>
  <c r="AZ1294" i="21" s="1"/>
  <c r="AR1295" i="21"/>
  <c r="AS1295" i="21"/>
  <c r="AY1295" i="21"/>
  <c r="AZ1295" i="21" s="1"/>
  <c r="AR1296" i="21"/>
  <c r="AS1296" i="21"/>
  <c r="AW1296" i="21" s="1"/>
  <c r="AX1296" i="21" s="1"/>
  <c r="AT1296" i="21"/>
  <c r="AV1296" i="21" s="1"/>
  <c r="AY1296" i="21"/>
  <c r="AZ1296" i="21" s="1"/>
  <c r="AR1297" i="21"/>
  <c r="AS1297" i="21"/>
  <c r="AW1297" i="21" s="1"/>
  <c r="AX1297" i="21" s="1"/>
  <c r="AY1297" i="21"/>
  <c r="AZ1297" i="21" s="1"/>
  <c r="AR1298" i="21"/>
  <c r="AS1298" i="21"/>
  <c r="AW1298" i="21" s="1"/>
  <c r="AX1298" i="21" s="1"/>
  <c r="AT1298" i="21"/>
  <c r="AV1298" i="21" s="1"/>
  <c r="AR1299" i="21"/>
  <c r="AS1299" i="21"/>
  <c r="AW1299" i="21" s="1"/>
  <c r="AX1299" i="21" s="1"/>
  <c r="AT1299" i="21"/>
  <c r="AV1299" i="21" s="1"/>
  <c r="AY1299" i="21"/>
  <c r="AZ1299" i="21" s="1"/>
  <c r="AR1300" i="21"/>
  <c r="AS1300" i="21"/>
  <c r="AW1300" i="21" s="1"/>
  <c r="AX1300" i="21" s="1"/>
  <c r="AT1300" i="21"/>
  <c r="AV1300" i="21" s="1"/>
  <c r="AY1300" i="21"/>
  <c r="AZ1300" i="21" s="1"/>
  <c r="AR1301" i="21"/>
  <c r="AS1301" i="21"/>
  <c r="AW1301" i="21" s="1"/>
  <c r="AX1301" i="21" s="1"/>
  <c r="AY1301" i="21"/>
  <c r="AZ1301" i="21" s="1"/>
  <c r="AR1302" i="21"/>
  <c r="AS1302" i="21"/>
  <c r="AW1302" i="21" s="1"/>
  <c r="AX1302" i="21" s="1"/>
  <c r="AY1302" i="21"/>
  <c r="AZ1302" i="21" s="1"/>
  <c r="AR1303" i="21"/>
  <c r="AS1303" i="21"/>
  <c r="AW1303" i="21" s="1"/>
  <c r="AX1303" i="21" s="1"/>
  <c r="AT1303" i="21"/>
  <c r="AV1303" i="21" s="1"/>
  <c r="AY1303" i="21"/>
  <c r="AZ1303" i="21" s="1"/>
  <c r="AR1304" i="21"/>
  <c r="AS1304" i="21"/>
  <c r="AW1304" i="21" s="1"/>
  <c r="AX1304" i="21" s="1"/>
  <c r="AT1304" i="21"/>
  <c r="AV1304" i="21" s="1"/>
  <c r="AY1304" i="21"/>
  <c r="AZ1304" i="21" s="1"/>
  <c r="AR1305" i="21"/>
  <c r="AS1305" i="21"/>
  <c r="AW1305" i="21" s="1"/>
  <c r="AX1305" i="21" s="1"/>
  <c r="AY1305" i="21"/>
  <c r="AZ1305" i="21" s="1"/>
  <c r="AR1306" i="21"/>
  <c r="AS1306" i="21"/>
  <c r="AW1306" i="21" s="1"/>
  <c r="AX1306" i="21" s="1"/>
  <c r="AY1306" i="21"/>
  <c r="AZ1306" i="21" s="1"/>
  <c r="AR1307" i="21"/>
  <c r="AS1307" i="21"/>
  <c r="AW1307" i="21" s="1"/>
  <c r="AX1307" i="21" s="1"/>
  <c r="AT1307" i="21"/>
  <c r="AV1307" i="21" s="1"/>
  <c r="AY1307" i="21"/>
  <c r="AZ1307" i="21" s="1"/>
  <c r="AR1308" i="21"/>
  <c r="AS1308" i="21"/>
  <c r="AW1308" i="21" s="1"/>
  <c r="AX1308" i="21" s="1"/>
  <c r="AY1308" i="21"/>
  <c r="AZ1308" i="21" s="1"/>
  <c r="AR1309" i="21"/>
  <c r="AS1309" i="21"/>
  <c r="AW1309" i="21" s="1"/>
  <c r="AX1309" i="21" s="1"/>
  <c r="AY1309" i="21"/>
  <c r="AZ1309" i="21" s="1"/>
  <c r="AR1310" i="21"/>
  <c r="AS1310" i="21"/>
  <c r="AW1310" i="21" s="1"/>
  <c r="AX1310" i="21" s="1"/>
  <c r="AY1310" i="21"/>
  <c r="AZ1310" i="21" s="1"/>
  <c r="AR1311" i="21"/>
  <c r="AS1311" i="21"/>
  <c r="AW1311" i="21" s="1"/>
  <c r="AX1311" i="21" s="1"/>
  <c r="AY1311" i="21"/>
  <c r="AZ1311" i="21" s="1"/>
  <c r="AR1312" i="21"/>
  <c r="AS1312" i="21"/>
  <c r="AW1312" i="21" s="1"/>
  <c r="AX1312" i="21" s="1"/>
  <c r="AT1312" i="21"/>
  <c r="AV1312" i="21" s="1"/>
  <c r="AY1312" i="21"/>
  <c r="AZ1312" i="21" s="1"/>
  <c r="AR1313" i="21"/>
  <c r="AS1313" i="21"/>
  <c r="AW1313" i="21" s="1"/>
  <c r="AX1313" i="21" s="1"/>
  <c r="AY1313" i="21"/>
  <c r="AZ1313" i="21" s="1"/>
  <c r="AY1226" i="21"/>
  <c r="AZ1226" i="21" s="1"/>
  <c r="AS1226" i="21"/>
  <c r="AW1226" i="21" s="1"/>
  <c r="AX1226" i="21" s="1"/>
  <c r="AR1226" i="21"/>
  <c r="F114" i="18"/>
  <c r="N114" i="18"/>
  <c r="R114" i="18"/>
  <c r="A111" i="18"/>
  <c r="C112" i="18" s="1"/>
  <c r="G53" i="14"/>
  <c r="O53" i="14" s="1"/>
  <c r="I54" i="12"/>
  <c r="G54" i="12"/>
  <c r="AB53" i="14"/>
  <c r="X53" i="14"/>
  <c r="Y53" i="14" s="1"/>
  <c r="B53" i="14"/>
  <c r="AA53" i="14" s="1"/>
  <c r="DD13" i="6" l="1"/>
  <c r="L55" i="14"/>
  <c r="K55" i="14"/>
  <c r="DA82" i="22"/>
  <c r="DA124" i="22"/>
  <c r="DA40" i="22"/>
  <c r="DA61" i="22"/>
  <c r="DA103" i="22"/>
  <c r="W2" i="19"/>
  <c r="V11" i="19"/>
  <c r="V20" i="19" s="1"/>
  <c r="V29" i="19" s="1"/>
  <c r="V38" i="19" s="1"/>
  <c r="BW2" i="20"/>
  <c r="W34" i="19" s="1"/>
  <c r="BS2" i="20"/>
  <c r="BU3" i="20"/>
  <c r="U43" i="19" s="1"/>
  <c r="BV2" i="20"/>
  <c r="V34" i="19" s="1"/>
  <c r="BU2" i="20"/>
  <c r="U34" i="19" s="1"/>
  <c r="BW3" i="20"/>
  <c r="W43" i="19" s="1"/>
  <c r="BS3" i="20"/>
  <c r="CS2" i="20"/>
  <c r="V25" i="19" s="1"/>
  <c r="U24" i="19" s="1"/>
  <c r="CR2" i="20"/>
  <c r="U25" i="19" s="1"/>
  <c r="BX2" i="20"/>
  <c r="X34" i="19" s="1"/>
  <c r="BT2" i="20"/>
  <c r="BV3" i="20"/>
  <c r="V43" i="19" s="1"/>
  <c r="BX3" i="20"/>
  <c r="X43" i="19" s="1"/>
  <c r="BT3" i="20"/>
  <c r="CU2" i="20"/>
  <c r="X25" i="19" s="1"/>
  <c r="W24" i="19" s="1"/>
  <c r="CQ2" i="20"/>
  <c r="CS3" i="20"/>
  <c r="V16" i="19" s="1"/>
  <c r="CQ3" i="20"/>
  <c r="CT2" i="20"/>
  <c r="W25" i="19" s="1"/>
  <c r="V24" i="19" s="1"/>
  <c r="CP2" i="20"/>
  <c r="CP3" i="20"/>
  <c r="CU3" i="20"/>
  <c r="X16" i="19" s="1"/>
  <c r="W15" i="19" s="1"/>
  <c r="CR3" i="20"/>
  <c r="U16" i="19" s="1"/>
  <c r="CT3" i="20"/>
  <c r="W16" i="19" s="1"/>
  <c r="V15" i="19" s="1"/>
  <c r="AX3" i="20"/>
  <c r="U7" i="19" s="1"/>
  <c r="BA3" i="20"/>
  <c r="X7" i="19" s="1"/>
  <c r="W6" i="19" s="1"/>
  <c r="AW3" i="20"/>
  <c r="AY3" i="20"/>
  <c r="V7" i="19" s="1"/>
  <c r="U6" i="19" s="1"/>
  <c r="AZ3" i="20"/>
  <c r="W7" i="19" s="1"/>
  <c r="V6" i="19" s="1"/>
  <c r="AV3" i="20"/>
  <c r="AT1297" i="21"/>
  <c r="AV1297" i="21" s="1"/>
  <c r="AT1283" i="21"/>
  <c r="AV1283" i="21" s="1"/>
  <c r="AW1283" i="21"/>
  <c r="AX1283" i="21" s="1"/>
  <c r="AT1247" i="21"/>
  <c r="AV1247" i="21" s="1"/>
  <c r="AW1247" i="21"/>
  <c r="AX1247" i="21" s="1"/>
  <c r="AW1275" i="21"/>
  <c r="AX1275" i="21" s="1"/>
  <c r="AY1275" i="21"/>
  <c r="AZ1275" i="21" s="1"/>
  <c r="AT1267" i="21"/>
  <c r="AV1267" i="21" s="1"/>
  <c r="AW1267" i="21"/>
  <c r="AX1267" i="21" s="1"/>
  <c r="AT1263" i="21"/>
  <c r="AV1263" i="21" s="1"/>
  <c r="AW1263" i="21"/>
  <c r="AX1263" i="21" s="1"/>
  <c r="AW1259" i="21"/>
  <c r="AX1259" i="21" s="1"/>
  <c r="AY1259" i="21"/>
  <c r="AZ1259" i="21" s="1"/>
  <c r="AT1255" i="21"/>
  <c r="AV1255" i="21" s="1"/>
  <c r="AW1255" i="21"/>
  <c r="AX1255" i="21" s="1"/>
  <c r="AW1251" i="21"/>
  <c r="AX1251" i="21" s="1"/>
  <c r="AY1251" i="21"/>
  <c r="AZ1251" i="21" s="1"/>
  <c r="AT1279" i="21"/>
  <c r="AV1279" i="21" s="1"/>
  <c r="AW1279" i="21"/>
  <c r="AX1279" i="21" s="1"/>
  <c r="AT1310" i="21"/>
  <c r="AV1310" i="21" s="1"/>
  <c r="AT1293" i="21"/>
  <c r="AV1293" i="21" s="1"/>
  <c r="AW1293" i="21"/>
  <c r="AX1293" i="21" s="1"/>
  <c r="AT1242" i="21"/>
  <c r="AV1242" i="21" s="1"/>
  <c r="AW1271" i="21"/>
  <c r="AX1271" i="21" s="1"/>
  <c r="AY1271" i="21"/>
  <c r="AZ1271" i="21" s="1"/>
  <c r="AT1309" i="21"/>
  <c r="AV1309" i="21" s="1"/>
  <c r="AT1306" i="21"/>
  <c r="AV1306" i="21" s="1"/>
  <c r="AT1282" i="21"/>
  <c r="AV1282" i="21" s="1"/>
  <c r="AY1274" i="21"/>
  <c r="AZ1274" i="21" s="1"/>
  <c r="AY1270" i="21"/>
  <c r="AZ1270" i="21" s="1"/>
  <c r="AY1254" i="21"/>
  <c r="AZ1254" i="21" s="1"/>
  <c r="AT1289" i="21"/>
  <c r="AV1289" i="21" s="1"/>
  <c r="AW1289" i="21"/>
  <c r="AX1289" i="21" s="1"/>
  <c r="AT1278" i="21"/>
  <c r="AV1278" i="21" s="1"/>
  <c r="AT1266" i="21"/>
  <c r="AV1266" i="21" s="1"/>
  <c r="AT1262" i="21"/>
  <c r="AV1262" i="21" s="1"/>
  <c r="AT1258" i="21"/>
  <c r="AV1258" i="21" s="1"/>
  <c r="AT1250" i="21"/>
  <c r="AV1250" i="21" s="1"/>
  <c r="AT1243" i="21"/>
  <c r="AV1243" i="21" s="1"/>
  <c r="AW1243" i="21"/>
  <c r="AX1243" i="21" s="1"/>
  <c r="AT1313" i="21"/>
  <c r="AV1313" i="21" s="1"/>
  <c r="AT1285" i="21"/>
  <c r="AV1285" i="21" s="1"/>
  <c r="AW1285" i="21"/>
  <c r="AX1285" i="21" s="1"/>
  <c r="AT1241" i="21"/>
  <c r="AV1241" i="21" s="1"/>
  <c r="AW1241" i="21"/>
  <c r="AX1241" i="21" s="1"/>
  <c r="AT1237" i="21"/>
  <c r="AV1237" i="21" s="1"/>
  <c r="AW1237" i="21"/>
  <c r="AX1237" i="21" s="1"/>
  <c r="AT1239" i="21"/>
  <c r="AV1239" i="21" s="1"/>
  <c r="AW1239" i="21"/>
  <c r="AX1239" i="21" s="1"/>
  <c r="AT1305" i="21"/>
  <c r="AV1305" i="21" s="1"/>
  <c r="AT1302" i="21"/>
  <c r="AV1302" i="21" s="1"/>
  <c r="AT1292" i="21"/>
  <c r="AV1292" i="21" s="1"/>
  <c r="AT1281" i="21"/>
  <c r="AV1281" i="21" s="1"/>
  <c r="AW1281" i="21"/>
  <c r="AX1281" i="21" s="1"/>
  <c r="AT1245" i="21"/>
  <c r="AV1245" i="21" s="1"/>
  <c r="AW1245" i="21"/>
  <c r="AX1245" i="21" s="1"/>
  <c r="AT1277" i="21"/>
  <c r="AV1277" i="21" s="1"/>
  <c r="AW1277" i="21"/>
  <c r="AX1277" i="21" s="1"/>
  <c r="AT1265" i="21"/>
  <c r="AV1265" i="21" s="1"/>
  <c r="AW1265" i="21"/>
  <c r="AX1265" i="21" s="1"/>
  <c r="AT1253" i="21"/>
  <c r="AV1253" i="21" s="1"/>
  <c r="AW1253" i="21"/>
  <c r="AX1253" i="21" s="1"/>
  <c r="AT1249" i="21"/>
  <c r="AV1249" i="21" s="1"/>
  <c r="AW1249" i="21"/>
  <c r="AX1249" i="21" s="1"/>
  <c r="AT1269" i="21"/>
  <c r="AV1269" i="21" s="1"/>
  <c r="AW1269" i="21"/>
  <c r="AX1269" i="21" s="1"/>
  <c r="AY1261" i="21"/>
  <c r="AZ1261" i="21" s="1"/>
  <c r="AW1261" i="21"/>
  <c r="AX1261" i="21" s="1"/>
  <c r="AT1257" i="21"/>
  <c r="AV1257" i="21" s="1"/>
  <c r="AW1257" i="21"/>
  <c r="AX1257" i="21" s="1"/>
  <c r="AT1311" i="21"/>
  <c r="AV1311" i="21" s="1"/>
  <c r="AT1308" i="21"/>
  <c r="AV1308" i="21" s="1"/>
  <c r="AY1298" i="21"/>
  <c r="AZ1298" i="21" s="1"/>
  <c r="AT1295" i="21"/>
  <c r="AV1295" i="21" s="1"/>
  <c r="AW1295" i="21"/>
  <c r="AX1295" i="21" s="1"/>
  <c r="AT1288" i="21"/>
  <c r="AV1288" i="21" s="1"/>
  <c r="AT1273" i="21"/>
  <c r="AV1273" i="21" s="1"/>
  <c r="AW1273" i="21"/>
  <c r="AX1273" i="21" s="1"/>
  <c r="AT1240" i="21"/>
  <c r="AV1240" i="21" s="1"/>
  <c r="AT1301" i="21"/>
  <c r="AV1301" i="21" s="1"/>
  <c r="AT1291" i="21"/>
  <c r="AV1291" i="21" s="1"/>
  <c r="AW1291" i="21"/>
  <c r="AX1291" i="21" s="1"/>
  <c r="AY1268" i="21"/>
  <c r="AZ1268" i="21" s="1"/>
  <c r="AY1260" i="21"/>
  <c r="AZ1260" i="21" s="1"/>
  <c r="AW1244" i="21"/>
  <c r="AX1244" i="21" s="1"/>
  <c r="AY1244" i="21"/>
  <c r="AZ1244" i="21" s="1"/>
  <c r="AT1287" i="21"/>
  <c r="AV1287" i="21" s="1"/>
  <c r="AW1287" i="21"/>
  <c r="AX1287" i="21" s="1"/>
  <c r="AT1280" i="21"/>
  <c r="AV1280" i="21" s="1"/>
  <c r="AT1276" i="21"/>
  <c r="AV1276" i="21" s="1"/>
  <c r="AT1272" i="21"/>
  <c r="AV1272" i="21" s="1"/>
  <c r="AT1264" i="21"/>
  <c r="AV1264" i="21" s="1"/>
  <c r="AT1256" i="21"/>
  <c r="AV1256" i="21" s="1"/>
  <c r="AT1252" i="21"/>
  <c r="AV1252" i="21" s="1"/>
  <c r="AW1248" i="21"/>
  <c r="AX1248" i="21" s="1"/>
  <c r="AY1248" i="21"/>
  <c r="AZ1248" i="21" s="1"/>
  <c r="AY1236" i="21"/>
  <c r="AZ1236" i="21" s="1"/>
  <c r="AY1232" i="21"/>
  <c r="AZ1232" i="21" s="1"/>
  <c r="AW1228" i="21"/>
  <c r="AX1228" i="21" s="1"/>
  <c r="AY1233" i="21"/>
  <c r="AZ1233" i="21" s="1"/>
  <c r="AY1229" i="21"/>
  <c r="AZ1229" i="21" s="1"/>
  <c r="AW1235" i="21"/>
  <c r="AX1235" i="21" s="1"/>
  <c r="AW1231" i="21"/>
  <c r="AX1231" i="21" s="1"/>
  <c r="AW1227" i="21"/>
  <c r="AX1227" i="21" s="1"/>
  <c r="AT1226" i="21"/>
  <c r="AV1226" i="21" s="1"/>
  <c r="A118" i="18"/>
  <c r="Q111" i="18"/>
  <c r="B112" i="18"/>
  <c r="E111" i="18"/>
  <c r="I111" i="18"/>
  <c r="M111" i="18"/>
  <c r="J54" i="12"/>
  <c r="U54" i="12" s="1"/>
  <c r="C114" i="18" s="1"/>
  <c r="S114" i="18" s="1"/>
  <c r="L53" i="14"/>
  <c r="AF53" i="14"/>
  <c r="AI53" i="14" s="1"/>
  <c r="K53" i="14"/>
  <c r="W55" i="14" l="1"/>
  <c r="K123" i="18" s="1"/>
  <c r="O123" i="18" s="1"/>
  <c r="AU55" i="14"/>
  <c r="G123" i="18" s="1"/>
  <c r="X2" i="19"/>
  <c r="X11" i="19" s="1"/>
  <c r="X20" i="19" s="1"/>
  <c r="X29" i="19" s="1"/>
  <c r="X38" i="19" s="1"/>
  <c r="W11" i="19"/>
  <c r="W20" i="19" s="1"/>
  <c r="W29" i="19" s="1"/>
  <c r="W38" i="19" s="1"/>
  <c r="B116" i="18"/>
  <c r="N7" i="19" s="1"/>
  <c r="N112" i="18"/>
  <c r="M118" i="18"/>
  <c r="O112" i="18"/>
  <c r="N116" i="18" s="1"/>
  <c r="N34" i="19" s="1"/>
  <c r="K112" i="18"/>
  <c r="J112" i="18"/>
  <c r="I118" i="18"/>
  <c r="G112" i="18"/>
  <c r="F112" i="18"/>
  <c r="E118" i="18"/>
  <c r="Q118" i="18"/>
  <c r="S112" i="18"/>
  <c r="R112" i="18"/>
  <c r="W53" i="14"/>
  <c r="K114" i="18" s="1"/>
  <c r="O114" i="18" s="1"/>
  <c r="AU53" i="14"/>
  <c r="G114" i="18" s="1"/>
  <c r="R116" i="18" l="1"/>
  <c r="N43" i="19" s="1"/>
  <c r="F116" i="18"/>
  <c r="N16" i="19" s="1"/>
  <c r="J116" i="18"/>
  <c r="N25" i="19" s="1"/>
  <c r="DD38" i="6"/>
  <c r="DD37" i="6"/>
  <c r="DD36" i="6"/>
  <c r="DD35" i="6"/>
  <c r="DD34" i="6"/>
  <c r="DD33" i="6"/>
  <c r="DC9" i="6"/>
  <c r="DC8" i="6"/>
  <c r="DC10" i="6" s="1"/>
  <c r="DD11" i="6" s="1"/>
  <c r="CY11" i="22"/>
  <c r="CZ14" i="22" s="1"/>
  <c r="DD14" i="6"/>
  <c r="DD2" i="6"/>
  <c r="CZ15" i="22"/>
  <c r="R105" i="18"/>
  <c r="N105" i="18"/>
  <c r="J105" i="18"/>
  <c r="F105" i="18"/>
  <c r="B105" i="18"/>
  <c r="A102" i="18"/>
  <c r="E102" i="18"/>
  <c r="E109" i="18" s="1"/>
  <c r="I102" i="18"/>
  <c r="K103" i="18" s="1"/>
  <c r="M102" i="18"/>
  <c r="M109" i="18" s="1"/>
  <c r="Q102" i="18"/>
  <c r="B103" i="18"/>
  <c r="C103" i="18"/>
  <c r="F103" i="18"/>
  <c r="J103" i="18"/>
  <c r="O103" i="18"/>
  <c r="R103" i="18"/>
  <c r="S103" i="18"/>
  <c r="A109" i="18"/>
  <c r="I109" i="18"/>
  <c r="Q109" i="18"/>
  <c r="AR1112" i="21"/>
  <c r="AS1112" i="21"/>
  <c r="AT1112" i="21"/>
  <c r="AV1112" i="21" s="1"/>
  <c r="AW1112" i="21"/>
  <c r="AX1112" i="21" s="1"/>
  <c r="AY1112" i="21"/>
  <c r="AZ1112" i="21" s="1"/>
  <c r="AR1113" i="21"/>
  <c r="AS1113" i="21"/>
  <c r="AT1113" i="21"/>
  <c r="AV1113" i="21" s="1"/>
  <c r="AW1113" i="21"/>
  <c r="AX1113" i="21" s="1"/>
  <c r="AY1113" i="21"/>
  <c r="AZ1113" i="21" s="1"/>
  <c r="AR1114" i="21"/>
  <c r="AS1114" i="21"/>
  <c r="AT1114" i="21"/>
  <c r="AV1114" i="21" s="1"/>
  <c r="AW1114" i="21"/>
  <c r="AX1114" i="21" s="1"/>
  <c r="AY1114" i="21"/>
  <c r="AZ1114" i="21" s="1"/>
  <c r="AR1115" i="21"/>
  <c r="AS1115" i="21"/>
  <c r="AY1115" i="21" s="1"/>
  <c r="AZ1115" i="21" s="1"/>
  <c r="AT1115" i="21"/>
  <c r="AV1115" i="21" s="1"/>
  <c r="AR1116" i="21"/>
  <c r="AS1116" i="21"/>
  <c r="AT1116" i="21" s="1"/>
  <c r="AV1116" i="21" s="1"/>
  <c r="AY1116" i="21"/>
  <c r="AZ1116" i="21" s="1"/>
  <c r="AR1117" i="21"/>
  <c r="AS1117" i="21"/>
  <c r="AT1117" i="21" s="1"/>
  <c r="AV1117" i="21" s="1"/>
  <c r="AY1117" i="21"/>
  <c r="AZ1117" i="21" s="1"/>
  <c r="AR1118" i="21"/>
  <c r="AS1118" i="21"/>
  <c r="AT1118" i="21" s="1"/>
  <c r="AV1118" i="21" s="1"/>
  <c r="AY1118" i="21"/>
  <c r="AZ1118" i="21" s="1"/>
  <c r="AR1119" i="21"/>
  <c r="AS1119" i="21"/>
  <c r="AT1119" i="21" s="1"/>
  <c r="AV1119" i="21" s="1"/>
  <c r="AY1119" i="21"/>
  <c r="AZ1119" i="21" s="1"/>
  <c r="AR1120" i="21"/>
  <c r="AS1120" i="21"/>
  <c r="AT1120" i="21" s="1"/>
  <c r="AV1120" i="21" s="1"/>
  <c r="AY1120" i="21"/>
  <c r="AZ1120" i="21" s="1"/>
  <c r="AR1121" i="21"/>
  <c r="AS1121" i="21"/>
  <c r="AT1121" i="21" s="1"/>
  <c r="AV1121" i="21" s="1"/>
  <c r="AY1121" i="21"/>
  <c r="AZ1121" i="21" s="1"/>
  <c r="AR1122" i="21"/>
  <c r="AS1122" i="21"/>
  <c r="AT1122" i="21" s="1"/>
  <c r="AV1122" i="21" s="1"/>
  <c r="AY1122" i="21"/>
  <c r="AZ1122" i="21" s="1"/>
  <c r="AR1123" i="21"/>
  <c r="AS1123" i="21"/>
  <c r="AT1123" i="21" s="1"/>
  <c r="AV1123" i="21" s="1"/>
  <c r="AY1123" i="21"/>
  <c r="AZ1123" i="21" s="1"/>
  <c r="AR1124" i="21"/>
  <c r="AS1124" i="21"/>
  <c r="AT1124" i="21" s="1"/>
  <c r="AV1124" i="21" s="1"/>
  <c r="AY1124" i="21"/>
  <c r="AZ1124" i="21" s="1"/>
  <c r="AR1125" i="21"/>
  <c r="AS1125" i="21"/>
  <c r="AW1125" i="21" s="1"/>
  <c r="AX1125" i="21" s="1"/>
  <c r="AT1125" i="21"/>
  <c r="AV1125" i="21" s="1"/>
  <c r="AR1126" i="21"/>
  <c r="AS1126" i="21"/>
  <c r="AT1126" i="21" s="1"/>
  <c r="AV1126" i="21" s="1"/>
  <c r="AY1126" i="21"/>
  <c r="AZ1126" i="21" s="1"/>
  <c r="AR1127" i="21"/>
  <c r="AS1127" i="21"/>
  <c r="AT1127" i="21" s="1"/>
  <c r="AV1127" i="21" s="1"/>
  <c r="AY1127" i="21"/>
  <c r="AZ1127" i="21" s="1"/>
  <c r="AR1128" i="21"/>
  <c r="AS1128" i="21"/>
  <c r="AT1128" i="21" s="1"/>
  <c r="AV1128" i="21" s="1"/>
  <c r="AY1128" i="21"/>
  <c r="AZ1128" i="21" s="1"/>
  <c r="AR1129" i="21"/>
  <c r="AS1129" i="21"/>
  <c r="AT1129" i="21" s="1"/>
  <c r="AV1129" i="21" s="1"/>
  <c r="AY1129" i="21"/>
  <c r="AZ1129" i="21" s="1"/>
  <c r="AR1130" i="21"/>
  <c r="AS1130" i="21"/>
  <c r="AT1130" i="21" s="1"/>
  <c r="AV1130" i="21" s="1"/>
  <c r="AY1130" i="21"/>
  <c r="AZ1130" i="21" s="1"/>
  <c r="AR1131" i="21"/>
  <c r="AS1131" i="21"/>
  <c r="AW1131" i="21" s="1"/>
  <c r="AX1131" i="21" s="1"/>
  <c r="AT1131" i="21"/>
  <c r="AV1131" i="21" s="1"/>
  <c r="AR1132" i="21"/>
  <c r="AS1132" i="21"/>
  <c r="AT1132" i="21" s="1"/>
  <c r="AV1132" i="21" s="1"/>
  <c r="AY1132" i="21"/>
  <c r="AZ1132" i="21" s="1"/>
  <c r="AR1133" i="21"/>
  <c r="AS1133" i="21"/>
  <c r="AT1133" i="21" s="1"/>
  <c r="AV1133" i="21" s="1"/>
  <c r="AY1133" i="21"/>
  <c r="AZ1133" i="21" s="1"/>
  <c r="AR1134" i="21"/>
  <c r="AS1134" i="21"/>
  <c r="AW1134" i="21" s="1"/>
  <c r="AX1134" i="21" s="1"/>
  <c r="AT1134" i="21"/>
  <c r="AV1134" i="21" s="1"/>
  <c r="AR1135" i="21"/>
  <c r="AS1135" i="21"/>
  <c r="AT1135" i="21" s="1"/>
  <c r="AV1135" i="21" s="1"/>
  <c r="AY1135" i="21"/>
  <c r="AZ1135" i="21" s="1"/>
  <c r="AR1136" i="21"/>
  <c r="AS1136" i="21"/>
  <c r="AT1136" i="21" s="1"/>
  <c r="AV1136" i="21" s="1"/>
  <c r="AY1136" i="21"/>
  <c r="AZ1136" i="21" s="1"/>
  <c r="AR1137" i="21"/>
  <c r="AS1137" i="21"/>
  <c r="AT1137" i="21" s="1"/>
  <c r="AV1137" i="21" s="1"/>
  <c r="AY1137" i="21"/>
  <c r="AZ1137" i="21" s="1"/>
  <c r="AR1138" i="21"/>
  <c r="AS1138" i="21"/>
  <c r="AT1138" i="21" s="1"/>
  <c r="AV1138" i="21" s="1"/>
  <c r="AY1138" i="21"/>
  <c r="AZ1138" i="21" s="1"/>
  <c r="AR1139" i="21"/>
  <c r="AS1139" i="21"/>
  <c r="AT1139" i="21" s="1"/>
  <c r="AV1139" i="21" s="1"/>
  <c r="AY1139" i="21"/>
  <c r="AZ1139" i="21" s="1"/>
  <c r="AR1140" i="21"/>
  <c r="AS1140" i="21"/>
  <c r="AT1140" i="21" s="1"/>
  <c r="AV1140" i="21" s="1"/>
  <c r="AY1140" i="21"/>
  <c r="AZ1140" i="21" s="1"/>
  <c r="AR1141" i="21"/>
  <c r="AS1141" i="21"/>
  <c r="AW1141" i="21" s="1"/>
  <c r="AX1141" i="21" s="1"/>
  <c r="AT1141" i="21"/>
  <c r="AV1141" i="21" s="1"/>
  <c r="AR1142" i="21"/>
  <c r="AS1142" i="21"/>
  <c r="AT1142" i="21" s="1"/>
  <c r="AV1142" i="21" s="1"/>
  <c r="AY1142" i="21"/>
  <c r="AZ1142" i="21" s="1"/>
  <c r="AR1143" i="21"/>
  <c r="AS1143" i="21"/>
  <c r="AT1143" i="21" s="1"/>
  <c r="AV1143" i="21" s="1"/>
  <c r="AY1143" i="21"/>
  <c r="AZ1143" i="21" s="1"/>
  <c r="AR1144" i="21"/>
  <c r="AS1144" i="21"/>
  <c r="AT1144" i="21" s="1"/>
  <c r="AV1144" i="21" s="1"/>
  <c r="AY1144" i="21"/>
  <c r="AZ1144" i="21" s="1"/>
  <c r="AR1145" i="21"/>
  <c r="AS1145" i="21"/>
  <c r="AT1145" i="21" s="1"/>
  <c r="AV1145" i="21" s="1"/>
  <c r="AY1145" i="21"/>
  <c r="AZ1145" i="21" s="1"/>
  <c r="AR1146" i="21"/>
  <c r="AS1146" i="21"/>
  <c r="AT1146" i="21" s="1"/>
  <c r="AV1146" i="21" s="1"/>
  <c r="AY1146" i="21"/>
  <c r="AZ1146" i="21" s="1"/>
  <c r="AR1147" i="21"/>
  <c r="AS1147" i="21"/>
  <c r="AT1147" i="21" s="1"/>
  <c r="AV1147" i="21" s="1"/>
  <c r="AY1147" i="21"/>
  <c r="AZ1147" i="21" s="1"/>
  <c r="AR1148" i="21"/>
  <c r="AS1148" i="21"/>
  <c r="AT1148" i="21" s="1"/>
  <c r="AV1148" i="21" s="1"/>
  <c r="AY1148" i="21"/>
  <c r="AZ1148" i="21" s="1"/>
  <c r="AR1149" i="21"/>
  <c r="AS1149" i="21"/>
  <c r="AW1149" i="21" s="1"/>
  <c r="AX1149" i="21" s="1"/>
  <c r="AT1149" i="21"/>
  <c r="AV1149" i="21" s="1"/>
  <c r="AR1150" i="21"/>
  <c r="AS1150" i="21"/>
  <c r="AT1150" i="21" s="1"/>
  <c r="AV1150" i="21" s="1"/>
  <c r="AY1150" i="21"/>
  <c r="AZ1150" i="21" s="1"/>
  <c r="AR1151" i="21"/>
  <c r="AS1151" i="21"/>
  <c r="AT1151" i="21" s="1"/>
  <c r="AV1151" i="21" s="1"/>
  <c r="AY1151" i="21"/>
  <c r="AZ1151" i="21" s="1"/>
  <c r="AR1152" i="21"/>
  <c r="AS1152" i="21"/>
  <c r="AT1152" i="21" s="1"/>
  <c r="AV1152" i="21" s="1"/>
  <c r="AY1152" i="21"/>
  <c r="AZ1152" i="21" s="1"/>
  <c r="AR1153" i="21"/>
  <c r="AS1153" i="21"/>
  <c r="AW1153" i="21" s="1"/>
  <c r="AX1153" i="21" s="1"/>
  <c r="AT1153" i="21"/>
  <c r="AV1153" i="21" s="1"/>
  <c r="AR1154" i="21"/>
  <c r="AS1154" i="21"/>
  <c r="AY1154" i="21" s="1"/>
  <c r="AZ1154" i="21" s="1"/>
  <c r="AT1154" i="21"/>
  <c r="AV1154" i="21" s="1"/>
  <c r="AR1155" i="21"/>
  <c r="AS1155" i="21"/>
  <c r="AT1155" i="21" s="1"/>
  <c r="AV1155" i="21" s="1"/>
  <c r="AY1155" i="21"/>
  <c r="AZ1155" i="21" s="1"/>
  <c r="AR1156" i="21"/>
  <c r="AS1156" i="21"/>
  <c r="AT1156" i="21" s="1"/>
  <c r="AV1156" i="21" s="1"/>
  <c r="AY1156" i="21"/>
  <c r="AZ1156" i="21" s="1"/>
  <c r="AR1157" i="21"/>
  <c r="AS1157" i="21"/>
  <c r="AT1157" i="21" s="1"/>
  <c r="AV1157" i="21" s="1"/>
  <c r="AY1157" i="21"/>
  <c r="AZ1157" i="21" s="1"/>
  <c r="AR1158" i="21"/>
  <c r="AS1158" i="21"/>
  <c r="AW1158" i="21" s="1"/>
  <c r="AX1158" i="21" s="1"/>
  <c r="AT1158" i="21"/>
  <c r="AV1158" i="21" s="1"/>
  <c r="AR1159" i="21"/>
  <c r="AS1159" i="21"/>
  <c r="AT1159" i="21" s="1"/>
  <c r="AV1159" i="21" s="1"/>
  <c r="AY1159" i="21"/>
  <c r="AZ1159" i="21" s="1"/>
  <c r="AR1160" i="21"/>
  <c r="AS1160" i="21"/>
  <c r="AT1160" i="21" s="1"/>
  <c r="AV1160" i="21" s="1"/>
  <c r="AY1160" i="21"/>
  <c r="AZ1160" i="21" s="1"/>
  <c r="AR1161" i="21"/>
  <c r="AS1161" i="21"/>
  <c r="AT1161" i="21" s="1"/>
  <c r="AV1161" i="21" s="1"/>
  <c r="AY1161" i="21"/>
  <c r="AZ1161" i="21" s="1"/>
  <c r="AR1162" i="21"/>
  <c r="AS1162" i="21"/>
  <c r="AT1162" i="21" s="1"/>
  <c r="AV1162" i="21" s="1"/>
  <c r="AY1162" i="21"/>
  <c r="AZ1162" i="21" s="1"/>
  <c r="AR1163" i="21"/>
  <c r="AS1163" i="21"/>
  <c r="AY1163" i="21" s="1"/>
  <c r="AZ1163" i="21" s="1"/>
  <c r="AT1163" i="21"/>
  <c r="AV1163" i="21" s="1"/>
  <c r="AR1164" i="21"/>
  <c r="AS1164" i="21"/>
  <c r="AT1164" i="21" s="1"/>
  <c r="AV1164" i="21" s="1"/>
  <c r="AY1164" i="21"/>
  <c r="AZ1164" i="21" s="1"/>
  <c r="AR1165" i="21"/>
  <c r="AS1165" i="21"/>
  <c r="AT1165" i="21" s="1"/>
  <c r="AV1165" i="21" s="1"/>
  <c r="AY1165" i="21"/>
  <c r="AZ1165" i="21" s="1"/>
  <c r="AR1166" i="21"/>
  <c r="AS1166" i="21"/>
  <c r="AY1166" i="21" s="1"/>
  <c r="AZ1166" i="21" s="1"/>
  <c r="AT1166" i="21"/>
  <c r="AV1166" i="21" s="1"/>
  <c r="AR1167" i="21"/>
  <c r="AS1167" i="21"/>
  <c r="AT1167" i="21" s="1"/>
  <c r="AV1167" i="21" s="1"/>
  <c r="AY1167" i="21"/>
  <c r="AZ1167" i="21" s="1"/>
  <c r="AR1168" i="21"/>
  <c r="AS1168" i="21"/>
  <c r="AW1168" i="21" s="1"/>
  <c r="AX1168" i="21" s="1"/>
  <c r="AT1168" i="21"/>
  <c r="AV1168" i="21" s="1"/>
  <c r="AR1169" i="21"/>
  <c r="AS1169" i="21"/>
  <c r="AT1169" i="21" s="1"/>
  <c r="AV1169" i="21" s="1"/>
  <c r="AY1169" i="21"/>
  <c r="AZ1169" i="21" s="1"/>
  <c r="AR1170" i="21"/>
  <c r="AS1170" i="21"/>
  <c r="AT1170" i="21" s="1"/>
  <c r="AV1170" i="21" s="1"/>
  <c r="AY1170" i="21"/>
  <c r="AZ1170" i="21" s="1"/>
  <c r="AR1171" i="21"/>
  <c r="AS1171" i="21"/>
  <c r="AT1171" i="21" s="1"/>
  <c r="AV1171" i="21" s="1"/>
  <c r="AY1171" i="21"/>
  <c r="AZ1171" i="21" s="1"/>
  <c r="AR1172" i="21"/>
  <c r="AS1172" i="21"/>
  <c r="AT1172" i="21" s="1"/>
  <c r="AV1172" i="21" s="1"/>
  <c r="AY1172" i="21"/>
  <c r="AZ1172" i="21" s="1"/>
  <c r="AR1173" i="21"/>
  <c r="AS1173" i="21"/>
  <c r="AT1173" i="21" s="1"/>
  <c r="AV1173" i="21" s="1"/>
  <c r="AY1173" i="21"/>
  <c r="AZ1173" i="21" s="1"/>
  <c r="AR1174" i="21"/>
  <c r="AS1174" i="21"/>
  <c r="AT1174" i="21" s="1"/>
  <c r="AV1174" i="21" s="1"/>
  <c r="AY1174" i="21"/>
  <c r="AZ1174" i="21" s="1"/>
  <c r="AR1175" i="21"/>
  <c r="AS1175" i="21"/>
  <c r="AT1175" i="21" s="1"/>
  <c r="AV1175" i="21" s="1"/>
  <c r="AY1175" i="21"/>
  <c r="AZ1175" i="21" s="1"/>
  <c r="AR1176" i="21"/>
  <c r="AS1176" i="21"/>
  <c r="AT1176" i="21" s="1"/>
  <c r="AV1176" i="21" s="1"/>
  <c r="AY1176" i="21"/>
  <c r="AZ1176" i="21" s="1"/>
  <c r="AR1177" i="21"/>
  <c r="AS1177" i="21"/>
  <c r="AT1177" i="21" s="1"/>
  <c r="AV1177" i="21" s="1"/>
  <c r="AY1177" i="21"/>
  <c r="AZ1177" i="21" s="1"/>
  <c r="AR1178" i="21"/>
  <c r="AS1178" i="21"/>
  <c r="AT1178" i="21" s="1"/>
  <c r="AV1178" i="21" s="1"/>
  <c r="AY1178" i="21"/>
  <c r="AZ1178" i="21" s="1"/>
  <c r="AR1179" i="21"/>
  <c r="AS1179" i="21"/>
  <c r="AT1179" i="21" s="1"/>
  <c r="AV1179" i="21" s="1"/>
  <c r="AY1179" i="21"/>
  <c r="AZ1179" i="21" s="1"/>
  <c r="AR1180" i="21"/>
  <c r="AS1180" i="21"/>
  <c r="AW1180" i="21" s="1"/>
  <c r="AX1180" i="21" s="1"/>
  <c r="AT1180" i="21"/>
  <c r="AV1180" i="21" s="1"/>
  <c r="AR1181" i="21"/>
  <c r="AS1181" i="21"/>
  <c r="AT1181" i="21" s="1"/>
  <c r="AV1181" i="21" s="1"/>
  <c r="AY1181" i="21"/>
  <c r="AZ1181" i="21" s="1"/>
  <c r="AR1182" i="21"/>
  <c r="AS1182" i="21"/>
  <c r="AT1182" i="21" s="1"/>
  <c r="AV1182" i="21" s="1"/>
  <c r="AY1182" i="21"/>
  <c r="AZ1182" i="21" s="1"/>
  <c r="AR1183" i="21"/>
  <c r="AS1183" i="21"/>
  <c r="AT1183" i="21" s="1"/>
  <c r="AV1183" i="21" s="1"/>
  <c r="AY1183" i="21"/>
  <c r="AZ1183" i="21" s="1"/>
  <c r="AR1184" i="21"/>
  <c r="AS1184" i="21"/>
  <c r="AT1184" i="21" s="1"/>
  <c r="AV1184" i="21" s="1"/>
  <c r="AY1184" i="21"/>
  <c r="AZ1184" i="21" s="1"/>
  <c r="AR1185" i="21"/>
  <c r="AS1185" i="21"/>
  <c r="AT1185" i="21" s="1"/>
  <c r="AV1185" i="21" s="1"/>
  <c r="AY1185" i="21"/>
  <c r="AZ1185" i="21" s="1"/>
  <c r="AR1186" i="21"/>
  <c r="AS1186" i="21"/>
  <c r="AT1186" i="21" s="1"/>
  <c r="AV1186" i="21" s="1"/>
  <c r="AY1186" i="21"/>
  <c r="AZ1186" i="21" s="1"/>
  <c r="AR1187" i="21"/>
  <c r="AS1187" i="21"/>
  <c r="AT1187" i="21" s="1"/>
  <c r="AV1187" i="21" s="1"/>
  <c r="AY1187" i="21"/>
  <c r="AZ1187" i="21" s="1"/>
  <c r="AR1188" i="21"/>
  <c r="AS1188" i="21"/>
  <c r="AT1188" i="21" s="1"/>
  <c r="AV1188" i="21" s="1"/>
  <c r="AY1188" i="21"/>
  <c r="AZ1188" i="21" s="1"/>
  <c r="AR1189" i="21"/>
  <c r="AS1189" i="21"/>
  <c r="AT1189" i="21" s="1"/>
  <c r="AV1189" i="21" s="1"/>
  <c r="AY1189" i="21"/>
  <c r="AZ1189" i="21" s="1"/>
  <c r="AR1190" i="21"/>
  <c r="AS1190" i="21"/>
  <c r="AT1190" i="21" s="1"/>
  <c r="AV1190" i="21" s="1"/>
  <c r="AY1190" i="21"/>
  <c r="AZ1190" i="21" s="1"/>
  <c r="AR1191" i="21"/>
  <c r="AS1191" i="21"/>
  <c r="AT1191" i="21" s="1"/>
  <c r="AV1191" i="21" s="1"/>
  <c r="AY1191" i="21"/>
  <c r="AZ1191" i="21" s="1"/>
  <c r="AR1192" i="21"/>
  <c r="AS1192" i="21"/>
  <c r="AT1192" i="21" s="1"/>
  <c r="AV1192" i="21" s="1"/>
  <c r="AY1192" i="21"/>
  <c r="AZ1192" i="21" s="1"/>
  <c r="AR1193" i="21"/>
  <c r="AS1193" i="21"/>
  <c r="AT1193" i="21" s="1"/>
  <c r="AV1193" i="21" s="1"/>
  <c r="AY1193" i="21"/>
  <c r="AZ1193" i="21" s="1"/>
  <c r="AR1194" i="21"/>
  <c r="AS1194" i="21"/>
  <c r="AT1194" i="21" s="1"/>
  <c r="AV1194" i="21" s="1"/>
  <c r="AY1194" i="21"/>
  <c r="AZ1194" i="21" s="1"/>
  <c r="AR1195" i="21"/>
  <c r="AS1195" i="21"/>
  <c r="AW1195" i="21" s="1"/>
  <c r="AX1195" i="21" s="1"/>
  <c r="AT1195" i="21"/>
  <c r="AV1195" i="21" s="1"/>
  <c r="AR1196" i="21"/>
  <c r="AS1196" i="21"/>
  <c r="AT1196" i="21" s="1"/>
  <c r="AV1196" i="21" s="1"/>
  <c r="AY1196" i="21"/>
  <c r="AZ1196" i="21" s="1"/>
  <c r="AR1197" i="21"/>
  <c r="AS1197" i="21"/>
  <c r="AT1197" i="21" s="1"/>
  <c r="AV1197" i="21" s="1"/>
  <c r="AY1197" i="21"/>
  <c r="AZ1197" i="21" s="1"/>
  <c r="AR1198" i="21"/>
  <c r="AS1198" i="21"/>
  <c r="AT1198" i="21" s="1"/>
  <c r="AV1198" i="21" s="1"/>
  <c r="AY1198" i="21"/>
  <c r="AZ1198" i="21" s="1"/>
  <c r="AR1199" i="21"/>
  <c r="AS1199" i="21"/>
  <c r="AT1199" i="21" s="1"/>
  <c r="AV1199" i="21" s="1"/>
  <c r="AY1199" i="21"/>
  <c r="AZ1199" i="21" s="1"/>
  <c r="AR1200" i="21"/>
  <c r="AS1200" i="21"/>
  <c r="AT1200" i="21" s="1"/>
  <c r="AV1200" i="21" s="1"/>
  <c r="AY1200" i="21"/>
  <c r="AZ1200" i="21" s="1"/>
  <c r="AR1201" i="21"/>
  <c r="AS1201" i="21"/>
  <c r="AT1201" i="21" s="1"/>
  <c r="AV1201" i="21" s="1"/>
  <c r="AY1201" i="21"/>
  <c r="AZ1201" i="21" s="1"/>
  <c r="AR1202" i="21"/>
  <c r="AS1202" i="21"/>
  <c r="AT1202" i="21" s="1"/>
  <c r="AV1202" i="21" s="1"/>
  <c r="AY1202" i="21"/>
  <c r="AZ1202" i="21" s="1"/>
  <c r="AR1203" i="21"/>
  <c r="AS1203" i="21"/>
  <c r="AT1203" i="21" s="1"/>
  <c r="AV1203" i="21" s="1"/>
  <c r="AY1203" i="21"/>
  <c r="AZ1203" i="21" s="1"/>
  <c r="AR1204" i="21"/>
  <c r="AS1204" i="21"/>
  <c r="AW1204" i="21" s="1"/>
  <c r="AX1204" i="21" s="1"/>
  <c r="AT1204" i="21"/>
  <c r="AV1204" i="21" s="1"/>
  <c r="AR1205" i="21"/>
  <c r="AS1205" i="21"/>
  <c r="AT1205" i="21" s="1"/>
  <c r="AV1205" i="21" s="1"/>
  <c r="AY1205" i="21"/>
  <c r="AZ1205" i="21" s="1"/>
  <c r="AR1206" i="21"/>
  <c r="AS1206" i="21"/>
  <c r="AW1206" i="21" s="1"/>
  <c r="AX1206" i="21" s="1"/>
  <c r="AT1206" i="21"/>
  <c r="AV1206" i="21" s="1"/>
  <c r="AR1207" i="21"/>
  <c r="AS1207" i="21"/>
  <c r="AT1207" i="21" s="1"/>
  <c r="AV1207" i="21" s="1"/>
  <c r="AY1207" i="21"/>
  <c r="AZ1207" i="21" s="1"/>
  <c r="AR1208" i="21"/>
  <c r="AS1208" i="21"/>
  <c r="AT1208" i="21" s="1"/>
  <c r="AV1208" i="21" s="1"/>
  <c r="AY1208" i="21"/>
  <c r="AZ1208" i="21" s="1"/>
  <c r="AR1209" i="21"/>
  <c r="AS1209" i="21"/>
  <c r="AT1209" i="21" s="1"/>
  <c r="AV1209" i="21" s="1"/>
  <c r="AY1209" i="21"/>
  <c r="AZ1209" i="21" s="1"/>
  <c r="AR1210" i="21"/>
  <c r="AS1210" i="21"/>
  <c r="AW1210" i="21" s="1"/>
  <c r="AX1210" i="21" s="1"/>
  <c r="AT1210" i="21"/>
  <c r="AV1210" i="21" s="1"/>
  <c r="AR1211" i="21"/>
  <c r="AS1211" i="21"/>
  <c r="AT1211" i="21" s="1"/>
  <c r="AV1211" i="21" s="1"/>
  <c r="AY1211" i="21"/>
  <c r="AZ1211" i="21" s="1"/>
  <c r="AR1212" i="21"/>
  <c r="AS1212" i="21"/>
  <c r="AT1212" i="21" s="1"/>
  <c r="AV1212" i="21" s="1"/>
  <c r="AY1212" i="21"/>
  <c r="AZ1212" i="21" s="1"/>
  <c r="AR1213" i="21"/>
  <c r="AS1213" i="21"/>
  <c r="AT1213" i="21" s="1"/>
  <c r="AV1213" i="21" s="1"/>
  <c r="AY1213" i="21"/>
  <c r="AZ1213" i="21" s="1"/>
  <c r="AR1214" i="21"/>
  <c r="AS1214" i="21"/>
  <c r="AT1214" i="21" s="1"/>
  <c r="AV1214" i="21" s="1"/>
  <c r="AY1214" i="21"/>
  <c r="AZ1214" i="21" s="1"/>
  <c r="AR1215" i="21"/>
  <c r="AS1215" i="21"/>
  <c r="AT1215" i="21" s="1"/>
  <c r="AV1215" i="21" s="1"/>
  <c r="AY1215" i="21"/>
  <c r="AZ1215" i="21" s="1"/>
  <c r="AR1216" i="21"/>
  <c r="AS1216" i="21"/>
  <c r="AT1216" i="21" s="1"/>
  <c r="AV1216" i="21" s="1"/>
  <c r="AY1216" i="21"/>
  <c r="AZ1216" i="21" s="1"/>
  <c r="AR1217" i="21"/>
  <c r="AS1217" i="21"/>
  <c r="AT1217" i="21" s="1"/>
  <c r="AV1217" i="21" s="1"/>
  <c r="AY1217" i="21"/>
  <c r="AZ1217" i="21" s="1"/>
  <c r="AR1218" i="21"/>
  <c r="AS1218" i="21"/>
  <c r="AY1218" i="21" s="1"/>
  <c r="AZ1218" i="21" s="1"/>
  <c r="AT1218" i="21"/>
  <c r="AV1218" i="21" s="1"/>
  <c r="AR1219" i="21"/>
  <c r="AS1219" i="21"/>
  <c r="AT1219" i="21" s="1"/>
  <c r="AV1219" i="21" s="1"/>
  <c r="AY1219" i="21"/>
  <c r="AZ1219" i="21" s="1"/>
  <c r="AR1220" i="21"/>
  <c r="AS1220" i="21"/>
  <c r="AT1220" i="21" s="1"/>
  <c r="AV1220" i="21" s="1"/>
  <c r="AY1220" i="21"/>
  <c r="AZ1220" i="21" s="1"/>
  <c r="AR1221" i="21"/>
  <c r="AS1221" i="21"/>
  <c r="AT1221" i="21" s="1"/>
  <c r="AV1221" i="21" s="1"/>
  <c r="AY1221" i="21"/>
  <c r="AZ1221" i="21" s="1"/>
  <c r="AR1222" i="21"/>
  <c r="AS1222" i="21"/>
  <c r="AT1222" i="21" s="1"/>
  <c r="AV1222" i="21" s="1"/>
  <c r="AY1222" i="21"/>
  <c r="AZ1222" i="21" s="1"/>
  <c r="AR1223" i="21"/>
  <c r="AS1223" i="21"/>
  <c r="AT1223" i="21" s="1"/>
  <c r="AV1223" i="21" s="1"/>
  <c r="AY1223" i="21"/>
  <c r="AZ1223" i="21" s="1"/>
  <c r="AR1224" i="21"/>
  <c r="AS1224" i="21"/>
  <c r="AT1224" i="21" s="1"/>
  <c r="AV1224" i="21" s="1"/>
  <c r="AY1224" i="21"/>
  <c r="AZ1224" i="21" s="1"/>
  <c r="AR1111" i="21"/>
  <c r="AS1111" i="21"/>
  <c r="AT1111" i="21" s="1"/>
  <c r="AV1111" i="21" s="1"/>
  <c r="AY1111" i="21"/>
  <c r="AZ1111" i="21" s="1"/>
  <c r="AB52" i="14"/>
  <c r="X52" i="14"/>
  <c r="Y52" i="14" s="1"/>
  <c r="G52" i="14"/>
  <c r="L52" i="14" s="1"/>
  <c r="B52" i="14"/>
  <c r="AA52" i="14" s="1"/>
  <c r="I53" i="12"/>
  <c r="G53" i="12"/>
  <c r="DC38" i="6"/>
  <c r="DC37" i="6"/>
  <c r="DC36" i="6"/>
  <c r="DC35" i="6"/>
  <c r="DC34" i="6"/>
  <c r="DC33" i="6"/>
  <c r="CZ103" i="22" l="1"/>
  <c r="CZ57" i="22"/>
  <c r="DA57" i="22" s="1"/>
  <c r="DB57" i="22" s="1"/>
  <c r="DC57" i="22" s="1"/>
  <c r="CZ44" i="22"/>
  <c r="DA44" i="22" s="1"/>
  <c r="DB44" i="22" s="1"/>
  <c r="DC44" i="22" s="1"/>
  <c r="CZ50" i="22"/>
  <c r="DA50" i="22" s="1"/>
  <c r="DB50" i="22" s="1"/>
  <c r="DC50" i="22" s="1"/>
  <c r="B107" i="18"/>
  <c r="M7" i="19" s="1"/>
  <c r="CZ82" i="22"/>
  <c r="CZ40" i="22"/>
  <c r="CZ124" i="22"/>
  <c r="CZ61" i="22"/>
  <c r="AW1223" i="21"/>
  <c r="AX1223" i="21" s="1"/>
  <c r="AW1220" i="21"/>
  <c r="AX1220" i="21" s="1"/>
  <c r="AW1217" i="21"/>
  <c r="AX1217" i="21" s="1"/>
  <c r="AW1214" i="21"/>
  <c r="AX1214" i="21" s="1"/>
  <c r="AW1211" i="21"/>
  <c r="AX1211" i="21" s="1"/>
  <c r="AW1208" i="21"/>
  <c r="AX1208" i="21" s="1"/>
  <c r="AW1205" i="21"/>
  <c r="AX1205" i="21" s="1"/>
  <c r="AW1202" i="21"/>
  <c r="AX1202" i="21" s="1"/>
  <c r="AW1199" i="21"/>
  <c r="AX1199" i="21" s="1"/>
  <c r="AW1196" i="21"/>
  <c r="AX1196" i="21" s="1"/>
  <c r="AW1193" i="21"/>
  <c r="AX1193" i="21" s="1"/>
  <c r="AW1190" i="21"/>
  <c r="AX1190" i="21" s="1"/>
  <c r="AW1187" i="21"/>
  <c r="AX1187" i="21" s="1"/>
  <c r="AW1184" i="21"/>
  <c r="AX1184" i="21" s="1"/>
  <c r="AW1181" i="21"/>
  <c r="AX1181" i="21" s="1"/>
  <c r="AW1178" i="21"/>
  <c r="AX1178" i="21" s="1"/>
  <c r="AW1175" i="21"/>
  <c r="AX1175" i="21" s="1"/>
  <c r="AW1172" i="21"/>
  <c r="AX1172" i="21" s="1"/>
  <c r="AW1169" i="21"/>
  <c r="AX1169" i="21" s="1"/>
  <c r="AW1166" i="21"/>
  <c r="AX1166" i="21" s="1"/>
  <c r="AW1163" i="21"/>
  <c r="AX1163" i="21" s="1"/>
  <c r="AW1160" i="21"/>
  <c r="AX1160" i="21" s="1"/>
  <c r="AW1157" i="21"/>
  <c r="AX1157" i="21" s="1"/>
  <c r="AW1154" i="21"/>
  <c r="AX1154" i="21" s="1"/>
  <c r="AW1151" i="21"/>
  <c r="AX1151" i="21" s="1"/>
  <c r="AW1148" i="21"/>
  <c r="AX1148" i="21" s="1"/>
  <c r="AW1145" i="21"/>
  <c r="AX1145" i="21" s="1"/>
  <c r="AW1142" i="21"/>
  <c r="AX1142" i="21" s="1"/>
  <c r="AW1139" i="21"/>
  <c r="AX1139" i="21" s="1"/>
  <c r="AW1136" i="21"/>
  <c r="AX1136" i="21" s="1"/>
  <c r="AW1133" i="21"/>
  <c r="AX1133" i="21" s="1"/>
  <c r="AW1130" i="21"/>
  <c r="AX1130" i="21" s="1"/>
  <c r="AW1127" i="21"/>
  <c r="AX1127" i="21" s="1"/>
  <c r="AW1124" i="21"/>
  <c r="AX1124" i="21" s="1"/>
  <c r="AW1121" i="21"/>
  <c r="AX1121" i="21" s="1"/>
  <c r="AW1118" i="21"/>
  <c r="AX1118" i="21" s="1"/>
  <c r="AW1115" i="21"/>
  <c r="AX1115" i="21" s="1"/>
  <c r="G103" i="18"/>
  <c r="F107" i="18" s="1"/>
  <c r="AY1206" i="21"/>
  <c r="AZ1206" i="21" s="1"/>
  <c r="AY1158" i="21"/>
  <c r="AZ1158" i="21" s="1"/>
  <c r="AY1149" i="21"/>
  <c r="AZ1149" i="21" s="1"/>
  <c r="AY1134" i="21"/>
  <c r="AZ1134" i="21" s="1"/>
  <c r="AY1131" i="21"/>
  <c r="AZ1131" i="21" s="1"/>
  <c r="AY1125" i="21"/>
  <c r="AZ1125" i="21" s="1"/>
  <c r="AW1221" i="21"/>
  <c r="AX1221" i="21" s="1"/>
  <c r="AW1224" i="21"/>
  <c r="AX1224" i="21" s="1"/>
  <c r="AW1218" i="21"/>
  <c r="AX1218" i="21" s="1"/>
  <c r="AW1215" i="21"/>
  <c r="AX1215" i="21" s="1"/>
  <c r="AW1212" i="21"/>
  <c r="AX1212" i="21" s="1"/>
  <c r="AW1209" i="21"/>
  <c r="AX1209" i="21" s="1"/>
  <c r="AW1203" i="21"/>
  <c r="AX1203" i="21" s="1"/>
  <c r="AW1200" i="21"/>
  <c r="AX1200" i="21" s="1"/>
  <c r="AW1197" i="21"/>
  <c r="AX1197" i="21" s="1"/>
  <c r="AW1194" i="21"/>
  <c r="AX1194" i="21" s="1"/>
  <c r="AW1191" i="21"/>
  <c r="AX1191" i="21" s="1"/>
  <c r="AW1188" i="21"/>
  <c r="AX1188" i="21" s="1"/>
  <c r="AW1185" i="21"/>
  <c r="AX1185" i="21" s="1"/>
  <c r="AW1182" i="21"/>
  <c r="AX1182" i="21" s="1"/>
  <c r="AW1179" i="21"/>
  <c r="AX1179" i="21" s="1"/>
  <c r="AW1176" i="21"/>
  <c r="AX1176" i="21" s="1"/>
  <c r="AW1173" i="21"/>
  <c r="AX1173" i="21" s="1"/>
  <c r="AW1170" i="21"/>
  <c r="AX1170" i="21" s="1"/>
  <c r="AW1167" i="21"/>
  <c r="AX1167" i="21" s="1"/>
  <c r="AW1164" i="21"/>
  <c r="AX1164" i="21" s="1"/>
  <c r="AW1161" i="21"/>
  <c r="AX1161" i="21" s="1"/>
  <c r="AW1155" i="21"/>
  <c r="AX1155" i="21" s="1"/>
  <c r="AW1152" i="21"/>
  <c r="AX1152" i="21" s="1"/>
  <c r="AW1146" i="21"/>
  <c r="AX1146" i="21" s="1"/>
  <c r="AW1143" i="21"/>
  <c r="AX1143" i="21" s="1"/>
  <c r="AW1140" i="21"/>
  <c r="AX1140" i="21" s="1"/>
  <c r="AW1137" i="21"/>
  <c r="AX1137" i="21" s="1"/>
  <c r="AW1128" i="21"/>
  <c r="AX1128" i="21" s="1"/>
  <c r="AW1122" i="21"/>
  <c r="AX1122" i="21" s="1"/>
  <c r="AW1119" i="21"/>
  <c r="AX1119" i="21" s="1"/>
  <c r="AW1116" i="21"/>
  <c r="AX1116" i="21" s="1"/>
  <c r="AY1210" i="21"/>
  <c r="AZ1210" i="21" s="1"/>
  <c r="AY1204" i="21"/>
  <c r="AZ1204" i="21" s="1"/>
  <c r="AY1195" i="21"/>
  <c r="AZ1195" i="21" s="1"/>
  <c r="AY1180" i="21"/>
  <c r="AZ1180" i="21" s="1"/>
  <c r="AY1168" i="21"/>
  <c r="AZ1168" i="21" s="1"/>
  <c r="AY1153" i="21"/>
  <c r="AZ1153" i="21" s="1"/>
  <c r="AY1141" i="21"/>
  <c r="AZ1141" i="21" s="1"/>
  <c r="AW1111" i="21"/>
  <c r="AX1111" i="21" s="1"/>
  <c r="AW1222" i="21"/>
  <c r="AX1222" i="21" s="1"/>
  <c r="AW1216" i="21"/>
  <c r="AX1216" i="21" s="1"/>
  <c r="AW1201" i="21"/>
  <c r="AX1201" i="21" s="1"/>
  <c r="AW1186" i="21"/>
  <c r="AX1186" i="21" s="1"/>
  <c r="AW1183" i="21"/>
  <c r="AX1183" i="21" s="1"/>
  <c r="AW1177" i="21"/>
  <c r="AX1177" i="21" s="1"/>
  <c r="AW1171" i="21"/>
  <c r="AX1171" i="21" s="1"/>
  <c r="AW1165" i="21"/>
  <c r="AX1165" i="21" s="1"/>
  <c r="AW1162" i="21"/>
  <c r="AX1162" i="21" s="1"/>
  <c r="AW1159" i="21"/>
  <c r="AX1159" i="21" s="1"/>
  <c r="AW1156" i="21"/>
  <c r="AX1156" i="21" s="1"/>
  <c r="AW1150" i="21"/>
  <c r="AX1150" i="21" s="1"/>
  <c r="AW1147" i="21"/>
  <c r="AX1147" i="21" s="1"/>
  <c r="AW1144" i="21"/>
  <c r="AX1144" i="21" s="1"/>
  <c r="AW1138" i="21"/>
  <c r="AX1138" i="21" s="1"/>
  <c r="AW1135" i="21"/>
  <c r="AX1135" i="21" s="1"/>
  <c r="AW1132" i="21"/>
  <c r="AX1132" i="21" s="1"/>
  <c r="AW1129" i="21"/>
  <c r="AX1129" i="21" s="1"/>
  <c r="AW1126" i="21"/>
  <c r="AX1126" i="21" s="1"/>
  <c r="AW1123" i="21"/>
  <c r="AX1123" i="21" s="1"/>
  <c r="AW1120" i="21"/>
  <c r="AX1120" i="21" s="1"/>
  <c r="AW1117" i="21"/>
  <c r="AX1117" i="21" s="1"/>
  <c r="N103" i="18"/>
  <c r="N107" i="18" s="1"/>
  <c r="AW1219" i="21"/>
  <c r="AX1219" i="21" s="1"/>
  <c r="AW1213" i="21"/>
  <c r="AX1213" i="21" s="1"/>
  <c r="AW1207" i="21"/>
  <c r="AX1207" i="21" s="1"/>
  <c r="AW1198" i="21"/>
  <c r="AX1198" i="21" s="1"/>
  <c r="AW1192" i="21"/>
  <c r="AX1192" i="21" s="1"/>
  <c r="AW1189" i="21"/>
  <c r="AX1189" i="21" s="1"/>
  <c r="AW1174" i="21"/>
  <c r="AX1174" i="21" s="1"/>
  <c r="J53" i="12"/>
  <c r="U53" i="12" s="1"/>
  <c r="C105" i="18" s="1"/>
  <c r="S105" i="18" s="1"/>
  <c r="O52" i="14"/>
  <c r="AF52" i="14"/>
  <c r="AI52" i="14" s="1"/>
  <c r="K52" i="14"/>
  <c r="W52" i="14" s="1"/>
  <c r="K105" i="18" s="1"/>
  <c r="O105" i="18" s="1"/>
  <c r="DD50" i="22" l="1"/>
  <c r="DD44" i="22"/>
  <c r="DD57" i="22"/>
  <c r="J107" i="18"/>
  <c r="M25" i="19" s="1"/>
  <c r="R107" i="18"/>
  <c r="M43" i="19" s="1"/>
  <c r="M34" i="19"/>
  <c r="M16" i="19"/>
  <c r="AU52" i="14"/>
  <c r="G105" i="18" s="1"/>
  <c r="CZ37" i="6"/>
  <c r="CZ33" i="6"/>
  <c r="CU35" i="6"/>
  <c r="DC14" i="6"/>
  <c r="R96" i="18"/>
  <c r="CO4" i="20"/>
  <c r="CO1" i="20" s="1"/>
  <c r="CO5" i="20"/>
  <c r="CO6" i="20"/>
  <c r="CO7" i="20"/>
  <c r="CO8" i="20"/>
  <c r="CO9" i="20"/>
  <c r="CO10" i="20"/>
  <c r="CO11" i="20"/>
  <c r="CO12" i="20"/>
  <c r="CO13" i="20"/>
  <c r="CO14" i="20"/>
  <c r="CO15" i="20"/>
  <c r="CO16" i="20"/>
  <c r="CO17" i="20"/>
  <c r="CO18" i="20"/>
  <c r="CO19" i="20"/>
  <c r="CO20" i="20"/>
  <c r="CO21" i="20"/>
  <c r="CO22" i="20"/>
  <c r="CO23" i="20"/>
  <c r="CO24" i="20"/>
  <c r="CO25" i="20"/>
  <c r="CO26" i="20"/>
  <c r="CO27" i="20"/>
  <c r="CO28" i="20"/>
  <c r="CO29" i="20"/>
  <c r="CO30" i="20"/>
  <c r="CO31" i="20"/>
  <c r="CO32" i="20"/>
  <c r="CO33" i="20"/>
  <c r="CO34" i="20"/>
  <c r="CO35" i="20"/>
  <c r="CO36" i="20"/>
  <c r="CO37" i="20"/>
  <c r="CO38" i="20"/>
  <c r="CO39" i="20"/>
  <c r="CO40" i="20"/>
  <c r="CO41" i="20"/>
  <c r="CO42" i="20"/>
  <c r="CO43" i="20"/>
  <c r="CO44" i="20"/>
  <c r="CO45" i="20"/>
  <c r="CO46" i="20"/>
  <c r="CO47" i="20"/>
  <c r="CO48" i="20"/>
  <c r="CO49" i="20"/>
  <c r="CO50" i="20"/>
  <c r="CO51" i="20"/>
  <c r="CO52" i="20"/>
  <c r="CO53" i="20"/>
  <c r="CO54" i="20"/>
  <c r="CO55" i="20"/>
  <c r="CO56" i="20"/>
  <c r="CO57" i="20"/>
  <c r="CO58" i="20"/>
  <c r="CO59" i="20"/>
  <c r="CO60" i="20"/>
  <c r="CO61" i="20"/>
  <c r="CO62" i="20"/>
  <c r="CO63" i="20"/>
  <c r="CO64" i="20"/>
  <c r="CO65" i="20"/>
  <c r="CO66" i="20"/>
  <c r="CO67" i="20"/>
  <c r="CO68" i="20"/>
  <c r="CO69" i="20"/>
  <c r="CO70" i="20"/>
  <c r="CO71" i="20"/>
  <c r="CO72" i="20"/>
  <c r="CO73" i="20"/>
  <c r="CO74" i="20"/>
  <c r="CO75" i="20"/>
  <c r="CO76" i="20"/>
  <c r="CO77" i="20"/>
  <c r="CO78" i="20"/>
  <c r="CO79" i="20"/>
  <c r="CO80" i="20"/>
  <c r="CO81" i="20"/>
  <c r="CO82" i="20"/>
  <c r="CO83" i="20"/>
  <c r="CO84" i="20"/>
  <c r="CO85" i="20"/>
  <c r="CO86" i="20"/>
  <c r="CO87" i="20"/>
  <c r="CO88" i="20"/>
  <c r="CO89" i="20"/>
  <c r="CO90" i="20"/>
  <c r="CO91" i="20"/>
  <c r="CO92" i="20"/>
  <c r="CO93" i="20"/>
  <c r="CO94" i="20"/>
  <c r="CO95" i="20"/>
  <c r="CO96" i="20"/>
  <c r="CO99" i="20"/>
  <c r="CO100" i="20"/>
  <c r="CO101" i="20"/>
  <c r="CO102" i="20"/>
  <c r="CO103" i="20"/>
  <c r="CO104" i="20"/>
  <c r="CO105" i="20"/>
  <c r="CO106" i="20"/>
  <c r="CO107" i="20"/>
  <c r="CO108" i="20"/>
  <c r="CO109" i="20"/>
  <c r="CO110" i="20"/>
  <c r="CO111" i="20"/>
  <c r="CO112" i="20"/>
  <c r="BR5" i="20"/>
  <c r="BR4" i="20"/>
  <c r="BR1" i="20" s="1"/>
  <c r="BR6" i="20"/>
  <c r="BR7" i="20"/>
  <c r="BR8" i="20"/>
  <c r="BR9" i="20"/>
  <c r="BR10" i="20"/>
  <c r="BR11" i="20"/>
  <c r="BR12" i="20"/>
  <c r="BR13" i="20"/>
  <c r="BR14" i="20"/>
  <c r="BR15" i="20"/>
  <c r="BR16" i="20"/>
  <c r="BR17" i="20"/>
  <c r="BR18" i="20"/>
  <c r="BR19" i="20"/>
  <c r="BR20" i="20"/>
  <c r="BR21" i="20"/>
  <c r="BR22" i="20"/>
  <c r="BR23" i="20"/>
  <c r="BR24" i="20"/>
  <c r="BR25" i="20"/>
  <c r="BR26" i="20"/>
  <c r="BR27" i="20"/>
  <c r="BR28" i="20"/>
  <c r="BR29" i="20"/>
  <c r="BR30" i="20"/>
  <c r="BR31" i="20"/>
  <c r="BR32" i="20"/>
  <c r="BR33" i="20"/>
  <c r="BR34" i="20"/>
  <c r="BR35" i="20"/>
  <c r="BR36" i="20"/>
  <c r="BR37" i="20"/>
  <c r="BR38" i="20"/>
  <c r="BR39" i="20"/>
  <c r="BR40" i="20"/>
  <c r="BR41" i="20"/>
  <c r="BR42" i="20"/>
  <c r="BR43" i="20"/>
  <c r="BR44" i="20"/>
  <c r="BR45" i="20"/>
  <c r="BR46" i="20"/>
  <c r="BR47" i="20"/>
  <c r="BR48" i="20"/>
  <c r="BR49" i="20"/>
  <c r="BR50" i="20"/>
  <c r="BR51" i="20"/>
  <c r="BR52" i="20"/>
  <c r="BR53" i="20"/>
  <c r="BR54" i="20"/>
  <c r="BR55" i="20"/>
  <c r="BR56" i="20"/>
  <c r="BR57" i="20"/>
  <c r="BR58" i="20"/>
  <c r="BR59" i="20"/>
  <c r="BR60" i="20"/>
  <c r="BR61" i="20"/>
  <c r="BR62" i="20"/>
  <c r="BR63" i="20"/>
  <c r="BR64" i="20"/>
  <c r="BR65" i="20"/>
  <c r="BR66" i="20"/>
  <c r="BR67" i="20"/>
  <c r="BR68" i="20"/>
  <c r="BR69" i="20"/>
  <c r="BR70" i="20"/>
  <c r="BR71" i="20"/>
  <c r="BR72" i="20"/>
  <c r="BR73" i="20"/>
  <c r="BR74" i="20"/>
  <c r="BR75" i="20"/>
  <c r="BR76" i="20"/>
  <c r="BR77" i="20"/>
  <c r="BR78" i="20"/>
  <c r="BR79" i="20"/>
  <c r="BR80" i="20"/>
  <c r="BR81" i="20"/>
  <c r="BR82" i="20"/>
  <c r="BR83" i="20"/>
  <c r="BR84" i="20"/>
  <c r="BR85" i="20"/>
  <c r="BR86" i="20"/>
  <c r="BR87" i="20"/>
  <c r="BR88" i="20"/>
  <c r="BR89" i="20"/>
  <c r="BR90" i="20"/>
  <c r="BR91" i="20"/>
  <c r="BR92" i="20"/>
  <c r="BR93" i="20"/>
  <c r="BR94" i="20"/>
  <c r="BR95" i="20"/>
  <c r="BR96" i="20"/>
  <c r="BR99" i="20"/>
  <c r="BR100" i="20"/>
  <c r="BR101" i="20"/>
  <c r="BR102" i="20"/>
  <c r="BR103" i="20"/>
  <c r="BR104" i="20"/>
  <c r="BR105" i="20"/>
  <c r="BR106" i="20"/>
  <c r="BR107" i="20"/>
  <c r="BR108" i="20"/>
  <c r="BR109" i="20"/>
  <c r="BR110" i="20"/>
  <c r="BR111" i="20"/>
  <c r="BR112" i="20"/>
  <c r="AU79" i="20"/>
  <c r="AU5" i="20"/>
  <c r="AU8" i="20"/>
  <c r="AU9" i="20"/>
  <c r="AU6" i="20"/>
  <c r="AU7" i="20"/>
  <c r="AU10" i="20"/>
  <c r="AU12" i="20"/>
  <c r="AU13" i="20"/>
  <c r="AU11" i="20"/>
  <c r="AU14" i="20"/>
  <c r="AU15" i="20"/>
  <c r="AU21" i="20"/>
  <c r="AU22" i="20"/>
  <c r="AU23" i="20"/>
  <c r="AU24" i="20"/>
  <c r="AU16" i="20"/>
  <c r="AU17" i="20"/>
  <c r="AU18" i="20"/>
  <c r="AU25" i="20"/>
  <c r="AU19" i="20"/>
  <c r="AU20" i="20"/>
  <c r="AU26" i="20"/>
  <c r="AU28" i="20"/>
  <c r="AU27" i="20"/>
  <c r="AU29" i="20"/>
  <c r="AU30" i="20"/>
  <c r="AU31" i="20"/>
  <c r="AU32" i="20"/>
  <c r="AU34" i="20"/>
  <c r="AU35" i="20"/>
  <c r="AU33" i="20"/>
  <c r="AU36" i="20"/>
  <c r="AU37" i="20"/>
  <c r="AU38" i="20"/>
  <c r="AU39" i="20"/>
  <c r="AU40" i="20"/>
  <c r="AU42" i="20"/>
  <c r="AU43" i="20"/>
  <c r="AU41" i="20"/>
  <c r="AU44" i="20"/>
  <c r="AU45" i="20"/>
  <c r="AU46" i="20"/>
  <c r="AU56" i="20"/>
  <c r="AU60" i="20"/>
  <c r="AU57" i="20"/>
  <c r="AU59" i="20"/>
  <c r="AU48" i="20"/>
  <c r="AU49" i="20"/>
  <c r="AU50" i="20"/>
  <c r="AU51" i="20"/>
  <c r="AU58" i="20"/>
  <c r="AU61" i="20"/>
  <c r="AU47" i="20"/>
  <c r="AU52" i="20"/>
  <c r="AU53" i="20"/>
  <c r="AU54" i="20"/>
  <c r="AU55" i="20"/>
  <c r="AU62" i="20"/>
  <c r="AU63" i="20"/>
  <c r="AU67" i="20"/>
  <c r="AU68" i="20"/>
  <c r="AU65" i="20"/>
  <c r="AU66" i="20"/>
  <c r="AU69" i="20"/>
  <c r="AU71" i="20"/>
  <c r="AU72" i="20"/>
  <c r="AU70" i="20"/>
  <c r="AU73" i="20"/>
  <c r="AU74" i="20"/>
  <c r="AU64" i="20"/>
  <c r="AU75" i="20"/>
  <c r="AU76" i="20"/>
  <c r="AU77" i="20"/>
  <c r="AU78" i="20"/>
  <c r="AU82" i="20"/>
  <c r="AU80" i="20"/>
  <c r="AU81" i="20"/>
  <c r="AU84" i="20"/>
  <c r="AU83" i="20"/>
  <c r="AU86" i="20"/>
  <c r="AU87" i="20"/>
  <c r="AU85" i="20"/>
  <c r="AU88" i="20"/>
  <c r="AU89" i="20"/>
  <c r="AU94" i="20"/>
  <c r="AU95" i="20"/>
  <c r="AU90" i="20"/>
  <c r="AU96" i="20"/>
  <c r="AU97" i="20"/>
  <c r="AU91" i="20"/>
  <c r="AU92" i="20"/>
  <c r="AU100" i="20"/>
  <c r="AU99" i="20"/>
  <c r="AU101" i="20"/>
  <c r="AU103" i="20"/>
  <c r="AU102" i="20"/>
  <c r="AU104" i="20"/>
  <c r="AU105" i="20"/>
  <c r="AU106" i="20"/>
  <c r="AU107" i="20"/>
  <c r="AU108" i="20"/>
  <c r="AU110" i="20"/>
  <c r="AU111" i="20"/>
  <c r="AU112" i="20"/>
  <c r="AU109" i="20"/>
  <c r="AU4" i="20"/>
  <c r="AU1" i="20" s="1"/>
  <c r="R37" i="19"/>
  <c r="P38" i="19"/>
  <c r="Q38" i="19"/>
  <c r="Q29" i="19"/>
  <c r="R29" i="19"/>
  <c r="R38" i="19" s="1"/>
  <c r="R19" i="19"/>
  <c r="R28" i="19" s="1"/>
  <c r="P20" i="19"/>
  <c r="P29" i="19" s="1"/>
  <c r="Q20" i="19"/>
  <c r="P10" i="19"/>
  <c r="P19" i="19" s="1"/>
  <c r="P28" i="19" s="1"/>
  <c r="P37" i="19" s="1"/>
  <c r="Q10" i="19"/>
  <c r="Q19" i="19" s="1"/>
  <c r="Q28" i="19" s="1"/>
  <c r="Q37" i="19" s="1"/>
  <c r="R10" i="19"/>
  <c r="P11" i="19"/>
  <c r="Q11" i="19"/>
  <c r="R11" i="19"/>
  <c r="R20" i="19" s="1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Y1011" i="21"/>
  <c r="AZ1011" i="21" s="1"/>
  <c r="AY1012" i="21"/>
  <c r="AY1013" i="21"/>
  <c r="AZ1013" i="21" s="1"/>
  <c r="AY1014" i="21"/>
  <c r="AZ1014" i="21" s="1"/>
  <c r="AY1015" i="21"/>
  <c r="AZ1015" i="21" s="1"/>
  <c r="AY1016" i="21"/>
  <c r="AZ1016" i="21" s="1"/>
  <c r="AY1017" i="21"/>
  <c r="AZ1017" i="21" s="1"/>
  <c r="AY1018" i="21"/>
  <c r="AZ1018" i="21" s="1"/>
  <c r="AY1019" i="21"/>
  <c r="AZ1019" i="21" s="1"/>
  <c r="AY1020" i="21"/>
  <c r="AZ1020" i="21" s="1"/>
  <c r="AY1021" i="21"/>
  <c r="AZ1021" i="21" s="1"/>
  <c r="AY1022" i="21"/>
  <c r="AZ1022" i="21" s="1"/>
  <c r="AY1023" i="21"/>
  <c r="AZ1023" i="21" s="1"/>
  <c r="AY1024" i="21"/>
  <c r="AZ1024" i="21" s="1"/>
  <c r="AY1025" i="21"/>
  <c r="AZ1025" i="21" s="1"/>
  <c r="AY1026" i="21"/>
  <c r="AZ1026" i="21" s="1"/>
  <c r="AY1027" i="21"/>
  <c r="AZ1027" i="21" s="1"/>
  <c r="AY1028" i="21"/>
  <c r="AZ1028" i="21" s="1"/>
  <c r="AY1029" i="21"/>
  <c r="AZ1029" i="21" s="1"/>
  <c r="AY1031" i="21"/>
  <c r="AZ1031" i="21" s="1"/>
  <c r="AY1032" i="21"/>
  <c r="AZ1032" i="21" s="1"/>
  <c r="AY1034" i="21"/>
  <c r="AZ1034" i="21" s="1"/>
  <c r="AY1036" i="21"/>
  <c r="AZ1036" i="21" s="1"/>
  <c r="AY1037" i="21"/>
  <c r="AZ1037" i="21" s="1"/>
  <c r="AY1039" i="21"/>
  <c r="AZ1039" i="21" s="1"/>
  <c r="AY1040" i="21"/>
  <c r="AZ1040" i="21" s="1"/>
  <c r="AY1041" i="21"/>
  <c r="AZ1041" i="21" s="1"/>
  <c r="AY1042" i="21"/>
  <c r="AZ1042" i="21" s="1"/>
  <c r="AY1043" i="21"/>
  <c r="AZ1043" i="21" s="1"/>
  <c r="AY1044" i="21"/>
  <c r="AZ1044" i="21" s="1"/>
  <c r="AY1045" i="21"/>
  <c r="AZ1045" i="21" s="1"/>
  <c r="AY1047" i="21"/>
  <c r="AZ1047" i="21" s="1"/>
  <c r="AY1049" i="21"/>
  <c r="AZ1049" i="21" s="1"/>
  <c r="AY1050" i="21"/>
  <c r="AZ1050" i="21" s="1"/>
  <c r="AY1051" i="21"/>
  <c r="AZ1051" i="21" s="1"/>
  <c r="AY1053" i="21"/>
  <c r="AZ1053" i="21" s="1"/>
  <c r="AY1054" i="21"/>
  <c r="AZ1054" i="21" s="1"/>
  <c r="AY1055" i="21"/>
  <c r="AZ1055" i="21" s="1"/>
  <c r="AY1056" i="21"/>
  <c r="AZ1056" i="21" s="1"/>
  <c r="AY1057" i="21"/>
  <c r="AZ1057" i="21" s="1"/>
  <c r="AY1058" i="21"/>
  <c r="AZ1058" i="21" s="1"/>
  <c r="AY1059" i="21"/>
  <c r="AZ1059" i="21" s="1"/>
  <c r="AY1060" i="21"/>
  <c r="AZ1060" i="21" s="1"/>
  <c r="AY1061" i="21"/>
  <c r="AZ1061" i="21" s="1"/>
  <c r="AY1063" i="21"/>
  <c r="AZ1063" i="21" s="1"/>
  <c r="AY1064" i="21"/>
  <c r="AZ1064" i="21" s="1"/>
  <c r="AY1065" i="21"/>
  <c r="AZ1065" i="21" s="1"/>
  <c r="AY1066" i="21"/>
  <c r="AZ1066" i="21" s="1"/>
  <c r="AY1067" i="21"/>
  <c r="AZ1067" i="21" s="1"/>
  <c r="AY1068" i="21"/>
  <c r="AZ1068" i="21" s="1"/>
  <c r="AY1069" i="21"/>
  <c r="AZ1069" i="21" s="1"/>
  <c r="AY1070" i="21"/>
  <c r="AZ1070" i="21" s="1"/>
  <c r="AY1071" i="21"/>
  <c r="AZ1071" i="21" s="1"/>
  <c r="AY1073" i="21"/>
  <c r="AZ1073" i="21" s="1"/>
  <c r="AY1074" i="21"/>
  <c r="AZ1074" i="21" s="1"/>
  <c r="AY1075" i="21"/>
  <c r="AZ1075" i="21" s="1"/>
  <c r="AY1076" i="21"/>
  <c r="AZ1076" i="21" s="1"/>
  <c r="AY1077" i="21"/>
  <c r="AZ1077" i="21" s="1"/>
  <c r="AY1078" i="21"/>
  <c r="AZ1078" i="21" s="1"/>
  <c r="AY1079" i="21"/>
  <c r="AZ1079" i="21" s="1"/>
  <c r="AY1080" i="21"/>
  <c r="AZ1080" i="21" s="1"/>
  <c r="AY1081" i="21"/>
  <c r="AZ1081" i="21" s="1"/>
  <c r="AY1082" i="21"/>
  <c r="AZ1082" i="21" s="1"/>
  <c r="AY1083" i="21"/>
  <c r="AZ1083" i="21" s="1"/>
  <c r="AY1084" i="21"/>
  <c r="AZ1084" i="21" s="1"/>
  <c r="AY1085" i="21"/>
  <c r="AZ1085" i="21" s="1"/>
  <c r="AY1086" i="21"/>
  <c r="AZ1086" i="21" s="1"/>
  <c r="AY1087" i="21"/>
  <c r="AZ1087" i="21" s="1"/>
  <c r="AY1088" i="21"/>
  <c r="AZ1088" i="21" s="1"/>
  <c r="AY1089" i="21"/>
  <c r="AZ1089" i="21" s="1"/>
  <c r="AY1090" i="21"/>
  <c r="AZ1090" i="21" s="1"/>
  <c r="AY1091" i="21"/>
  <c r="AZ1091" i="21" s="1"/>
  <c r="AY1092" i="21"/>
  <c r="AZ1092" i="21" s="1"/>
  <c r="AY1093" i="21"/>
  <c r="AZ1093" i="21" s="1"/>
  <c r="AY1094" i="21"/>
  <c r="AZ1094" i="21" s="1"/>
  <c r="AY1095" i="21"/>
  <c r="AY1096" i="21"/>
  <c r="AZ1096" i="21" s="1"/>
  <c r="AY1097" i="21"/>
  <c r="AZ1097" i="21" s="1"/>
  <c r="AY1098" i="21"/>
  <c r="AZ1098" i="21" s="1"/>
  <c r="AY1099" i="21"/>
  <c r="AZ1099" i="21" s="1"/>
  <c r="AY1100" i="21"/>
  <c r="AZ1100" i="21" s="1"/>
  <c r="AY1101" i="21"/>
  <c r="AZ1101" i="21" s="1"/>
  <c r="AY1102" i="21"/>
  <c r="AZ1102" i="21" s="1"/>
  <c r="AY1103" i="21"/>
  <c r="AZ1103" i="21" s="1"/>
  <c r="AY1104" i="21"/>
  <c r="AZ1104" i="21" s="1"/>
  <c r="AY1105" i="21"/>
  <c r="AZ1105" i="21" s="1"/>
  <c r="AY1106" i="21"/>
  <c r="AZ1106" i="21" s="1"/>
  <c r="AY1107" i="21"/>
  <c r="AZ1107" i="21" s="1"/>
  <c r="AY1108" i="21"/>
  <c r="AZ1108" i="21" s="1"/>
  <c r="AY1109" i="21"/>
  <c r="AZ1109" i="21" s="1"/>
  <c r="AY1009" i="21"/>
  <c r="AZ1009" i="21" s="1"/>
  <c r="AW1011" i="21"/>
  <c r="AX1011" i="21" s="1"/>
  <c r="AW1017" i="21"/>
  <c r="AX1017" i="21" s="1"/>
  <c r="AW1019" i="21"/>
  <c r="AX1019" i="21" s="1"/>
  <c r="AW1020" i="21"/>
  <c r="AX1020" i="21" s="1"/>
  <c r="AW1021" i="21"/>
  <c r="AX1021" i="21" s="1"/>
  <c r="AW1022" i="21"/>
  <c r="AX1022" i="21" s="1"/>
  <c r="AW1028" i="21"/>
  <c r="AX1028" i="21" s="1"/>
  <c r="AW1031" i="21"/>
  <c r="AX1031" i="21" s="1"/>
  <c r="AW1033" i="21"/>
  <c r="AX1033" i="21" s="1"/>
  <c r="AW1034" i="21"/>
  <c r="AX1034" i="21" s="1"/>
  <c r="AW1035" i="21"/>
  <c r="AX1035" i="21" s="1"/>
  <c r="AW1039" i="21"/>
  <c r="AX1039" i="21" s="1"/>
  <c r="AW1043" i="21"/>
  <c r="AX1043" i="21" s="1"/>
  <c r="AW1044" i="21"/>
  <c r="AX1044" i="21" s="1"/>
  <c r="AW1047" i="21"/>
  <c r="AX1047" i="21" s="1"/>
  <c r="AW1050" i="21"/>
  <c r="AX1050" i="21" s="1"/>
  <c r="AW1053" i="21"/>
  <c r="AX1053" i="21" s="1"/>
  <c r="AW1055" i="21"/>
  <c r="AX1055" i="21" s="1"/>
  <c r="AW1063" i="21"/>
  <c r="AX1063" i="21" s="1"/>
  <c r="AW1064" i="21"/>
  <c r="AX1064" i="21" s="1"/>
  <c r="AW1067" i="21"/>
  <c r="AX1067" i="21" s="1"/>
  <c r="AW1069" i="21"/>
  <c r="AX1069" i="21" s="1"/>
  <c r="AW1070" i="21"/>
  <c r="AX1070" i="21" s="1"/>
  <c r="AW1079" i="21"/>
  <c r="AX1079" i="21" s="1"/>
  <c r="AW1080" i="21"/>
  <c r="AX1080" i="21" s="1"/>
  <c r="AW1081" i="21"/>
  <c r="AX1081" i="21" s="1"/>
  <c r="AW1083" i="21"/>
  <c r="AX1083" i="21" s="1"/>
  <c r="AW1086" i="21"/>
  <c r="AX1086" i="21" s="1"/>
  <c r="AW1087" i="21"/>
  <c r="AX1087" i="21" s="1"/>
  <c r="AW1091" i="21"/>
  <c r="AX1091" i="21" s="1"/>
  <c r="AW1094" i="21"/>
  <c r="AX1094" i="21" s="1"/>
  <c r="AW1095" i="21"/>
  <c r="AX1095" i="21" s="1"/>
  <c r="AW1099" i="21"/>
  <c r="AX1099" i="21" s="1"/>
  <c r="AW1100" i="21"/>
  <c r="AX1100" i="21" s="1"/>
  <c r="AW1101" i="21"/>
  <c r="AX1101" i="21" s="1"/>
  <c r="AW1103" i="21"/>
  <c r="AX1103" i="21" s="1"/>
  <c r="AW1009" i="21"/>
  <c r="AX1009" i="21" s="1"/>
  <c r="AT1010" i="21"/>
  <c r="AV1010" i="21" s="1"/>
  <c r="AT1011" i="21"/>
  <c r="AV1011" i="21" s="1"/>
  <c r="AT1012" i="21"/>
  <c r="AV1012" i="21" s="1"/>
  <c r="AT1013" i="21"/>
  <c r="AV1013" i="21" s="1"/>
  <c r="AT1014" i="21"/>
  <c r="AV1014" i="21" s="1"/>
  <c r="AT1015" i="21"/>
  <c r="AV1015" i="21" s="1"/>
  <c r="AT1016" i="21"/>
  <c r="AV1016" i="21" s="1"/>
  <c r="AT1018" i="21"/>
  <c r="AV1018" i="21" s="1"/>
  <c r="AT1022" i="21"/>
  <c r="AV1022" i="21" s="1"/>
  <c r="AT1025" i="21"/>
  <c r="AV1025" i="21" s="1"/>
  <c r="AT1028" i="21"/>
  <c r="AV1028" i="21" s="1"/>
  <c r="AT1029" i="21"/>
  <c r="AV1029" i="21" s="1"/>
  <c r="AT1030" i="21"/>
  <c r="AV1030" i="21" s="1"/>
  <c r="AT1033" i="21"/>
  <c r="AV1033" i="21" s="1"/>
  <c r="AT1035" i="21"/>
  <c r="AV1035" i="21" s="1"/>
  <c r="AT1036" i="21"/>
  <c r="AV1036" i="21" s="1"/>
  <c r="AT1037" i="21"/>
  <c r="AV1037" i="21" s="1"/>
  <c r="AT1038" i="21"/>
  <c r="AV1038" i="21" s="1"/>
  <c r="AT1039" i="21"/>
  <c r="AV1039" i="21" s="1"/>
  <c r="AT1040" i="21"/>
  <c r="AV1040" i="21" s="1"/>
  <c r="AT1042" i="21"/>
  <c r="AV1042" i="21" s="1"/>
  <c r="AT1044" i="21"/>
  <c r="AV1044" i="21" s="1"/>
  <c r="AT1045" i="21"/>
  <c r="AV1045" i="21" s="1"/>
  <c r="AT1046" i="21"/>
  <c r="AV1046" i="21" s="1"/>
  <c r="AT1048" i="21"/>
  <c r="AV1048" i="21" s="1"/>
  <c r="AT1049" i="21"/>
  <c r="AV1049" i="21" s="1"/>
  <c r="AT1052" i="21"/>
  <c r="AV1052" i="21" s="1"/>
  <c r="AT1053" i="21"/>
  <c r="AV1053" i="21" s="1"/>
  <c r="AT1054" i="21"/>
  <c r="AV1054" i="21" s="1"/>
  <c r="AT1055" i="21"/>
  <c r="AV1055" i="21" s="1"/>
  <c r="AT1057" i="21"/>
  <c r="AV1057" i="21" s="1"/>
  <c r="AT1058" i="21"/>
  <c r="AV1058" i="21" s="1"/>
  <c r="AT1061" i="21"/>
  <c r="AV1061" i="21" s="1"/>
  <c r="AT1062" i="21"/>
  <c r="AV1062" i="21" s="1"/>
  <c r="AT1063" i="21"/>
  <c r="AV1063" i="21" s="1"/>
  <c r="AT1064" i="21"/>
  <c r="AV1064" i="21" s="1"/>
  <c r="AT1066" i="21"/>
  <c r="AV1066" i="21" s="1"/>
  <c r="AT1069" i="21"/>
  <c r="AV1069" i="21" s="1"/>
  <c r="AT1070" i="21"/>
  <c r="AV1070" i="21" s="1"/>
  <c r="AT1071" i="21"/>
  <c r="AV1071" i="21" s="1"/>
  <c r="AT1072" i="21"/>
  <c r="AV1072" i="21" s="1"/>
  <c r="AT1073" i="21"/>
  <c r="AV1073" i="21" s="1"/>
  <c r="AT1078" i="21"/>
  <c r="AV1078" i="21" s="1"/>
  <c r="AT1081" i="21"/>
  <c r="AV1081" i="21" s="1"/>
  <c r="AT1083" i="21"/>
  <c r="AV1083" i="21" s="1"/>
  <c r="AT1084" i="21"/>
  <c r="AV1084" i="21" s="1"/>
  <c r="AT1085" i="21"/>
  <c r="AV1085" i="21" s="1"/>
  <c r="AT1086" i="21"/>
  <c r="AV1086" i="21" s="1"/>
  <c r="AT1090" i="21"/>
  <c r="AV1090" i="21" s="1"/>
  <c r="AT1094" i="21"/>
  <c r="AV1094" i="21" s="1"/>
  <c r="AT1095" i="21"/>
  <c r="AV1095" i="21" s="1"/>
  <c r="AT1097" i="21"/>
  <c r="AV1097" i="21" s="1"/>
  <c r="AT1098" i="21"/>
  <c r="AV1098" i="21" s="1"/>
  <c r="AT1099" i="21"/>
  <c r="AV1099" i="21" s="1"/>
  <c r="AT1100" i="21"/>
  <c r="AV1100" i="21" s="1"/>
  <c r="AT1102" i="21"/>
  <c r="AV1102" i="21" s="1"/>
  <c r="AT1108" i="21"/>
  <c r="AV1108" i="21" s="1"/>
  <c r="AT1109" i="21"/>
  <c r="AV1109" i="21" s="1"/>
  <c r="AT1009" i="21"/>
  <c r="AV1009" i="21" s="1"/>
  <c r="AR1010" i="21"/>
  <c r="AS1010" i="21"/>
  <c r="AY1010" i="21" s="1"/>
  <c r="AZ1010" i="21" s="1"/>
  <c r="AR1011" i="21"/>
  <c r="AS1011" i="21"/>
  <c r="AR1012" i="21"/>
  <c r="AS1012" i="21"/>
  <c r="AW1012" i="21" s="1"/>
  <c r="AX1012" i="21" s="1"/>
  <c r="AZ1012" i="21"/>
  <c r="AR1013" i="21"/>
  <c r="AS1013" i="21"/>
  <c r="AW1013" i="21" s="1"/>
  <c r="AX1013" i="21" s="1"/>
  <c r="AR1014" i="21"/>
  <c r="AS1014" i="21"/>
  <c r="AW1014" i="21" s="1"/>
  <c r="AX1014" i="21" s="1"/>
  <c r="AR1015" i="21"/>
  <c r="AS1015" i="21"/>
  <c r="AW1015" i="21" s="1"/>
  <c r="AX1015" i="21" s="1"/>
  <c r="AR1016" i="21"/>
  <c r="AS1016" i="21"/>
  <c r="AW1016" i="21" s="1"/>
  <c r="AX1016" i="21" s="1"/>
  <c r="AR1017" i="21"/>
  <c r="AS1017" i="21"/>
  <c r="AT1017" i="21" s="1"/>
  <c r="AV1017" i="21" s="1"/>
  <c r="AR1018" i="21"/>
  <c r="AS1018" i="21"/>
  <c r="AW1018" i="21" s="1"/>
  <c r="AX1018" i="21" s="1"/>
  <c r="AR1019" i="21"/>
  <c r="AS1019" i="21"/>
  <c r="AT1019" i="21" s="1"/>
  <c r="AV1019" i="21" s="1"/>
  <c r="AR1020" i="21"/>
  <c r="AS1020" i="21"/>
  <c r="AT1020" i="21" s="1"/>
  <c r="AV1020" i="21" s="1"/>
  <c r="AR1021" i="21"/>
  <c r="AS1021" i="21"/>
  <c r="AT1021" i="21" s="1"/>
  <c r="AV1021" i="21" s="1"/>
  <c r="AR1022" i="21"/>
  <c r="AS1022" i="21"/>
  <c r="AR1023" i="21"/>
  <c r="AS1023" i="21"/>
  <c r="AW1023" i="21" s="1"/>
  <c r="AX1023" i="21" s="1"/>
  <c r="AR1024" i="21"/>
  <c r="AS1024" i="21"/>
  <c r="AW1024" i="21" s="1"/>
  <c r="AX1024" i="21" s="1"/>
  <c r="AR1025" i="21"/>
  <c r="AS1025" i="21"/>
  <c r="AW1025" i="21" s="1"/>
  <c r="AX1025" i="21" s="1"/>
  <c r="AR1026" i="21"/>
  <c r="AS1026" i="21"/>
  <c r="AT1026" i="21" s="1"/>
  <c r="AV1026" i="21" s="1"/>
  <c r="AR1027" i="21"/>
  <c r="AS1027" i="21"/>
  <c r="AR1028" i="21"/>
  <c r="AS1028" i="21"/>
  <c r="AR1029" i="21"/>
  <c r="AS1029" i="21"/>
  <c r="AW1029" i="21" s="1"/>
  <c r="AX1029" i="21" s="1"/>
  <c r="AR1030" i="21"/>
  <c r="AS1030" i="21"/>
  <c r="AY1030" i="21" s="1"/>
  <c r="AZ1030" i="21" s="1"/>
  <c r="AR1031" i="21"/>
  <c r="AS1031" i="21"/>
  <c r="AT1031" i="21" s="1"/>
  <c r="AV1031" i="21" s="1"/>
  <c r="AR1032" i="21"/>
  <c r="AS1032" i="21"/>
  <c r="AT1032" i="21" s="1"/>
  <c r="AV1032" i="21" s="1"/>
  <c r="AR1033" i="21"/>
  <c r="AS1033" i="21"/>
  <c r="AY1033" i="21" s="1"/>
  <c r="AZ1033" i="21" s="1"/>
  <c r="AR1034" i="21"/>
  <c r="AS1034" i="21"/>
  <c r="AT1034" i="21" s="1"/>
  <c r="AV1034" i="21" s="1"/>
  <c r="AR1035" i="21"/>
  <c r="AS1035" i="21"/>
  <c r="AY1035" i="21" s="1"/>
  <c r="AZ1035" i="21" s="1"/>
  <c r="AR1036" i="21"/>
  <c r="AS1036" i="21"/>
  <c r="AW1036" i="21" s="1"/>
  <c r="AX1036" i="21" s="1"/>
  <c r="AR1037" i="21"/>
  <c r="AS1037" i="21"/>
  <c r="AW1037" i="21" s="1"/>
  <c r="AX1037" i="21" s="1"/>
  <c r="AR1038" i="21"/>
  <c r="AS1038" i="21"/>
  <c r="AR1039" i="21"/>
  <c r="AS1039" i="21"/>
  <c r="AR1040" i="21"/>
  <c r="AS1040" i="21"/>
  <c r="AW1040" i="21" s="1"/>
  <c r="AX1040" i="21" s="1"/>
  <c r="AR1041" i="21"/>
  <c r="AS1041" i="21"/>
  <c r="AW1041" i="21" s="1"/>
  <c r="AX1041" i="21" s="1"/>
  <c r="AR1042" i="21"/>
  <c r="AS1042" i="21"/>
  <c r="AW1042" i="21" s="1"/>
  <c r="AX1042" i="21" s="1"/>
  <c r="AR1043" i="21"/>
  <c r="AS1043" i="21"/>
  <c r="AT1043" i="21" s="1"/>
  <c r="AV1043" i="21" s="1"/>
  <c r="AR1044" i="21"/>
  <c r="AS1044" i="21"/>
  <c r="AR1045" i="21"/>
  <c r="AS1045" i="21"/>
  <c r="AW1045" i="21" s="1"/>
  <c r="AX1045" i="21" s="1"/>
  <c r="AR1046" i="21"/>
  <c r="AS1046" i="21"/>
  <c r="AY1046" i="21" s="1"/>
  <c r="AZ1046" i="21" s="1"/>
  <c r="AR1047" i="21"/>
  <c r="AS1047" i="21"/>
  <c r="AT1047" i="21" s="1"/>
  <c r="AV1047" i="21" s="1"/>
  <c r="AR1048" i="21"/>
  <c r="AS1048" i="21"/>
  <c r="AR1049" i="21"/>
  <c r="AS1049" i="21"/>
  <c r="AW1049" i="21" s="1"/>
  <c r="AX1049" i="21" s="1"/>
  <c r="AR1050" i="21"/>
  <c r="AS1050" i="21"/>
  <c r="AT1050" i="21" s="1"/>
  <c r="AV1050" i="21" s="1"/>
  <c r="AR1051" i="21"/>
  <c r="AS1051" i="21"/>
  <c r="AT1051" i="21" s="1"/>
  <c r="AV1051" i="21" s="1"/>
  <c r="AR1052" i="21"/>
  <c r="AS1052" i="21"/>
  <c r="AR1053" i="21"/>
  <c r="AS1053" i="21"/>
  <c r="AR1054" i="21"/>
  <c r="AS1054" i="21"/>
  <c r="AW1054" i="21" s="1"/>
  <c r="AX1054" i="21" s="1"/>
  <c r="AR1055" i="21"/>
  <c r="AS1055" i="21"/>
  <c r="AR1056" i="21"/>
  <c r="AS1056" i="21"/>
  <c r="AT1056" i="21" s="1"/>
  <c r="AV1056" i="21" s="1"/>
  <c r="AR1057" i="21"/>
  <c r="AS1057" i="21"/>
  <c r="AW1057" i="21" s="1"/>
  <c r="AX1057" i="21" s="1"/>
  <c r="AR1058" i="21"/>
  <c r="AS1058" i="21"/>
  <c r="AW1058" i="21" s="1"/>
  <c r="AX1058" i="21" s="1"/>
  <c r="AR1059" i="21"/>
  <c r="AS1059" i="21"/>
  <c r="AT1059" i="21" s="1"/>
  <c r="AV1059" i="21" s="1"/>
  <c r="AR1060" i="21"/>
  <c r="AS1060" i="21"/>
  <c r="AW1060" i="21" s="1"/>
  <c r="AX1060" i="21" s="1"/>
  <c r="AR1061" i="21"/>
  <c r="AS1061" i="21"/>
  <c r="AW1061" i="21" s="1"/>
  <c r="AX1061" i="21" s="1"/>
  <c r="AR1062" i="21"/>
  <c r="AS1062" i="21"/>
  <c r="AY1062" i="21" s="1"/>
  <c r="AZ1062" i="21" s="1"/>
  <c r="AR1063" i="21"/>
  <c r="AS1063" i="21"/>
  <c r="AR1064" i="21"/>
  <c r="AS1064" i="21"/>
  <c r="AR1065" i="21"/>
  <c r="AS1065" i="21"/>
  <c r="AT1065" i="21" s="1"/>
  <c r="AV1065" i="21" s="1"/>
  <c r="AR1066" i="21"/>
  <c r="AS1066" i="21"/>
  <c r="AW1066" i="21" s="1"/>
  <c r="AX1066" i="21" s="1"/>
  <c r="AR1067" i="21"/>
  <c r="AS1067" i="21"/>
  <c r="AT1067" i="21" s="1"/>
  <c r="AV1067" i="21" s="1"/>
  <c r="AR1068" i="21"/>
  <c r="AS1068" i="21"/>
  <c r="AT1068" i="21" s="1"/>
  <c r="AV1068" i="21" s="1"/>
  <c r="AR1069" i="21"/>
  <c r="AS1069" i="21"/>
  <c r="AR1070" i="21"/>
  <c r="AS1070" i="21"/>
  <c r="AR1071" i="21"/>
  <c r="AS1071" i="21"/>
  <c r="AW1071" i="21" s="1"/>
  <c r="AX1071" i="21" s="1"/>
  <c r="AR1072" i="21"/>
  <c r="AS1072" i="21"/>
  <c r="AR1073" i="21"/>
  <c r="AS1073" i="21"/>
  <c r="AW1073" i="21" s="1"/>
  <c r="AX1073" i="21" s="1"/>
  <c r="AR1074" i="21"/>
  <c r="AS1074" i="21"/>
  <c r="AW1074" i="21" s="1"/>
  <c r="AX1074" i="21" s="1"/>
  <c r="AR1075" i="21"/>
  <c r="AS1075" i="21"/>
  <c r="AW1075" i="21" s="1"/>
  <c r="AX1075" i="21" s="1"/>
  <c r="AR1076" i="21"/>
  <c r="AS1076" i="21"/>
  <c r="AW1076" i="21" s="1"/>
  <c r="AX1076" i="21" s="1"/>
  <c r="AR1077" i="21"/>
  <c r="AS1077" i="21"/>
  <c r="AR1078" i="21"/>
  <c r="AS1078" i="21"/>
  <c r="AW1078" i="21" s="1"/>
  <c r="AX1078" i="21" s="1"/>
  <c r="AR1079" i="21"/>
  <c r="AS1079" i="21"/>
  <c r="AT1079" i="21" s="1"/>
  <c r="AV1079" i="21" s="1"/>
  <c r="AR1080" i="21"/>
  <c r="AS1080" i="21"/>
  <c r="AT1080" i="21" s="1"/>
  <c r="AV1080" i="21" s="1"/>
  <c r="AR1081" i="21"/>
  <c r="AS1081" i="21"/>
  <c r="AR1082" i="21"/>
  <c r="AS1082" i="21"/>
  <c r="AW1082" i="21" s="1"/>
  <c r="AX1082" i="21" s="1"/>
  <c r="AR1083" i="21"/>
  <c r="AS1083" i="21"/>
  <c r="AR1084" i="21"/>
  <c r="AS1084" i="21"/>
  <c r="AW1084" i="21" s="1"/>
  <c r="AX1084" i="21" s="1"/>
  <c r="AR1085" i="21"/>
  <c r="AS1085" i="21"/>
  <c r="AW1085" i="21" s="1"/>
  <c r="AX1085" i="21" s="1"/>
  <c r="AR1086" i="21"/>
  <c r="AS1086" i="21"/>
  <c r="AR1087" i="21"/>
  <c r="AS1087" i="21"/>
  <c r="AT1087" i="21" s="1"/>
  <c r="AV1087" i="21" s="1"/>
  <c r="AR1088" i="21"/>
  <c r="AS1088" i="21"/>
  <c r="AR1089" i="21"/>
  <c r="AS1089" i="21"/>
  <c r="AW1089" i="21" s="1"/>
  <c r="AX1089" i="21" s="1"/>
  <c r="AR1090" i="21"/>
  <c r="AS1090" i="21"/>
  <c r="AW1090" i="21" s="1"/>
  <c r="AX1090" i="21" s="1"/>
  <c r="AR1091" i="21"/>
  <c r="AS1091" i="21"/>
  <c r="AT1091" i="21" s="1"/>
  <c r="AV1091" i="21" s="1"/>
  <c r="AR1092" i="21"/>
  <c r="AS1092" i="21"/>
  <c r="AT1092" i="21" s="1"/>
  <c r="AV1092" i="21" s="1"/>
  <c r="AR1093" i="21"/>
  <c r="AS1093" i="21"/>
  <c r="AT1093" i="21" s="1"/>
  <c r="AV1093" i="21" s="1"/>
  <c r="AR1094" i="21"/>
  <c r="AS1094" i="21"/>
  <c r="AR1095" i="21"/>
  <c r="AS1095" i="21"/>
  <c r="AZ1095" i="21"/>
  <c r="AR1096" i="21"/>
  <c r="AS1096" i="21"/>
  <c r="AW1096" i="21" s="1"/>
  <c r="AX1096" i="21" s="1"/>
  <c r="AR1097" i="21"/>
  <c r="AS1097" i="21"/>
  <c r="AW1097" i="21" s="1"/>
  <c r="AX1097" i="21" s="1"/>
  <c r="AR1098" i="21"/>
  <c r="AS1098" i="21"/>
  <c r="AW1098" i="21" s="1"/>
  <c r="AX1098" i="21" s="1"/>
  <c r="AR1099" i="21"/>
  <c r="AS1099" i="21"/>
  <c r="AR1100" i="21"/>
  <c r="AS1100" i="21"/>
  <c r="AR1101" i="21"/>
  <c r="AS1101" i="21"/>
  <c r="AT1101" i="21" s="1"/>
  <c r="AV1101" i="21" s="1"/>
  <c r="AR1102" i="21"/>
  <c r="AS1102" i="21"/>
  <c r="AW1102" i="21" s="1"/>
  <c r="AX1102" i="21" s="1"/>
  <c r="AR1103" i="21"/>
  <c r="AS1103" i="21"/>
  <c r="AT1103" i="21" s="1"/>
  <c r="AV1103" i="21" s="1"/>
  <c r="AR1104" i="21"/>
  <c r="AS1104" i="21"/>
  <c r="AT1104" i="21" s="1"/>
  <c r="AV1104" i="21" s="1"/>
  <c r="AR1105" i="21"/>
  <c r="AS1105" i="21"/>
  <c r="AW1105" i="21" s="1"/>
  <c r="AX1105" i="21" s="1"/>
  <c r="AR1106" i="21"/>
  <c r="AS1106" i="21"/>
  <c r="AW1106" i="21" s="1"/>
  <c r="AX1106" i="21" s="1"/>
  <c r="AR1107" i="21"/>
  <c r="AS1107" i="21"/>
  <c r="AT1107" i="21" s="1"/>
  <c r="AV1107" i="21" s="1"/>
  <c r="AR1108" i="21"/>
  <c r="AS1108" i="21"/>
  <c r="AW1108" i="21" s="1"/>
  <c r="AX1108" i="21" s="1"/>
  <c r="AR1109" i="21"/>
  <c r="AS1109" i="21"/>
  <c r="AW1109" i="21" s="1"/>
  <c r="AX1109" i="21" s="1"/>
  <c r="AR1009" i="21"/>
  <c r="AS1009" i="21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N96" i="18"/>
  <c r="J96" i="18"/>
  <c r="F96" i="18"/>
  <c r="B96" i="18"/>
  <c r="A93" i="18"/>
  <c r="E93" i="18"/>
  <c r="E100" i="18" s="1"/>
  <c r="I93" i="18"/>
  <c r="K94" i="18" s="1"/>
  <c r="M93" i="18"/>
  <c r="M100" i="18" s="1"/>
  <c r="C94" i="18"/>
  <c r="F94" i="18"/>
  <c r="G94" i="18"/>
  <c r="J94" i="18"/>
  <c r="N94" i="18"/>
  <c r="O94" i="18"/>
  <c r="A100" i="18"/>
  <c r="I100" i="18"/>
  <c r="B78" i="18"/>
  <c r="BR2" i="20" l="1"/>
  <c r="AY1052" i="21"/>
  <c r="AZ1052" i="21" s="1"/>
  <c r="AW1052" i="21"/>
  <c r="AX1052" i="21" s="1"/>
  <c r="AT1027" i="21"/>
  <c r="AV1027" i="21" s="1"/>
  <c r="AW1027" i="21"/>
  <c r="AX1027" i="21" s="1"/>
  <c r="N98" i="18"/>
  <c r="AW1088" i="21"/>
  <c r="AX1088" i="21" s="1"/>
  <c r="AT1088" i="21"/>
  <c r="AV1088" i="21" s="1"/>
  <c r="AY1038" i="21"/>
  <c r="AZ1038" i="21" s="1"/>
  <c r="AW1038" i="21"/>
  <c r="AX1038" i="21" s="1"/>
  <c r="CO3" i="20"/>
  <c r="AW1077" i="21"/>
  <c r="AX1077" i="21" s="1"/>
  <c r="AT1077" i="21"/>
  <c r="AV1077" i="21" s="1"/>
  <c r="AW1068" i="21"/>
  <c r="AX1068" i="21" s="1"/>
  <c r="BR3" i="20"/>
  <c r="AT1041" i="21"/>
  <c r="AV1041" i="21" s="1"/>
  <c r="AW1051" i="21"/>
  <c r="AX1051" i="21" s="1"/>
  <c r="AT1096" i="21"/>
  <c r="AV1096" i="21" s="1"/>
  <c r="AW1048" i="21"/>
  <c r="AX1048" i="21" s="1"/>
  <c r="AY1048" i="21"/>
  <c r="AZ1048" i="21" s="1"/>
  <c r="AT1024" i="21"/>
  <c r="AV1024" i="21" s="1"/>
  <c r="J98" i="18"/>
  <c r="AT1106" i="21"/>
  <c r="AV1106" i="21" s="1"/>
  <c r="AT1076" i="21"/>
  <c r="AV1076" i="21" s="1"/>
  <c r="AW1107" i="21"/>
  <c r="AX1107" i="21" s="1"/>
  <c r="AW1092" i="21"/>
  <c r="AX1092" i="21" s="1"/>
  <c r="AW1059" i="21"/>
  <c r="AX1059" i="21" s="1"/>
  <c r="AW1010" i="21"/>
  <c r="AX1010" i="21" s="1"/>
  <c r="AW1072" i="21"/>
  <c r="AX1072" i="21" s="1"/>
  <c r="AY1072" i="21"/>
  <c r="AZ1072" i="21" s="1"/>
  <c r="AT1105" i="21"/>
  <c r="AV1105" i="21" s="1"/>
  <c r="AT1089" i="21"/>
  <c r="AV1089" i="21" s="1"/>
  <c r="AT1075" i="21"/>
  <c r="AV1075" i="21" s="1"/>
  <c r="F98" i="18"/>
  <c r="AT1082" i="21"/>
  <c r="AV1082" i="21" s="1"/>
  <c r="AW1065" i="21"/>
  <c r="AX1065" i="21" s="1"/>
  <c r="CO2" i="20"/>
  <c r="AW1032" i="21"/>
  <c r="AX1032" i="21" s="1"/>
  <c r="AW1046" i="21"/>
  <c r="AX1046" i="21" s="1"/>
  <c r="AW1093" i="21"/>
  <c r="AX1093" i="21" s="1"/>
  <c r="AW1062" i="21"/>
  <c r="AX1062" i="21" s="1"/>
  <c r="AT1074" i="21"/>
  <c r="AV1074" i="21" s="1"/>
  <c r="AT1060" i="21"/>
  <c r="AV1060" i="21" s="1"/>
  <c r="AW1026" i="21"/>
  <c r="AX1026" i="21" s="1"/>
  <c r="AU3" i="20"/>
  <c r="B141" i="18" s="1"/>
  <c r="AT1023" i="21"/>
  <c r="AV1023" i="21" s="1"/>
  <c r="Q93" i="18"/>
  <c r="B94" i="18"/>
  <c r="AW1104" i="21"/>
  <c r="AX1104" i="21" s="1"/>
  <c r="AW1056" i="21"/>
  <c r="AX1056" i="21" s="1"/>
  <c r="AW1030" i="21"/>
  <c r="AX1030" i="21" s="1"/>
  <c r="F141" i="18" l="1"/>
  <c r="B98" i="18"/>
  <c r="L7" i="19" s="1"/>
  <c r="R94" i="18"/>
  <c r="S94" i="18"/>
  <c r="R98" i="18" s="1"/>
  <c r="Q100" i="18"/>
  <c r="L34" i="19"/>
  <c r="L25" i="19"/>
  <c r="L16" i="19"/>
  <c r="DB9" i="6"/>
  <c r="DB8" i="6"/>
  <c r="DB10" i="6" s="1"/>
  <c r="CX11" i="22"/>
  <c r="DC13" i="6"/>
  <c r="DC2" i="6"/>
  <c r="CY15" i="22"/>
  <c r="DB13" i="6" l="1"/>
  <c r="DC11" i="6"/>
  <c r="CY14" i="22"/>
  <c r="CY103" i="22" s="1"/>
  <c r="L43" i="19"/>
  <c r="CY40" i="22"/>
  <c r="CY61" i="22" l="1"/>
  <c r="CY82" i="22"/>
  <c r="CY124" i="22"/>
  <c r="AB51" i="14"/>
  <c r="X51" i="14"/>
  <c r="Y51" i="14" s="1"/>
  <c r="G51" i="14"/>
  <c r="B51" i="14"/>
  <c r="AA51" i="14" s="1"/>
  <c r="I52" i="12"/>
  <c r="G52" i="12"/>
  <c r="AC7" i="22"/>
  <c r="AC8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 s="1"/>
  <c r="AN12" i="22" s="1"/>
  <c r="AN13" i="22" s="1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T11" i="22"/>
  <c r="BT15" i="22" s="1"/>
  <c r="BU11" i="22"/>
  <c r="BU15" i="22" s="1"/>
  <c r="BV11" i="22"/>
  <c r="BV15" i="22" s="1"/>
  <c r="BW11" i="22"/>
  <c r="BW15" i="22" s="1"/>
  <c r="BX11" i="22"/>
  <c r="BX15" i="22" s="1"/>
  <c r="BY11" i="22"/>
  <c r="BY15" i="22" s="1"/>
  <c r="BZ11" i="22"/>
  <c r="CA11" i="22"/>
  <c r="CB11" i="22"/>
  <c r="CC11" i="22"/>
  <c r="CC15" i="22" s="1"/>
  <c r="CD11" i="22"/>
  <c r="CE11" i="22"/>
  <c r="CF11" i="22"/>
  <c r="CG11" i="22"/>
  <c r="CH11" i="22"/>
  <c r="CH15" i="22" s="1"/>
  <c r="CI11" i="22"/>
  <c r="CI15" i="22" s="1"/>
  <c r="CJ11" i="22"/>
  <c r="CJ15" i="22" s="1"/>
  <c r="CK11" i="22"/>
  <c r="CL11" i="22"/>
  <c r="CL15" i="22" s="1"/>
  <c r="CM11" i="22"/>
  <c r="CO14" i="22" s="1"/>
  <c r="CO11" i="22"/>
  <c r="CP11" i="22"/>
  <c r="CQ11" i="22"/>
  <c r="CR11" i="22"/>
  <c r="CS11" i="22"/>
  <c r="CT11" i="22"/>
  <c r="CU11" i="22"/>
  <c r="CV11" i="22"/>
  <c r="CW11" i="22"/>
  <c r="CX14" i="22" s="1"/>
  <c r="P12" i="22"/>
  <c r="P13" i="22" s="1"/>
  <c r="V12" i="22"/>
  <c r="V13" i="22" s="1"/>
  <c r="AB12" i="22"/>
  <c r="AB13" i="22" s="1"/>
  <c r="AH12" i="22"/>
  <c r="AH13" i="22" s="1"/>
  <c r="CP14" i="22"/>
  <c r="CR14" i="22"/>
  <c r="CS14" i="22"/>
  <c r="CT14" i="22"/>
  <c r="CU14" i="22"/>
  <c r="CV14" i="22"/>
  <c r="CV40" i="22" s="1"/>
  <c r="CW14" i="22"/>
  <c r="CD15" i="22"/>
  <c r="CE15" i="22"/>
  <c r="CF15" i="22"/>
  <c r="CG15" i="22"/>
  <c r="CQ15" i="22"/>
  <c r="CR15" i="22"/>
  <c r="CS15" i="22"/>
  <c r="CT15" i="22"/>
  <c r="CU15" i="22"/>
  <c r="CV15" i="22"/>
  <c r="CW15" i="22"/>
  <c r="CX15" i="22"/>
  <c r="AC16" i="22"/>
  <c r="AC17" i="22"/>
  <c r="BT19" i="22"/>
  <c r="BU19" i="22"/>
  <c r="BV19" i="22"/>
  <c r="BW19" i="22"/>
  <c r="BX19" i="22"/>
  <c r="BY19" i="22"/>
  <c r="BZ19" i="22"/>
  <c r="CA19" i="22"/>
  <c r="CB19" i="22"/>
  <c r="CC19" i="22"/>
  <c r="CD19" i="22"/>
  <c r="CE19" i="22"/>
  <c r="CF19" i="22"/>
  <c r="CG19" i="22"/>
  <c r="CH19" i="22"/>
  <c r="CI19" i="22"/>
  <c r="CJ19" i="22"/>
  <c r="CK19" i="22"/>
  <c r="CL19" i="22"/>
  <c r="CM19" i="22"/>
  <c r="CO19" i="22"/>
  <c r="BT20" i="22"/>
  <c r="BU20" i="22"/>
  <c r="BV20" i="22"/>
  <c r="BW20" i="22"/>
  <c r="BX20" i="22"/>
  <c r="BY20" i="22"/>
  <c r="BZ20" i="22"/>
  <c r="CA20" i="22"/>
  <c r="CB20" i="22"/>
  <c r="CC20" i="22"/>
  <c r="CD20" i="22"/>
  <c r="CE20" i="22"/>
  <c r="CF20" i="22"/>
  <c r="CG20" i="22"/>
  <c r="CH20" i="22"/>
  <c r="CI20" i="22"/>
  <c r="CJ20" i="22"/>
  <c r="CK20" i="22"/>
  <c r="CL20" i="22"/>
  <c r="CO20" i="22"/>
  <c r="CF21" i="22"/>
  <c r="CG21" i="22"/>
  <c r="CH21" i="22"/>
  <c r="CI21" i="22"/>
  <c r="CJ21" i="22"/>
  <c r="CK21" i="22"/>
  <c r="CL21" i="22"/>
  <c r="CO21" i="22"/>
  <c r="BT22" i="22"/>
  <c r="BU22" i="22"/>
  <c r="BV22" i="22"/>
  <c r="BW22" i="22"/>
  <c r="BX22" i="22"/>
  <c r="BY22" i="22"/>
  <c r="BZ22" i="22"/>
  <c r="CA22" i="22"/>
  <c r="CB22" i="22"/>
  <c r="CC22" i="22"/>
  <c r="CD22" i="22"/>
  <c r="CE22" i="22"/>
  <c r="CF22" i="22"/>
  <c r="CG22" i="22"/>
  <c r="CH22" i="22"/>
  <c r="CI22" i="22"/>
  <c r="CJ22" i="22"/>
  <c r="CK22" i="22"/>
  <c r="CL22" i="22"/>
  <c r="CO22" i="22"/>
  <c r="BT23" i="22"/>
  <c r="BU23" i="22"/>
  <c r="BV23" i="22"/>
  <c r="BW23" i="22"/>
  <c r="BX23" i="22"/>
  <c r="BY23" i="22"/>
  <c r="BZ23" i="22"/>
  <c r="CA23" i="22"/>
  <c r="CB23" i="22"/>
  <c r="CC23" i="22"/>
  <c r="CD23" i="22"/>
  <c r="CE23" i="22"/>
  <c r="CF23" i="22"/>
  <c r="CG23" i="22"/>
  <c r="CH23" i="22"/>
  <c r="CI23" i="22"/>
  <c r="CJ23" i="22"/>
  <c r="CK23" i="22"/>
  <c r="CL23" i="22"/>
  <c r="CO23" i="22"/>
  <c r="BT24" i="22"/>
  <c r="BU24" i="22"/>
  <c r="BV24" i="22"/>
  <c r="BW24" i="22"/>
  <c r="BX24" i="22"/>
  <c r="BY24" i="22"/>
  <c r="BZ24" i="22"/>
  <c r="CA24" i="22"/>
  <c r="CB24" i="22"/>
  <c r="CC24" i="22"/>
  <c r="CD24" i="22"/>
  <c r="CE24" i="22"/>
  <c r="CF24" i="22"/>
  <c r="CG24" i="22"/>
  <c r="CH24" i="22"/>
  <c r="CI24" i="22"/>
  <c r="CJ24" i="22"/>
  <c r="CK24" i="22"/>
  <c r="CL24" i="22"/>
  <c r="CO24" i="22"/>
  <c r="CF25" i="22"/>
  <c r="CG25" i="22"/>
  <c r="CH25" i="22"/>
  <c r="CI25" i="22"/>
  <c r="CJ25" i="22"/>
  <c r="CK25" i="22"/>
  <c r="CL25" i="22"/>
  <c r="CO25" i="22"/>
  <c r="BT26" i="22"/>
  <c r="BU26" i="22"/>
  <c r="BV26" i="22"/>
  <c r="BW26" i="22"/>
  <c r="BX26" i="22"/>
  <c r="BY26" i="22"/>
  <c r="BZ26" i="22"/>
  <c r="CA26" i="22"/>
  <c r="CB26" i="22"/>
  <c r="CC26" i="22"/>
  <c r="CD26" i="22"/>
  <c r="CE26" i="22"/>
  <c r="CF26" i="22"/>
  <c r="CG26" i="22"/>
  <c r="CH26" i="22"/>
  <c r="CI26" i="22"/>
  <c r="CJ26" i="22"/>
  <c r="CK26" i="22"/>
  <c r="CL26" i="22"/>
  <c r="CO26" i="22"/>
  <c r="BT27" i="22"/>
  <c r="BU27" i="22"/>
  <c r="BV27" i="22"/>
  <c r="BW27" i="22"/>
  <c r="BX27" i="22"/>
  <c r="BY27" i="22"/>
  <c r="BZ27" i="22"/>
  <c r="CA27" i="22"/>
  <c r="CB27" i="22"/>
  <c r="CC27" i="22"/>
  <c r="CD27" i="22"/>
  <c r="CE27" i="22"/>
  <c r="CF27" i="22"/>
  <c r="CG27" i="22"/>
  <c r="CH27" i="22"/>
  <c r="CI27" i="22"/>
  <c r="CJ27" i="22"/>
  <c r="CK27" i="22"/>
  <c r="CL27" i="22"/>
  <c r="CO27" i="22"/>
  <c r="BT28" i="22"/>
  <c r="BU28" i="22"/>
  <c r="BV28" i="22"/>
  <c r="BW28" i="22"/>
  <c r="BX28" i="22"/>
  <c r="BY28" i="22"/>
  <c r="BZ28" i="22"/>
  <c r="CA28" i="22"/>
  <c r="CB28" i="22"/>
  <c r="CC28" i="22"/>
  <c r="CD28" i="22"/>
  <c r="CE28" i="22"/>
  <c r="CF28" i="22"/>
  <c r="CG28" i="22"/>
  <c r="CH28" i="22"/>
  <c r="CI28" i="22"/>
  <c r="CJ28" i="22"/>
  <c r="CK28" i="22"/>
  <c r="CL28" i="22"/>
  <c r="CO28" i="22"/>
  <c r="BT29" i="22"/>
  <c r="BU29" i="22"/>
  <c r="BV29" i="22"/>
  <c r="BW29" i="22"/>
  <c r="BX29" i="22"/>
  <c r="BY29" i="22"/>
  <c r="BZ29" i="22"/>
  <c r="CA29" i="22"/>
  <c r="CB29" i="22"/>
  <c r="CC29" i="22"/>
  <c r="CD29" i="22"/>
  <c r="CE29" i="22"/>
  <c r="CF29" i="22"/>
  <c r="CG29" i="22"/>
  <c r="CH29" i="22"/>
  <c r="CI29" i="22"/>
  <c r="CJ29" i="22"/>
  <c r="CK29" i="22"/>
  <c r="CL29" i="22"/>
  <c r="CO29" i="22"/>
  <c r="BT30" i="22"/>
  <c r="BU30" i="22"/>
  <c r="BV30" i="22"/>
  <c r="BW30" i="22"/>
  <c r="BX30" i="22"/>
  <c r="BY30" i="22"/>
  <c r="BZ30" i="22"/>
  <c r="CA30" i="22"/>
  <c r="CB30" i="22"/>
  <c r="CC30" i="22"/>
  <c r="CD30" i="22"/>
  <c r="CE30" i="22"/>
  <c r="CF30" i="22"/>
  <c r="CG30" i="22"/>
  <c r="CH30" i="22"/>
  <c r="CI30" i="22"/>
  <c r="CJ30" i="22"/>
  <c r="CK30" i="22"/>
  <c r="CL30" i="22"/>
  <c r="CO30" i="22"/>
  <c r="CG31" i="22"/>
  <c r="CH31" i="22"/>
  <c r="CI31" i="22"/>
  <c r="CJ31" i="22"/>
  <c r="CK31" i="22"/>
  <c r="CL31" i="22"/>
  <c r="CO31" i="22"/>
  <c r="BT32" i="22"/>
  <c r="BU32" i="22"/>
  <c r="BV32" i="22"/>
  <c r="BW32" i="22"/>
  <c r="BX32" i="22"/>
  <c r="BY32" i="22"/>
  <c r="BZ32" i="22"/>
  <c r="CA32" i="22"/>
  <c r="CB32" i="22"/>
  <c r="CC32" i="22"/>
  <c r="CD32" i="22"/>
  <c r="CE32" i="22"/>
  <c r="CF32" i="22"/>
  <c r="CG32" i="22"/>
  <c r="CH32" i="22"/>
  <c r="CI32" i="22"/>
  <c r="CJ32" i="22"/>
  <c r="CK32" i="22"/>
  <c r="CL32" i="22"/>
  <c r="CO32" i="22"/>
  <c r="BT33" i="22"/>
  <c r="BU33" i="22"/>
  <c r="BV33" i="22"/>
  <c r="BW33" i="22"/>
  <c r="BX33" i="22"/>
  <c r="BY33" i="22"/>
  <c r="BZ33" i="22"/>
  <c r="CA33" i="22"/>
  <c r="CB33" i="22"/>
  <c r="CC33" i="22"/>
  <c r="CD33" i="22"/>
  <c r="CE33" i="22"/>
  <c r="CF33" i="22"/>
  <c r="CG33" i="22"/>
  <c r="CH33" i="22"/>
  <c r="CI33" i="22"/>
  <c r="CJ33" i="22"/>
  <c r="CK33" i="22"/>
  <c r="CL33" i="22"/>
  <c r="CO33" i="22"/>
  <c r="BT34" i="22"/>
  <c r="BU34" i="22"/>
  <c r="BV34" i="22"/>
  <c r="BW34" i="22"/>
  <c r="BX34" i="22"/>
  <c r="BY34" i="22"/>
  <c r="BZ34" i="22"/>
  <c r="CA34" i="22"/>
  <c r="CB34" i="22"/>
  <c r="CC34" i="22"/>
  <c r="CD34" i="22"/>
  <c r="CE34" i="22"/>
  <c r="CF34" i="22"/>
  <c r="CG34" i="22"/>
  <c r="CH34" i="22"/>
  <c r="CI34" i="22"/>
  <c r="CJ34" i="22"/>
  <c r="CK34" i="22"/>
  <c r="CL34" i="22"/>
  <c r="CO34" i="22"/>
  <c r="BT35" i="22"/>
  <c r="BU35" i="22"/>
  <c r="BV35" i="22"/>
  <c r="BW35" i="22"/>
  <c r="BX35" i="22"/>
  <c r="BY35" i="22"/>
  <c r="BZ35" i="22"/>
  <c r="CA35" i="22"/>
  <c r="CB35" i="22"/>
  <c r="CC35" i="22"/>
  <c r="CD35" i="22"/>
  <c r="CE35" i="22"/>
  <c r="CF35" i="22"/>
  <c r="CG35" i="22"/>
  <c r="CH35" i="22"/>
  <c r="CI35" i="22"/>
  <c r="CJ35" i="22"/>
  <c r="CK35" i="22"/>
  <c r="CL35" i="22"/>
  <c r="CO35" i="22"/>
  <c r="BT36" i="22"/>
  <c r="BU36" i="22"/>
  <c r="BV36" i="22"/>
  <c r="BW36" i="22"/>
  <c r="BX36" i="22"/>
  <c r="BY36" i="22"/>
  <c r="BZ36" i="22"/>
  <c r="CA36" i="22"/>
  <c r="CB36" i="22"/>
  <c r="CC36" i="22"/>
  <c r="CD36" i="22"/>
  <c r="CE36" i="22"/>
  <c r="CF36" i="22"/>
  <c r="CG36" i="22"/>
  <c r="CH36" i="22"/>
  <c r="CI36" i="22"/>
  <c r="CJ36" i="22"/>
  <c r="CK36" i="22"/>
  <c r="CL36" i="22"/>
  <c r="CO36" i="22"/>
  <c r="BT37" i="22"/>
  <c r="BU37" i="22"/>
  <c r="BV37" i="22"/>
  <c r="BW37" i="22"/>
  <c r="BX37" i="22"/>
  <c r="BY37" i="22"/>
  <c r="BZ37" i="22"/>
  <c r="CA37" i="22"/>
  <c r="CB37" i="22"/>
  <c r="CC37" i="22"/>
  <c r="CD37" i="22"/>
  <c r="CE37" i="22"/>
  <c r="CF37" i="22"/>
  <c r="CG37" i="22"/>
  <c r="CH37" i="22"/>
  <c r="CI37" i="22"/>
  <c r="CJ37" i="22"/>
  <c r="CK37" i="22"/>
  <c r="CL37" i="22"/>
  <c r="CO37" i="22"/>
  <c r="CP40" i="22"/>
  <c r="CR40" i="22"/>
  <c r="CS40" i="22"/>
  <c r="CT40" i="22"/>
  <c r="CU40" i="22"/>
  <c r="CW40" i="22"/>
  <c r="CM41" i="22"/>
  <c r="BT42" i="22"/>
  <c r="BU42" i="22"/>
  <c r="BV42" i="22"/>
  <c r="BW42" i="22"/>
  <c r="BX42" i="22"/>
  <c r="BY42" i="22"/>
  <c r="BZ42" i="22"/>
  <c r="CA42" i="22"/>
  <c r="CB42" i="22"/>
  <c r="CC42" i="22"/>
  <c r="CD42" i="22"/>
  <c r="CE42" i="22"/>
  <c r="CF42" i="22"/>
  <c r="CM42" i="22"/>
  <c r="CM43" i="22"/>
  <c r="CM44" i="22"/>
  <c r="CM45" i="22"/>
  <c r="BT46" i="22"/>
  <c r="BU46" i="22"/>
  <c r="BV46" i="22"/>
  <c r="BW46" i="22"/>
  <c r="BX46" i="22"/>
  <c r="BY46" i="22"/>
  <c r="BZ46" i="22"/>
  <c r="CA46" i="22"/>
  <c r="CB46" i="22"/>
  <c r="CC46" i="22"/>
  <c r="CD46" i="22"/>
  <c r="CE46" i="22"/>
  <c r="CF46" i="22"/>
  <c r="CM46" i="22"/>
  <c r="CM47" i="22"/>
  <c r="CM48" i="22"/>
  <c r="CM49" i="22"/>
  <c r="CM50" i="22"/>
  <c r="CM51" i="22"/>
  <c r="BT52" i="22"/>
  <c r="BU52" i="22"/>
  <c r="BV52" i="22"/>
  <c r="BW52" i="22"/>
  <c r="BX52" i="22"/>
  <c r="BY52" i="22"/>
  <c r="BZ52" i="22"/>
  <c r="CA52" i="22"/>
  <c r="CB52" i="22"/>
  <c r="CC52" i="22"/>
  <c r="CD52" i="22"/>
  <c r="CE52" i="22"/>
  <c r="CF52" i="22"/>
  <c r="CM52" i="22"/>
  <c r="CM53" i="22"/>
  <c r="CM54" i="22"/>
  <c r="CM55" i="22"/>
  <c r="CM56" i="22"/>
  <c r="CM57" i="22"/>
  <c r="CM58" i="22"/>
  <c r="CP61" i="22"/>
  <c r="CR61" i="22"/>
  <c r="CS61" i="22"/>
  <c r="CT61" i="22"/>
  <c r="CU61" i="22"/>
  <c r="CW61" i="22"/>
  <c r="CM62" i="22"/>
  <c r="BT63" i="22"/>
  <c r="BU63" i="22"/>
  <c r="BV63" i="22"/>
  <c r="BW63" i="22"/>
  <c r="BX63" i="22"/>
  <c r="BY63" i="22"/>
  <c r="BZ63" i="22"/>
  <c r="CA63" i="22"/>
  <c r="CB63" i="22"/>
  <c r="CC63" i="22"/>
  <c r="CD63" i="22"/>
  <c r="CE63" i="22"/>
  <c r="CF63" i="22"/>
  <c r="CM63" i="22"/>
  <c r="CM64" i="22"/>
  <c r="CM65" i="22"/>
  <c r="CM66" i="22"/>
  <c r="BT67" i="22"/>
  <c r="BU67" i="22"/>
  <c r="BV67" i="22"/>
  <c r="BW67" i="22"/>
  <c r="BX67" i="22"/>
  <c r="BY67" i="22"/>
  <c r="BZ67" i="22"/>
  <c r="CA67" i="22"/>
  <c r="CB67" i="22"/>
  <c r="CC67" i="22"/>
  <c r="CD67" i="22"/>
  <c r="CE67" i="22"/>
  <c r="CF67" i="22"/>
  <c r="CM67" i="22"/>
  <c r="CM68" i="22"/>
  <c r="CM69" i="22"/>
  <c r="CM70" i="22"/>
  <c r="CM71" i="22"/>
  <c r="CM72" i="22"/>
  <c r="BT73" i="22"/>
  <c r="BU73" i="22"/>
  <c r="BV73" i="22"/>
  <c r="BW73" i="22"/>
  <c r="BX73" i="22"/>
  <c r="BY73" i="22"/>
  <c r="BZ73" i="22"/>
  <c r="CA73" i="22"/>
  <c r="CB73" i="22"/>
  <c r="CC73" i="22"/>
  <c r="CD73" i="22"/>
  <c r="CE73" i="22"/>
  <c r="CF73" i="22"/>
  <c r="CM73" i="22"/>
  <c r="CM74" i="22"/>
  <c r="CM75" i="22"/>
  <c r="CM76" i="22"/>
  <c r="CM77" i="22"/>
  <c r="CM78" i="22"/>
  <c r="CM79" i="22"/>
  <c r="CP82" i="22"/>
  <c r="CR82" i="22"/>
  <c r="CS82" i="22"/>
  <c r="CT82" i="22"/>
  <c r="CU82" i="22"/>
  <c r="CW82" i="22"/>
  <c r="CP103" i="22"/>
  <c r="CR103" i="22"/>
  <c r="CS103" i="22"/>
  <c r="CT103" i="22"/>
  <c r="CU103" i="22"/>
  <c r="CW103" i="22"/>
  <c r="CM104" i="22"/>
  <c r="CM125" i="22" s="1"/>
  <c r="BT105" i="22"/>
  <c r="BU105" i="22"/>
  <c r="BU126" i="22" s="1"/>
  <c r="BV105" i="22"/>
  <c r="BW105" i="22"/>
  <c r="BX105" i="22"/>
  <c r="BX126" i="22" s="1"/>
  <c r="BY105" i="22"/>
  <c r="BZ105" i="22"/>
  <c r="BZ126" i="22" s="1"/>
  <c r="CA105" i="22"/>
  <c r="CA126" i="22" s="1"/>
  <c r="CB105" i="22"/>
  <c r="CB126" i="22" s="1"/>
  <c r="CC105" i="22"/>
  <c r="CD105" i="22"/>
  <c r="CE105" i="22"/>
  <c r="CF105" i="22"/>
  <c r="CM105" i="22"/>
  <c r="CM106" i="22"/>
  <c r="CM127" i="22" s="1"/>
  <c r="CM107" i="22"/>
  <c r="CM128" i="22" s="1"/>
  <c r="CM108" i="22"/>
  <c r="CM129" i="22" s="1"/>
  <c r="BT109" i="22"/>
  <c r="BT130" i="22" s="1"/>
  <c r="BU109" i="22"/>
  <c r="BU130" i="22" s="1"/>
  <c r="BV109" i="22"/>
  <c r="BV130" i="22" s="1"/>
  <c r="BW109" i="22"/>
  <c r="BX109" i="22"/>
  <c r="BX130" i="22" s="1"/>
  <c r="BY109" i="22"/>
  <c r="BZ109" i="22"/>
  <c r="CA109" i="22"/>
  <c r="CB109" i="22"/>
  <c r="CC109" i="22"/>
  <c r="CC130" i="22" s="1"/>
  <c r="CD109" i="22"/>
  <c r="CE109" i="22"/>
  <c r="CF109" i="22"/>
  <c r="CF130" i="22" s="1"/>
  <c r="CM109" i="22"/>
  <c r="CM130" i="22" s="1"/>
  <c r="CM110" i="22"/>
  <c r="CM131" i="22" s="1"/>
  <c r="CM111" i="22"/>
  <c r="CM112" i="22"/>
  <c r="CM133" i="22" s="1"/>
  <c r="CM113" i="22"/>
  <c r="CM114" i="22"/>
  <c r="CM135" i="22" s="1"/>
  <c r="BT115" i="22"/>
  <c r="BT136" i="22" s="1"/>
  <c r="BU115" i="22"/>
  <c r="BU136" i="22" s="1"/>
  <c r="BV115" i="22"/>
  <c r="BW115" i="22"/>
  <c r="BX115" i="22"/>
  <c r="BY115" i="22"/>
  <c r="BZ115" i="22"/>
  <c r="BZ136" i="22" s="1"/>
  <c r="CA115" i="22"/>
  <c r="CA136" i="22" s="1"/>
  <c r="CB115" i="22"/>
  <c r="CC115" i="22"/>
  <c r="CD115" i="22"/>
  <c r="CD136" i="22" s="1"/>
  <c r="CE115" i="22"/>
  <c r="CF115" i="22"/>
  <c r="CF136" i="22" s="1"/>
  <c r="CM115" i="22"/>
  <c r="CM116" i="22"/>
  <c r="CM137" i="22" s="1"/>
  <c r="CM117" i="22"/>
  <c r="CM118" i="22"/>
  <c r="CM139" i="22" s="1"/>
  <c r="CM119" i="22"/>
  <c r="CM120" i="22"/>
  <c r="CM141" i="22" s="1"/>
  <c r="CM121" i="22"/>
  <c r="CM142" i="22" s="1"/>
  <c r="CP124" i="22"/>
  <c r="CR124" i="22"/>
  <c r="CS124" i="22"/>
  <c r="CT124" i="22"/>
  <c r="CU124" i="22"/>
  <c r="CW124" i="22"/>
  <c r="BT126" i="22"/>
  <c r="BV126" i="22"/>
  <c r="BW126" i="22"/>
  <c r="BY126" i="22"/>
  <c r="CC126" i="22"/>
  <c r="CD126" i="22"/>
  <c r="CE126" i="22"/>
  <c r="CF126" i="22"/>
  <c r="CM126" i="22"/>
  <c r="BW130" i="22"/>
  <c r="BY130" i="22"/>
  <c r="BZ130" i="22"/>
  <c r="CA130" i="22"/>
  <c r="CB130" i="22"/>
  <c r="CD130" i="22"/>
  <c r="CE130" i="22"/>
  <c r="CM132" i="22"/>
  <c r="CM134" i="22"/>
  <c r="BV136" i="22"/>
  <c r="BW136" i="22"/>
  <c r="BX136" i="22"/>
  <c r="BY136" i="22"/>
  <c r="CB136" i="22"/>
  <c r="CC136" i="22"/>
  <c r="CE136" i="22"/>
  <c r="CM136" i="22"/>
  <c r="CM138" i="22"/>
  <c r="CM140" i="22"/>
  <c r="DA9" i="6"/>
  <c r="DA8" i="6"/>
  <c r="DA10" i="6" s="1"/>
  <c r="DB11" i="6" s="1"/>
  <c r="DB14" i="6"/>
  <c r="DB2" i="6"/>
  <c r="R87" i="18"/>
  <c r="N87" i="18"/>
  <c r="J87" i="18"/>
  <c r="F87" i="18"/>
  <c r="B87" i="18"/>
  <c r="AR923" i="21"/>
  <c r="AS923" i="21"/>
  <c r="AW923" i="21" s="1"/>
  <c r="AX923" i="21" s="1"/>
  <c r="AT923" i="21"/>
  <c r="AV923" i="21" s="1"/>
  <c r="AR924" i="21"/>
  <c r="AS924" i="21"/>
  <c r="AT924" i="21" s="1"/>
  <c r="AV924" i="21" s="1"/>
  <c r="AY924" i="21"/>
  <c r="AZ924" i="21" s="1"/>
  <c r="AR925" i="21"/>
  <c r="AS925" i="21"/>
  <c r="AW925" i="21" s="1"/>
  <c r="AX925" i="21" s="1"/>
  <c r="AY925" i="21"/>
  <c r="AZ925" i="21" s="1"/>
  <c r="AR926" i="21"/>
  <c r="AS926" i="21"/>
  <c r="AT926" i="21" s="1"/>
  <c r="AV926" i="21" s="1"/>
  <c r="AY926" i="21"/>
  <c r="AZ926" i="21" s="1"/>
  <c r="AR927" i="21"/>
  <c r="AS927" i="21"/>
  <c r="AT927" i="21" s="1"/>
  <c r="AV927" i="21" s="1"/>
  <c r="AY927" i="21"/>
  <c r="AZ927" i="21" s="1"/>
  <c r="AR928" i="21"/>
  <c r="AS928" i="21"/>
  <c r="AW928" i="21" s="1"/>
  <c r="AX928" i="21" s="1"/>
  <c r="AT928" i="21"/>
  <c r="AV928" i="21" s="1"/>
  <c r="AR929" i="21"/>
  <c r="AS929" i="21"/>
  <c r="AT929" i="21" s="1"/>
  <c r="AV929" i="21" s="1"/>
  <c r="AY929" i="21"/>
  <c r="AZ929" i="21" s="1"/>
  <c r="AR930" i="21"/>
  <c r="AS930" i="21"/>
  <c r="AT930" i="21" s="1"/>
  <c r="AV930" i="21" s="1"/>
  <c r="AY930" i="21"/>
  <c r="AZ930" i="21" s="1"/>
  <c r="AR931" i="21"/>
  <c r="AS931" i="21"/>
  <c r="AW931" i="21" s="1"/>
  <c r="AX931" i="21" s="1"/>
  <c r="AY931" i="21"/>
  <c r="AZ931" i="21" s="1"/>
  <c r="AR932" i="21"/>
  <c r="AS932" i="21"/>
  <c r="AT932" i="21" s="1"/>
  <c r="AV932" i="21" s="1"/>
  <c r="AY932" i="21"/>
  <c r="AZ932" i="21" s="1"/>
  <c r="AR933" i="21"/>
  <c r="AS933" i="21"/>
  <c r="AT933" i="21" s="1"/>
  <c r="AV933" i="21" s="1"/>
  <c r="AY933" i="21"/>
  <c r="AZ933" i="21" s="1"/>
  <c r="AR934" i="21"/>
  <c r="AS934" i="21"/>
  <c r="AW934" i="21" s="1"/>
  <c r="AX934" i="21" s="1"/>
  <c r="AT934" i="21"/>
  <c r="AV934" i="21" s="1"/>
  <c r="AR935" i="21"/>
  <c r="AS935" i="21"/>
  <c r="AT935" i="21" s="1"/>
  <c r="AV935" i="21" s="1"/>
  <c r="AY935" i="21"/>
  <c r="AZ935" i="21" s="1"/>
  <c r="AR936" i="21"/>
  <c r="AS936" i="21"/>
  <c r="AT936" i="21" s="1"/>
  <c r="AV936" i="21" s="1"/>
  <c r="AY936" i="21"/>
  <c r="AZ936" i="21" s="1"/>
  <c r="AR937" i="21"/>
  <c r="AS937" i="21"/>
  <c r="AW937" i="21" s="1"/>
  <c r="AX937" i="21" s="1"/>
  <c r="AT937" i="21"/>
  <c r="AV937" i="21" s="1"/>
  <c r="AR938" i="21"/>
  <c r="AS938" i="21"/>
  <c r="AW938" i="21" s="1"/>
  <c r="AX938" i="21" s="1"/>
  <c r="AT938" i="21"/>
  <c r="AV938" i="21" s="1"/>
  <c r="AR939" i="21"/>
  <c r="AS939" i="21"/>
  <c r="AT939" i="21" s="1"/>
  <c r="AV939" i="21" s="1"/>
  <c r="AY939" i="21"/>
  <c r="AZ939" i="21" s="1"/>
  <c r="AR940" i="21"/>
  <c r="AS940" i="21"/>
  <c r="AW940" i="21" s="1"/>
  <c r="AX940" i="21" s="1"/>
  <c r="AT940" i="21"/>
  <c r="AV940" i="21" s="1"/>
  <c r="AR941" i="21"/>
  <c r="AS941" i="21"/>
  <c r="AT941" i="21" s="1"/>
  <c r="AV941" i="21" s="1"/>
  <c r="AY941" i="21"/>
  <c r="AZ941" i="21" s="1"/>
  <c r="AR942" i="21"/>
  <c r="AS942" i="21"/>
  <c r="AT942" i="21" s="1"/>
  <c r="AV942" i="21" s="1"/>
  <c r="AY942" i="21"/>
  <c r="AZ942" i="21" s="1"/>
  <c r="AR943" i="21"/>
  <c r="AS943" i="21"/>
  <c r="AW943" i="21" s="1"/>
  <c r="AX943" i="21" s="1"/>
  <c r="AY943" i="21"/>
  <c r="AZ943" i="21" s="1"/>
  <c r="AR944" i="21"/>
  <c r="AS944" i="21"/>
  <c r="AW944" i="21" s="1"/>
  <c r="AX944" i="21" s="1"/>
  <c r="AT944" i="21"/>
  <c r="AV944" i="21" s="1"/>
  <c r="AR945" i="21"/>
  <c r="AS945" i="21"/>
  <c r="AT945" i="21" s="1"/>
  <c r="AV945" i="21" s="1"/>
  <c r="AY945" i="21"/>
  <c r="AZ945" i="21" s="1"/>
  <c r="AR946" i="21"/>
  <c r="AS946" i="21"/>
  <c r="AW946" i="21" s="1"/>
  <c r="AX946" i="21" s="1"/>
  <c r="AY946" i="21"/>
  <c r="AZ946" i="21" s="1"/>
  <c r="AR947" i="21"/>
  <c r="AS947" i="21"/>
  <c r="AW947" i="21" s="1"/>
  <c r="AX947" i="21" s="1"/>
  <c r="AT947" i="21"/>
  <c r="AV947" i="21" s="1"/>
  <c r="AR948" i="21"/>
  <c r="AS948" i="21"/>
  <c r="AT948" i="21" s="1"/>
  <c r="AV948" i="21" s="1"/>
  <c r="AY948" i="21"/>
  <c r="AZ948" i="21" s="1"/>
  <c r="AR949" i="21"/>
  <c r="AS949" i="21"/>
  <c r="AW949" i="21" s="1"/>
  <c r="AX949" i="21" s="1"/>
  <c r="AY949" i="21"/>
  <c r="AZ949" i="21" s="1"/>
  <c r="AR950" i="21"/>
  <c r="AS950" i="21"/>
  <c r="AT950" i="21" s="1"/>
  <c r="AV950" i="21" s="1"/>
  <c r="AY950" i="21"/>
  <c r="AZ950" i="21" s="1"/>
  <c r="AR951" i="21"/>
  <c r="AS951" i="21"/>
  <c r="AW951" i="21" s="1"/>
  <c r="AX951" i="21" s="1"/>
  <c r="AT951" i="21"/>
  <c r="AV951" i="21" s="1"/>
  <c r="AR952" i="21"/>
  <c r="AS952" i="21"/>
  <c r="AW952" i="21" s="1"/>
  <c r="AX952" i="21" s="1"/>
  <c r="AY952" i="21"/>
  <c r="AZ952" i="21" s="1"/>
  <c r="AR953" i="21"/>
  <c r="AS953" i="21"/>
  <c r="AT953" i="21" s="1"/>
  <c r="AV953" i="21" s="1"/>
  <c r="AY953" i="21"/>
  <c r="AZ953" i="21" s="1"/>
  <c r="AR954" i="21"/>
  <c r="AS954" i="21"/>
  <c r="AT954" i="21" s="1"/>
  <c r="AV954" i="21" s="1"/>
  <c r="AY954" i="21"/>
  <c r="AZ954" i="21" s="1"/>
  <c r="AR955" i="21"/>
  <c r="AS955" i="21"/>
  <c r="AW955" i="21" s="1"/>
  <c r="AX955" i="21" s="1"/>
  <c r="AT955" i="21"/>
  <c r="AV955" i="21" s="1"/>
  <c r="AR956" i="21"/>
  <c r="AS956" i="21"/>
  <c r="AT956" i="21" s="1"/>
  <c r="AV956" i="21" s="1"/>
  <c r="AY956" i="21"/>
  <c r="AZ956" i="21" s="1"/>
  <c r="AR957" i="21"/>
  <c r="AS957" i="21"/>
  <c r="AT957" i="21" s="1"/>
  <c r="AV957" i="21" s="1"/>
  <c r="AY957" i="21"/>
  <c r="AZ957" i="21" s="1"/>
  <c r="AR958" i="21"/>
  <c r="AS958" i="21"/>
  <c r="AW958" i="21" s="1"/>
  <c r="AX958" i="21" s="1"/>
  <c r="AT958" i="21"/>
  <c r="AV958" i="21" s="1"/>
  <c r="AR959" i="21"/>
  <c r="AS959" i="21"/>
  <c r="AW959" i="21" s="1"/>
  <c r="AX959" i="21" s="1"/>
  <c r="AT959" i="21"/>
  <c r="AV959" i="21" s="1"/>
  <c r="AR960" i="21"/>
  <c r="AS960" i="21"/>
  <c r="AT960" i="21" s="1"/>
  <c r="AV960" i="21" s="1"/>
  <c r="AY960" i="21"/>
  <c r="AZ960" i="21" s="1"/>
  <c r="AR961" i="21"/>
  <c r="AS961" i="21"/>
  <c r="AW961" i="21" s="1"/>
  <c r="AX961" i="21" s="1"/>
  <c r="AT961" i="21"/>
  <c r="AV961" i="21" s="1"/>
  <c r="AR962" i="21"/>
  <c r="AS962" i="21"/>
  <c r="AW962" i="21" s="1"/>
  <c r="AX962" i="21" s="1"/>
  <c r="AT962" i="21"/>
  <c r="AV962" i="21" s="1"/>
  <c r="AR963" i="21"/>
  <c r="AS963" i="21"/>
  <c r="AT963" i="21" s="1"/>
  <c r="AV963" i="21" s="1"/>
  <c r="AY963" i="21"/>
  <c r="AZ963" i="21" s="1"/>
  <c r="AR964" i="21"/>
  <c r="AS964" i="21"/>
  <c r="AW964" i="21" s="1"/>
  <c r="AX964" i="21" s="1"/>
  <c r="AY964" i="21"/>
  <c r="AZ964" i="21" s="1"/>
  <c r="AR965" i="21"/>
  <c r="AS965" i="21"/>
  <c r="AT965" i="21" s="1"/>
  <c r="AV965" i="21" s="1"/>
  <c r="AY965" i="21"/>
  <c r="AZ965" i="21" s="1"/>
  <c r="AR966" i="21"/>
  <c r="AS966" i="21"/>
  <c r="AT966" i="21" s="1"/>
  <c r="AV966" i="21" s="1"/>
  <c r="AY966" i="21"/>
  <c r="AZ966" i="21" s="1"/>
  <c r="AR967" i="21"/>
  <c r="AS967" i="21"/>
  <c r="AW967" i="21" s="1"/>
  <c r="AX967" i="21" s="1"/>
  <c r="AT967" i="21"/>
  <c r="AV967" i="21" s="1"/>
  <c r="AR968" i="21"/>
  <c r="AS968" i="21"/>
  <c r="AT968" i="21" s="1"/>
  <c r="AV968" i="21" s="1"/>
  <c r="AY968" i="21"/>
  <c r="AZ968" i="21" s="1"/>
  <c r="AR969" i="21"/>
  <c r="AS969" i="21"/>
  <c r="AT969" i="21" s="1"/>
  <c r="AV969" i="21" s="1"/>
  <c r="AY969" i="21"/>
  <c r="AZ969" i="21" s="1"/>
  <c r="AR970" i="21"/>
  <c r="AS970" i="21"/>
  <c r="AW970" i="21" s="1"/>
  <c r="AX970" i="21" s="1"/>
  <c r="AY970" i="21"/>
  <c r="AZ970" i="21" s="1"/>
  <c r="AR971" i="21"/>
  <c r="AS971" i="21"/>
  <c r="AW971" i="21" s="1"/>
  <c r="AX971" i="21" s="1"/>
  <c r="AT971" i="21"/>
  <c r="AV971" i="21" s="1"/>
  <c r="AR972" i="21"/>
  <c r="AS972" i="21"/>
  <c r="AT972" i="21" s="1"/>
  <c r="AV972" i="21" s="1"/>
  <c r="AY972" i="21"/>
  <c r="AZ972" i="21" s="1"/>
  <c r="AR973" i="21"/>
  <c r="AS973" i="21"/>
  <c r="AW973" i="21" s="1"/>
  <c r="AX973" i="21" s="1"/>
  <c r="AY973" i="21"/>
  <c r="AZ973" i="21" s="1"/>
  <c r="AR974" i="21"/>
  <c r="AS974" i="21"/>
  <c r="AW974" i="21" s="1"/>
  <c r="AX974" i="21" s="1"/>
  <c r="AT974" i="21"/>
  <c r="AV974" i="21" s="1"/>
  <c r="AR975" i="21"/>
  <c r="AS975" i="21"/>
  <c r="AT975" i="21" s="1"/>
  <c r="AV975" i="21" s="1"/>
  <c r="AY975" i="21"/>
  <c r="AZ975" i="21" s="1"/>
  <c r="AR976" i="21"/>
  <c r="AS976" i="21"/>
  <c r="AW976" i="21" s="1"/>
  <c r="AX976" i="21" s="1"/>
  <c r="AY976" i="21"/>
  <c r="AZ976" i="21" s="1"/>
  <c r="AR977" i="21"/>
  <c r="AS977" i="21"/>
  <c r="AT977" i="21" s="1"/>
  <c r="AV977" i="21" s="1"/>
  <c r="AY977" i="21"/>
  <c r="AZ977" i="21" s="1"/>
  <c r="AR978" i="21"/>
  <c r="AS978" i="21"/>
  <c r="AT978" i="21" s="1"/>
  <c r="AV978" i="21" s="1"/>
  <c r="AY978" i="21"/>
  <c r="AZ978" i="21" s="1"/>
  <c r="AR979" i="21"/>
  <c r="AS979" i="21"/>
  <c r="AW979" i="21" s="1"/>
  <c r="AX979" i="21" s="1"/>
  <c r="AY979" i="21"/>
  <c r="AZ979" i="21" s="1"/>
  <c r="AR980" i="21"/>
  <c r="AS980" i="21"/>
  <c r="AT980" i="21" s="1"/>
  <c r="AV980" i="21" s="1"/>
  <c r="AY980" i="21"/>
  <c r="AZ980" i="21" s="1"/>
  <c r="AR981" i="21"/>
  <c r="AS981" i="21"/>
  <c r="AT981" i="21" s="1"/>
  <c r="AV981" i="21" s="1"/>
  <c r="AY981" i="21"/>
  <c r="AZ981" i="21" s="1"/>
  <c r="AR982" i="21"/>
  <c r="AS982" i="21"/>
  <c r="AW982" i="21" s="1"/>
  <c r="AX982" i="21" s="1"/>
  <c r="AY982" i="21"/>
  <c r="AZ982" i="21" s="1"/>
  <c r="AR983" i="21"/>
  <c r="AS983" i="21"/>
  <c r="AT983" i="21" s="1"/>
  <c r="AV983" i="21" s="1"/>
  <c r="AY983" i="21"/>
  <c r="AZ983" i="21" s="1"/>
  <c r="AR984" i="21"/>
  <c r="AS984" i="21"/>
  <c r="AW984" i="21" s="1"/>
  <c r="AX984" i="21" s="1"/>
  <c r="AT984" i="21"/>
  <c r="AV984" i="21" s="1"/>
  <c r="AR985" i="21"/>
  <c r="AS985" i="21"/>
  <c r="AW985" i="21" s="1"/>
  <c r="AX985" i="21" s="1"/>
  <c r="AY985" i="21"/>
  <c r="AZ985" i="21" s="1"/>
  <c r="AR986" i="21"/>
  <c r="AS986" i="21"/>
  <c r="AW986" i="21" s="1"/>
  <c r="AX986" i="21" s="1"/>
  <c r="AT986" i="21"/>
  <c r="AV986" i="21" s="1"/>
  <c r="AR987" i="21"/>
  <c r="AS987" i="21"/>
  <c r="AW987" i="21" s="1"/>
  <c r="AX987" i="21" s="1"/>
  <c r="AT987" i="21"/>
  <c r="AV987" i="21" s="1"/>
  <c r="AR988" i="21"/>
  <c r="AS988" i="21"/>
  <c r="AW988" i="21" s="1"/>
  <c r="AX988" i="21" s="1"/>
  <c r="AY988" i="21"/>
  <c r="AZ988" i="21" s="1"/>
  <c r="AR989" i="21"/>
  <c r="AS989" i="21"/>
  <c r="AT989" i="21" s="1"/>
  <c r="AV989" i="21" s="1"/>
  <c r="AY989" i="21"/>
  <c r="AZ989" i="21" s="1"/>
  <c r="AR990" i="21"/>
  <c r="AS990" i="21"/>
  <c r="AW990" i="21" s="1"/>
  <c r="AX990" i="21" s="1"/>
  <c r="AT990" i="21"/>
  <c r="AV990" i="21" s="1"/>
  <c r="AR991" i="21"/>
  <c r="AS991" i="21"/>
  <c r="AW991" i="21" s="1"/>
  <c r="AX991" i="21" s="1"/>
  <c r="AY991" i="21"/>
  <c r="AZ991" i="21" s="1"/>
  <c r="AR992" i="21"/>
  <c r="AS992" i="21"/>
  <c r="AT992" i="21" s="1"/>
  <c r="AV992" i="21" s="1"/>
  <c r="AY992" i="21"/>
  <c r="AZ992" i="21" s="1"/>
  <c r="AR993" i="21"/>
  <c r="AS993" i="21"/>
  <c r="AW993" i="21" s="1"/>
  <c r="AX993" i="21" s="1"/>
  <c r="AT993" i="21"/>
  <c r="AV993" i="21" s="1"/>
  <c r="AR994" i="21"/>
  <c r="AS994" i="21"/>
  <c r="AW994" i="21" s="1"/>
  <c r="AX994" i="21" s="1"/>
  <c r="AT994" i="21"/>
  <c r="AV994" i="21" s="1"/>
  <c r="AR995" i="21"/>
  <c r="AS995" i="21"/>
  <c r="AT995" i="21" s="1"/>
  <c r="AV995" i="21" s="1"/>
  <c r="AY995" i="21"/>
  <c r="AZ995" i="21" s="1"/>
  <c r="AR996" i="21"/>
  <c r="AS996" i="21"/>
  <c r="AW996" i="21" s="1"/>
  <c r="AX996" i="21" s="1"/>
  <c r="AT996" i="21"/>
  <c r="AV996" i="21" s="1"/>
  <c r="AR997" i="21"/>
  <c r="AS997" i="21"/>
  <c r="AW997" i="21" s="1"/>
  <c r="AX997" i="21" s="1"/>
  <c r="AY997" i="21"/>
  <c r="AZ997" i="21" s="1"/>
  <c r="AR998" i="21"/>
  <c r="AS998" i="21"/>
  <c r="AT998" i="21" s="1"/>
  <c r="AV998" i="21" s="1"/>
  <c r="AY998" i="21"/>
  <c r="AZ998" i="21" s="1"/>
  <c r="AR999" i="21"/>
  <c r="AS999" i="21"/>
  <c r="AT999" i="21" s="1"/>
  <c r="AV999" i="21" s="1"/>
  <c r="AY999" i="21"/>
  <c r="AZ999" i="21" s="1"/>
  <c r="AR1000" i="21"/>
  <c r="AS1000" i="21"/>
  <c r="AW1000" i="21" s="1"/>
  <c r="AX1000" i="21" s="1"/>
  <c r="AT1000" i="21"/>
  <c r="AV1000" i="21" s="1"/>
  <c r="AR1001" i="21"/>
  <c r="AS1001" i="21"/>
  <c r="AT1001" i="21" s="1"/>
  <c r="AV1001" i="21" s="1"/>
  <c r="AY1001" i="21"/>
  <c r="AZ1001" i="21" s="1"/>
  <c r="AR1002" i="21"/>
  <c r="AS1002" i="21"/>
  <c r="AT1002" i="21" s="1"/>
  <c r="AV1002" i="21" s="1"/>
  <c r="AY1002" i="21"/>
  <c r="AZ1002" i="21" s="1"/>
  <c r="AR1003" i="21"/>
  <c r="AS1003" i="21"/>
  <c r="AW1003" i="21" s="1"/>
  <c r="AX1003" i="21" s="1"/>
  <c r="AY1003" i="21"/>
  <c r="AZ1003" i="21" s="1"/>
  <c r="AR1004" i="21"/>
  <c r="AS1004" i="21"/>
  <c r="AT1004" i="21" s="1"/>
  <c r="AV1004" i="21" s="1"/>
  <c r="AY1004" i="21"/>
  <c r="AZ1004" i="21" s="1"/>
  <c r="AR1005" i="21"/>
  <c r="AS1005" i="21"/>
  <c r="AT1005" i="21" s="1"/>
  <c r="AV1005" i="21" s="1"/>
  <c r="AY1005" i="21"/>
  <c r="AZ1005" i="21" s="1"/>
  <c r="AR1006" i="21"/>
  <c r="AS1006" i="21"/>
  <c r="AW1006" i="21" s="1"/>
  <c r="AX1006" i="21" s="1"/>
  <c r="AT1006" i="21"/>
  <c r="AV1006" i="21" s="1"/>
  <c r="AR1007" i="21"/>
  <c r="AS1007" i="21"/>
  <c r="AT1007" i="21" s="1"/>
  <c r="AV1007" i="21" s="1"/>
  <c r="AY1007" i="21"/>
  <c r="AZ1007" i="21" s="1"/>
  <c r="A84" i="18"/>
  <c r="E84" i="18" s="1"/>
  <c r="AT911" i="21"/>
  <c r="AV911" i="21" s="1"/>
  <c r="AW911" i="21"/>
  <c r="AX911" i="21" s="1"/>
  <c r="AY911" i="21"/>
  <c r="AZ911" i="21" s="1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B50" i="14"/>
  <c r="X50" i="14"/>
  <c r="Y50" i="14" s="1"/>
  <c r="G50" i="14"/>
  <c r="O50" i="14" s="1"/>
  <c r="B50" i="14"/>
  <c r="AA50" i="14" s="1"/>
  <c r="I51" i="12"/>
  <c r="G51" i="12"/>
  <c r="CL12" i="22" l="1"/>
  <c r="CL13" i="22" s="1"/>
  <c r="CR12" i="22"/>
  <c r="Q14" i="22"/>
  <c r="AB14" i="22" s="1"/>
  <c r="AC14" i="22" s="1"/>
  <c r="CX40" i="22"/>
  <c r="CX103" i="22"/>
  <c r="CX82" i="22"/>
  <c r="CX124" i="22"/>
  <c r="CX61" i="22"/>
  <c r="CO83" i="22"/>
  <c r="CO92" i="22"/>
  <c r="CO71" i="22" s="1"/>
  <c r="CO99" i="22"/>
  <c r="CO91" i="22"/>
  <c r="CO49" i="22" s="1"/>
  <c r="CO82" i="22"/>
  <c r="CO85" i="22"/>
  <c r="CO64" i="22" s="1"/>
  <c r="CO124" i="22"/>
  <c r="CO61" i="22"/>
  <c r="CO93" i="22"/>
  <c r="CO100" i="22"/>
  <c r="CO86" i="22"/>
  <c r="CO87" i="22"/>
  <c r="CO94" i="22"/>
  <c r="CO103" i="22"/>
  <c r="CO84" i="22"/>
  <c r="CO42" i="22" s="1"/>
  <c r="CO98" i="22"/>
  <c r="CP98" i="22" s="1"/>
  <c r="CO88" i="22"/>
  <c r="CO95" i="22"/>
  <c r="CO89" i="22"/>
  <c r="CO40" i="22"/>
  <c r="CO96" i="22"/>
  <c r="CO54" i="22" s="1"/>
  <c r="CO90" i="22"/>
  <c r="CO97" i="22"/>
  <c r="CV103" i="22"/>
  <c r="CV61" i="22"/>
  <c r="CV124" i="22"/>
  <c r="CV82" i="22"/>
  <c r="DC12" i="22"/>
  <c r="DB12" i="22"/>
  <c r="CP15" i="22"/>
  <c r="DA12" i="22"/>
  <c r="CM15" i="22"/>
  <c r="CX12" i="22"/>
  <c r="CO15" i="22"/>
  <c r="CZ12" i="22"/>
  <c r="CY12" i="22"/>
  <c r="K51" i="14"/>
  <c r="L51" i="14"/>
  <c r="O51" i="14"/>
  <c r="AF51" i="14"/>
  <c r="J52" i="12"/>
  <c r="U52" i="12" s="1"/>
  <c r="C96" i="18" s="1"/>
  <c r="S96" i="18" s="1"/>
  <c r="CO65" i="22"/>
  <c r="CO44" i="22"/>
  <c r="CP86" i="22"/>
  <c r="CO107" i="22"/>
  <c r="CO128" i="22" s="1"/>
  <c r="CP96" i="22"/>
  <c r="CJ12" i="22"/>
  <c r="CJ13" i="22" s="1"/>
  <c r="CO51" i="22"/>
  <c r="CO72" i="22"/>
  <c r="CO62" i="22"/>
  <c r="CF12" i="22"/>
  <c r="CF13" i="22" s="1"/>
  <c r="CE12" i="22"/>
  <c r="CE13" i="22" s="1"/>
  <c r="CO69" i="22"/>
  <c r="CO48" i="22"/>
  <c r="CO43" i="22"/>
  <c r="W14" i="22"/>
  <c r="AD14" i="22" s="1"/>
  <c r="AE14" i="22" s="1"/>
  <c r="AF14" i="22" s="1"/>
  <c r="AG14" i="22" s="1"/>
  <c r="AH14" i="22" s="1"/>
  <c r="X14" i="22"/>
  <c r="Y14" i="22"/>
  <c r="Z14" i="22"/>
  <c r="AA14" i="22"/>
  <c r="R14" i="22"/>
  <c r="S14" i="22" s="1"/>
  <c r="T14" i="22" s="1"/>
  <c r="U14" i="22" s="1"/>
  <c r="V14" i="22" s="1"/>
  <c r="CM12" i="22"/>
  <c r="CO45" i="22"/>
  <c r="CO66" i="22"/>
  <c r="CK12" i="22"/>
  <c r="CK13" i="22" s="1"/>
  <c r="BY12" i="22"/>
  <c r="BY13" i="22" s="1"/>
  <c r="BL12" i="22"/>
  <c r="BL13" i="22" s="1"/>
  <c r="AZ12" i="22"/>
  <c r="AZ13" i="22" s="1"/>
  <c r="CO73" i="22"/>
  <c r="CQ14" i="22"/>
  <c r="CK15" i="22"/>
  <c r="CV12" i="22"/>
  <c r="CO12" i="22"/>
  <c r="CP12" i="22"/>
  <c r="CQ12" i="22"/>
  <c r="CT12" i="22"/>
  <c r="CU12" i="22"/>
  <c r="CG12" i="22"/>
  <c r="CG13" i="22" s="1"/>
  <c r="CH12" i="22"/>
  <c r="CH13" i="22" s="1"/>
  <c r="CI12" i="22"/>
  <c r="CI13" i="22" s="1"/>
  <c r="BR12" i="22"/>
  <c r="BR13" i="22" s="1"/>
  <c r="BF12" i="22"/>
  <c r="BF13" i="22" s="1"/>
  <c r="AT12" i="22"/>
  <c r="AT13" i="22" s="1"/>
  <c r="CW12" i="22"/>
  <c r="CS12" i="22"/>
  <c r="CB15" i="22"/>
  <c r="CA15" i="22"/>
  <c r="BZ15" i="22"/>
  <c r="F85" i="18"/>
  <c r="E91" i="18"/>
  <c r="G85" i="18"/>
  <c r="F89" i="18" s="1"/>
  <c r="C85" i="18"/>
  <c r="B85" i="18"/>
  <c r="AT1003" i="21"/>
  <c r="AV1003" i="21" s="1"/>
  <c r="AT997" i="21"/>
  <c r="AV997" i="21" s="1"/>
  <c r="AT991" i="21"/>
  <c r="AV991" i="21" s="1"/>
  <c r="AT988" i="21"/>
  <c r="AV988" i="21" s="1"/>
  <c r="AY986" i="21"/>
  <c r="AZ986" i="21" s="1"/>
  <c r="AT985" i="21"/>
  <c r="AV985" i="21" s="1"/>
  <c r="AT982" i="21"/>
  <c r="AV982" i="21" s="1"/>
  <c r="AT979" i="21"/>
  <c r="AV979" i="21" s="1"/>
  <c r="AT976" i="21"/>
  <c r="AV976" i="21" s="1"/>
  <c r="AY974" i="21"/>
  <c r="AZ974" i="21" s="1"/>
  <c r="AT973" i="21"/>
  <c r="AV973" i="21" s="1"/>
  <c r="AY971" i="21"/>
  <c r="AZ971" i="21" s="1"/>
  <c r="AT970" i="21"/>
  <c r="AV970" i="21" s="1"/>
  <c r="AT964" i="21"/>
  <c r="AV964" i="21" s="1"/>
  <c r="AY962" i="21"/>
  <c r="AZ962" i="21" s="1"/>
  <c r="AY959" i="21"/>
  <c r="AZ959" i="21" s="1"/>
  <c r="AT952" i="21"/>
  <c r="AV952" i="21" s="1"/>
  <c r="AT949" i="21"/>
  <c r="AV949" i="21" s="1"/>
  <c r="AY947" i="21"/>
  <c r="AZ947" i="21" s="1"/>
  <c r="AT946" i="21"/>
  <c r="AV946" i="21" s="1"/>
  <c r="AY944" i="21"/>
  <c r="AZ944" i="21" s="1"/>
  <c r="AT943" i="21"/>
  <c r="AV943" i="21" s="1"/>
  <c r="AY938" i="21"/>
  <c r="AZ938" i="21" s="1"/>
  <c r="AT931" i="21"/>
  <c r="AV931" i="21" s="1"/>
  <c r="AT925" i="21"/>
  <c r="AV925" i="21" s="1"/>
  <c r="AY923" i="21"/>
  <c r="AZ923" i="21" s="1"/>
  <c r="AW1007" i="21"/>
  <c r="AX1007" i="21" s="1"/>
  <c r="AW1004" i="21"/>
  <c r="AX1004" i="21" s="1"/>
  <c r="AW1001" i="21"/>
  <c r="AX1001" i="21" s="1"/>
  <c r="AW998" i="21"/>
  <c r="AX998" i="21" s="1"/>
  <c r="AW995" i="21"/>
  <c r="AX995" i="21" s="1"/>
  <c r="AW992" i="21"/>
  <c r="AX992" i="21" s="1"/>
  <c r="AW989" i="21"/>
  <c r="AX989" i="21" s="1"/>
  <c r="AW983" i="21"/>
  <c r="AX983" i="21" s="1"/>
  <c r="AW980" i="21"/>
  <c r="AX980" i="21" s="1"/>
  <c r="AW977" i="21"/>
  <c r="AX977" i="21" s="1"/>
  <c r="AW968" i="21"/>
  <c r="AX968" i="21" s="1"/>
  <c r="AW965" i="21"/>
  <c r="AX965" i="21" s="1"/>
  <c r="AW956" i="21"/>
  <c r="AX956" i="21" s="1"/>
  <c r="AW953" i="21"/>
  <c r="AX953" i="21" s="1"/>
  <c r="AW950" i="21"/>
  <c r="AX950" i="21" s="1"/>
  <c r="AW941" i="21"/>
  <c r="AX941" i="21" s="1"/>
  <c r="AW935" i="21"/>
  <c r="AX935" i="21" s="1"/>
  <c r="AW932" i="21"/>
  <c r="AX932" i="21" s="1"/>
  <c r="AW929" i="21"/>
  <c r="AX929" i="21" s="1"/>
  <c r="AW926" i="21"/>
  <c r="AX926" i="21" s="1"/>
  <c r="Q84" i="18"/>
  <c r="AY996" i="21"/>
  <c r="AZ996" i="21" s="1"/>
  <c r="AY993" i="21"/>
  <c r="AZ993" i="21" s="1"/>
  <c r="AY990" i="21"/>
  <c r="AZ990" i="21" s="1"/>
  <c r="AY987" i="21"/>
  <c r="AZ987" i="21" s="1"/>
  <c r="AY984" i="21"/>
  <c r="AZ984" i="21" s="1"/>
  <c r="AY951" i="21"/>
  <c r="AZ951" i="21" s="1"/>
  <c r="M84" i="18"/>
  <c r="A91" i="18"/>
  <c r="I84" i="18"/>
  <c r="AW1005" i="21"/>
  <c r="AX1005" i="21" s="1"/>
  <c r="AW1002" i="21"/>
  <c r="AX1002" i="21" s="1"/>
  <c r="AW999" i="21"/>
  <c r="AX999" i="21" s="1"/>
  <c r="AW981" i="21"/>
  <c r="AX981" i="21" s="1"/>
  <c r="AW978" i="21"/>
  <c r="AX978" i="21" s="1"/>
  <c r="AW975" i="21"/>
  <c r="AX975" i="21" s="1"/>
  <c r="AW972" i="21"/>
  <c r="AX972" i="21" s="1"/>
  <c r="AW969" i="21"/>
  <c r="AX969" i="21" s="1"/>
  <c r="AW966" i="21"/>
  <c r="AX966" i="21" s="1"/>
  <c r="AW963" i="21"/>
  <c r="AX963" i="21" s="1"/>
  <c r="AW960" i="21"/>
  <c r="AX960" i="21" s="1"/>
  <c r="AW957" i="21"/>
  <c r="AX957" i="21" s="1"/>
  <c r="AW954" i="21"/>
  <c r="AX954" i="21" s="1"/>
  <c r="AW948" i="21"/>
  <c r="AX948" i="21" s="1"/>
  <c r="AW945" i="21"/>
  <c r="AX945" i="21" s="1"/>
  <c r="AW942" i="21"/>
  <c r="AX942" i="21" s="1"/>
  <c r="AW939" i="21"/>
  <c r="AX939" i="21" s="1"/>
  <c r="AW936" i="21"/>
  <c r="AX936" i="21" s="1"/>
  <c r="AW933" i="21"/>
  <c r="AX933" i="21" s="1"/>
  <c r="AW930" i="21"/>
  <c r="AX930" i="21" s="1"/>
  <c r="AW927" i="21"/>
  <c r="AX927" i="21" s="1"/>
  <c r="AW924" i="21"/>
  <c r="AX924" i="21" s="1"/>
  <c r="AY1006" i="21"/>
  <c r="AZ1006" i="21" s="1"/>
  <c r="AY1000" i="21"/>
  <c r="AZ1000" i="21" s="1"/>
  <c r="AY994" i="21"/>
  <c r="AZ994" i="21" s="1"/>
  <c r="AY967" i="21"/>
  <c r="AZ967" i="21" s="1"/>
  <c r="AY961" i="21"/>
  <c r="AZ961" i="21" s="1"/>
  <c r="AY958" i="21"/>
  <c r="AZ958" i="21" s="1"/>
  <c r="AY955" i="21"/>
  <c r="AZ955" i="21" s="1"/>
  <c r="AY940" i="21"/>
  <c r="AZ940" i="21" s="1"/>
  <c r="AY937" i="21"/>
  <c r="AZ937" i="21" s="1"/>
  <c r="AY934" i="21"/>
  <c r="AZ934" i="21" s="1"/>
  <c r="AY928" i="21"/>
  <c r="AZ928" i="21" s="1"/>
  <c r="AF50" i="14"/>
  <c r="AI50" i="14" s="1"/>
  <c r="K50" i="14"/>
  <c r="L50" i="14"/>
  <c r="J51" i="12"/>
  <c r="U51" i="12" s="1"/>
  <c r="C87" i="18" s="1"/>
  <c r="S87" i="18" s="1"/>
  <c r="CO50" i="22" l="1"/>
  <c r="CO119" i="22"/>
  <c r="CO140" i="22" s="1"/>
  <c r="CO56" i="22"/>
  <c r="CO53" i="22"/>
  <c r="CO74" i="22"/>
  <c r="CO116" i="22"/>
  <c r="CO137" i="22" s="1"/>
  <c r="CP95" i="22"/>
  <c r="CP85" i="22"/>
  <c r="CO106" i="22"/>
  <c r="CO127" i="22" s="1"/>
  <c r="CP88" i="22"/>
  <c r="CO109" i="22"/>
  <c r="CO130" i="22" s="1"/>
  <c r="CO110" i="22"/>
  <c r="CO131" i="22" s="1"/>
  <c r="CP89" i="22"/>
  <c r="CP84" i="22"/>
  <c r="CO105" i="22"/>
  <c r="CO126" i="22" s="1"/>
  <c r="CO57" i="22"/>
  <c r="CP99" i="22"/>
  <c r="CO78" i="22"/>
  <c r="CO120" i="22"/>
  <c r="CO141" i="22" s="1"/>
  <c r="DD65" i="22"/>
  <c r="DD86" i="22" s="1"/>
  <c r="DC65" i="22"/>
  <c r="DC86" i="22" s="1"/>
  <c r="DB65" i="22"/>
  <c r="DB86" i="22" s="1"/>
  <c r="DA65" i="22"/>
  <c r="CZ65" i="22"/>
  <c r="CP92" i="22"/>
  <c r="CO113" i="22"/>
  <c r="CO134" i="22" s="1"/>
  <c r="DD69" i="22"/>
  <c r="DC69" i="22"/>
  <c r="DB69" i="22"/>
  <c r="DA69" i="22"/>
  <c r="CZ69" i="22"/>
  <c r="CO112" i="22"/>
  <c r="CO133" i="22" s="1"/>
  <c r="CO52" i="22"/>
  <c r="CO115" i="22"/>
  <c r="CO136" i="22" s="1"/>
  <c r="CP94" i="22"/>
  <c r="CO104" i="22"/>
  <c r="CO125" i="22" s="1"/>
  <c r="CP83" i="22"/>
  <c r="DD64" i="22"/>
  <c r="DC64" i="22"/>
  <c r="DB64" i="22"/>
  <c r="DA64" i="22"/>
  <c r="CZ64" i="22"/>
  <c r="CO46" i="22"/>
  <c r="CP91" i="22"/>
  <c r="CP49" i="22" s="1"/>
  <c r="CP87" i="22"/>
  <c r="CO108" i="22"/>
  <c r="CO129" i="22" s="1"/>
  <c r="CQ87" i="22"/>
  <c r="CQ66" i="22" s="1"/>
  <c r="CO67" i="22"/>
  <c r="CO70" i="22"/>
  <c r="CO55" i="22"/>
  <c r="CO76" i="22"/>
  <c r="CO118" i="22"/>
  <c r="CO139" i="22" s="1"/>
  <c r="CP97" i="22"/>
  <c r="CQ97" i="22" s="1"/>
  <c r="CO111" i="22"/>
  <c r="CO132" i="22" s="1"/>
  <c r="CP90" i="22"/>
  <c r="CO58" i="22"/>
  <c r="CO79" i="22"/>
  <c r="CO121" i="22"/>
  <c r="CO142" i="22" s="1"/>
  <c r="CP100" i="22"/>
  <c r="DD72" i="22"/>
  <c r="DC72" i="22"/>
  <c r="DB72" i="22"/>
  <c r="DA72" i="22"/>
  <c r="CZ72" i="22"/>
  <c r="DD71" i="22"/>
  <c r="DD92" i="22" s="1"/>
  <c r="DC71" i="22"/>
  <c r="DC92" i="22" s="1"/>
  <c r="DB71" i="22"/>
  <c r="DB92" i="22" s="1"/>
  <c r="DA71" i="22"/>
  <c r="CZ71" i="22"/>
  <c r="DD62" i="22"/>
  <c r="CZ62" i="22"/>
  <c r="DC62" i="22"/>
  <c r="DB62" i="22"/>
  <c r="DA62" i="22"/>
  <c r="CO77" i="22"/>
  <c r="CO75" i="22"/>
  <c r="CO117" i="22"/>
  <c r="CO138" i="22" s="1"/>
  <c r="CP93" i="22"/>
  <c r="CO114" i="22"/>
  <c r="CO135" i="22" s="1"/>
  <c r="CO47" i="22"/>
  <c r="DD73" i="22"/>
  <c r="DC73" i="22"/>
  <c r="DB73" i="22"/>
  <c r="DA73" i="22"/>
  <c r="CZ73" i="22"/>
  <c r="CO63" i="22"/>
  <c r="CO68" i="22"/>
  <c r="DD66" i="22"/>
  <c r="DC66" i="22"/>
  <c r="DB66" i="22"/>
  <c r="DA66" i="22"/>
  <c r="CZ66" i="22"/>
  <c r="CO41" i="22"/>
  <c r="W51" i="14"/>
  <c r="K96" i="18" s="1"/>
  <c r="O96" i="18" s="1"/>
  <c r="AI51" i="14"/>
  <c r="AU51" i="14" s="1"/>
  <c r="G96" i="18" s="1"/>
  <c r="CQ45" i="22"/>
  <c r="CP65" i="22"/>
  <c r="CQ86" i="22"/>
  <c r="CP44" i="22"/>
  <c r="AI14" i="22"/>
  <c r="AJ14" i="22"/>
  <c r="AK14" i="22"/>
  <c r="AL14" i="22"/>
  <c r="AM14" i="22"/>
  <c r="AN14" i="22"/>
  <c r="CP54" i="22"/>
  <c r="CP75" i="22"/>
  <c r="CQ96" i="22"/>
  <c r="CP77" i="22"/>
  <c r="CP56" i="22"/>
  <c r="CQ98" i="22"/>
  <c r="CQ61" i="22"/>
  <c r="CQ82" i="22"/>
  <c r="CQ40" i="22"/>
  <c r="CQ99" i="22"/>
  <c r="CQ103" i="22"/>
  <c r="CQ124" i="22"/>
  <c r="CQ93" i="22"/>
  <c r="O85" i="18"/>
  <c r="M91" i="18"/>
  <c r="N85" i="18"/>
  <c r="S85" i="18"/>
  <c r="Q91" i="18"/>
  <c r="R85" i="18"/>
  <c r="B89" i="18"/>
  <c r="K7" i="19" s="1"/>
  <c r="K16" i="19"/>
  <c r="I91" i="18"/>
  <c r="J85" i="18"/>
  <c r="K85" i="18"/>
  <c r="J89" i="18" s="1"/>
  <c r="AU50" i="14"/>
  <c r="G87" i="18" s="1"/>
  <c r="W50" i="14"/>
  <c r="K87" i="18" s="1"/>
  <c r="O87" i="18" s="1"/>
  <c r="CQ91" i="22" l="1"/>
  <c r="CP70" i="22"/>
  <c r="CR87" i="22"/>
  <c r="CP63" i="22"/>
  <c r="CP42" i="22"/>
  <c r="CP41" i="22"/>
  <c r="CP62" i="22"/>
  <c r="CP46" i="22"/>
  <c r="CP67" i="22"/>
  <c r="CQ88" i="22"/>
  <c r="DD79" i="22"/>
  <c r="DC79" i="22"/>
  <c r="DB79" i="22"/>
  <c r="DA79" i="22"/>
  <c r="CZ79" i="22"/>
  <c r="CQ85" i="22"/>
  <c r="CP43" i="22"/>
  <c r="CP64" i="22"/>
  <c r="DD63" i="22"/>
  <c r="DC63" i="22"/>
  <c r="DB63" i="22"/>
  <c r="DA63" i="22"/>
  <c r="CZ63" i="22"/>
  <c r="CP68" i="22"/>
  <c r="CP47" i="22"/>
  <c r="CP52" i="22"/>
  <c r="CP73" i="22"/>
  <c r="CP69" i="22"/>
  <c r="CQ90" i="22"/>
  <c r="CP48" i="22"/>
  <c r="CP74" i="22"/>
  <c r="CQ95" i="22"/>
  <c r="CP53" i="22"/>
  <c r="CP71" i="22"/>
  <c r="CP50" i="22"/>
  <c r="CQ84" i="22"/>
  <c r="CQ42" i="22" s="1"/>
  <c r="DD78" i="22"/>
  <c r="DD99" i="22" s="1"/>
  <c r="DC78" i="22"/>
  <c r="DC99" i="22" s="1"/>
  <c r="DB78" i="22"/>
  <c r="DB99" i="22" s="1"/>
  <c r="DA78" i="22"/>
  <c r="CZ78" i="22"/>
  <c r="CP79" i="22"/>
  <c r="CP58" i="22"/>
  <c r="CQ94" i="22"/>
  <c r="CQ52" i="22" s="1"/>
  <c r="CP57" i="22"/>
  <c r="CP78" i="22"/>
  <c r="DD74" i="22"/>
  <c r="DC74" i="22"/>
  <c r="DB74" i="22"/>
  <c r="DA74" i="22"/>
  <c r="CZ74" i="22"/>
  <c r="DD70" i="22"/>
  <c r="DC70" i="22"/>
  <c r="DB70" i="22"/>
  <c r="DA70" i="22"/>
  <c r="CZ70" i="22"/>
  <c r="CQ89" i="22"/>
  <c r="CQ47" i="22" s="1"/>
  <c r="CP45" i="22"/>
  <c r="CP66" i="22"/>
  <c r="CP76" i="22"/>
  <c r="CP55" i="22"/>
  <c r="DD67" i="22"/>
  <c r="DC67" i="22"/>
  <c r="DB67" i="22"/>
  <c r="DA67" i="22"/>
  <c r="CZ67" i="22"/>
  <c r="CP51" i="22"/>
  <c r="CP72" i="22"/>
  <c r="CQ92" i="22"/>
  <c r="CQ71" i="22" s="1"/>
  <c r="DD75" i="22"/>
  <c r="DC75" i="22"/>
  <c r="DB75" i="22"/>
  <c r="DA75" i="22"/>
  <c r="CZ75" i="22"/>
  <c r="CQ83" i="22"/>
  <c r="CQ100" i="22"/>
  <c r="DD68" i="22"/>
  <c r="DC68" i="22"/>
  <c r="DB68" i="22"/>
  <c r="DA68" i="22"/>
  <c r="CZ68" i="22"/>
  <c r="DD77" i="22"/>
  <c r="DC77" i="22"/>
  <c r="DB77" i="22"/>
  <c r="DA77" i="22"/>
  <c r="CZ77" i="22"/>
  <c r="DD76" i="22"/>
  <c r="DC76" i="22"/>
  <c r="DB76" i="22"/>
  <c r="DA76" i="22"/>
  <c r="CZ76" i="22"/>
  <c r="CQ57" i="22"/>
  <c r="CQ78" i="22"/>
  <c r="CR99" i="22"/>
  <c r="CQ54" i="22"/>
  <c r="CQ75" i="22"/>
  <c r="CR96" i="22"/>
  <c r="CQ55" i="22"/>
  <c r="CQ76" i="22"/>
  <c r="CR97" i="22"/>
  <c r="CR66" i="22"/>
  <c r="CR45" i="22"/>
  <c r="CS87" i="22"/>
  <c r="CQ79" i="22"/>
  <c r="CQ58" i="22"/>
  <c r="CR100" i="22"/>
  <c r="CQ51" i="22"/>
  <c r="CR93" i="22"/>
  <c r="CQ72" i="22"/>
  <c r="AT14" i="22"/>
  <c r="AP14" i="22"/>
  <c r="AQ14" i="22"/>
  <c r="AR14" i="22"/>
  <c r="AO14" i="22"/>
  <c r="AS14" i="22"/>
  <c r="CQ41" i="22"/>
  <c r="CR83" i="22"/>
  <c r="CQ62" i="22"/>
  <c r="CQ65" i="22"/>
  <c r="CR86" i="22"/>
  <c r="CQ44" i="22"/>
  <c r="CQ49" i="22"/>
  <c r="CQ70" i="22"/>
  <c r="CR91" i="22"/>
  <c r="CQ68" i="22"/>
  <c r="CR89" i="22"/>
  <c r="CR98" i="22"/>
  <c r="CQ77" i="22"/>
  <c r="CQ56" i="22"/>
  <c r="K25" i="19"/>
  <c r="R89" i="18"/>
  <c r="K43" i="19" s="1"/>
  <c r="N89" i="18"/>
  <c r="CZ9" i="6"/>
  <c r="CZ8" i="6"/>
  <c r="DA14" i="6"/>
  <c r="DA13" i="6"/>
  <c r="DA2" i="6"/>
  <c r="AR832" i="21"/>
  <c r="AS832" i="21"/>
  <c r="AT832" i="21" s="1"/>
  <c r="AV832" i="21" s="1"/>
  <c r="AY832" i="21"/>
  <c r="AZ832" i="21" s="1"/>
  <c r="AR833" i="21"/>
  <c r="AS833" i="21"/>
  <c r="AW833" i="21" s="1"/>
  <c r="AX833" i="21" s="1"/>
  <c r="AT833" i="21"/>
  <c r="AV833" i="21" s="1"/>
  <c r="AR834" i="21"/>
  <c r="AS834" i="21"/>
  <c r="AT834" i="21" s="1"/>
  <c r="AV834" i="21" s="1"/>
  <c r="AY834" i="21"/>
  <c r="AZ834" i="21" s="1"/>
  <c r="AR835" i="21"/>
  <c r="AS835" i="21"/>
  <c r="AT835" i="21" s="1"/>
  <c r="AV835" i="21" s="1"/>
  <c r="AY835" i="21"/>
  <c r="AZ835" i="21" s="1"/>
  <c r="AR836" i="21"/>
  <c r="AS836" i="21"/>
  <c r="AT836" i="21" s="1"/>
  <c r="AV836" i="21" s="1"/>
  <c r="AY836" i="21"/>
  <c r="AZ836" i="21" s="1"/>
  <c r="AR837" i="21"/>
  <c r="AS837" i="21"/>
  <c r="AW837" i="21" s="1"/>
  <c r="AX837" i="21" s="1"/>
  <c r="AT837" i="21"/>
  <c r="AV837" i="21" s="1"/>
  <c r="AR838" i="21"/>
  <c r="AS838" i="21"/>
  <c r="AT838" i="21" s="1"/>
  <c r="AV838" i="21" s="1"/>
  <c r="AY838" i="21"/>
  <c r="AZ838" i="21" s="1"/>
  <c r="AR839" i="21"/>
  <c r="AS839" i="21"/>
  <c r="AW839" i="21" s="1"/>
  <c r="AX839" i="21" s="1"/>
  <c r="AT839" i="21"/>
  <c r="AV839" i="21" s="1"/>
  <c r="AR840" i="21"/>
  <c r="AS840" i="21"/>
  <c r="AW840" i="21" s="1"/>
  <c r="AX840" i="21" s="1"/>
  <c r="AT840" i="21"/>
  <c r="AV840" i="21" s="1"/>
  <c r="AR841" i="21"/>
  <c r="AS841" i="21"/>
  <c r="AT841" i="21" s="1"/>
  <c r="AV841" i="21" s="1"/>
  <c r="AY841" i="21"/>
  <c r="AZ841" i="21" s="1"/>
  <c r="AR842" i="21"/>
  <c r="AS842" i="21"/>
  <c r="AT842" i="21" s="1"/>
  <c r="AV842" i="21" s="1"/>
  <c r="AY842" i="21"/>
  <c r="AZ842" i="21" s="1"/>
  <c r="AR843" i="21"/>
  <c r="AS843" i="21"/>
  <c r="AW843" i="21" s="1"/>
  <c r="AX843" i="21" s="1"/>
  <c r="AT843" i="21"/>
  <c r="AV843" i="21" s="1"/>
  <c r="AR844" i="21"/>
  <c r="AS844" i="21"/>
  <c r="AT844" i="21" s="1"/>
  <c r="AV844" i="21" s="1"/>
  <c r="AY844" i="21"/>
  <c r="AZ844" i="21" s="1"/>
  <c r="AR845" i="21"/>
  <c r="AS845" i="21"/>
  <c r="AT845" i="21" s="1"/>
  <c r="AV845" i="21" s="1"/>
  <c r="AY845" i="21"/>
  <c r="AZ845" i="21" s="1"/>
  <c r="AR846" i="21"/>
  <c r="AS846" i="21"/>
  <c r="AW846" i="21" s="1"/>
  <c r="AX846" i="21" s="1"/>
  <c r="AT846" i="21"/>
  <c r="AV846" i="21" s="1"/>
  <c r="AR847" i="21"/>
  <c r="AS847" i="21"/>
  <c r="AT847" i="21" s="1"/>
  <c r="AV847" i="21" s="1"/>
  <c r="AY847" i="21"/>
  <c r="AZ847" i="21" s="1"/>
  <c r="AR848" i="21"/>
  <c r="AS848" i="21"/>
  <c r="AT848" i="21" s="1"/>
  <c r="AV848" i="21" s="1"/>
  <c r="AY848" i="21"/>
  <c r="AZ848" i="21" s="1"/>
  <c r="AR849" i="21"/>
  <c r="AS849" i="21"/>
  <c r="AW849" i="21" s="1"/>
  <c r="AX849" i="21" s="1"/>
  <c r="AT849" i="21"/>
  <c r="AV849" i="21" s="1"/>
  <c r="AR850" i="21"/>
  <c r="AS850" i="21"/>
  <c r="AW850" i="21" s="1"/>
  <c r="AX850" i="21" s="1"/>
  <c r="AT850" i="21"/>
  <c r="AV850" i="21" s="1"/>
  <c r="AR851" i="21"/>
  <c r="AS851" i="21"/>
  <c r="AT851" i="21" s="1"/>
  <c r="AV851" i="21" s="1"/>
  <c r="AY851" i="21"/>
  <c r="AZ851" i="21" s="1"/>
  <c r="AR852" i="21"/>
  <c r="AS852" i="21"/>
  <c r="AT852" i="21" s="1"/>
  <c r="AV852" i="21" s="1"/>
  <c r="AY852" i="21"/>
  <c r="AZ852" i="21" s="1"/>
  <c r="AR853" i="21"/>
  <c r="AS853" i="21"/>
  <c r="AT853" i="21" s="1"/>
  <c r="AV853" i="21" s="1"/>
  <c r="AY853" i="21"/>
  <c r="AZ853" i="21" s="1"/>
  <c r="AR854" i="21"/>
  <c r="AS854" i="21"/>
  <c r="AW854" i="21" s="1"/>
  <c r="AX854" i="21" s="1"/>
  <c r="AT854" i="21"/>
  <c r="AV854" i="21" s="1"/>
  <c r="AR855" i="21"/>
  <c r="AS855" i="21"/>
  <c r="AT855" i="21" s="1"/>
  <c r="AV855" i="21" s="1"/>
  <c r="AY855" i="21"/>
  <c r="AZ855" i="21" s="1"/>
  <c r="AR856" i="21"/>
  <c r="AS856" i="21"/>
  <c r="AT856" i="21" s="1"/>
  <c r="AV856" i="21" s="1"/>
  <c r="AY856" i="21"/>
  <c r="AZ856" i="21" s="1"/>
  <c r="AR857" i="21"/>
  <c r="AS857" i="21"/>
  <c r="AT857" i="21" s="1"/>
  <c r="AV857" i="21" s="1"/>
  <c r="AY857" i="21"/>
  <c r="AZ857" i="21" s="1"/>
  <c r="AR858" i="21"/>
  <c r="AS858" i="21"/>
  <c r="AW858" i="21" s="1"/>
  <c r="AX858" i="21" s="1"/>
  <c r="AT858" i="21"/>
  <c r="AV858" i="21" s="1"/>
  <c r="AR859" i="21"/>
  <c r="AS859" i="21"/>
  <c r="AT859" i="21" s="1"/>
  <c r="AV859" i="21" s="1"/>
  <c r="AY859" i="21"/>
  <c r="AZ859" i="21" s="1"/>
  <c r="AR860" i="21"/>
  <c r="AS860" i="21"/>
  <c r="AT860" i="21" s="1"/>
  <c r="AV860" i="21" s="1"/>
  <c r="AY860" i="21"/>
  <c r="AZ860" i="21" s="1"/>
  <c r="AR861" i="21"/>
  <c r="AS861" i="21"/>
  <c r="AT861" i="21" s="1"/>
  <c r="AV861" i="21" s="1"/>
  <c r="AY861" i="21"/>
  <c r="AZ861" i="21" s="1"/>
  <c r="AR862" i="21"/>
  <c r="AS862" i="21"/>
  <c r="AW862" i="21" s="1"/>
  <c r="AX862" i="21" s="1"/>
  <c r="AT862" i="21"/>
  <c r="AV862" i="21" s="1"/>
  <c r="AR863" i="21"/>
  <c r="AS863" i="21"/>
  <c r="AT863" i="21" s="1"/>
  <c r="AV863" i="21" s="1"/>
  <c r="AY863" i="21"/>
  <c r="AZ863" i="21" s="1"/>
  <c r="AR864" i="21"/>
  <c r="AS864" i="21"/>
  <c r="AT864" i="21" s="1"/>
  <c r="AV864" i="21" s="1"/>
  <c r="AY864" i="21"/>
  <c r="AZ864" i="21" s="1"/>
  <c r="AR865" i="21"/>
  <c r="AS865" i="21"/>
  <c r="AT865" i="21" s="1"/>
  <c r="AV865" i="21" s="1"/>
  <c r="AY865" i="21"/>
  <c r="AZ865" i="21" s="1"/>
  <c r="AR866" i="21"/>
  <c r="AS866" i="21"/>
  <c r="AT866" i="21" s="1"/>
  <c r="AV866" i="21" s="1"/>
  <c r="AY866" i="21"/>
  <c r="AZ866" i="21" s="1"/>
  <c r="AR867" i="21"/>
  <c r="AS867" i="21"/>
  <c r="AT867" i="21" s="1"/>
  <c r="AV867" i="21" s="1"/>
  <c r="AY867" i="21"/>
  <c r="AZ867" i="21" s="1"/>
  <c r="AR868" i="21"/>
  <c r="AS868" i="21"/>
  <c r="AT868" i="21" s="1"/>
  <c r="AV868" i="21" s="1"/>
  <c r="AY868" i="21"/>
  <c r="AZ868" i="21" s="1"/>
  <c r="AR869" i="21"/>
  <c r="AS869" i="21"/>
  <c r="AT869" i="21" s="1"/>
  <c r="AV869" i="21" s="1"/>
  <c r="AY869" i="21"/>
  <c r="AZ869" i="21" s="1"/>
  <c r="AR870" i="21"/>
  <c r="AS870" i="21"/>
  <c r="AT870" i="21" s="1"/>
  <c r="AV870" i="21" s="1"/>
  <c r="AY870" i="21"/>
  <c r="AZ870" i="21" s="1"/>
  <c r="AR871" i="21"/>
  <c r="AS871" i="21"/>
  <c r="AW871" i="21" s="1"/>
  <c r="AX871" i="21" s="1"/>
  <c r="AT871" i="21"/>
  <c r="AV871" i="21" s="1"/>
  <c r="AR872" i="21"/>
  <c r="AS872" i="21"/>
  <c r="AT872" i="21" s="1"/>
  <c r="AV872" i="21" s="1"/>
  <c r="AY872" i="21"/>
  <c r="AZ872" i="21" s="1"/>
  <c r="AR873" i="21"/>
  <c r="AS873" i="21"/>
  <c r="AW873" i="21" s="1"/>
  <c r="AX873" i="21" s="1"/>
  <c r="AT873" i="21"/>
  <c r="AV873" i="21" s="1"/>
  <c r="AR874" i="21"/>
  <c r="AS874" i="21"/>
  <c r="AT874" i="21" s="1"/>
  <c r="AV874" i="21" s="1"/>
  <c r="AY874" i="21"/>
  <c r="AZ874" i="21" s="1"/>
  <c r="AR875" i="21"/>
  <c r="AS875" i="21"/>
  <c r="AT875" i="21" s="1"/>
  <c r="AV875" i="21" s="1"/>
  <c r="AY875" i="21"/>
  <c r="AZ875" i="21" s="1"/>
  <c r="AR876" i="21"/>
  <c r="AS876" i="21"/>
  <c r="AT876" i="21" s="1"/>
  <c r="AV876" i="21" s="1"/>
  <c r="AY876" i="21"/>
  <c r="AZ876" i="21" s="1"/>
  <c r="AR877" i="21"/>
  <c r="AS877" i="21"/>
  <c r="AT877" i="21" s="1"/>
  <c r="AV877" i="21" s="1"/>
  <c r="AY877" i="21"/>
  <c r="AZ877" i="21" s="1"/>
  <c r="AR878" i="21"/>
  <c r="AS878" i="21"/>
  <c r="AT878" i="21" s="1"/>
  <c r="AV878" i="21" s="1"/>
  <c r="AY878" i="21"/>
  <c r="AZ878" i="21" s="1"/>
  <c r="AR879" i="21"/>
  <c r="AS879" i="21"/>
  <c r="AW879" i="21" s="1"/>
  <c r="AX879" i="21" s="1"/>
  <c r="AT879" i="21"/>
  <c r="AV879" i="21" s="1"/>
  <c r="AR880" i="21"/>
  <c r="AS880" i="21"/>
  <c r="AT880" i="21" s="1"/>
  <c r="AV880" i="21" s="1"/>
  <c r="AY880" i="21"/>
  <c r="AZ880" i="21" s="1"/>
  <c r="AR881" i="21"/>
  <c r="AS881" i="21"/>
  <c r="AT881" i="21" s="1"/>
  <c r="AV881" i="21" s="1"/>
  <c r="AY881" i="21"/>
  <c r="AZ881" i="21" s="1"/>
  <c r="AR882" i="21"/>
  <c r="AS882" i="21"/>
  <c r="AY882" i="21" s="1"/>
  <c r="AZ882" i="21" s="1"/>
  <c r="AT882" i="21"/>
  <c r="AV882" i="21" s="1"/>
  <c r="AR883" i="21"/>
  <c r="AS883" i="21"/>
  <c r="AT883" i="21" s="1"/>
  <c r="AV883" i="21" s="1"/>
  <c r="AY883" i="21"/>
  <c r="AZ883" i="21" s="1"/>
  <c r="AR884" i="21"/>
  <c r="AS884" i="21"/>
  <c r="AT884" i="21" s="1"/>
  <c r="AV884" i="21" s="1"/>
  <c r="AY884" i="21"/>
  <c r="AZ884" i="21" s="1"/>
  <c r="AR885" i="21"/>
  <c r="AS885" i="21"/>
  <c r="AT885" i="21" s="1"/>
  <c r="AV885" i="21" s="1"/>
  <c r="AY885" i="21"/>
  <c r="AZ885" i="21" s="1"/>
  <c r="AR886" i="21"/>
  <c r="AS886" i="21"/>
  <c r="AT886" i="21" s="1"/>
  <c r="AV886" i="21" s="1"/>
  <c r="AY886" i="21"/>
  <c r="AZ886" i="21" s="1"/>
  <c r="AR887" i="21"/>
  <c r="AS887" i="21"/>
  <c r="AY887" i="21" s="1"/>
  <c r="AZ887" i="21" s="1"/>
  <c r="AT887" i="21"/>
  <c r="AV887" i="21" s="1"/>
  <c r="AR888" i="21"/>
  <c r="AS888" i="21"/>
  <c r="AT888" i="21" s="1"/>
  <c r="AV888" i="21" s="1"/>
  <c r="AY888" i="21"/>
  <c r="AZ888" i="21" s="1"/>
  <c r="AR889" i="21"/>
  <c r="AS889" i="21"/>
  <c r="AW889" i="21" s="1"/>
  <c r="AX889" i="21" s="1"/>
  <c r="AT889" i="21"/>
  <c r="AV889" i="21" s="1"/>
  <c r="AR890" i="21"/>
  <c r="AS890" i="21"/>
  <c r="AT890" i="21" s="1"/>
  <c r="AV890" i="21" s="1"/>
  <c r="AY890" i="21"/>
  <c r="AZ890" i="21" s="1"/>
  <c r="AR891" i="21"/>
  <c r="AS891" i="21"/>
  <c r="AW891" i="21" s="1"/>
  <c r="AX891" i="21" s="1"/>
  <c r="AT891" i="21"/>
  <c r="AV891" i="21" s="1"/>
  <c r="AR892" i="21"/>
  <c r="AS892" i="21"/>
  <c r="AT892" i="21" s="1"/>
  <c r="AV892" i="21" s="1"/>
  <c r="AY892" i="21"/>
  <c r="AZ892" i="21" s="1"/>
  <c r="AR893" i="21"/>
  <c r="AS893" i="21"/>
  <c r="AT893" i="21" s="1"/>
  <c r="AV893" i="21" s="1"/>
  <c r="AY893" i="21"/>
  <c r="AZ893" i="21" s="1"/>
  <c r="AR894" i="21"/>
  <c r="AS894" i="21"/>
  <c r="AY894" i="21" s="1"/>
  <c r="AZ894" i="21" s="1"/>
  <c r="AT894" i="21"/>
  <c r="AV894" i="21" s="1"/>
  <c r="AR895" i="21"/>
  <c r="AS895" i="21"/>
  <c r="AT895" i="21" s="1"/>
  <c r="AV895" i="21" s="1"/>
  <c r="AY895" i="21"/>
  <c r="AZ895" i="21" s="1"/>
  <c r="AR896" i="21"/>
  <c r="AS896" i="21"/>
  <c r="AW896" i="21" s="1"/>
  <c r="AX896" i="21" s="1"/>
  <c r="AT896" i="21"/>
  <c r="AV896" i="21" s="1"/>
  <c r="AR897" i="21"/>
  <c r="AS897" i="21"/>
  <c r="AY897" i="21" s="1"/>
  <c r="AZ897" i="21" s="1"/>
  <c r="AT897" i="21"/>
  <c r="AV897" i="21" s="1"/>
  <c r="AR898" i="21"/>
  <c r="AS898" i="21"/>
  <c r="AT898" i="21" s="1"/>
  <c r="AV898" i="21" s="1"/>
  <c r="AY898" i="21"/>
  <c r="AZ898" i="21" s="1"/>
  <c r="AR899" i="21"/>
  <c r="AS899" i="21"/>
  <c r="AW899" i="21" s="1"/>
  <c r="AX899" i="21" s="1"/>
  <c r="AT899" i="21"/>
  <c r="AV899" i="21" s="1"/>
  <c r="AR900" i="21"/>
  <c r="AS900" i="21"/>
  <c r="AT900" i="21" s="1"/>
  <c r="AV900" i="21" s="1"/>
  <c r="AY900" i="21"/>
  <c r="AZ900" i="21" s="1"/>
  <c r="AR901" i="21"/>
  <c r="AS901" i="21"/>
  <c r="AT901" i="21" s="1"/>
  <c r="AV901" i="21" s="1"/>
  <c r="AY901" i="21"/>
  <c r="AZ901" i="21" s="1"/>
  <c r="AR902" i="21"/>
  <c r="AS902" i="21"/>
  <c r="AT902" i="21" s="1"/>
  <c r="AV902" i="21" s="1"/>
  <c r="AY902" i="21"/>
  <c r="AZ902" i="21" s="1"/>
  <c r="AR903" i="21"/>
  <c r="AS903" i="21"/>
  <c r="AY903" i="21" s="1"/>
  <c r="AZ903" i="21" s="1"/>
  <c r="AT903" i="21"/>
  <c r="AV903" i="21" s="1"/>
  <c r="AR904" i="21"/>
  <c r="AS904" i="21"/>
  <c r="AT904" i="21" s="1"/>
  <c r="AV904" i="21" s="1"/>
  <c r="AY904" i="21"/>
  <c r="AZ904" i="21" s="1"/>
  <c r="AR905" i="21"/>
  <c r="AS905" i="21"/>
  <c r="AT905" i="21" s="1"/>
  <c r="AV905" i="21" s="1"/>
  <c r="AY905" i="21"/>
  <c r="AZ905" i="21" s="1"/>
  <c r="AR906" i="21"/>
  <c r="AS906" i="21"/>
  <c r="AW906" i="21" s="1"/>
  <c r="AX906" i="21" s="1"/>
  <c r="AT906" i="21"/>
  <c r="AV906" i="21" s="1"/>
  <c r="AR907" i="21"/>
  <c r="AS907" i="21"/>
  <c r="AT907" i="21" s="1"/>
  <c r="AV907" i="21" s="1"/>
  <c r="AY907" i="21"/>
  <c r="AZ907" i="21" s="1"/>
  <c r="AR908" i="21"/>
  <c r="AS908" i="21"/>
  <c r="AT908" i="21" s="1"/>
  <c r="AV908" i="21" s="1"/>
  <c r="AY908" i="21"/>
  <c r="AZ908" i="21" s="1"/>
  <c r="AR909" i="21"/>
  <c r="AS909" i="21"/>
  <c r="AT909" i="21" s="1"/>
  <c r="AV909" i="21" s="1"/>
  <c r="AY909" i="21"/>
  <c r="AZ909" i="21" s="1"/>
  <c r="AR910" i="21"/>
  <c r="AS910" i="21"/>
  <c r="AT910" i="21" s="1"/>
  <c r="AV910" i="21" s="1"/>
  <c r="AY910" i="21"/>
  <c r="AZ910" i="21" s="1"/>
  <c r="AR911" i="21"/>
  <c r="AS911" i="21"/>
  <c r="AR912" i="21"/>
  <c r="AS912" i="21"/>
  <c r="AT912" i="21" s="1"/>
  <c r="AV912" i="21" s="1"/>
  <c r="AY912" i="21"/>
  <c r="AZ912" i="21" s="1"/>
  <c r="AR913" i="21"/>
  <c r="AS913" i="21"/>
  <c r="AW913" i="21" s="1"/>
  <c r="AX913" i="21" s="1"/>
  <c r="AT913" i="21"/>
  <c r="AV913" i="21" s="1"/>
  <c r="AR914" i="21"/>
  <c r="AS914" i="21"/>
  <c r="AW914" i="21" s="1"/>
  <c r="AX914" i="21" s="1"/>
  <c r="AT914" i="21"/>
  <c r="AV914" i="21" s="1"/>
  <c r="AR915" i="21"/>
  <c r="AS915" i="21"/>
  <c r="AT915" i="21" s="1"/>
  <c r="AV915" i="21" s="1"/>
  <c r="AY915" i="21"/>
  <c r="AZ915" i="21" s="1"/>
  <c r="AR916" i="21"/>
  <c r="AS916" i="21"/>
  <c r="AW916" i="21" s="1"/>
  <c r="AX916" i="21" s="1"/>
  <c r="AT916" i="21"/>
  <c r="AV916" i="21" s="1"/>
  <c r="AR917" i="21"/>
  <c r="AS917" i="21"/>
  <c r="AT917" i="21" s="1"/>
  <c r="AV917" i="21" s="1"/>
  <c r="AY917" i="21"/>
  <c r="AZ917" i="21" s="1"/>
  <c r="AR918" i="21"/>
  <c r="AS918" i="21"/>
  <c r="AW918" i="21" s="1"/>
  <c r="AX918" i="21" s="1"/>
  <c r="AT918" i="21"/>
  <c r="AV918" i="21" s="1"/>
  <c r="AR919" i="21"/>
  <c r="AS919" i="21"/>
  <c r="AT919" i="21" s="1"/>
  <c r="AV919" i="21" s="1"/>
  <c r="AY919" i="21"/>
  <c r="AZ919" i="21" s="1"/>
  <c r="AR920" i="21"/>
  <c r="AS920" i="21"/>
  <c r="AT920" i="21" s="1"/>
  <c r="AV920" i="21" s="1"/>
  <c r="AY920" i="21"/>
  <c r="AZ920" i="21" s="1"/>
  <c r="AR921" i="21"/>
  <c r="AS921" i="21"/>
  <c r="AT921" i="21" s="1"/>
  <c r="AV921" i="21" s="1"/>
  <c r="AY921" i="21"/>
  <c r="AZ921" i="21" s="1"/>
  <c r="AY831" i="21"/>
  <c r="AZ831" i="21" s="1"/>
  <c r="AS831" i="21"/>
  <c r="AW831" i="21" s="1"/>
  <c r="AX831" i="21" s="1"/>
  <c r="AR831" i="21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CQ73" i="22" l="1"/>
  <c r="CR84" i="22"/>
  <c r="CQ63" i="22"/>
  <c r="CQ46" i="22"/>
  <c r="CR88" i="22"/>
  <c r="CQ67" i="22"/>
  <c r="CR92" i="22"/>
  <c r="CR71" i="22" s="1"/>
  <c r="CQ50" i="22"/>
  <c r="CR94" i="22"/>
  <c r="CR52" i="22" s="1"/>
  <c r="CQ74" i="22"/>
  <c r="CQ53" i="22"/>
  <c r="CR95" i="22"/>
  <c r="CQ69" i="22"/>
  <c r="CR90" i="22"/>
  <c r="CQ48" i="22"/>
  <c r="CQ43" i="22"/>
  <c r="CQ64" i="22"/>
  <c r="CR85" i="22"/>
  <c r="CR44" i="22"/>
  <c r="CR65" i="22"/>
  <c r="CS86" i="22"/>
  <c r="CR76" i="22"/>
  <c r="CS97" i="22"/>
  <c r="CR55" i="22"/>
  <c r="CS93" i="22"/>
  <c r="CR51" i="22"/>
  <c r="CR72" i="22"/>
  <c r="CS83" i="22"/>
  <c r="CR41" i="22"/>
  <c r="CR62" i="22"/>
  <c r="CR58" i="22"/>
  <c r="CR79" i="22"/>
  <c r="CS100" i="22"/>
  <c r="CR42" i="22"/>
  <c r="CR63" i="22"/>
  <c r="CS84" i="22"/>
  <c r="CR70" i="22"/>
  <c r="CS91" i="22"/>
  <c r="CR49" i="22"/>
  <c r="CR56" i="22"/>
  <c r="CS98" i="22"/>
  <c r="CR77" i="22"/>
  <c r="CS66" i="22"/>
  <c r="CS45" i="22"/>
  <c r="CT87" i="22"/>
  <c r="CR54" i="22"/>
  <c r="CR75" i="22"/>
  <c r="CS96" i="22"/>
  <c r="CR78" i="22"/>
  <c r="CR57" i="22"/>
  <c r="CS99" i="22"/>
  <c r="CZ10" i="6"/>
  <c r="DA11" i="6" s="1"/>
  <c r="CR47" i="22"/>
  <c r="CR68" i="22"/>
  <c r="CS89" i="22"/>
  <c r="AU14" i="22"/>
  <c r="AV14" i="22"/>
  <c r="AW14" i="22"/>
  <c r="AX14" i="22"/>
  <c r="AY14" i="22"/>
  <c r="AZ14" i="22"/>
  <c r="K34" i="19"/>
  <c r="AY899" i="21"/>
  <c r="AZ899" i="21" s="1"/>
  <c r="AY891" i="21"/>
  <c r="AZ891" i="21" s="1"/>
  <c r="AY889" i="21"/>
  <c r="AZ889" i="21" s="1"/>
  <c r="AY879" i="21"/>
  <c r="AZ879" i="21" s="1"/>
  <c r="AY873" i="21"/>
  <c r="AZ873" i="21" s="1"/>
  <c r="AY871" i="21"/>
  <c r="AZ871" i="21" s="1"/>
  <c r="AY849" i="21"/>
  <c r="AZ849" i="21" s="1"/>
  <c r="AY843" i="21"/>
  <c r="AZ843" i="21" s="1"/>
  <c r="AY839" i="21"/>
  <c r="AZ839" i="21" s="1"/>
  <c r="AY837" i="21"/>
  <c r="AZ837" i="21" s="1"/>
  <c r="AY833" i="21"/>
  <c r="AZ833" i="21" s="1"/>
  <c r="AY913" i="21"/>
  <c r="AZ913" i="21" s="1"/>
  <c r="AW921" i="21"/>
  <c r="AX921" i="21" s="1"/>
  <c r="AW919" i="21"/>
  <c r="AX919" i="21" s="1"/>
  <c r="AW917" i="21"/>
  <c r="AX917" i="21" s="1"/>
  <c r="AW915" i="21"/>
  <c r="AX915" i="21" s="1"/>
  <c r="AW909" i="21"/>
  <c r="AX909" i="21" s="1"/>
  <c r="AW907" i="21"/>
  <c r="AX907" i="21" s="1"/>
  <c r="AW905" i="21"/>
  <c r="AX905" i="21" s="1"/>
  <c r="AW903" i="21"/>
  <c r="AX903" i="21" s="1"/>
  <c r="AW901" i="21"/>
  <c r="AX901" i="21" s="1"/>
  <c r="AW897" i="21"/>
  <c r="AX897" i="21" s="1"/>
  <c r="AW895" i="21"/>
  <c r="AX895" i="21" s="1"/>
  <c r="AW893" i="21"/>
  <c r="AX893" i="21" s="1"/>
  <c r="AW887" i="21"/>
  <c r="AX887" i="21" s="1"/>
  <c r="AW885" i="21"/>
  <c r="AX885" i="21" s="1"/>
  <c r="AW883" i="21"/>
  <c r="AX883" i="21" s="1"/>
  <c r="AW881" i="21"/>
  <c r="AX881" i="21" s="1"/>
  <c r="AW877" i="21"/>
  <c r="AX877" i="21" s="1"/>
  <c r="AW875" i="21"/>
  <c r="AX875" i="21" s="1"/>
  <c r="AW869" i="21"/>
  <c r="AX869" i="21" s="1"/>
  <c r="AW867" i="21"/>
  <c r="AX867" i="21" s="1"/>
  <c r="AW865" i="21"/>
  <c r="AX865" i="21" s="1"/>
  <c r="AW863" i="21"/>
  <c r="AX863" i="21" s="1"/>
  <c r="AW861" i="21"/>
  <c r="AX861" i="21" s="1"/>
  <c r="AW859" i="21"/>
  <c r="AX859" i="21" s="1"/>
  <c r="AW857" i="21"/>
  <c r="AX857" i="21" s="1"/>
  <c r="AW855" i="21"/>
  <c r="AX855" i="21" s="1"/>
  <c r="AW853" i="21"/>
  <c r="AX853" i="21" s="1"/>
  <c r="AW851" i="21"/>
  <c r="AX851" i="21" s="1"/>
  <c r="AW847" i="21"/>
  <c r="AX847" i="21" s="1"/>
  <c r="AW845" i="21"/>
  <c r="AX845" i="21" s="1"/>
  <c r="AW841" i="21"/>
  <c r="AX841" i="21" s="1"/>
  <c r="AW835" i="21"/>
  <c r="AX835" i="21" s="1"/>
  <c r="AY914" i="21"/>
  <c r="AZ914" i="21" s="1"/>
  <c r="AY896" i="21"/>
  <c r="AZ896" i="21" s="1"/>
  <c r="AY858" i="21"/>
  <c r="AZ858" i="21" s="1"/>
  <c r="AY854" i="21"/>
  <c r="AZ854" i="21" s="1"/>
  <c r="AY850" i="21"/>
  <c r="AZ850" i="21" s="1"/>
  <c r="AY846" i="21"/>
  <c r="AZ846" i="21" s="1"/>
  <c r="AY840" i="21"/>
  <c r="AZ840" i="21" s="1"/>
  <c r="AY918" i="21"/>
  <c r="AZ918" i="21" s="1"/>
  <c r="AY862" i="21"/>
  <c r="AZ862" i="21" s="1"/>
  <c r="AY916" i="21"/>
  <c r="AZ916" i="21" s="1"/>
  <c r="AY906" i="21"/>
  <c r="AZ906" i="21" s="1"/>
  <c r="AW920" i="21"/>
  <c r="AX920" i="21" s="1"/>
  <c r="AW912" i="21"/>
  <c r="AX912" i="21" s="1"/>
  <c r="AW910" i="21"/>
  <c r="AX910" i="21" s="1"/>
  <c r="AW908" i="21"/>
  <c r="AX908" i="21" s="1"/>
  <c r="AW904" i="21"/>
  <c r="AX904" i="21" s="1"/>
  <c r="AW902" i="21"/>
  <c r="AX902" i="21" s="1"/>
  <c r="AW900" i="21"/>
  <c r="AX900" i="21" s="1"/>
  <c r="AW898" i="21"/>
  <c r="AX898" i="21" s="1"/>
  <c r="AW894" i="21"/>
  <c r="AX894" i="21" s="1"/>
  <c r="AW892" i="21"/>
  <c r="AX892" i="21" s="1"/>
  <c r="AW890" i="21"/>
  <c r="AX890" i="21" s="1"/>
  <c r="AW888" i="21"/>
  <c r="AX888" i="21" s="1"/>
  <c r="AW886" i="21"/>
  <c r="AX886" i="21" s="1"/>
  <c r="AW884" i="21"/>
  <c r="AX884" i="21" s="1"/>
  <c r="AW882" i="21"/>
  <c r="AX882" i="21" s="1"/>
  <c r="AW880" i="21"/>
  <c r="AX880" i="21" s="1"/>
  <c r="AW878" i="21"/>
  <c r="AX878" i="21" s="1"/>
  <c r="AW876" i="21"/>
  <c r="AX876" i="21" s="1"/>
  <c r="AW874" i="21"/>
  <c r="AX874" i="21" s="1"/>
  <c r="AW872" i="21"/>
  <c r="AX872" i="21" s="1"/>
  <c r="AW870" i="21"/>
  <c r="AX870" i="21" s="1"/>
  <c r="AW868" i="21"/>
  <c r="AX868" i="21" s="1"/>
  <c r="AW866" i="21"/>
  <c r="AX866" i="21" s="1"/>
  <c r="AW864" i="21"/>
  <c r="AX864" i="21" s="1"/>
  <c r="AW860" i="21"/>
  <c r="AX860" i="21" s="1"/>
  <c r="AW856" i="21"/>
  <c r="AX856" i="21" s="1"/>
  <c r="AW852" i="21"/>
  <c r="AX852" i="21" s="1"/>
  <c r="AW848" i="21"/>
  <c r="AX848" i="21" s="1"/>
  <c r="AW844" i="21"/>
  <c r="AX844" i="21" s="1"/>
  <c r="AW842" i="21"/>
  <c r="AX842" i="21" s="1"/>
  <c r="AW838" i="21"/>
  <c r="AX838" i="21" s="1"/>
  <c r="AW836" i="21"/>
  <c r="AX836" i="21" s="1"/>
  <c r="AW834" i="21"/>
  <c r="AX834" i="21" s="1"/>
  <c r="AW832" i="21"/>
  <c r="AX832" i="21" s="1"/>
  <c r="AT831" i="21"/>
  <c r="AV831" i="21" s="1"/>
  <c r="CR50" i="22" l="1"/>
  <c r="CR64" i="22"/>
  <c r="CS85" i="22"/>
  <c r="CR43" i="22"/>
  <c r="CR48" i="22"/>
  <c r="CR69" i="22"/>
  <c r="CS90" i="22"/>
  <c r="CR46" i="22"/>
  <c r="CR67" i="22"/>
  <c r="CS88" i="22"/>
  <c r="CS94" i="22"/>
  <c r="CS73" i="22" s="1"/>
  <c r="CR73" i="22"/>
  <c r="CS95" i="22"/>
  <c r="CR74" i="22"/>
  <c r="CR53" i="22"/>
  <c r="CS92" i="22"/>
  <c r="CT92" i="22" s="1"/>
  <c r="CS42" i="22"/>
  <c r="CS63" i="22"/>
  <c r="CT84" i="22"/>
  <c r="CT93" i="22"/>
  <c r="CS72" i="22"/>
  <c r="CS51" i="22"/>
  <c r="CS50" i="22"/>
  <c r="CS71" i="22"/>
  <c r="CS70" i="22"/>
  <c r="CT91" i="22"/>
  <c r="CS49" i="22"/>
  <c r="CS62" i="22"/>
  <c r="CT83" i="22"/>
  <c r="CS41" i="22"/>
  <c r="CS78" i="22"/>
  <c r="CS57" i="22"/>
  <c r="CT99" i="22"/>
  <c r="CS54" i="22"/>
  <c r="CS75" i="22"/>
  <c r="CT96" i="22"/>
  <c r="CT66" i="22"/>
  <c r="CT45" i="22"/>
  <c r="CU87" i="22"/>
  <c r="CZ13" i="6"/>
  <c r="BF14" i="22"/>
  <c r="BB14" i="22"/>
  <c r="BC14" i="22"/>
  <c r="BD14" i="22"/>
  <c r="BA14" i="22"/>
  <c r="BE14" i="22"/>
  <c r="CS55" i="22"/>
  <c r="CS76" i="22"/>
  <c r="CT97" i="22"/>
  <c r="CS58" i="22"/>
  <c r="CT100" i="22"/>
  <c r="CS79" i="22"/>
  <c r="CS44" i="22"/>
  <c r="CS65" i="22"/>
  <c r="CT86" i="22"/>
  <c r="CS56" i="22"/>
  <c r="CT98" i="22"/>
  <c r="CS77" i="22"/>
  <c r="CS68" i="22"/>
  <c r="CT89" i="22"/>
  <c r="CS47" i="22"/>
  <c r="R78" i="18"/>
  <c r="N78" i="18"/>
  <c r="F78" i="18"/>
  <c r="A75" i="18"/>
  <c r="G50" i="12"/>
  <c r="CT88" i="22" l="1"/>
  <c r="CS46" i="22"/>
  <c r="CS67" i="22"/>
  <c r="CS69" i="22"/>
  <c r="CT90" i="22"/>
  <c r="CS48" i="22"/>
  <c r="CS52" i="22"/>
  <c r="CS64" i="22"/>
  <c r="CT85" i="22"/>
  <c r="CS43" i="22"/>
  <c r="CS53" i="22"/>
  <c r="CS74" i="22"/>
  <c r="CT95" i="22"/>
  <c r="CT94" i="22"/>
  <c r="CT73" i="22" s="1"/>
  <c r="CT62" i="22"/>
  <c r="CT41" i="22"/>
  <c r="CU83" i="22"/>
  <c r="CU62" i="22" s="1"/>
  <c r="CT55" i="22"/>
  <c r="CT76" i="22"/>
  <c r="CU97" i="22"/>
  <c r="CT44" i="22"/>
  <c r="CT65" i="22"/>
  <c r="CU86" i="22"/>
  <c r="CV86" i="22" s="1"/>
  <c r="BG14" i="22"/>
  <c r="BH14" i="22"/>
  <c r="BI14" i="22"/>
  <c r="BJ14" i="22"/>
  <c r="BK14" i="22"/>
  <c r="BL14" i="22"/>
  <c r="CT57" i="22"/>
  <c r="CT78" i="22"/>
  <c r="CU99" i="22"/>
  <c r="CT68" i="22"/>
  <c r="CT47" i="22"/>
  <c r="CU89" i="22"/>
  <c r="CT54" i="22"/>
  <c r="CT75" i="22"/>
  <c r="CU96" i="22"/>
  <c r="CT42" i="22"/>
  <c r="CU84" i="22"/>
  <c r="CT63" i="22"/>
  <c r="CT50" i="22"/>
  <c r="CT71" i="22"/>
  <c r="CU92" i="22"/>
  <c r="CT70" i="22"/>
  <c r="CT49" i="22"/>
  <c r="CU91" i="22"/>
  <c r="CT72" i="22"/>
  <c r="CT51" i="22"/>
  <c r="CU93" i="22"/>
  <c r="CT52" i="22"/>
  <c r="CU94" i="22"/>
  <c r="CU66" i="22"/>
  <c r="CU45" i="22"/>
  <c r="CV87" i="22"/>
  <c r="CT58" i="22"/>
  <c r="CU100" i="22"/>
  <c r="CT79" i="22"/>
  <c r="CT56" i="22"/>
  <c r="CU98" i="22"/>
  <c r="CT77" i="22"/>
  <c r="A82" i="18"/>
  <c r="C76" i="18"/>
  <c r="B76" i="18"/>
  <c r="Q75" i="18"/>
  <c r="M75" i="18"/>
  <c r="I75" i="18"/>
  <c r="E75" i="18"/>
  <c r="I50" i="12"/>
  <c r="J50" i="12"/>
  <c r="AB49" i="14"/>
  <c r="AF49" i="14" s="1"/>
  <c r="X49" i="14"/>
  <c r="Y49" i="14" s="1"/>
  <c r="G49" i="14"/>
  <c r="K49" i="14" s="1"/>
  <c r="B49" i="14"/>
  <c r="AA49" i="14" s="1"/>
  <c r="CY41" i="6"/>
  <c r="CX41" i="6"/>
  <c r="CW41" i="6"/>
  <c r="CV41" i="6"/>
  <c r="CU41" i="6"/>
  <c r="CT41" i="6"/>
  <c r="CS41" i="6"/>
  <c r="CS48" i="6" s="1"/>
  <c r="CS18" i="6"/>
  <c r="CZ34" i="6"/>
  <c r="CY9" i="6"/>
  <c r="CY8" i="6"/>
  <c r="R69" i="18"/>
  <c r="N69" i="18"/>
  <c r="J69" i="18"/>
  <c r="F69" i="18"/>
  <c r="AQ4" i="20"/>
  <c r="AR4" i="20"/>
  <c r="AS4" i="20"/>
  <c r="AT4" i="20"/>
  <c r="B69" i="18"/>
  <c r="C70" i="18"/>
  <c r="A66" i="18"/>
  <c r="E66" i="18" s="1"/>
  <c r="N19" i="19"/>
  <c r="N28" i="19" s="1"/>
  <c r="N37" i="19" s="1"/>
  <c r="O11" i="19"/>
  <c r="O20" i="19" s="1"/>
  <c r="O29" i="19" s="1"/>
  <c r="O38" i="19" s="1"/>
  <c r="N11" i="19"/>
  <c r="N20" i="19" s="1"/>
  <c r="N29" i="19" s="1"/>
  <c r="N38" i="19" s="1"/>
  <c r="M11" i="19"/>
  <c r="M20" i="19" s="1"/>
  <c r="M29" i="19" s="1"/>
  <c r="M38" i="19" s="1"/>
  <c r="O10" i="19"/>
  <c r="O19" i="19" s="1"/>
  <c r="O28" i="19" s="1"/>
  <c r="O37" i="19" s="1"/>
  <c r="N10" i="19"/>
  <c r="M10" i="19"/>
  <c r="M19" i="19" s="1"/>
  <c r="M28" i="19" s="1"/>
  <c r="M37" i="19" s="1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T64" i="22" l="1"/>
  <c r="CT43" i="22"/>
  <c r="CU85" i="22"/>
  <c r="CT48" i="22"/>
  <c r="CU90" i="22"/>
  <c r="CT69" i="22"/>
  <c r="CT74" i="22"/>
  <c r="CT53" i="22"/>
  <c r="CU95" i="22"/>
  <c r="CT46" i="22"/>
  <c r="CU88" i="22"/>
  <c r="CT67" i="22"/>
  <c r="CU44" i="22"/>
  <c r="CU65" i="22"/>
  <c r="CU50" i="22"/>
  <c r="CU71" i="22"/>
  <c r="CV92" i="22"/>
  <c r="CU54" i="22"/>
  <c r="CU75" i="22"/>
  <c r="CV96" i="22"/>
  <c r="CU68" i="22"/>
  <c r="CU47" i="22"/>
  <c r="CV89" i="22"/>
  <c r="BR14" i="22"/>
  <c r="BN14" i="22"/>
  <c r="BO14" i="22"/>
  <c r="BP14" i="22"/>
  <c r="BM14" i="22"/>
  <c r="BQ14" i="22"/>
  <c r="CU72" i="22"/>
  <c r="CU51" i="22"/>
  <c r="CV93" i="22"/>
  <c r="CU58" i="22"/>
  <c r="CU79" i="22"/>
  <c r="CV100" i="22"/>
  <c r="CV66" i="22"/>
  <c r="CY66" i="22" s="1"/>
  <c r="CV45" i="22"/>
  <c r="CY45" i="22" s="1"/>
  <c r="CU55" i="22"/>
  <c r="CU76" i="22"/>
  <c r="CV97" i="22"/>
  <c r="CU56" i="22"/>
  <c r="CU77" i="22"/>
  <c r="CV98" i="22"/>
  <c r="CU42" i="22"/>
  <c r="CU63" i="22"/>
  <c r="CV84" i="22"/>
  <c r="CU41" i="22"/>
  <c r="CV83" i="22"/>
  <c r="CU70" i="22"/>
  <c r="CU49" i="22"/>
  <c r="CV91" i="22"/>
  <c r="CU57" i="22"/>
  <c r="CU78" i="22"/>
  <c r="CV99" i="22"/>
  <c r="CU52" i="22"/>
  <c r="CU73" i="22"/>
  <c r="CV94" i="22"/>
  <c r="CV52" i="22" s="1"/>
  <c r="CY52" i="22" s="1"/>
  <c r="E82" i="18"/>
  <c r="G76" i="18"/>
  <c r="F76" i="18"/>
  <c r="I82" i="18"/>
  <c r="K76" i="18"/>
  <c r="J76" i="18"/>
  <c r="M82" i="18"/>
  <c r="O76" i="18"/>
  <c r="N76" i="18"/>
  <c r="Q82" i="18"/>
  <c r="S76" i="18"/>
  <c r="R76" i="18"/>
  <c r="B80" i="18"/>
  <c r="J7" i="19" s="1"/>
  <c r="U50" i="12"/>
  <c r="C78" i="18" s="1"/>
  <c r="S78" i="18" s="1"/>
  <c r="L49" i="14"/>
  <c r="O49" i="14"/>
  <c r="AI49" i="14"/>
  <c r="AU49" i="14" s="1"/>
  <c r="G78" i="18" s="1"/>
  <c r="CY10" i="6"/>
  <c r="G67" i="18"/>
  <c r="F67" i="18"/>
  <c r="E73" i="18"/>
  <c r="I66" i="18"/>
  <c r="A73" i="18"/>
  <c r="M66" i="18"/>
  <c r="Q66" i="18"/>
  <c r="B67" i="18"/>
  <c r="C67" i="18"/>
  <c r="CV88" i="22" l="1"/>
  <c r="CU46" i="22"/>
  <c r="CU67" i="22"/>
  <c r="CV90" i="22"/>
  <c r="CU69" i="22"/>
  <c r="CU48" i="22"/>
  <c r="CU64" i="22"/>
  <c r="CU43" i="22"/>
  <c r="CV85" i="22"/>
  <c r="CZ52" i="22"/>
  <c r="CU53" i="22"/>
  <c r="CU74" i="22"/>
  <c r="CV95" i="22"/>
  <c r="CZ45" i="22"/>
  <c r="CY87" i="22"/>
  <c r="CV54" i="22"/>
  <c r="CV75" i="22"/>
  <c r="CV58" i="22"/>
  <c r="CY58" i="22" s="1"/>
  <c r="CV79" i="22"/>
  <c r="CY79" i="22" s="1"/>
  <c r="CV70" i="22"/>
  <c r="CY70" i="22" s="1"/>
  <c r="CV49" i="22"/>
  <c r="CY49" i="22" s="1"/>
  <c r="CY90" i="22"/>
  <c r="CZ90" i="22" s="1"/>
  <c r="DA90" i="22" s="1"/>
  <c r="CV42" i="22"/>
  <c r="CY42" i="22" s="1"/>
  <c r="CV63" i="22"/>
  <c r="CY63" i="22" s="1"/>
  <c r="CV44" i="22"/>
  <c r="CV65" i="22"/>
  <c r="CV56" i="22"/>
  <c r="CY56" i="22" s="1"/>
  <c r="CV77" i="22"/>
  <c r="CY77" i="22" s="1"/>
  <c r="CV62" i="22"/>
  <c r="CY62" i="22" s="1"/>
  <c r="CV41" i="22"/>
  <c r="CY41" i="22" s="1"/>
  <c r="CV50" i="22"/>
  <c r="CV71" i="22"/>
  <c r="BT14" i="22"/>
  <c r="BU14" i="22"/>
  <c r="BV14" i="22"/>
  <c r="BW14" i="22"/>
  <c r="BX14" i="22"/>
  <c r="BY14" i="22"/>
  <c r="CV78" i="22"/>
  <c r="CV57" i="22"/>
  <c r="CV76" i="22"/>
  <c r="CY76" i="22" s="1"/>
  <c r="CV55" i="22"/>
  <c r="CY55" i="22" s="1"/>
  <c r="CV68" i="22"/>
  <c r="CY68" i="22" s="1"/>
  <c r="CV47" i="22"/>
  <c r="CY47" i="22" s="1"/>
  <c r="CV73" i="22"/>
  <c r="CY73" i="22" s="1"/>
  <c r="CY94" i="22" s="1"/>
  <c r="CV72" i="22"/>
  <c r="CY72" i="22" s="1"/>
  <c r="CV51" i="22"/>
  <c r="CY51" i="22" s="1"/>
  <c r="R80" i="18"/>
  <c r="J43" i="19" s="1"/>
  <c r="N80" i="18"/>
  <c r="J34" i="19" s="1"/>
  <c r="J80" i="18"/>
  <c r="J25" i="19" s="1"/>
  <c r="F80" i="18"/>
  <c r="J16" i="19" s="1"/>
  <c r="W49" i="14"/>
  <c r="K78" i="18" s="1"/>
  <c r="O78" i="18" s="1"/>
  <c r="O67" i="18"/>
  <c r="N67" i="18"/>
  <c r="M73" i="18"/>
  <c r="K67" i="18"/>
  <c r="J67" i="18"/>
  <c r="I73" i="18"/>
  <c r="Q73" i="18"/>
  <c r="R67" i="18"/>
  <c r="S67" i="18"/>
  <c r="CZ42" i="22" l="1"/>
  <c r="CY84" i="22"/>
  <c r="CZ94" i="22"/>
  <c r="DA52" i="22"/>
  <c r="CZ55" i="22"/>
  <c r="CY97" i="22"/>
  <c r="DA45" i="22"/>
  <c r="CZ87" i="22"/>
  <c r="CZ51" i="22"/>
  <c r="CY93" i="22"/>
  <c r="CZ49" i="22"/>
  <c r="CY91" i="22"/>
  <c r="CV64" i="22"/>
  <c r="CY64" i="22" s="1"/>
  <c r="CV43" i="22"/>
  <c r="CY43" i="22" s="1"/>
  <c r="CZ41" i="22"/>
  <c r="CY83" i="22"/>
  <c r="CZ56" i="22"/>
  <c r="CY98" i="22"/>
  <c r="CV48" i="22"/>
  <c r="CV69" i="22"/>
  <c r="CV74" i="22"/>
  <c r="CY74" i="22" s="1"/>
  <c r="CV53" i="22"/>
  <c r="CY53" i="22" s="1"/>
  <c r="CZ47" i="22"/>
  <c r="CY89" i="22"/>
  <c r="CZ58" i="22"/>
  <c r="CY100" i="22"/>
  <c r="CV46" i="22"/>
  <c r="CY46" i="22" s="1"/>
  <c r="CV67" i="22"/>
  <c r="CY67" i="22" s="1"/>
  <c r="CY48" i="22"/>
  <c r="CZ48" i="22" s="1"/>
  <c r="DA48" i="22" s="1"/>
  <c r="DB48" i="22" s="1"/>
  <c r="CY69" i="22"/>
  <c r="BT40" i="22"/>
  <c r="BT100" i="22"/>
  <c r="BT83" i="22"/>
  <c r="BT93" i="22"/>
  <c r="BT98" i="22"/>
  <c r="BT86" i="22"/>
  <c r="BT91" i="22"/>
  <c r="BT96" i="22"/>
  <c r="BT89" i="22"/>
  <c r="BT82" i="22"/>
  <c r="BT87" i="22"/>
  <c r="BT92" i="22"/>
  <c r="BT97" i="22"/>
  <c r="BT85" i="22"/>
  <c r="BT124" i="22"/>
  <c r="BT99" i="22"/>
  <c r="BT61" i="22"/>
  <c r="BT103" i="22"/>
  <c r="BT90" i="22"/>
  <c r="BT95" i="22"/>
  <c r="BW40" i="22"/>
  <c r="BW61" i="22"/>
  <c r="BW82" i="22"/>
  <c r="BW87" i="22"/>
  <c r="BW92" i="22"/>
  <c r="BW97" i="22"/>
  <c r="BW85" i="22"/>
  <c r="BW90" i="22"/>
  <c r="BW95" i="22"/>
  <c r="BW100" i="22"/>
  <c r="BW86" i="22"/>
  <c r="BW89" i="22"/>
  <c r="BW83" i="22"/>
  <c r="BW124" i="22"/>
  <c r="BW99" i="22"/>
  <c r="BW91" i="22"/>
  <c r="BW96" i="22"/>
  <c r="BW98" i="22"/>
  <c r="BW103" i="22"/>
  <c r="BW93" i="22"/>
  <c r="CY96" i="22"/>
  <c r="CZ96" i="22" s="1"/>
  <c r="DA96" i="22" s="1"/>
  <c r="BV40" i="22"/>
  <c r="BV61" i="22"/>
  <c r="BV85" i="22"/>
  <c r="BV90" i="22"/>
  <c r="BV95" i="22"/>
  <c r="BV100" i="22"/>
  <c r="BV83" i="22"/>
  <c r="BV93" i="22"/>
  <c r="BV86" i="22"/>
  <c r="BV91" i="22"/>
  <c r="BV89" i="22"/>
  <c r="BV87" i="22"/>
  <c r="BV82" i="22"/>
  <c r="BV92" i="22"/>
  <c r="BV124" i="22"/>
  <c r="BV99" i="22"/>
  <c r="BV97" i="22"/>
  <c r="BV98" i="22"/>
  <c r="BV103" i="22"/>
  <c r="BV96" i="22"/>
  <c r="CY86" i="22"/>
  <c r="CZ86" i="22" s="1"/>
  <c r="DA86" i="22" s="1"/>
  <c r="CY99" i="22"/>
  <c r="CZ99" i="22" s="1"/>
  <c r="DA99" i="22" s="1"/>
  <c r="BU40" i="22"/>
  <c r="BU61" i="22"/>
  <c r="BU85" i="22"/>
  <c r="BU90" i="22"/>
  <c r="BU95" i="22"/>
  <c r="BU100" i="22"/>
  <c r="BU83" i="22"/>
  <c r="BU93" i="22"/>
  <c r="BU98" i="22"/>
  <c r="BU82" i="22"/>
  <c r="BU87" i="22"/>
  <c r="BU92" i="22"/>
  <c r="BU89" i="22"/>
  <c r="BU124" i="22"/>
  <c r="BU99" i="22"/>
  <c r="BU91" i="22"/>
  <c r="BU96" i="22"/>
  <c r="BU103" i="22"/>
  <c r="BU86" i="22"/>
  <c r="BU97" i="22"/>
  <c r="CY92" i="22"/>
  <c r="CZ92" i="22" s="1"/>
  <c r="DA92" i="22" s="1"/>
  <c r="CE14" i="22"/>
  <c r="BY61" i="22"/>
  <c r="CA14" i="22"/>
  <c r="CB14" i="22"/>
  <c r="CC14" i="22"/>
  <c r="BY99" i="22"/>
  <c r="BY40" i="22"/>
  <c r="BY82" i="22"/>
  <c r="BY87" i="22"/>
  <c r="BY92" i="22"/>
  <c r="BY97" i="22"/>
  <c r="BY85" i="22"/>
  <c r="BY90" i="22"/>
  <c r="BY95" i="22"/>
  <c r="BY83" i="22"/>
  <c r="BZ14" i="22"/>
  <c r="BY86" i="22"/>
  <c r="BY91" i="22"/>
  <c r="BY96" i="22"/>
  <c r="CD14" i="22"/>
  <c r="BY93" i="22"/>
  <c r="BY89" i="22"/>
  <c r="BY100" i="22"/>
  <c r="BY103" i="22"/>
  <c r="BY124" i="22"/>
  <c r="BY98" i="22"/>
  <c r="BX40" i="22"/>
  <c r="BX61" i="22"/>
  <c r="BX82" i="22"/>
  <c r="BX87" i="22"/>
  <c r="BX92" i="22"/>
  <c r="BX97" i="22"/>
  <c r="BX85" i="22"/>
  <c r="BX90" i="22"/>
  <c r="BX95" i="22"/>
  <c r="BX83" i="22"/>
  <c r="BX86" i="22"/>
  <c r="BX91" i="22"/>
  <c r="BX96" i="22"/>
  <c r="BX89" i="22"/>
  <c r="BX100" i="22"/>
  <c r="BX103" i="22"/>
  <c r="BX124" i="22"/>
  <c r="BX99" i="22"/>
  <c r="BX93" i="22"/>
  <c r="BX98" i="22"/>
  <c r="CL4" i="20"/>
  <c r="CL1" i="20" s="1"/>
  <c r="CM4" i="20"/>
  <c r="CM1" i="20" s="1"/>
  <c r="CN4" i="20"/>
  <c r="CN1" i="20" s="1"/>
  <c r="CL5" i="20"/>
  <c r="CM5" i="20"/>
  <c r="CN5" i="20"/>
  <c r="CL6" i="20"/>
  <c r="CM6" i="20"/>
  <c r="CN6" i="20"/>
  <c r="CL7" i="20"/>
  <c r="CM7" i="20"/>
  <c r="CN7" i="20"/>
  <c r="CL8" i="20"/>
  <c r="CM8" i="20"/>
  <c r="CN8" i="20"/>
  <c r="CL9" i="20"/>
  <c r="CM9" i="20"/>
  <c r="CN9" i="20"/>
  <c r="CL10" i="20"/>
  <c r="CM10" i="20"/>
  <c r="CN10" i="20"/>
  <c r="CL11" i="20"/>
  <c r="CM11" i="20"/>
  <c r="CN11" i="20"/>
  <c r="CL12" i="20"/>
  <c r="CM12" i="20"/>
  <c r="CN12" i="20"/>
  <c r="CL13" i="20"/>
  <c r="CM13" i="20"/>
  <c r="CN13" i="20"/>
  <c r="CL14" i="20"/>
  <c r="CM14" i="20"/>
  <c r="CN14" i="20"/>
  <c r="CL15" i="20"/>
  <c r="CM15" i="20"/>
  <c r="CN15" i="20"/>
  <c r="CL16" i="20"/>
  <c r="CM16" i="20"/>
  <c r="CN16" i="20"/>
  <c r="CL17" i="20"/>
  <c r="CM17" i="20"/>
  <c r="CN17" i="20"/>
  <c r="CL18" i="20"/>
  <c r="CM18" i="20"/>
  <c r="CN18" i="20"/>
  <c r="CL19" i="20"/>
  <c r="CM19" i="20"/>
  <c r="CN19" i="20"/>
  <c r="CL20" i="20"/>
  <c r="CM20" i="20"/>
  <c r="CN20" i="20"/>
  <c r="CL21" i="20"/>
  <c r="CM21" i="20"/>
  <c r="CN21" i="20"/>
  <c r="CL22" i="20"/>
  <c r="CM22" i="20"/>
  <c r="CN22" i="20"/>
  <c r="CL23" i="20"/>
  <c r="CM23" i="20"/>
  <c r="CN23" i="20"/>
  <c r="CL24" i="20"/>
  <c r="CM24" i="20"/>
  <c r="CN24" i="20"/>
  <c r="CL25" i="20"/>
  <c r="CM25" i="20"/>
  <c r="CN25" i="20"/>
  <c r="CL26" i="20"/>
  <c r="CM26" i="20"/>
  <c r="CN26" i="20"/>
  <c r="CL27" i="20"/>
  <c r="CM27" i="20"/>
  <c r="CN27" i="20"/>
  <c r="CL28" i="20"/>
  <c r="CM28" i="20"/>
  <c r="CN28" i="20"/>
  <c r="CL29" i="20"/>
  <c r="CM29" i="20"/>
  <c r="CN29" i="20"/>
  <c r="CL30" i="20"/>
  <c r="CM30" i="20"/>
  <c r="CN30" i="20"/>
  <c r="CL31" i="20"/>
  <c r="CM31" i="20"/>
  <c r="CN31" i="20"/>
  <c r="CL32" i="20"/>
  <c r="CM32" i="20"/>
  <c r="CN32" i="20"/>
  <c r="CL33" i="20"/>
  <c r="CM33" i="20"/>
  <c r="CN33" i="20"/>
  <c r="CL34" i="20"/>
  <c r="CM34" i="20"/>
  <c r="CN34" i="20"/>
  <c r="CL35" i="20"/>
  <c r="CM35" i="20"/>
  <c r="CN35" i="20"/>
  <c r="CL36" i="20"/>
  <c r="CM36" i="20"/>
  <c r="CN36" i="20"/>
  <c r="CL37" i="20"/>
  <c r="CM37" i="20"/>
  <c r="CN37" i="20"/>
  <c r="CL38" i="20"/>
  <c r="CM38" i="20"/>
  <c r="CN38" i="20"/>
  <c r="CL39" i="20"/>
  <c r="CM39" i="20"/>
  <c r="CN39" i="20"/>
  <c r="CL40" i="20"/>
  <c r="CM40" i="20"/>
  <c r="CN40" i="20"/>
  <c r="CL41" i="20"/>
  <c r="CM41" i="20"/>
  <c r="CN41" i="20"/>
  <c r="CL42" i="20"/>
  <c r="CM42" i="20"/>
  <c r="CN42" i="20"/>
  <c r="CL43" i="20"/>
  <c r="CM43" i="20"/>
  <c r="CN43" i="20"/>
  <c r="CL44" i="20"/>
  <c r="CM44" i="20"/>
  <c r="CN44" i="20"/>
  <c r="CL45" i="20"/>
  <c r="CM45" i="20"/>
  <c r="CN45" i="20"/>
  <c r="CL46" i="20"/>
  <c r="CM46" i="20"/>
  <c r="CN46" i="20"/>
  <c r="CL47" i="20"/>
  <c r="CM47" i="20"/>
  <c r="CN47" i="20"/>
  <c r="CL48" i="20"/>
  <c r="CM48" i="20"/>
  <c r="CN48" i="20"/>
  <c r="CL49" i="20"/>
  <c r="CM49" i="20"/>
  <c r="CN49" i="20"/>
  <c r="CL50" i="20"/>
  <c r="CM50" i="20"/>
  <c r="CN50" i="20"/>
  <c r="CL51" i="20"/>
  <c r="CM51" i="20"/>
  <c r="CN51" i="20"/>
  <c r="CL52" i="20"/>
  <c r="CM52" i="20"/>
  <c r="CN52" i="20"/>
  <c r="CL53" i="20"/>
  <c r="CM53" i="20"/>
  <c r="CN53" i="20"/>
  <c r="CL54" i="20"/>
  <c r="CM54" i="20"/>
  <c r="CN54" i="20"/>
  <c r="CL55" i="20"/>
  <c r="CM55" i="20"/>
  <c r="CN55" i="20"/>
  <c r="CL56" i="20"/>
  <c r="CM56" i="20"/>
  <c r="CN56" i="20"/>
  <c r="CL57" i="20"/>
  <c r="CM57" i="20"/>
  <c r="CN57" i="20"/>
  <c r="CL58" i="20"/>
  <c r="CM58" i="20"/>
  <c r="CN58" i="20"/>
  <c r="CL59" i="20"/>
  <c r="CM59" i="20"/>
  <c r="CN59" i="20"/>
  <c r="CL60" i="20"/>
  <c r="CM60" i="20"/>
  <c r="CN60" i="20"/>
  <c r="CL61" i="20"/>
  <c r="CM61" i="20"/>
  <c r="CN61" i="20"/>
  <c r="CL62" i="20"/>
  <c r="CM62" i="20"/>
  <c r="CN62" i="20"/>
  <c r="CL63" i="20"/>
  <c r="CM63" i="20"/>
  <c r="CN63" i="20"/>
  <c r="CL64" i="20"/>
  <c r="CM64" i="20"/>
  <c r="CN64" i="20"/>
  <c r="CL65" i="20"/>
  <c r="CM65" i="20"/>
  <c r="CN65" i="20"/>
  <c r="CL66" i="20"/>
  <c r="CM66" i="20"/>
  <c r="CN66" i="20"/>
  <c r="CL67" i="20"/>
  <c r="CM67" i="20"/>
  <c r="CN67" i="20"/>
  <c r="CL68" i="20"/>
  <c r="CM68" i="20"/>
  <c r="CN68" i="20"/>
  <c r="CL69" i="20"/>
  <c r="CM69" i="20"/>
  <c r="CN69" i="20"/>
  <c r="CL70" i="20"/>
  <c r="CM70" i="20"/>
  <c r="CN70" i="20"/>
  <c r="CL71" i="20"/>
  <c r="CM71" i="20"/>
  <c r="CN71" i="20"/>
  <c r="CL72" i="20"/>
  <c r="CM72" i="20"/>
  <c r="CN72" i="20"/>
  <c r="CL73" i="20"/>
  <c r="CM73" i="20"/>
  <c r="CN73" i="20"/>
  <c r="CL74" i="20"/>
  <c r="CM74" i="20"/>
  <c r="CN74" i="20"/>
  <c r="CL75" i="20"/>
  <c r="CM75" i="20"/>
  <c r="CN75" i="20"/>
  <c r="CL76" i="20"/>
  <c r="CM76" i="20"/>
  <c r="CN76" i="20"/>
  <c r="CL77" i="20"/>
  <c r="CM77" i="20"/>
  <c r="CN77" i="20"/>
  <c r="CL78" i="20"/>
  <c r="CM78" i="20"/>
  <c r="CN78" i="20"/>
  <c r="CL79" i="20"/>
  <c r="CM79" i="20"/>
  <c r="CN79" i="20"/>
  <c r="CL80" i="20"/>
  <c r="CM80" i="20"/>
  <c r="CN80" i="20"/>
  <c r="CL81" i="20"/>
  <c r="CM81" i="20"/>
  <c r="CN81" i="20"/>
  <c r="CL82" i="20"/>
  <c r="CM82" i="20"/>
  <c r="CN82" i="20"/>
  <c r="CL83" i="20"/>
  <c r="CM83" i="20"/>
  <c r="CN83" i="20"/>
  <c r="CL84" i="20"/>
  <c r="CM84" i="20"/>
  <c r="CN84" i="20"/>
  <c r="CL85" i="20"/>
  <c r="CM85" i="20"/>
  <c r="CN85" i="20"/>
  <c r="CL86" i="20"/>
  <c r="CM86" i="20"/>
  <c r="CN86" i="20"/>
  <c r="CL87" i="20"/>
  <c r="CM87" i="20"/>
  <c r="CN87" i="20"/>
  <c r="CL88" i="20"/>
  <c r="CM88" i="20"/>
  <c r="CN88" i="20"/>
  <c r="CL89" i="20"/>
  <c r="CM89" i="20"/>
  <c r="CN89" i="20"/>
  <c r="CL90" i="20"/>
  <c r="CM90" i="20"/>
  <c r="CN90" i="20"/>
  <c r="BO4" i="20"/>
  <c r="BO1" i="20" s="1"/>
  <c r="BP4" i="20"/>
  <c r="BP1" i="20" s="1"/>
  <c r="BQ4" i="20"/>
  <c r="BQ1" i="20" s="1"/>
  <c r="BO5" i="20"/>
  <c r="BP5" i="20"/>
  <c r="BQ5" i="20"/>
  <c r="BO6" i="20"/>
  <c r="BP6" i="20"/>
  <c r="BQ6" i="20"/>
  <c r="BO7" i="20"/>
  <c r="BP7" i="20"/>
  <c r="BQ7" i="20"/>
  <c r="BO8" i="20"/>
  <c r="BP8" i="20"/>
  <c r="BQ8" i="20"/>
  <c r="BO9" i="20"/>
  <c r="BP9" i="20"/>
  <c r="BQ9" i="20"/>
  <c r="BO10" i="20"/>
  <c r="BP10" i="20"/>
  <c r="BQ10" i="20"/>
  <c r="BO11" i="20"/>
  <c r="BP11" i="20"/>
  <c r="BQ11" i="20"/>
  <c r="BO12" i="20"/>
  <c r="BP12" i="20"/>
  <c r="BQ12" i="20"/>
  <c r="BO13" i="20"/>
  <c r="BP13" i="20"/>
  <c r="BQ13" i="20"/>
  <c r="BO14" i="20"/>
  <c r="BP14" i="20"/>
  <c r="BQ14" i="20"/>
  <c r="BO15" i="20"/>
  <c r="BP15" i="20"/>
  <c r="BQ15" i="20"/>
  <c r="BO16" i="20"/>
  <c r="BP16" i="20"/>
  <c r="BQ16" i="20"/>
  <c r="BO17" i="20"/>
  <c r="BP17" i="20"/>
  <c r="BQ17" i="20"/>
  <c r="BO18" i="20"/>
  <c r="BP18" i="20"/>
  <c r="BQ18" i="20"/>
  <c r="BO19" i="20"/>
  <c r="BP19" i="20"/>
  <c r="BQ19" i="20"/>
  <c r="BO20" i="20"/>
  <c r="BP20" i="20"/>
  <c r="BQ20" i="20"/>
  <c r="BO21" i="20"/>
  <c r="BP21" i="20"/>
  <c r="BQ21" i="20"/>
  <c r="BO22" i="20"/>
  <c r="BP22" i="20"/>
  <c r="BQ22" i="20"/>
  <c r="BO23" i="20"/>
  <c r="BP23" i="20"/>
  <c r="BQ23" i="20"/>
  <c r="BO24" i="20"/>
  <c r="BP24" i="20"/>
  <c r="BQ24" i="20"/>
  <c r="BO25" i="20"/>
  <c r="BP25" i="20"/>
  <c r="BQ25" i="20"/>
  <c r="BO26" i="20"/>
  <c r="BP26" i="20"/>
  <c r="BQ26" i="20"/>
  <c r="BO27" i="20"/>
  <c r="BP27" i="20"/>
  <c r="BQ27" i="20"/>
  <c r="BO28" i="20"/>
  <c r="BP28" i="20"/>
  <c r="BQ28" i="20"/>
  <c r="BO29" i="20"/>
  <c r="BP29" i="20"/>
  <c r="BQ29" i="20"/>
  <c r="BO30" i="20"/>
  <c r="BP30" i="20"/>
  <c r="BQ30" i="20"/>
  <c r="BO31" i="20"/>
  <c r="BP31" i="20"/>
  <c r="BQ31" i="20"/>
  <c r="BO32" i="20"/>
  <c r="BP32" i="20"/>
  <c r="BQ32" i="20"/>
  <c r="BO33" i="20"/>
  <c r="BP33" i="20"/>
  <c r="BQ33" i="20"/>
  <c r="BO34" i="20"/>
  <c r="BP34" i="20"/>
  <c r="BQ34" i="20"/>
  <c r="BO35" i="20"/>
  <c r="BP35" i="20"/>
  <c r="BQ35" i="20"/>
  <c r="BO36" i="20"/>
  <c r="BP36" i="20"/>
  <c r="BQ36" i="20"/>
  <c r="BO37" i="20"/>
  <c r="BP37" i="20"/>
  <c r="BQ37" i="20"/>
  <c r="BO38" i="20"/>
  <c r="BP38" i="20"/>
  <c r="BQ38" i="20"/>
  <c r="BO39" i="20"/>
  <c r="BP39" i="20"/>
  <c r="BQ39" i="20"/>
  <c r="BO40" i="20"/>
  <c r="BP40" i="20"/>
  <c r="BQ40" i="20"/>
  <c r="BO41" i="20"/>
  <c r="BP41" i="20"/>
  <c r="BQ41" i="20"/>
  <c r="BO42" i="20"/>
  <c r="BP42" i="20"/>
  <c r="BQ42" i="20"/>
  <c r="BO43" i="20"/>
  <c r="BP43" i="20"/>
  <c r="BQ43" i="20"/>
  <c r="BO44" i="20"/>
  <c r="BP44" i="20"/>
  <c r="BQ44" i="20"/>
  <c r="BO45" i="20"/>
  <c r="BP45" i="20"/>
  <c r="BQ45" i="20"/>
  <c r="BO46" i="20"/>
  <c r="BP46" i="20"/>
  <c r="BQ46" i="20"/>
  <c r="BO47" i="20"/>
  <c r="BP47" i="20"/>
  <c r="BQ47" i="20"/>
  <c r="BO48" i="20"/>
  <c r="BP48" i="20"/>
  <c r="BQ48" i="20"/>
  <c r="BO49" i="20"/>
  <c r="BP49" i="20"/>
  <c r="BQ49" i="20"/>
  <c r="BO50" i="20"/>
  <c r="BP50" i="20"/>
  <c r="BQ50" i="20"/>
  <c r="BO51" i="20"/>
  <c r="BP51" i="20"/>
  <c r="BQ51" i="20"/>
  <c r="BO52" i="20"/>
  <c r="BP52" i="20"/>
  <c r="BQ52" i="20"/>
  <c r="BO53" i="20"/>
  <c r="BP53" i="20"/>
  <c r="BQ53" i="20"/>
  <c r="BO54" i="20"/>
  <c r="BP54" i="20"/>
  <c r="BQ54" i="20"/>
  <c r="BO55" i="20"/>
  <c r="BP55" i="20"/>
  <c r="BQ55" i="20"/>
  <c r="BO56" i="20"/>
  <c r="BP56" i="20"/>
  <c r="BQ56" i="20"/>
  <c r="BO57" i="20"/>
  <c r="BP57" i="20"/>
  <c r="BQ57" i="20"/>
  <c r="BO58" i="20"/>
  <c r="BP58" i="20"/>
  <c r="BQ58" i="20"/>
  <c r="BO59" i="20"/>
  <c r="BP59" i="20"/>
  <c r="BQ59" i="20"/>
  <c r="BO60" i="20"/>
  <c r="BP60" i="20"/>
  <c r="BQ60" i="20"/>
  <c r="BO61" i="20"/>
  <c r="BP61" i="20"/>
  <c r="BQ61" i="20"/>
  <c r="BO62" i="20"/>
  <c r="BP62" i="20"/>
  <c r="BQ62" i="20"/>
  <c r="BO63" i="20"/>
  <c r="BP63" i="20"/>
  <c r="BQ63" i="20"/>
  <c r="BO64" i="20"/>
  <c r="BP64" i="20"/>
  <c r="BQ64" i="20"/>
  <c r="BO65" i="20"/>
  <c r="BP65" i="20"/>
  <c r="BQ65" i="20"/>
  <c r="BO66" i="20"/>
  <c r="BP66" i="20"/>
  <c r="BQ66" i="20"/>
  <c r="BO67" i="20"/>
  <c r="BP67" i="20"/>
  <c r="BQ67" i="20"/>
  <c r="BO68" i="20"/>
  <c r="BP68" i="20"/>
  <c r="BQ68" i="20"/>
  <c r="BO69" i="20"/>
  <c r="BP69" i="20"/>
  <c r="BQ69" i="20"/>
  <c r="BO70" i="20"/>
  <c r="BP70" i="20"/>
  <c r="BQ70" i="20"/>
  <c r="BO71" i="20"/>
  <c r="BP71" i="20"/>
  <c r="BQ71" i="20"/>
  <c r="BO72" i="20"/>
  <c r="BP72" i="20"/>
  <c r="BQ72" i="20"/>
  <c r="BO73" i="20"/>
  <c r="BP73" i="20"/>
  <c r="BQ73" i="20"/>
  <c r="BO74" i="20"/>
  <c r="BP74" i="20"/>
  <c r="BQ74" i="20"/>
  <c r="BO75" i="20"/>
  <c r="BP75" i="20"/>
  <c r="BQ75" i="20"/>
  <c r="BO76" i="20"/>
  <c r="BP76" i="20"/>
  <c r="BQ76" i="20"/>
  <c r="BO77" i="20"/>
  <c r="BP77" i="20"/>
  <c r="BQ77" i="20"/>
  <c r="BO78" i="20"/>
  <c r="BP78" i="20"/>
  <c r="BQ78" i="20"/>
  <c r="BO79" i="20"/>
  <c r="BP79" i="20"/>
  <c r="BQ79" i="20"/>
  <c r="BO80" i="20"/>
  <c r="BP80" i="20"/>
  <c r="BQ80" i="20"/>
  <c r="BO81" i="20"/>
  <c r="BP81" i="20"/>
  <c r="BQ81" i="20"/>
  <c r="BO82" i="20"/>
  <c r="BP82" i="20"/>
  <c r="BQ82" i="20"/>
  <c r="BO83" i="20"/>
  <c r="BP83" i="20"/>
  <c r="BQ83" i="20"/>
  <c r="BO84" i="20"/>
  <c r="BP84" i="20"/>
  <c r="BQ84" i="20"/>
  <c r="BO85" i="20"/>
  <c r="BP85" i="20"/>
  <c r="BQ85" i="20"/>
  <c r="BO86" i="20"/>
  <c r="BP86" i="20"/>
  <c r="BQ86" i="20"/>
  <c r="BO87" i="20"/>
  <c r="BP87" i="20"/>
  <c r="BQ87" i="20"/>
  <c r="BO88" i="20"/>
  <c r="BP88" i="20"/>
  <c r="BQ88" i="20"/>
  <c r="BO89" i="20"/>
  <c r="BP89" i="20"/>
  <c r="BQ89" i="20"/>
  <c r="BO90" i="20"/>
  <c r="BP90" i="20"/>
  <c r="BQ90" i="20"/>
  <c r="AT94" i="20"/>
  <c r="AS94" i="20"/>
  <c r="AR94" i="20"/>
  <c r="AT89" i="20"/>
  <c r="AS89" i="20"/>
  <c r="AR89" i="20"/>
  <c r="AT88" i="20"/>
  <c r="AS88" i="20"/>
  <c r="AR88" i="20"/>
  <c r="AT85" i="20"/>
  <c r="AS85" i="20"/>
  <c r="AR85" i="20"/>
  <c r="AT87" i="20"/>
  <c r="AS87" i="20"/>
  <c r="AR87" i="20"/>
  <c r="AT86" i="20"/>
  <c r="AS86" i="20"/>
  <c r="AR86" i="20"/>
  <c r="AT83" i="20"/>
  <c r="AS83" i="20"/>
  <c r="AR83" i="20"/>
  <c r="AT84" i="20"/>
  <c r="AS84" i="20"/>
  <c r="AR84" i="20"/>
  <c r="AT81" i="20"/>
  <c r="AS81" i="20"/>
  <c r="AR81" i="20"/>
  <c r="AT80" i="20"/>
  <c r="AS80" i="20"/>
  <c r="AR80" i="20"/>
  <c r="AT82" i="20"/>
  <c r="AS82" i="20"/>
  <c r="AR82" i="20"/>
  <c r="AT79" i="20"/>
  <c r="AS79" i="20"/>
  <c r="AR79" i="20"/>
  <c r="AT78" i="20"/>
  <c r="AS78" i="20"/>
  <c r="AR78" i="20"/>
  <c r="AT77" i="20"/>
  <c r="AS77" i="20"/>
  <c r="AR77" i="20"/>
  <c r="AT76" i="20"/>
  <c r="AS76" i="20"/>
  <c r="AR76" i="20"/>
  <c r="AT75" i="20"/>
  <c r="AS75" i="20"/>
  <c r="AR75" i="20"/>
  <c r="AT64" i="20"/>
  <c r="AS64" i="20"/>
  <c r="AR64" i="20"/>
  <c r="AT74" i="20"/>
  <c r="AS74" i="20"/>
  <c r="AR74" i="20"/>
  <c r="AT73" i="20"/>
  <c r="AS73" i="20"/>
  <c r="AR73" i="20"/>
  <c r="AT70" i="20"/>
  <c r="AS70" i="20"/>
  <c r="AR70" i="20"/>
  <c r="AT72" i="20"/>
  <c r="AS72" i="20"/>
  <c r="AR72" i="20"/>
  <c r="AT71" i="20"/>
  <c r="AS71" i="20"/>
  <c r="AR71" i="20"/>
  <c r="AT69" i="20"/>
  <c r="AS69" i="20"/>
  <c r="AR69" i="20"/>
  <c r="AT66" i="20"/>
  <c r="AS66" i="20"/>
  <c r="AR66" i="20"/>
  <c r="AT65" i="20"/>
  <c r="AS65" i="20"/>
  <c r="AR65" i="20"/>
  <c r="AT68" i="20"/>
  <c r="AS68" i="20"/>
  <c r="AR68" i="20"/>
  <c r="AT67" i="20"/>
  <c r="AS67" i="20"/>
  <c r="AR67" i="20"/>
  <c r="AT63" i="20"/>
  <c r="AS63" i="20"/>
  <c r="AR63" i="20"/>
  <c r="AT62" i="20"/>
  <c r="AS62" i="20"/>
  <c r="AR62" i="20"/>
  <c r="AT55" i="20"/>
  <c r="AS55" i="20"/>
  <c r="AR55" i="20"/>
  <c r="AT54" i="20"/>
  <c r="AS54" i="20"/>
  <c r="AR54" i="20"/>
  <c r="AT53" i="20"/>
  <c r="AS53" i="20"/>
  <c r="AR53" i="20"/>
  <c r="AT52" i="20"/>
  <c r="AS52" i="20"/>
  <c r="AR52" i="20"/>
  <c r="AT47" i="20"/>
  <c r="AS47" i="20"/>
  <c r="AR47" i="20"/>
  <c r="AT61" i="20"/>
  <c r="AS61" i="20"/>
  <c r="AR61" i="20"/>
  <c r="AT58" i="20"/>
  <c r="AS58" i="20"/>
  <c r="AR58" i="20"/>
  <c r="AT51" i="20"/>
  <c r="AS51" i="20"/>
  <c r="AR51" i="20"/>
  <c r="AT50" i="20"/>
  <c r="AS50" i="20"/>
  <c r="AR50" i="20"/>
  <c r="AT49" i="20"/>
  <c r="AS49" i="20"/>
  <c r="AR49" i="20"/>
  <c r="AT48" i="20"/>
  <c r="AS48" i="20"/>
  <c r="AR48" i="20"/>
  <c r="AT59" i="20"/>
  <c r="AS59" i="20"/>
  <c r="AR59" i="20"/>
  <c r="AT57" i="20"/>
  <c r="AS57" i="20"/>
  <c r="AR57" i="20"/>
  <c r="AT60" i="20"/>
  <c r="AS60" i="20"/>
  <c r="AR60" i="20"/>
  <c r="AT56" i="20"/>
  <c r="AS56" i="20"/>
  <c r="AR56" i="20"/>
  <c r="AT46" i="20"/>
  <c r="AS46" i="20"/>
  <c r="AR46" i="20"/>
  <c r="AT45" i="20"/>
  <c r="AS45" i="20"/>
  <c r="AR45" i="20"/>
  <c r="AT44" i="20"/>
  <c r="AS44" i="20"/>
  <c r="AR44" i="20"/>
  <c r="AT41" i="20"/>
  <c r="AS41" i="20"/>
  <c r="AR41" i="20"/>
  <c r="AT43" i="20"/>
  <c r="AS43" i="20"/>
  <c r="AR43" i="20"/>
  <c r="AT42" i="20"/>
  <c r="AS42" i="20"/>
  <c r="AR42" i="20"/>
  <c r="AT40" i="20"/>
  <c r="AS40" i="20"/>
  <c r="AR40" i="20"/>
  <c r="AT39" i="20"/>
  <c r="AS39" i="20"/>
  <c r="AR39" i="20"/>
  <c r="AT38" i="20"/>
  <c r="AS38" i="20"/>
  <c r="AR38" i="20"/>
  <c r="AT37" i="20"/>
  <c r="AS37" i="20"/>
  <c r="AR37" i="20"/>
  <c r="AT36" i="20"/>
  <c r="AS36" i="20"/>
  <c r="AR36" i="20"/>
  <c r="AT33" i="20"/>
  <c r="AS33" i="20"/>
  <c r="AR33" i="20"/>
  <c r="AT35" i="20"/>
  <c r="AS35" i="20"/>
  <c r="AR35" i="20"/>
  <c r="AT34" i="20"/>
  <c r="AS34" i="20"/>
  <c r="AR34" i="20"/>
  <c r="AT32" i="20"/>
  <c r="AS32" i="20"/>
  <c r="AR32" i="20"/>
  <c r="AT31" i="20"/>
  <c r="AS31" i="20"/>
  <c r="AR31" i="20"/>
  <c r="AT30" i="20"/>
  <c r="AS30" i="20"/>
  <c r="AR30" i="20"/>
  <c r="AT29" i="20"/>
  <c r="AS29" i="20"/>
  <c r="AR29" i="20"/>
  <c r="AT27" i="20"/>
  <c r="AS27" i="20"/>
  <c r="AR27" i="20"/>
  <c r="AT28" i="20"/>
  <c r="AS28" i="20"/>
  <c r="AR28" i="20"/>
  <c r="AT26" i="20"/>
  <c r="AS26" i="20"/>
  <c r="AR26" i="20"/>
  <c r="AT20" i="20"/>
  <c r="AS20" i="20"/>
  <c r="AR20" i="20"/>
  <c r="AT19" i="20"/>
  <c r="AS19" i="20"/>
  <c r="AR19" i="20"/>
  <c r="AT25" i="20"/>
  <c r="AS25" i="20"/>
  <c r="AR25" i="20"/>
  <c r="AT18" i="20"/>
  <c r="AS18" i="20"/>
  <c r="AR18" i="20"/>
  <c r="AT17" i="20"/>
  <c r="AS17" i="20"/>
  <c r="AR17" i="20"/>
  <c r="AT16" i="20"/>
  <c r="AS16" i="20"/>
  <c r="AR16" i="20"/>
  <c r="AT24" i="20"/>
  <c r="AS24" i="20"/>
  <c r="AR24" i="20"/>
  <c r="AT23" i="20"/>
  <c r="AS23" i="20"/>
  <c r="AR23" i="20"/>
  <c r="AT22" i="20"/>
  <c r="AS22" i="20"/>
  <c r="AR22" i="20"/>
  <c r="AT21" i="20"/>
  <c r="AS21" i="20"/>
  <c r="AR21" i="20"/>
  <c r="AT15" i="20"/>
  <c r="AS15" i="20"/>
  <c r="AR15" i="20"/>
  <c r="AT14" i="20"/>
  <c r="AS14" i="20"/>
  <c r="AR14" i="20"/>
  <c r="AT11" i="20"/>
  <c r="AS11" i="20"/>
  <c r="AR11" i="20"/>
  <c r="AT13" i="20"/>
  <c r="AS13" i="20"/>
  <c r="AR13" i="20"/>
  <c r="AT12" i="20"/>
  <c r="AS12" i="20"/>
  <c r="AR12" i="20"/>
  <c r="AT10" i="20"/>
  <c r="AS10" i="20"/>
  <c r="AR10" i="20"/>
  <c r="AT7" i="20"/>
  <c r="AS7" i="20"/>
  <c r="AR7" i="20"/>
  <c r="AT6" i="20"/>
  <c r="AS6" i="20"/>
  <c r="AR6" i="20"/>
  <c r="AT9" i="20"/>
  <c r="AS9" i="20"/>
  <c r="AR9" i="20"/>
  <c r="AT8" i="20"/>
  <c r="AS8" i="20"/>
  <c r="AR8" i="20"/>
  <c r="AT5" i="20"/>
  <c r="AS5" i="20"/>
  <c r="AR5" i="20"/>
  <c r="AR1" i="20"/>
  <c r="AS1" i="20"/>
  <c r="AT1" i="20"/>
  <c r="AR734" i="21"/>
  <c r="AS734" i="21"/>
  <c r="AW734" i="21" s="1"/>
  <c r="AX734" i="21" s="1"/>
  <c r="AT734" i="21"/>
  <c r="AV734" i="21" s="1"/>
  <c r="AR735" i="21"/>
  <c r="AS735" i="21"/>
  <c r="AW735" i="21" s="1"/>
  <c r="AX735" i="21" s="1"/>
  <c r="AT735" i="21"/>
  <c r="AV735" i="21" s="1"/>
  <c r="AR736" i="21"/>
  <c r="AS736" i="21"/>
  <c r="AW736" i="21" s="1"/>
  <c r="AX736" i="21" s="1"/>
  <c r="AT736" i="21"/>
  <c r="AV736" i="21" s="1"/>
  <c r="AR737" i="21"/>
  <c r="AS737" i="21"/>
  <c r="AW737" i="21" s="1"/>
  <c r="AX737" i="21" s="1"/>
  <c r="AT737" i="21"/>
  <c r="AV737" i="21" s="1"/>
  <c r="AR738" i="21"/>
  <c r="AS738" i="21"/>
  <c r="AT738" i="21" s="1"/>
  <c r="AV738" i="21" s="1"/>
  <c r="AY738" i="21"/>
  <c r="AZ738" i="21" s="1"/>
  <c r="AR739" i="21"/>
  <c r="AS739" i="21"/>
  <c r="AT739" i="21" s="1"/>
  <c r="AV739" i="21" s="1"/>
  <c r="AY739" i="21"/>
  <c r="AZ739" i="21" s="1"/>
  <c r="AR740" i="21"/>
  <c r="AS740" i="21"/>
  <c r="AW740" i="21" s="1"/>
  <c r="AX740" i="21" s="1"/>
  <c r="AT740" i="21"/>
  <c r="AV740" i="21" s="1"/>
  <c r="AR741" i="21"/>
  <c r="AS741" i="21"/>
  <c r="AT741" i="21" s="1"/>
  <c r="AV741" i="21" s="1"/>
  <c r="AY741" i="21"/>
  <c r="AZ741" i="21" s="1"/>
  <c r="AR742" i="21"/>
  <c r="AS742" i="21"/>
  <c r="AT742" i="21" s="1"/>
  <c r="AV742" i="21" s="1"/>
  <c r="AY742" i="21"/>
  <c r="AZ742" i="21" s="1"/>
  <c r="AR743" i="21"/>
  <c r="AS743" i="21"/>
  <c r="AW743" i="21" s="1"/>
  <c r="AX743" i="21" s="1"/>
  <c r="AT743" i="21"/>
  <c r="AV743" i="21" s="1"/>
  <c r="AR744" i="21"/>
  <c r="AS744" i="21"/>
  <c r="AT744" i="21" s="1"/>
  <c r="AV744" i="21" s="1"/>
  <c r="AY744" i="21"/>
  <c r="AZ744" i="21" s="1"/>
  <c r="AR745" i="21"/>
  <c r="AS745" i="21"/>
  <c r="AT745" i="21" s="1"/>
  <c r="AV745" i="21" s="1"/>
  <c r="AY745" i="21"/>
  <c r="AZ745" i="21" s="1"/>
  <c r="AR746" i="21"/>
  <c r="AS746" i="21"/>
  <c r="AT746" i="21" s="1"/>
  <c r="AV746" i="21" s="1"/>
  <c r="AY746" i="21"/>
  <c r="AZ746" i="21" s="1"/>
  <c r="AR747" i="21"/>
  <c r="AS747" i="21"/>
  <c r="AT747" i="21" s="1"/>
  <c r="AV747" i="21" s="1"/>
  <c r="AY747" i="21"/>
  <c r="AZ747" i="21" s="1"/>
  <c r="AR748" i="21"/>
  <c r="AS748" i="21"/>
  <c r="AT748" i="21" s="1"/>
  <c r="AV748" i="21" s="1"/>
  <c r="AY748" i="21"/>
  <c r="AZ748" i="21" s="1"/>
  <c r="AR749" i="21"/>
  <c r="AS749" i="21"/>
  <c r="AT749" i="21" s="1"/>
  <c r="AV749" i="21" s="1"/>
  <c r="AY749" i="21"/>
  <c r="AZ749" i="21" s="1"/>
  <c r="AR750" i="21"/>
  <c r="AS750" i="21"/>
  <c r="AW750" i="21" s="1"/>
  <c r="AX750" i="21" s="1"/>
  <c r="AT750" i="21"/>
  <c r="AV750" i="21" s="1"/>
  <c r="AR751" i="21"/>
  <c r="AS751" i="21"/>
  <c r="AT751" i="21" s="1"/>
  <c r="AV751" i="21" s="1"/>
  <c r="AY751" i="21"/>
  <c r="AZ751" i="21" s="1"/>
  <c r="AR752" i="21"/>
  <c r="AS752" i="21"/>
  <c r="AT752" i="21" s="1"/>
  <c r="AV752" i="21" s="1"/>
  <c r="AY752" i="21"/>
  <c r="AZ752" i="21" s="1"/>
  <c r="AR753" i="21"/>
  <c r="AS753" i="21"/>
  <c r="AT753" i="21" s="1"/>
  <c r="AV753" i="21" s="1"/>
  <c r="AY753" i="21"/>
  <c r="AZ753" i="21" s="1"/>
  <c r="AR754" i="21"/>
  <c r="AS754" i="21"/>
  <c r="AW754" i="21" s="1"/>
  <c r="AX754" i="21" s="1"/>
  <c r="AT754" i="21"/>
  <c r="AV754" i="21" s="1"/>
  <c r="AR755" i="21"/>
  <c r="AS755" i="21"/>
  <c r="AT755" i="21" s="1"/>
  <c r="AV755" i="21" s="1"/>
  <c r="AY755" i="21"/>
  <c r="AZ755" i="21" s="1"/>
  <c r="AR756" i="21"/>
  <c r="AS756" i="21"/>
  <c r="AW756" i="21" s="1"/>
  <c r="AX756" i="21" s="1"/>
  <c r="AT756" i="21"/>
  <c r="AV756" i="21" s="1"/>
  <c r="AR757" i="21"/>
  <c r="AS757" i="21"/>
  <c r="AT757" i="21" s="1"/>
  <c r="AV757" i="21" s="1"/>
  <c r="AY757" i="21"/>
  <c r="AZ757" i="21" s="1"/>
  <c r="AR758" i="21"/>
  <c r="AS758" i="21"/>
  <c r="AW758" i="21" s="1"/>
  <c r="AX758" i="21" s="1"/>
  <c r="AT758" i="21"/>
  <c r="AV758" i="21" s="1"/>
  <c r="AR759" i="21"/>
  <c r="AS759" i="21"/>
  <c r="AT759" i="21" s="1"/>
  <c r="AV759" i="21" s="1"/>
  <c r="AY759" i="21"/>
  <c r="AZ759" i="21" s="1"/>
  <c r="AR760" i="21"/>
  <c r="AS760" i="21"/>
  <c r="AT760" i="21" s="1"/>
  <c r="AV760" i="21" s="1"/>
  <c r="AY760" i="21"/>
  <c r="AZ760" i="21" s="1"/>
  <c r="AR761" i="21"/>
  <c r="AS761" i="21"/>
  <c r="AY761" i="21" s="1"/>
  <c r="AZ761" i="21" s="1"/>
  <c r="AT761" i="21"/>
  <c r="AV761" i="21" s="1"/>
  <c r="AR762" i="21"/>
  <c r="AS762" i="21"/>
  <c r="AT762" i="21" s="1"/>
  <c r="AV762" i="21" s="1"/>
  <c r="AY762" i="21"/>
  <c r="AZ762" i="21" s="1"/>
  <c r="AR763" i="21"/>
  <c r="AS763" i="21"/>
  <c r="AT763" i="21" s="1"/>
  <c r="AV763" i="21" s="1"/>
  <c r="AY763" i="21"/>
  <c r="AZ763" i="21" s="1"/>
  <c r="AR764" i="21"/>
  <c r="AS764" i="21"/>
  <c r="AT764" i="21" s="1"/>
  <c r="AV764" i="21" s="1"/>
  <c r="AY764" i="21"/>
  <c r="AZ764" i="21" s="1"/>
  <c r="AR765" i="21"/>
  <c r="AS765" i="21"/>
  <c r="AW765" i="21" s="1"/>
  <c r="AX765" i="21" s="1"/>
  <c r="AT765" i="21"/>
  <c r="AV765" i="21" s="1"/>
  <c r="AR766" i="21"/>
  <c r="AS766" i="21"/>
  <c r="AT766" i="21" s="1"/>
  <c r="AV766" i="21" s="1"/>
  <c r="AY766" i="21"/>
  <c r="AZ766" i="21" s="1"/>
  <c r="AR767" i="21"/>
  <c r="AS767" i="21"/>
  <c r="AW767" i="21" s="1"/>
  <c r="AX767" i="21" s="1"/>
  <c r="AT767" i="21"/>
  <c r="AV767" i="21" s="1"/>
  <c r="AR768" i="21"/>
  <c r="AS768" i="21"/>
  <c r="AT768" i="21" s="1"/>
  <c r="AV768" i="21" s="1"/>
  <c r="AY768" i="21"/>
  <c r="AZ768" i="21" s="1"/>
  <c r="AR769" i="21"/>
  <c r="AS769" i="21"/>
  <c r="AT769" i="21" s="1"/>
  <c r="AV769" i="21" s="1"/>
  <c r="AY769" i="21"/>
  <c r="AZ769" i="21" s="1"/>
  <c r="AR770" i="21"/>
  <c r="AS770" i="21"/>
  <c r="AT770" i="21" s="1"/>
  <c r="AV770" i="21" s="1"/>
  <c r="AY770" i="21"/>
  <c r="AZ770" i="21" s="1"/>
  <c r="AR771" i="21"/>
  <c r="AS771" i="21"/>
  <c r="AT771" i="21" s="1"/>
  <c r="AV771" i="21" s="1"/>
  <c r="AY771" i="21"/>
  <c r="AZ771" i="21" s="1"/>
  <c r="AR772" i="21"/>
  <c r="AS772" i="21"/>
  <c r="AT772" i="21" s="1"/>
  <c r="AV772" i="21" s="1"/>
  <c r="AY772" i="21"/>
  <c r="AZ772" i="21" s="1"/>
  <c r="AR773" i="21"/>
  <c r="AS773" i="21"/>
  <c r="AT773" i="21" s="1"/>
  <c r="AV773" i="21" s="1"/>
  <c r="AY773" i="21"/>
  <c r="AZ773" i="21" s="1"/>
  <c r="AR774" i="21"/>
  <c r="AS774" i="21"/>
  <c r="AY774" i="21" s="1"/>
  <c r="AZ774" i="21" s="1"/>
  <c r="AT774" i="21"/>
  <c r="AV774" i="21" s="1"/>
  <c r="AR775" i="21"/>
  <c r="AS775" i="21"/>
  <c r="AT775" i="21" s="1"/>
  <c r="AV775" i="21" s="1"/>
  <c r="AY775" i="21"/>
  <c r="AZ775" i="21" s="1"/>
  <c r="AR776" i="21"/>
  <c r="AS776" i="21"/>
  <c r="AW776" i="21" s="1"/>
  <c r="AX776" i="21" s="1"/>
  <c r="AT776" i="21"/>
  <c r="AV776" i="21" s="1"/>
  <c r="AR777" i="21"/>
  <c r="AS777" i="21"/>
  <c r="AT777" i="21" s="1"/>
  <c r="AV777" i="21" s="1"/>
  <c r="AY777" i="21"/>
  <c r="AZ777" i="21" s="1"/>
  <c r="AR778" i="21"/>
  <c r="AS778" i="21"/>
  <c r="AT778" i="21" s="1"/>
  <c r="AV778" i="21" s="1"/>
  <c r="AY778" i="21"/>
  <c r="AZ778" i="21" s="1"/>
  <c r="AR779" i="21"/>
  <c r="AS779" i="21"/>
  <c r="AY779" i="21" s="1"/>
  <c r="AZ779" i="21" s="1"/>
  <c r="AT779" i="21"/>
  <c r="AV779" i="21" s="1"/>
  <c r="AR780" i="21"/>
  <c r="AS780" i="21"/>
  <c r="AT780" i="21" s="1"/>
  <c r="AV780" i="21" s="1"/>
  <c r="AY780" i="21"/>
  <c r="AZ780" i="21" s="1"/>
  <c r="AR781" i="21"/>
  <c r="AS781" i="21"/>
  <c r="AW781" i="21" s="1"/>
  <c r="AX781" i="21" s="1"/>
  <c r="AT781" i="21"/>
  <c r="AV781" i="21" s="1"/>
  <c r="AR782" i="21"/>
  <c r="AS782" i="21"/>
  <c r="AW782" i="21" s="1"/>
  <c r="AX782" i="21" s="1"/>
  <c r="AT782" i="21"/>
  <c r="AV782" i="21" s="1"/>
  <c r="AR783" i="21"/>
  <c r="AS783" i="21"/>
  <c r="AW783" i="21" s="1"/>
  <c r="AX783" i="21" s="1"/>
  <c r="AT783" i="21"/>
  <c r="AV783" i="21" s="1"/>
  <c r="AR784" i="21"/>
  <c r="AS784" i="21"/>
  <c r="AT784" i="21" s="1"/>
  <c r="AV784" i="21" s="1"/>
  <c r="AY784" i="21"/>
  <c r="AZ784" i="21" s="1"/>
  <c r="AR785" i="21"/>
  <c r="AS785" i="21"/>
  <c r="AT785" i="21" s="1"/>
  <c r="AV785" i="21" s="1"/>
  <c r="AY785" i="21"/>
  <c r="AZ785" i="21" s="1"/>
  <c r="AR786" i="21"/>
  <c r="AS786" i="21"/>
  <c r="AW786" i="21" s="1"/>
  <c r="AX786" i="21" s="1"/>
  <c r="AT786" i="21"/>
  <c r="AV786" i="21" s="1"/>
  <c r="AR787" i="21"/>
  <c r="AS787" i="21"/>
  <c r="AT787" i="21" s="1"/>
  <c r="AV787" i="21" s="1"/>
  <c r="AY787" i="21"/>
  <c r="AZ787" i="21" s="1"/>
  <c r="AR788" i="21"/>
  <c r="AS788" i="21"/>
  <c r="AW788" i="21" s="1"/>
  <c r="AX788" i="21" s="1"/>
  <c r="AT788" i="21"/>
  <c r="AV788" i="21" s="1"/>
  <c r="AR789" i="21"/>
  <c r="AS789" i="21"/>
  <c r="AT789" i="21" s="1"/>
  <c r="AV789" i="21" s="1"/>
  <c r="AY789" i="21"/>
  <c r="AZ789" i="21" s="1"/>
  <c r="AR790" i="21"/>
  <c r="AS790" i="21"/>
  <c r="AY790" i="21" s="1"/>
  <c r="AZ790" i="21" s="1"/>
  <c r="AT790" i="21"/>
  <c r="AV790" i="21" s="1"/>
  <c r="AR791" i="21"/>
  <c r="AS791" i="21"/>
  <c r="AT791" i="21" s="1"/>
  <c r="AV791" i="21" s="1"/>
  <c r="AY791" i="21"/>
  <c r="AZ791" i="21" s="1"/>
  <c r="AR792" i="21"/>
  <c r="AS792" i="21"/>
  <c r="AT792" i="21" s="1"/>
  <c r="AV792" i="21" s="1"/>
  <c r="AY792" i="21"/>
  <c r="AZ792" i="21" s="1"/>
  <c r="AR793" i="21"/>
  <c r="AS793" i="21"/>
  <c r="AT793" i="21" s="1"/>
  <c r="AV793" i="21" s="1"/>
  <c r="AY793" i="21"/>
  <c r="AZ793" i="21" s="1"/>
  <c r="AR794" i="21"/>
  <c r="AS794" i="21"/>
  <c r="AT794" i="21" s="1"/>
  <c r="AV794" i="21" s="1"/>
  <c r="AY794" i="21"/>
  <c r="AZ794" i="21" s="1"/>
  <c r="AR795" i="21"/>
  <c r="AS795" i="21"/>
  <c r="AT795" i="21" s="1"/>
  <c r="AV795" i="21" s="1"/>
  <c r="AY795" i="21"/>
  <c r="AZ795" i="21" s="1"/>
  <c r="AR796" i="21"/>
  <c r="AS796" i="21"/>
  <c r="AT796" i="21" s="1"/>
  <c r="AV796" i="21" s="1"/>
  <c r="AY796" i="21"/>
  <c r="AZ796" i="21" s="1"/>
  <c r="AR797" i="21"/>
  <c r="AS797" i="21"/>
  <c r="AT797" i="21" s="1"/>
  <c r="AV797" i="21" s="1"/>
  <c r="AY797" i="21"/>
  <c r="AZ797" i="21" s="1"/>
  <c r="AR798" i="21"/>
  <c r="AS798" i="21"/>
  <c r="AT798" i="21" s="1"/>
  <c r="AV798" i="21" s="1"/>
  <c r="AY798" i="21"/>
  <c r="AZ798" i="21" s="1"/>
  <c r="AR799" i="21"/>
  <c r="AS799" i="21"/>
  <c r="AT799" i="21" s="1"/>
  <c r="AV799" i="21" s="1"/>
  <c r="AY799" i="21"/>
  <c r="AZ799" i="21" s="1"/>
  <c r="AR800" i="21"/>
  <c r="AS800" i="21"/>
  <c r="AT800" i="21" s="1"/>
  <c r="AV800" i="21" s="1"/>
  <c r="AY800" i="21"/>
  <c r="AZ800" i="21" s="1"/>
  <c r="AR801" i="21"/>
  <c r="AS801" i="21"/>
  <c r="AT801" i="21" s="1"/>
  <c r="AV801" i="21" s="1"/>
  <c r="AY801" i="21"/>
  <c r="AZ801" i="21" s="1"/>
  <c r="AR802" i="21"/>
  <c r="AS802" i="21"/>
  <c r="AT802" i="21" s="1"/>
  <c r="AV802" i="21" s="1"/>
  <c r="AY802" i="21"/>
  <c r="AZ802" i="21" s="1"/>
  <c r="AR803" i="21"/>
  <c r="AS803" i="21"/>
  <c r="AT803" i="21" s="1"/>
  <c r="AV803" i="21" s="1"/>
  <c r="AY803" i="21"/>
  <c r="AZ803" i="21" s="1"/>
  <c r="AR804" i="21"/>
  <c r="AS804" i="21"/>
  <c r="AT804" i="21" s="1"/>
  <c r="AV804" i="21" s="1"/>
  <c r="AY804" i="21"/>
  <c r="AZ804" i="21" s="1"/>
  <c r="AR805" i="21"/>
  <c r="AS805" i="21"/>
  <c r="AT805" i="21" s="1"/>
  <c r="AV805" i="21" s="1"/>
  <c r="AY805" i="21"/>
  <c r="AZ805" i="21" s="1"/>
  <c r="AR806" i="21"/>
  <c r="AS806" i="21"/>
  <c r="AT806" i="21" s="1"/>
  <c r="AV806" i="21" s="1"/>
  <c r="AY806" i="21"/>
  <c r="AZ806" i="21" s="1"/>
  <c r="AR807" i="21"/>
  <c r="AS807" i="21"/>
  <c r="AT807" i="21" s="1"/>
  <c r="AV807" i="21" s="1"/>
  <c r="AY807" i="21"/>
  <c r="AZ807" i="21" s="1"/>
  <c r="AR808" i="21"/>
  <c r="AS808" i="21"/>
  <c r="AT808" i="21" s="1"/>
  <c r="AV808" i="21" s="1"/>
  <c r="AY808" i="21"/>
  <c r="AZ808" i="21" s="1"/>
  <c r="AR809" i="21"/>
  <c r="AS809" i="21"/>
  <c r="AT809" i="21" s="1"/>
  <c r="AV809" i="21" s="1"/>
  <c r="AY809" i="21"/>
  <c r="AZ809" i="21" s="1"/>
  <c r="AR810" i="21"/>
  <c r="AS810" i="21"/>
  <c r="AT810" i="21" s="1"/>
  <c r="AV810" i="21" s="1"/>
  <c r="AY810" i="21"/>
  <c r="AZ810" i="21" s="1"/>
  <c r="AR811" i="21"/>
  <c r="AS811" i="21"/>
  <c r="AT811" i="21" s="1"/>
  <c r="AV811" i="21" s="1"/>
  <c r="AY811" i="21"/>
  <c r="AZ811" i="21" s="1"/>
  <c r="AR812" i="21"/>
  <c r="AS812" i="21"/>
  <c r="AT812" i="21" s="1"/>
  <c r="AV812" i="21" s="1"/>
  <c r="AY812" i="21"/>
  <c r="AZ812" i="21" s="1"/>
  <c r="AR813" i="21"/>
  <c r="AS813" i="21"/>
  <c r="AT813" i="21" s="1"/>
  <c r="AV813" i="21" s="1"/>
  <c r="AY813" i="21"/>
  <c r="AZ813" i="21" s="1"/>
  <c r="AR814" i="21"/>
  <c r="AS814" i="21"/>
  <c r="AT814" i="21" s="1"/>
  <c r="AV814" i="21" s="1"/>
  <c r="AY814" i="21"/>
  <c r="AZ814" i="21" s="1"/>
  <c r="AR815" i="21"/>
  <c r="AS815" i="21"/>
  <c r="AT815" i="21" s="1"/>
  <c r="AV815" i="21" s="1"/>
  <c r="AY815" i="21"/>
  <c r="AZ815" i="21" s="1"/>
  <c r="AR816" i="21"/>
  <c r="AS816" i="21"/>
  <c r="AT816" i="21" s="1"/>
  <c r="AV816" i="21" s="1"/>
  <c r="AY816" i="21"/>
  <c r="AZ816" i="21" s="1"/>
  <c r="AR817" i="21"/>
  <c r="AS817" i="21"/>
  <c r="AT817" i="21" s="1"/>
  <c r="AV817" i="21" s="1"/>
  <c r="AY817" i="21"/>
  <c r="AZ817" i="21" s="1"/>
  <c r="AR818" i="21"/>
  <c r="AS818" i="21"/>
  <c r="AT818" i="21" s="1"/>
  <c r="AV818" i="21" s="1"/>
  <c r="AY818" i="21"/>
  <c r="AZ818" i="21" s="1"/>
  <c r="AR819" i="21"/>
  <c r="AS819" i="21"/>
  <c r="AT819" i="21" s="1"/>
  <c r="AV819" i="21" s="1"/>
  <c r="AY819" i="21"/>
  <c r="AZ819" i="21" s="1"/>
  <c r="AR820" i="21"/>
  <c r="AS820" i="21"/>
  <c r="AT820" i="21" s="1"/>
  <c r="AV820" i="21" s="1"/>
  <c r="AY820" i="21"/>
  <c r="AZ820" i="21" s="1"/>
  <c r="AR821" i="21"/>
  <c r="AS821" i="21"/>
  <c r="AT821" i="21" s="1"/>
  <c r="AV821" i="21" s="1"/>
  <c r="AY821" i="21"/>
  <c r="AZ821" i="21" s="1"/>
  <c r="AR822" i="21"/>
  <c r="AS822" i="21"/>
  <c r="AT822" i="21" s="1"/>
  <c r="AV822" i="21" s="1"/>
  <c r="AY822" i="21"/>
  <c r="AZ822" i="21" s="1"/>
  <c r="AR823" i="21"/>
  <c r="AS823" i="21"/>
  <c r="AT823" i="21" s="1"/>
  <c r="AV823" i="21" s="1"/>
  <c r="AY823" i="21"/>
  <c r="AZ823" i="21" s="1"/>
  <c r="AR824" i="21"/>
  <c r="AS824" i="21"/>
  <c r="AT824" i="21" s="1"/>
  <c r="AV824" i="21" s="1"/>
  <c r="AY824" i="21"/>
  <c r="AZ824" i="21" s="1"/>
  <c r="AR825" i="21"/>
  <c r="AS825" i="21"/>
  <c r="AT825" i="21" s="1"/>
  <c r="AV825" i="21" s="1"/>
  <c r="AY825" i="21"/>
  <c r="AZ825" i="21" s="1"/>
  <c r="AR826" i="21"/>
  <c r="AS826" i="21"/>
  <c r="AT826" i="21" s="1"/>
  <c r="AV826" i="21" s="1"/>
  <c r="AY826" i="21"/>
  <c r="AZ826" i="21" s="1"/>
  <c r="AR827" i="21"/>
  <c r="AS827" i="21"/>
  <c r="AT827" i="21" s="1"/>
  <c r="AV827" i="21" s="1"/>
  <c r="AY827" i="21"/>
  <c r="AZ827" i="21" s="1"/>
  <c r="AR828" i="21"/>
  <c r="AS828" i="21"/>
  <c r="AT828" i="21" s="1"/>
  <c r="AV828" i="21" s="1"/>
  <c r="AY828" i="21"/>
  <c r="AZ828" i="21" s="1"/>
  <c r="AR829" i="21"/>
  <c r="AS829" i="21"/>
  <c r="AT829" i="21" s="1"/>
  <c r="AV829" i="21" s="1"/>
  <c r="AY829" i="21"/>
  <c r="AZ829" i="21" s="1"/>
  <c r="AY733" i="21"/>
  <c r="AZ733" i="21" s="1"/>
  <c r="AS733" i="21"/>
  <c r="AW733" i="21" s="1"/>
  <c r="AX733" i="21" s="1"/>
  <c r="AR733" i="21"/>
  <c r="CZ14" i="6"/>
  <c r="CZ11" i="6"/>
  <c r="CZ2" i="6"/>
  <c r="I49" i="12"/>
  <c r="G49" i="12"/>
  <c r="DA34" i="6" l="1"/>
  <c r="DB34" i="6" s="1"/>
  <c r="DA33" i="6"/>
  <c r="DB33" i="6" s="1"/>
  <c r="DA35" i="6"/>
  <c r="DB35" i="6" s="1"/>
  <c r="DA38" i="6"/>
  <c r="DB38" i="6" s="1"/>
  <c r="DA37" i="6"/>
  <c r="DB37" i="6" s="1"/>
  <c r="DA36" i="6"/>
  <c r="DB36" i="6" s="1"/>
  <c r="DA47" i="22"/>
  <c r="CZ89" i="22"/>
  <c r="DA49" i="22"/>
  <c r="CZ91" i="22"/>
  <c r="CZ53" i="22"/>
  <c r="CY95" i="22"/>
  <c r="DA51" i="22"/>
  <c r="CZ93" i="22"/>
  <c r="DA87" i="22"/>
  <c r="DB45" i="22"/>
  <c r="DC48" i="22"/>
  <c r="DB90" i="22"/>
  <c r="DA56" i="22"/>
  <c r="CZ98" i="22"/>
  <c r="DA55" i="22"/>
  <c r="CZ97" i="22"/>
  <c r="DA94" i="22"/>
  <c r="DB52" i="22"/>
  <c r="CZ46" i="22"/>
  <c r="CY88" i="22"/>
  <c r="DA41" i="22"/>
  <c r="CZ83" i="22"/>
  <c r="CZ43" i="22"/>
  <c r="CY85" i="22"/>
  <c r="DA58" i="22"/>
  <c r="CZ100" i="22"/>
  <c r="DA42" i="22"/>
  <c r="CZ84" i="22"/>
  <c r="CY75" i="22"/>
  <c r="CY54" i="22"/>
  <c r="CZ54" i="22" s="1"/>
  <c r="DA54" i="22" s="1"/>
  <c r="DB54" i="22" s="1"/>
  <c r="CY78" i="22"/>
  <c r="CY65" i="22"/>
  <c r="CY71" i="22"/>
  <c r="BU56" i="22"/>
  <c r="BU77" i="22"/>
  <c r="BU119" i="22"/>
  <c r="BU140" i="22" s="1"/>
  <c r="BX50" i="22"/>
  <c r="BX71" i="22"/>
  <c r="BX113" i="22"/>
  <c r="BX134" i="22" s="1"/>
  <c r="BY48" i="22"/>
  <c r="BY69" i="22"/>
  <c r="BY111" i="22"/>
  <c r="BY132" i="22" s="1"/>
  <c r="CF14" i="22"/>
  <c r="CE40" i="22"/>
  <c r="CE83" i="22"/>
  <c r="CE93" i="22"/>
  <c r="CE98" i="22"/>
  <c r="CE61" i="22"/>
  <c r="CE86" i="22"/>
  <c r="CE91" i="22"/>
  <c r="CE96" i="22"/>
  <c r="CE82" i="22"/>
  <c r="CE87" i="22"/>
  <c r="CE92" i="22"/>
  <c r="CE97" i="22"/>
  <c r="CE85" i="22"/>
  <c r="CE90" i="22"/>
  <c r="CE89" i="22"/>
  <c r="CE103" i="22"/>
  <c r="CE99" i="22"/>
  <c r="CE95" i="22"/>
  <c r="CE124" i="22"/>
  <c r="CE100" i="22"/>
  <c r="BU55" i="22"/>
  <c r="BU76" i="22"/>
  <c r="BU118" i="22"/>
  <c r="BU139" i="22" s="1"/>
  <c r="BU72" i="22"/>
  <c r="BU51" i="22"/>
  <c r="BU114" i="22"/>
  <c r="BU135" i="22" s="1"/>
  <c r="BV64" i="22"/>
  <c r="BV43" i="22"/>
  <c r="BV106" i="22"/>
  <c r="BV127" i="22" s="1"/>
  <c r="BW78" i="22"/>
  <c r="BW57" i="22"/>
  <c r="BW120" i="22"/>
  <c r="BW141" i="22" s="1"/>
  <c r="BT66" i="22"/>
  <c r="BT45" i="22"/>
  <c r="BT108" i="22"/>
  <c r="BT129" i="22" s="1"/>
  <c r="BX51" i="22"/>
  <c r="BX72" i="22"/>
  <c r="BX114" i="22"/>
  <c r="BX135" i="22" s="1"/>
  <c r="BV55" i="22"/>
  <c r="BV76" i="22"/>
  <c r="BV118" i="22"/>
  <c r="BV139" i="22" s="1"/>
  <c r="BX66" i="22"/>
  <c r="BX45" i="22"/>
  <c r="BX108" i="22"/>
  <c r="BX129" i="22" s="1"/>
  <c r="BY43" i="22"/>
  <c r="BY64" i="22"/>
  <c r="BY106" i="22"/>
  <c r="BY127" i="22" s="1"/>
  <c r="BU44" i="22"/>
  <c r="BU107" i="22"/>
  <c r="BU128" i="22" s="1"/>
  <c r="BU65" i="22"/>
  <c r="BU62" i="22"/>
  <c r="BU41" i="22"/>
  <c r="BU104" i="22"/>
  <c r="BU125" i="22" s="1"/>
  <c r="BV50" i="22"/>
  <c r="BV71" i="22"/>
  <c r="BV113" i="22"/>
  <c r="BV134" i="22" s="1"/>
  <c r="BX58" i="22"/>
  <c r="BX79" i="22"/>
  <c r="BX121" i="22"/>
  <c r="BX142" i="22" s="1"/>
  <c r="BY58" i="22"/>
  <c r="BY79" i="22"/>
  <c r="BY121" i="22"/>
  <c r="BY142" i="22" s="1"/>
  <c r="BY55" i="22"/>
  <c r="BY76" i="22"/>
  <c r="BY118" i="22"/>
  <c r="BY139" i="22" s="1"/>
  <c r="BU58" i="22"/>
  <c r="BU79" i="22"/>
  <c r="BU121" i="22"/>
  <c r="BU142" i="22" s="1"/>
  <c r="BW62" i="22"/>
  <c r="BW41" i="22"/>
  <c r="BW104" i="22"/>
  <c r="BW125" i="22" s="1"/>
  <c r="BT68" i="22"/>
  <c r="BT47" i="22"/>
  <c r="BT110" i="22"/>
  <c r="BT131" i="22" s="1"/>
  <c r="BW66" i="22"/>
  <c r="BW45" i="22"/>
  <c r="BW108" i="22"/>
  <c r="BW129" i="22" s="1"/>
  <c r="BX68" i="22"/>
  <c r="BX47" i="22"/>
  <c r="BX110" i="22"/>
  <c r="BX131" i="22" s="1"/>
  <c r="BY47" i="22"/>
  <c r="BY68" i="22"/>
  <c r="BY110" i="22"/>
  <c r="BY131" i="22" s="1"/>
  <c r="BY50" i="22"/>
  <c r="BY71" i="22"/>
  <c r="BY113" i="22"/>
  <c r="BY134" i="22" s="1"/>
  <c r="BU54" i="22"/>
  <c r="BU75" i="22"/>
  <c r="BU117" i="22"/>
  <c r="BU138" i="22" s="1"/>
  <c r="BU53" i="22"/>
  <c r="BU74" i="22"/>
  <c r="BU116" i="22"/>
  <c r="BU137" i="22" s="1"/>
  <c r="BV66" i="22"/>
  <c r="BV45" i="22"/>
  <c r="BV108" i="22"/>
  <c r="BV129" i="22" s="1"/>
  <c r="BW68" i="22"/>
  <c r="BW47" i="22"/>
  <c r="BW110" i="22"/>
  <c r="BW131" i="22" s="1"/>
  <c r="BT53" i="22"/>
  <c r="BT116" i="22"/>
  <c r="BT137" i="22" s="1"/>
  <c r="BT74" i="22"/>
  <c r="BT54" i="22"/>
  <c r="BT75" i="22"/>
  <c r="BT117" i="22"/>
  <c r="BT138" i="22" s="1"/>
  <c r="CA61" i="22"/>
  <c r="CA40" i="22"/>
  <c r="CA89" i="22"/>
  <c r="CA99" i="22"/>
  <c r="CA82" i="22"/>
  <c r="CA87" i="22"/>
  <c r="CA92" i="22"/>
  <c r="CA97" i="22"/>
  <c r="CA85" i="22"/>
  <c r="CA90" i="22"/>
  <c r="CA83" i="22"/>
  <c r="CA93" i="22"/>
  <c r="CA98" i="22"/>
  <c r="CA100" i="22"/>
  <c r="CA103" i="22"/>
  <c r="CA86" i="22"/>
  <c r="CA95" i="22"/>
  <c r="CA91" i="22"/>
  <c r="CA96" i="22"/>
  <c r="CA124" i="22"/>
  <c r="BW54" i="22"/>
  <c r="BW75" i="22"/>
  <c r="BW117" i="22"/>
  <c r="BW138" i="22" s="1"/>
  <c r="BX76" i="22"/>
  <c r="BX118" i="22"/>
  <c r="BX139" i="22" s="1"/>
  <c r="BX55" i="22"/>
  <c r="BX54" i="22"/>
  <c r="BX75" i="22"/>
  <c r="BX117" i="22"/>
  <c r="BX138" i="22" s="1"/>
  <c r="BY51" i="22"/>
  <c r="BY72" i="22"/>
  <c r="BY114" i="22"/>
  <c r="BY135" i="22" s="1"/>
  <c r="BY45" i="22"/>
  <c r="BY66" i="22"/>
  <c r="BY108" i="22"/>
  <c r="BY129" i="22" s="1"/>
  <c r="BU70" i="22"/>
  <c r="BU49" i="22"/>
  <c r="BU112" i="22"/>
  <c r="BU133" i="22" s="1"/>
  <c r="BU48" i="22"/>
  <c r="BU69" i="22"/>
  <c r="BU111" i="22"/>
  <c r="BU132" i="22" s="1"/>
  <c r="BV68" i="22"/>
  <c r="BV47" i="22"/>
  <c r="BV110" i="22"/>
  <c r="BV131" i="22" s="1"/>
  <c r="BW44" i="22"/>
  <c r="BW65" i="22"/>
  <c r="BW107" i="22"/>
  <c r="BW128" i="22" s="1"/>
  <c r="BT48" i="22"/>
  <c r="BT69" i="22"/>
  <c r="BT111" i="22"/>
  <c r="BT132" i="22" s="1"/>
  <c r="BT70" i="22"/>
  <c r="BT49" i="22"/>
  <c r="BT112" i="22"/>
  <c r="BT133" i="22" s="1"/>
  <c r="BW70" i="22"/>
  <c r="BW49" i="22"/>
  <c r="BW112" i="22"/>
  <c r="BW133" i="22" s="1"/>
  <c r="BX70" i="22"/>
  <c r="BX49" i="22"/>
  <c r="BX112" i="22"/>
  <c r="BX133" i="22" s="1"/>
  <c r="CD40" i="22"/>
  <c r="CD61" i="22"/>
  <c r="CD83" i="22"/>
  <c r="CD93" i="22"/>
  <c r="CD98" i="22"/>
  <c r="CD86" i="22"/>
  <c r="CD91" i="22"/>
  <c r="CD96" i="22"/>
  <c r="CD89" i="22"/>
  <c r="CD82" i="22"/>
  <c r="CD87" i="22"/>
  <c r="CD85" i="22"/>
  <c r="CD90" i="22"/>
  <c r="CD95" i="22"/>
  <c r="CD92" i="22"/>
  <c r="CD103" i="22"/>
  <c r="CD100" i="22"/>
  <c r="CD97" i="22"/>
  <c r="CD99" i="22"/>
  <c r="CD124" i="22"/>
  <c r="BU57" i="22"/>
  <c r="BU78" i="22"/>
  <c r="BU120" i="22"/>
  <c r="BU141" i="22" s="1"/>
  <c r="BU64" i="22"/>
  <c r="BU43" i="22"/>
  <c r="BU106" i="22"/>
  <c r="BU127" i="22" s="1"/>
  <c r="BV70" i="22"/>
  <c r="BV49" i="22"/>
  <c r="BV112" i="22"/>
  <c r="BV133" i="22" s="1"/>
  <c r="BW58" i="22"/>
  <c r="BW79" i="22"/>
  <c r="BW121" i="22"/>
  <c r="BW142" i="22" s="1"/>
  <c r="BT44" i="22"/>
  <c r="BT65" i="22"/>
  <c r="BT107" i="22"/>
  <c r="BT128" i="22" s="1"/>
  <c r="BV53" i="22"/>
  <c r="BV74" i="22"/>
  <c r="BV116" i="22"/>
  <c r="BV137" i="22" s="1"/>
  <c r="BT50" i="22"/>
  <c r="BT71" i="22"/>
  <c r="BT113" i="22"/>
  <c r="BT134" i="22" s="1"/>
  <c r="BX44" i="22"/>
  <c r="BX65" i="22"/>
  <c r="BX107" i="22"/>
  <c r="BX128" i="22" s="1"/>
  <c r="BY75" i="22"/>
  <c r="BY54" i="22"/>
  <c r="BY117" i="22"/>
  <c r="BY138" i="22" s="1"/>
  <c r="BV44" i="22"/>
  <c r="BV65" i="22"/>
  <c r="BV107" i="22"/>
  <c r="BV128" i="22" s="1"/>
  <c r="BW74" i="22"/>
  <c r="BW53" i="22"/>
  <c r="BW116" i="22"/>
  <c r="BW137" i="22" s="1"/>
  <c r="BT56" i="22"/>
  <c r="BT77" i="22"/>
  <c r="BT119" i="22"/>
  <c r="BT140" i="22" s="1"/>
  <c r="BY41" i="22"/>
  <c r="BY62" i="22"/>
  <c r="BY104" i="22"/>
  <c r="BY125" i="22" s="1"/>
  <c r="BT55" i="22"/>
  <c r="BT76" i="22"/>
  <c r="BT118" i="22"/>
  <c r="BT139" i="22" s="1"/>
  <c r="BX78" i="22"/>
  <c r="BX57" i="22"/>
  <c r="BX120" i="22"/>
  <c r="BX141" i="22" s="1"/>
  <c r="BY53" i="22"/>
  <c r="BY74" i="22"/>
  <c r="BY116" i="22"/>
  <c r="BY137" i="22" s="1"/>
  <c r="BX62" i="22"/>
  <c r="BX41" i="22"/>
  <c r="BX104" i="22"/>
  <c r="BX125" i="22" s="1"/>
  <c r="BY49" i="22"/>
  <c r="BY70" i="22"/>
  <c r="BY112" i="22"/>
  <c r="BY133" i="22" s="1"/>
  <c r="BY57" i="22"/>
  <c r="BY78" i="22"/>
  <c r="BY120" i="22"/>
  <c r="BY141" i="22" s="1"/>
  <c r="BU68" i="22"/>
  <c r="BU47" i="22"/>
  <c r="BU110" i="22"/>
  <c r="BU131" i="22" s="1"/>
  <c r="BV54" i="22"/>
  <c r="BV117" i="22"/>
  <c r="BV138" i="22" s="1"/>
  <c r="BV75" i="22"/>
  <c r="BV72" i="22"/>
  <c r="BV51" i="22"/>
  <c r="BV114" i="22"/>
  <c r="BV135" i="22" s="1"/>
  <c r="BW72" i="22"/>
  <c r="BW114" i="22"/>
  <c r="BW135" i="22" s="1"/>
  <c r="BW51" i="22"/>
  <c r="BW48" i="22"/>
  <c r="BW69" i="22"/>
  <c r="BW111" i="22"/>
  <c r="BW132" i="22" s="1"/>
  <c r="BT57" i="22"/>
  <c r="BT78" i="22"/>
  <c r="BT120" i="22"/>
  <c r="BT141" i="22" s="1"/>
  <c r="BT51" i="22"/>
  <c r="BT114" i="22"/>
  <c r="BT135" i="22" s="1"/>
  <c r="BT72" i="22"/>
  <c r="BW50" i="22"/>
  <c r="BW71" i="22"/>
  <c r="BW113" i="22"/>
  <c r="BW134" i="22" s="1"/>
  <c r="BY56" i="22"/>
  <c r="BY77" i="22"/>
  <c r="BY119" i="22"/>
  <c r="BY140" i="22" s="1"/>
  <c r="BV57" i="22"/>
  <c r="BV78" i="22"/>
  <c r="BV120" i="22"/>
  <c r="BV141" i="22" s="1"/>
  <c r="BX74" i="22"/>
  <c r="BX53" i="22"/>
  <c r="BX116" i="22"/>
  <c r="BX137" i="22" s="1"/>
  <c r="BY65" i="22"/>
  <c r="BY44" i="22"/>
  <c r="BY107" i="22"/>
  <c r="BY128" i="22" s="1"/>
  <c r="CC61" i="22"/>
  <c r="CC86" i="22"/>
  <c r="CC91" i="22"/>
  <c r="CC96" i="22"/>
  <c r="CC40" i="22"/>
  <c r="CC89" i="22"/>
  <c r="CC82" i="22"/>
  <c r="CC87" i="22"/>
  <c r="CC92" i="22"/>
  <c r="CC85" i="22"/>
  <c r="CC90" i="22"/>
  <c r="CC95" i="22"/>
  <c r="CC93" i="22"/>
  <c r="CC98" i="22"/>
  <c r="CC83" i="22"/>
  <c r="CC103" i="22"/>
  <c r="CC100" i="22"/>
  <c r="CC99" i="22"/>
  <c r="CC124" i="22"/>
  <c r="CC97" i="22"/>
  <c r="BU50" i="22"/>
  <c r="BU71" i="22"/>
  <c r="BU113" i="22"/>
  <c r="BU134" i="22" s="1"/>
  <c r="BV62" i="22"/>
  <c r="BV41" i="22"/>
  <c r="BV104" i="22"/>
  <c r="BV125" i="22" s="1"/>
  <c r="BW64" i="22"/>
  <c r="BW43" i="22"/>
  <c r="BW106" i="22"/>
  <c r="BW127" i="22" s="1"/>
  <c r="BT62" i="22"/>
  <c r="BT41" i="22"/>
  <c r="BT104" i="22"/>
  <c r="BT125" i="22" s="1"/>
  <c r="BX64" i="22"/>
  <c r="BX106" i="22"/>
  <c r="BX127" i="22" s="1"/>
  <c r="BX43" i="22"/>
  <c r="BV48" i="22"/>
  <c r="BV69" i="22"/>
  <c r="BV111" i="22"/>
  <c r="BV132" i="22" s="1"/>
  <c r="BX56" i="22"/>
  <c r="BX77" i="22"/>
  <c r="BX119" i="22"/>
  <c r="BX140" i="22" s="1"/>
  <c r="BX48" i="22"/>
  <c r="BX69" i="22"/>
  <c r="BX111" i="22"/>
  <c r="BX132" i="22" s="1"/>
  <c r="BZ61" i="22"/>
  <c r="BZ40" i="22"/>
  <c r="BZ89" i="22"/>
  <c r="BZ99" i="22"/>
  <c r="BZ82" i="22"/>
  <c r="BZ87" i="22"/>
  <c r="BZ92" i="22"/>
  <c r="BZ97" i="22"/>
  <c r="BZ83" i="22"/>
  <c r="BZ93" i="22"/>
  <c r="BZ98" i="22"/>
  <c r="BZ86" i="22"/>
  <c r="BZ91" i="22"/>
  <c r="BZ85" i="22"/>
  <c r="BZ100" i="22"/>
  <c r="BZ103" i="22"/>
  <c r="BZ124" i="22"/>
  <c r="BZ95" i="22"/>
  <c r="BZ96" i="22"/>
  <c r="BZ90" i="22"/>
  <c r="CB61" i="22"/>
  <c r="CB40" i="22"/>
  <c r="CB86" i="22"/>
  <c r="CB91" i="22"/>
  <c r="CB96" i="22"/>
  <c r="CB103" i="22"/>
  <c r="CB89" i="22"/>
  <c r="CB99" i="22"/>
  <c r="CB85" i="22"/>
  <c r="CB83" i="22"/>
  <c r="CB93" i="22"/>
  <c r="CB98" i="22"/>
  <c r="CB87" i="22"/>
  <c r="CB82" i="22"/>
  <c r="CB92" i="22"/>
  <c r="CB100" i="22"/>
  <c r="CB124" i="22"/>
  <c r="CB97" i="22"/>
  <c r="CB90" i="22"/>
  <c r="CB95" i="22"/>
  <c r="BU66" i="22"/>
  <c r="BU45" i="22"/>
  <c r="BU108" i="22"/>
  <c r="BU129" i="22" s="1"/>
  <c r="BV56" i="22"/>
  <c r="BV119" i="22"/>
  <c r="BV140" i="22" s="1"/>
  <c r="BV77" i="22"/>
  <c r="BV58" i="22"/>
  <c r="BV121" i="22"/>
  <c r="BV142" i="22" s="1"/>
  <c r="BV79" i="22"/>
  <c r="BW56" i="22"/>
  <c r="BW77" i="22"/>
  <c r="BW119" i="22"/>
  <c r="BW140" i="22" s="1"/>
  <c r="BW76" i="22"/>
  <c r="BW55" i="22"/>
  <c r="BW118" i="22"/>
  <c r="BW139" i="22" s="1"/>
  <c r="BT64" i="22"/>
  <c r="BT43" i="22"/>
  <c r="BT106" i="22"/>
  <c r="BT127" i="22" s="1"/>
  <c r="BT58" i="22"/>
  <c r="BT79" i="22"/>
  <c r="BT121" i="22"/>
  <c r="BT142" i="22" s="1"/>
  <c r="BQ2" i="20"/>
  <c r="BP2" i="20"/>
  <c r="BO2" i="20"/>
  <c r="CN3" i="20"/>
  <c r="CM3" i="20"/>
  <c r="BP3" i="20"/>
  <c r="CN2" i="20"/>
  <c r="CL3" i="20"/>
  <c r="BO3" i="20"/>
  <c r="CM2" i="20"/>
  <c r="BQ3" i="20"/>
  <c r="CL2" i="20"/>
  <c r="AS3" i="20"/>
  <c r="AT3" i="20"/>
  <c r="AR3" i="20"/>
  <c r="AY781" i="21"/>
  <c r="AZ781" i="21" s="1"/>
  <c r="AY767" i="21"/>
  <c r="AZ767" i="21" s="1"/>
  <c r="AY765" i="21"/>
  <c r="AZ765" i="21" s="1"/>
  <c r="AY743" i="21"/>
  <c r="AZ743" i="21" s="1"/>
  <c r="AY737" i="21"/>
  <c r="AZ737" i="21" s="1"/>
  <c r="AY735" i="21"/>
  <c r="AZ735" i="21" s="1"/>
  <c r="AY783" i="21"/>
  <c r="AZ783" i="21" s="1"/>
  <c r="AW829" i="21"/>
  <c r="AX829" i="21" s="1"/>
  <c r="AW827" i="21"/>
  <c r="AX827" i="21" s="1"/>
  <c r="AW823" i="21"/>
  <c r="AX823" i="21" s="1"/>
  <c r="AW821" i="21"/>
  <c r="AX821" i="21" s="1"/>
  <c r="AW819" i="21"/>
  <c r="AX819" i="21" s="1"/>
  <c r="AW817" i="21"/>
  <c r="AX817" i="21" s="1"/>
  <c r="AW815" i="21"/>
  <c r="AX815" i="21" s="1"/>
  <c r="AW813" i="21"/>
  <c r="AX813" i="21" s="1"/>
  <c r="AW811" i="21"/>
  <c r="AX811" i="21" s="1"/>
  <c r="AW809" i="21"/>
  <c r="AX809" i="21" s="1"/>
  <c r="AW807" i="21"/>
  <c r="AX807" i="21" s="1"/>
  <c r="AW805" i="21"/>
  <c r="AX805" i="21" s="1"/>
  <c r="AW803" i="21"/>
  <c r="AX803" i="21" s="1"/>
  <c r="AW801" i="21"/>
  <c r="AX801" i="21" s="1"/>
  <c r="AW799" i="21"/>
  <c r="AX799" i="21" s="1"/>
  <c r="AW797" i="21"/>
  <c r="AX797" i="21" s="1"/>
  <c r="AW795" i="21"/>
  <c r="AX795" i="21" s="1"/>
  <c r="AW793" i="21"/>
  <c r="AX793" i="21" s="1"/>
  <c r="AW791" i="21"/>
  <c r="AX791" i="21" s="1"/>
  <c r="AW789" i="21"/>
  <c r="AX789" i="21" s="1"/>
  <c r="AW787" i="21"/>
  <c r="AX787" i="21" s="1"/>
  <c r="AW785" i="21"/>
  <c r="AX785" i="21" s="1"/>
  <c r="AW779" i="21"/>
  <c r="AX779" i="21" s="1"/>
  <c r="AW777" i="21"/>
  <c r="AX777" i="21" s="1"/>
  <c r="AW775" i="21"/>
  <c r="AX775" i="21" s="1"/>
  <c r="AW773" i="21"/>
  <c r="AX773" i="21" s="1"/>
  <c r="AW771" i="21"/>
  <c r="AX771" i="21" s="1"/>
  <c r="AW769" i="21"/>
  <c r="AX769" i="21" s="1"/>
  <c r="AW763" i="21"/>
  <c r="AX763" i="21" s="1"/>
  <c r="AW761" i="21"/>
  <c r="AX761" i="21" s="1"/>
  <c r="AW759" i="21"/>
  <c r="AX759" i="21" s="1"/>
  <c r="AW757" i="21"/>
  <c r="AX757" i="21" s="1"/>
  <c r="AW755" i="21"/>
  <c r="AX755" i="21" s="1"/>
  <c r="AW753" i="21"/>
  <c r="AX753" i="21" s="1"/>
  <c r="AW751" i="21"/>
  <c r="AX751" i="21" s="1"/>
  <c r="AW749" i="21"/>
  <c r="AX749" i="21" s="1"/>
  <c r="AW747" i="21"/>
  <c r="AX747" i="21" s="1"/>
  <c r="AW745" i="21"/>
  <c r="AX745" i="21" s="1"/>
  <c r="AW741" i="21"/>
  <c r="AX741" i="21" s="1"/>
  <c r="AW739" i="21"/>
  <c r="AX739" i="21" s="1"/>
  <c r="AW825" i="21"/>
  <c r="AX825" i="21" s="1"/>
  <c r="AY758" i="21"/>
  <c r="AZ758" i="21" s="1"/>
  <c r="AY756" i="21"/>
  <c r="AZ756" i="21" s="1"/>
  <c r="AY754" i="21"/>
  <c r="AZ754" i="21" s="1"/>
  <c r="AY750" i="21"/>
  <c r="AZ750" i="21" s="1"/>
  <c r="AY740" i="21"/>
  <c r="AZ740" i="21" s="1"/>
  <c r="AY736" i="21"/>
  <c r="AZ736" i="21" s="1"/>
  <c r="AY734" i="21"/>
  <c r="AZ734" i="21" s="1"/>
  <c r="AY788" i="21"/>
  <c r="AZ788" i="21" s="1"/>
  <c r="AY782" i="21"/>
  <c r="AZ782" i="21" s="1"/>
  <c r="AY776" i="21"/>
  <c r="AZ776" i="21" s="1"/>
  <c r="AY786" i="21"/>
  <c r="AZ786" i="21" s="1"/>
  <c r="AW828" i="21"/>
  <c r="AX828" i="21" s="1"/>
  <c r="AW826" i="21"/>
  <c r="AX826" i="21" s="1"/>
  <c r="AW824" i="21"/>
  <c r="AX824" i="21" s="1"/>
  <c r="AW822" i="21"/>
  <c r="AX822" i="21" s="1"/>
  <c r="AW820" i="21"/>
  <c r="AX820" i="21" s="1"/>
  <c r="AW818" i="21"/>
  <c r="AX818" i="21" s="1"/>
  <c r="AW816" i="21"/>
  <c r="AX816" i="21" s="1"/>
  <c r="AW814" i="21"/>
  <c r="AX814" i="21" s="1"/>
  <c r="AW812" i="21"/>
  <c r="AX812" i="21" s="1"/>
  <c r="AW810" i="21"/>
  <c r="AX810" i="21" s="1"/>
  <c r="AW808" i="21"/>
  <c r="AX808" i="21" s="1"/>
  <c r="AW806" i="21"/>
  <c r="AX806" i="21" s="1"/>
  <c r="AW804" i="21"/>
  <c r="AX804" i="21" s="1"/>
  <c r="AW802" i="21"/>
  <c r="AX802" i="21" s="1"/>
  <c r="AW800" i="21"/>
  <c r="AX800" i="21" s="1"/>
  <c r="AW798" i="21"/>
  <c r="AX798" i="21" s="1"/>
  <c r="AW796" i="21"/>
  <c r="AX796" i="21" s="1"/>
  <c r="AW794" i="21"/>
  <c r="AX794" i="21" s="1"/>
  <c r="AW792" i="21"/>
  <c r="AX792" i="21" s="1"/>
  <c r="AW790" i="21"/>
  <c r="AX790" i="21" s="1"/>
  <c r="AW784" i="21"/>
  <c r="AX784" i="21" s="1"/>
  <c r="AW780" i="21"/>
  <c r="AX780" i="21" s="1"/>
  <c r="AW778" i="21"/>
  <c r="AX778" i="21" s="1"/>
  <c r="AW774" i="21"/>
  <c r="AX774" i="21" s="1"/>
  <c r="AW772" i="21"/>
  <c r="AX772" i="21" s="1"/>
  <c r="AW770" i="21"/>
  <c r="AX770" i="21" s="1"/>
  <c r="AW768" i="21"/>
  <c r="AX768" i="21" s="1"/>
  <c r="AW766" i="21"/>
  <c r="AX766" i="21" s="1"/>
  <c r="AW764" i="21"/>
  <c r="AX764" i="21" s="1"/>
  <c r="AW762" i="21"/>
  <c r="AX762" i="21" s="1"/>
  <c r="AW760" i="21"/>
  <c r="AX760" i="21" s="1"/>
  <c r="AW752" i="21"/>
  <c r="AX752" i="21" s="1"/>
  <c r="AW748" i="21"/>
  <c r="AX748" i="21" s="1"/>
  <c r="AW746" i="21"/>
  <c r="AX746" i="21" s="1"/>
  <c r="AW744" i="21"/>
  <c r="AX744" i="21" s="1"/>
  <c r="AW742" i="21"/>
  <c r="AX742" i="21" s="1"/>
  <c r="AW738" i="21"/>
  <c r="AX738" i="21" s="1"/>
  <c r="AT733" i="21"/>
  <c r="AV733" i="21" s="1"/>
  <c r="B71" i="18" s="1"/>
  <c r="J49" i="12"/>
  <c r="U49" i="12" s="1"/>
  <c r="C69" i="18" s="1"/>
  <c r="S69" i="18" s="1"/>
  <c r="F71" i="18" l="1"/>
  <c r="I16" i="19" s="1"/>
  <c r="DC54" i="22"/>
  <c r="DB96" i="22"/>
  <c r="DC52" i="22"/>
  <c r="DB94" i="22"/>
  <c r="DA53" i="22"/>
  <c r="CZ95" i="22"/>
  <c r="DA84" i="22"/>
  <c r="DB42" i="22"/>
  <c r="DA97" i="22"/>
  <c r="DB55" i="22"/>
  <c r="DA91" i="22"/>
  <c r="DB49" i="22"/>
  <c r="DA100" i="22"/>
  <c r="DB58" i="22"/>
  <c r="DA98" i="22"/>
  <c r="DB56" i="22"/>
  <c r="DA89" i="22"/>
  <c r="DB47" i="22"/>
  <c r="DA43" i="22"/>
  <c r="CZ85" i="22"/>
  <c r="DC90" i="22"/>
  <c r="DD48" i="22"/>
  <c r="DD90" i="22" s="1"/>
  <c r="DC45" i="22"/>
  <c r="DB87" i="22"/>
  <c r="DA83" i="22"/>
  <c r="DB41" i="22"/>
  <c r="DA46" i="22"/>
  <c r="CZ88" i="22"/>
  <c r="DA93" i="22"/>
  <c r="DB51" i="22"/>
  <c r="R71" i="18"/>
  <c r="I43" i="19" s="1"/>
  <c r="J114" i="18"/>
  <c r="O15" i="19"/>
  <c r="F123" i="18" s="1"/>
  <c r="N71" i="18"/>
  <c r="I34" i="19" s="1"/>
  <c r="J71" i="18"/>
  <c r="I25" i="19" s="1"/>
  <c r="J123" i="18"/>
  <c r="B114" i="18"/>
  <c r="CB41" i="22"/>
  <c r="CB62" i="22"/>
  <c r="CB104" i="22"/>
  <c r="CB125" i="22" s="1"/>
  <c r="BZ45" i="22"/>
  <c r="BZ66" i="22"/>
  <c r="BZ108" i="22"/>
  <c r="BZ129" i="22" s="1"/>
  <c r="CC79" i="22"/>
  <c r="CC58" i="22"/>
  <c r="CC121" i="22"/>
  <c r="CC142" i="22" s="1"/>
  <c r="CA51" i="22"/>
  <c r="CA72" i="22"/>
  <c r="CA114" i="22"/>
  <c r="CA135" i="22" s="1"/>
  <c r="CE62" i="22"/>
  <c r="CE41" i="22"/>
  <c r="CE104" i="22"/>
  <c r="CE125" i="22" s="1"/>
  <c r="CB43" i="22"/>
  <c r="CB64" i="22"/>
  <c r="CB106" i="22"/>
  <c r="CB127" i="22" s="1"/>
  <c r="CC75" i="22"/>
  <c r="CC54" i="22"/>
  <c r="CC117" i="22"/>
  <c r="CC138" i="22" s="1"/>
  <c r="CD55" i="22"/>
  <c r="CD76" i="22"/>
  <c r="CD118" i="22"/>
  <c r="CD139" i="22" s="1"/>
  <c r="CD65" i="22"/>
  <c r="CD44" i="22"/>
  <c r="CD107" i="22"/>
  <c r="CD128" i="22" s="1"/>
  <c r="CA41" i="22"/>
  <c r="CA62" i="22"/>
  <c r="CA104" i="22"/>
  <c r="CA125" i="22" s="1"/>
  <c r="CE43" i="22"/>
  <c r="CE64" i="22"/>
  <c r="CE106" i="22"/>
  <c r="CE127" i="22" s="1"/>
  <c r="CD57" i="22"/>
  <c r="CD78" i="22"/>
  <c r="CD120" i="22"/>
  <c r="CD141" i="22" s="1"/>
  <c r="CB57" i="22"/>
  <c r="CB78" i="22"/>
  <c r="CB120" i="22"/>
  <c r="CB141" i="22" s="1"/>
  <c r="BZ57" i="22"/>
  <c r="BZ78" i="22"/>
  <c r="BZ120" i="22"/>
  <c r="BZ141" i="22" s="1"/>
  <c r="CC41" i="22"/>
  <c r="CC62" i="22"/>
  <c r="CC104" i="22"/>
  <c r="CC125" i="22" s="1"/>
  <c r="CC49" i="22"/>
  <c r="CC70" i="22"/>
  <c r="CC112" i="22"/>
  <c r="CC133" i="22" s="1"/>
  <c r="CD79" i="22"/>
  <c r="CD58" i="22"/>
  <c r="CD121" i="22"/>
  <c r="CD142" i="22" s="1"/>
  <c r="CD77" i="22"/>
  <c r="CD56" i="22"/>
  <c r="CD119" i="22"/>
  <c r="CD140" i="22" s="1"/>
  <c r="CA69" i="22"/>
  <c r="CA48" i="22"/>
  <c r="CA111" i="22"/>
  <c r="CA132" i="22" s="1"/>
  <c r="CE55" i="22"/>
  <c r="CE76" i="22"/>
  <c r="CE118" i="22"/>
  <c r="CE139" i="22" s="1"/>
  <c r="CG14" i="22"/>
  <c r="CF40" i="22"/>
  <c r="CF100" i="22"/>
  <c r="CF83" i="22"/>
  <c r="CF93" i="22"/>
  <c r="CF98" i="22"/>
  <c r="CF61" i="22"/>
  <c r="CF86" i="22"/>
  <c r="CF91" i="22"/>
  <c r="CF96" i="22"/>
  <c r="CF89" i="22"/>
  <c r="CF82" i="22"/>
  <c r="CF87" i="22"/>
  <c r="CF92" i="22"/>
  <c r="CF97" i="22"/>
  <c r="CF90" i="22"/>
  <c r="CF95" i="22"/>
  <c r="CF124" i="22"/>
  <c r="CF85" i="22"/>
  <c r="CF99" i="22"/>
  <c r="CF103" i="22"/>
  <c r="BZ53" i="22"/>
  <c r="BZ74" i="22"/>
  <c r="BZ116" i="22"/>
  <c r="BZ137" i="22" s="1"/>
  <c r="CD49" i="22"/>
  <c r="CD70" i="22"/>
  <c r="CD112" i="22"/>
  <c r="CD133" i="22" s="1"/>
  <c r="CE48" i="22"/>
  <c r="CE69" i="22"/>
  <c r="CE111" i="22"/>
  <c r="CE132" i="22" s="1"/>
  <c r="CB53" i="22"/>
  <c r="CB74" i="22"/>
  <c r="CB116" i="22"/>
  <c r="CB137" i="22" s="1"/>
  <c r="CB69" i="22"/>
  <c r="CB48" i="22"/>
  <c r="CB111" i="22"/>
  <c r="CB132" i="22" s="1"/>
  <c r="CB47" i="22"/>
  <c r="CB68" i="22"/>
  <c r="CB110" i="22"/>
  <c r="CB131" i="22" s="1"/>
  <c r="BZ58" i="22"/>
  <c r="BZ79" i="22"/>
  <c r="BZ121" i="22"/>
  <c r="BZ142" i="22" s="1"/>
  <c r="BZ47" i="22"/>
  <c r="BZ68" i="22"/>
  <c r="BZ110" i="22"/>
  <c r="BZ131" i="22" s="1"/>
  <c r="CC77" i="22"/>
  <c r="CC119" i="22"/>
  <c r="CC140" i="22" s="1"/>
  <c r="CC56" i="22"/>
  <c r="CC65" i="22"/>
  <c r="CC107" i="22"/>
  <c r="CC128" i="22" s="1"/>
  <c r="CC44" i="22"/>
  <c r="CD51" i="22"/>
  <c r="CD72" i="22"/>
  <c r="CD114" i="22"/>
  <c r="CD135" i="22" s="1"/>
  <c r="CA43" i="22"/>
  <c r="CA64" i="22"/>
  <c r="CA106" i="22"/>
  <c r="CA127" i="22" s="1"/>
  <c r="CE50" i="22"/>
  <c r="CE71" i="22"/>
  <c r="CE113" i="22"/>
  <c r="CE134" i="22" s="1"/>
  <c r="CD41" i="22"/>
  <c r="CD62" i="22"/>
  <c r="CD104" i="22"/>
  <c r="CD125" i="22" s="1"/>
  <c r="CA55" i="22"/>
  <c r="CA76" i="22"/>
  <c r="CA118" i="22"/>
  <c r="CA139" i="22" s="1"/>
  <c r="CB58" i="22"/>
  <c r="CB121" i="22"/>
  <c r="CB142" i="22" s="1"/>
  <c r="CB79" i="22"/>
  <c r="CC69" i="22"/>
  <c r="CC48" i="22"/>
  <c r="CC111" i="22"/>
  <c r="CC132" i="22" s="1"/>
  <c r="CD69" i="22"/>
  <c r="CD111" i="22"/>
  <c r="CD132" i="22" s="1"/>
  <c r="CD48" i="22"/>
  <c r="CA49" i="22"/>
  <c r="CA70" i="22"/>
  <c r="CA112" i="22"/>
  <c r="CA133" i="22" s="1"/>
  <c r="CA45" i="22"/>
  <c r="CA66" i="22"/>
  <c r="CA108" i="22"/>
  <c r="CA129" i="22" s="1"/>
  <c r="CE58" i="22"/>
  <c r="CE79" i="22"/>
  <c r="CE121" i="22"/>
  <c r="CE142" i="22" s="1"/>
  <c r="CE54" i="22"/>
  <c r="CE75" i="22"/>
  <c r="CE117" i="22"/>
  <c r="CE138" i="22" s="1"/>
  <c r="CE66" i="22"/>
  <c r="CE45" i="22"/>
  <c r="CE108" i="22"/>
  <c r="CE129" i="22" s="1"/>
  <c r="BZ49" i="22"/>
  <c r="BZ70" i="22"/>
  <c r="BZ112" i="22"/>
  <c r="BZ133" i="22" s="1"/>
  <c r="CD53" i="22"/>
  <c r="CD74" i="22"/>
  <c r="CD116" i="22"/>
  <c r="CD137" i="22" s="1"/>
  <c r="BZ65" i="22"/>
  <c r="BZ44" i="22"/>
  <c r="BZ107" i="22"/>
  <c r="BZ128" i="22" s="1"/>
  <c r="CB71" i="22"/>
  <c r="CB50" i="22"/>
  <c r="CB113" i="22"/>
  <c r="CB134" i="22" s="1"/>
  <c r="CB65" i="22"/>
  <c r="CB44" i="22"/>
  <c r="CB107" i="22"/>
  <c r="CB128" i="22" s="1"/>
  <c r="BZ56" i="22"/>
  <c r="BZ77" i="22"/>
  <c r="BZ119" i="22"/>
  <c r="BZ140" i="22" s="1"/>
  <c r="CC43" i="22"/>
  <c r="CC64" i="22"/>
  <c r="CC106" i="22"/>
  <c r="CC127" i="22" s="1"/>
  <c r="CD43" i="22"/>
  <c r="CD64" i="22"/>
  <c r="CD106" i="22"/>
  <c r="CD127" i="22" s="1"/>
  <c r="CA53" i="22"/>
  <c r="CA74" i="22"/>
  <c r="CA116" i="22"/>
  <c r="CA137" i="22" s="1"/>
  <c r="CE49" i="22"/>
  <c r="CE70" i="22"/>
  <c r="CE112" i="22"/>
  <c r="CE133" i="22" s="1"/>
  <c r="CA54" i="22"/>
  <c r="CA75" i="22"/>
  <c r="CA117" i="22"/>
  <c r="CA138" i="22" s="1"/>
  <c r="BZ51" i="22"/>
  <c r="BZ72" i="22"/>
  <c r="BZ114" i="22"/>
  <c r="BZ135" i="22" s="1"/>
  <c r="CC71" i="22"/>
  <c r="CC50" i="22"/>
  <c r="CC113" i="22"/>
  <c r="CC134" i="22" s="1"/>
  <c r="CD45" i="22"/>
  <c r="CD66" i="22"/>
  <c r="CD108" i="22"/>
  <c r="CD129" i="22" s="1"/>
  <c r="CA65" i="22"/>
  <c r="CA44" i="22"/>
  <c r="CA107" i="22"/>
  <c r="CA128" i="22" s="1"/>
  <c r="CA57" i="22"/>
  <c r="CA78" i="22"/>
  <c r="CA120" i="22"/>
  <c r="CA141" i="22" s="1"/>
  <c r="CE53" i="22"/>
  <c r="CE74" i="22"/>
  <c r="CE116" i="22"/>
  <c r="CE137" i="22" s="1"/>
  <c r="CE44" i="22"/>
  <c r="CE65" i="22"/>
  <c r="CE107" i="22"/>
  <c r="CE128" i="22" s="1"/>
  <c r="BZ43" i="22"/>
  <c r="BZ64" i="22"/>
  <c r="BZ106" i="22"/>
  <c r="BZ127" i="22" s="1"/>
  <c r="CB54" i="22"/>
  <c r="CB117" i="22"/>
  <c r="CB138" i="22" s="1"/>
  <c r="CB75" i="22"/>
  <c r="CC53" i="22"/>
  <c r="CC74" i="22"/>
  <c r="CC116" i="22"/>
  <c r="CC137" i="22" s="1"/>
  <c r="CB45" i="22"/>
  <c r="CB66" i="22"/>
  <c r="CB108" i="22"/>
  <c r="CB129" i="22" s="1"/>
  <c r="BZ41" i="22"/>
  <c r="BZ62" i="22"/>
  <c r="BZ104" i="22"/>
  <c r="BZ125" i="22" s="1"/>
  <c r="CC55" i="22"/>
  <c r="CC76" i="22"/>
  <c r="CC118" i="22"/>
  <c r="CC139" i="22" s="1"/>
  <c r="CC45" i="22"/>
  <c r="CC66" i="22"/>
  <c r="CC108" i="22"/>
  <c r="CC129" i="22" s="1"/>
  <c r="CA47" i="22"/>
  <c r="CA68" i="22"/>
  <c r="CA110" i="22"/>
  <c r="CA131" i="22" s="1"/>
  <c r="CE57" i="22"/>
  <c r="CE78" i="22"/>
  <c r="CE120" i="22"/>
  <c r="CE141" i="22" s="1"/>
  <c r="CB55" i="22"/>
  <c r="CB76" i="22"/>
  <c r="CB118" i="22"/>
  <c r="CB139" i="22" s="1"/>
  <c r="CD71" i="22"/>
  <c r="CD50" i="22"/>
  <c r="CD113" i="22"/>
  <c r="CD134" i="22" s="1"/>
  <c r="CB49" i="22"/>
  <c r="CB70" i="22"/>
  <c r="CB112" i="22"/>
  <c r="CB133" i="22" s="1"/>
  <c r="CB56" i="22"/>
  <c r="CB119" i="22"/>
  <c r="CB140" i="22" s="1"/>
  <c r="CB77" i="22"/>
  <c r="BZ69" i="22"/>
  <c r="BZ48" i="22"/>
  <c r="BZ111" i="22"/>
  <c r="BZ132" i="22" s="1"/>
  <c r="BZ55" i="22"/>
  <c r="BZ76" i="22"/>
  <c r="BZ118" i="22"/>
  <c r="BZ139" i="22" s="1"/>
  <c r="CD47" i="22"/>
  <c r="CD68" i="22"/>
  <c r="CD110" i="22"/>
  <c r="CD131" i="22" s="1"/>
  <c r="CA58" i="22"/>
  <c r="CA79" i="22"/>
  <c r="CA121" i="22"/>
  <c r="CA142" i="22" s="1"/>
  <c r="CE56" i="22"/>
  <c r="CE77" i="22"/>
  <c r="CE119" i="22"/>
  <c r="CE140" i="22" s="1"/>
  <c r="CC51" i="22"/>
  <c r="CC72" i="22"/>
  <c r="CC114" i="22"/>
  <c r="CC135" i="22" s="1"/>
  <c r="CA71" i="22"/>
  <c r="CA50" i="22"/>
  <c r="CA113" i="22"/>
  <c r="CA134" i="22" s="1"/>
  <c r="CB51" i="22"/>
  <c r="CB72" i="22"/>
  <c r="CB114" i="22"/>
  <c r="CB135" i="22" s="1"/>
  <c r="BZ54" i="22"/>
  <c r="BZ75" i="22"/>
  <c r="BZ117" i="22"/>
  <c r="BZ138" i="22" s="1"/>
  <c r="BZ71" i="22"/>
  <c r="BZ50" i="22"/>
  <c r="BZ113" i="22"/>
  <c r="BZ134" i="22" s="1"/>
  <c r="CC57" i="22"/>
  <c r="CC78" i="22"/>
  <c r="CC120" i="22"/>
  <c r="CC141" i="22" s="1"/>
  <c r="CC47" i="22"/>
  <c r="CC68" i="22"/>
  <c r="CC110" i="22"/>
  <c r="CC131" i="22" s="1"/>
  <c r="CD75" i="22"/>
  <c r="CD54" i="22"/>
  <c r="CD117" i="22"/>
  <c r="CD138" i="22" s="1"/>
  <c r="CA56" i="22"/>
  <c r="CA77" i="22"/>
  <c r="CA119" i="22"/>
  <c r="CA140" i="22" s="1"/>
  <c r="CE68" i="22"/>
  <c r="CE47" i="22"/>
  <c r="CE110" i="22"/>
  <c r="CE131" i="22" s="1"/>
  <c r="CE51" i="22"/>
  <c r="CE72" i="22"/>
  <c r="CE114" i="22"/>
  <c r="CE135" i="22" s="1"/>
  <c r="I7" i="19"/>
  <c r="AB48" i="14"/>
  <c r="X48" i="14"/>
  <c r="Y48" i="14" s="1"/>
  <c r="G48" i="14"/>
  <c r="B48" i="14"/>
  <c r="AA48" i="14" s="1"/>
  <c r="CX9" i="6"/>
  <c r="CX8" i="6"/>
  <c r="G47" i="14"/>
  <c r="L47" i="14" s="1"/>
  <c r="G48" i="12"/>
  <c r="J48" i="12" s="1"/>
  <c r="U48" i="12" s="1"/>
  <c r="C60" i="18" s="1"/>
  <c r="S60" i="18" s="1"/>
  <c r="R60" i="18"/>
  <c r="N60" i="18"/>
  <c r="J60" i="18"/>
  <c r="F60" i="18"/>
  <c r="B60" i="18"/>
  <c r="AR609" i="21"/>
  <c r="AS609" i="21"/>
  <c r="AT609" i="21"/>
  <c r="AV609" i="21" s="1"/>
  <c r="AY609" i="21"/>
  <c r="AZ609" i="21" s="1"/>
  <c r="AR610" i="21"/>
  <c r="AS610" i="21"/>
  <c r="AT610" i="21"/>
  <c r="AV610" i="21" s="1"/>
  <c r="AY610" i="21"/>
  <c r="AZ610" i="21" s="1"/>
  <c r="AR611" i="21"/>
  <c r="AS611" i="21"/>
  <c r="AY611" i="21"/>
  <c r="AZ611" i="21" s="1"/>
  <c r="AR612" i="21"/>
  <c r="AS612" i="21"/>
  <c r="AY612" i="21"/>
  <c r="AZ612" i="21" s="1"/>
  <c r="AR613" i="21"/>
  <c r="AS613" i="21"/>
  <c r="AY613" i="21"/>
  <c r="AZ613" i="21" s="1"/>
  <c r="AR614" i="21"/>
  <c r="AS614" i="21"/>
  <c r="AY614" i="21"/>
  <c r="AZ614" i="21" s="1"/>
  <c r="AR615" i="21"/>
  <c r="AS615" i="21"/>
  <c r="AY615" i="21"/>
  <c r="AZ615" i="21" s="1"/>
  <c r="AR616" i="21"/>
  <c r="AS616" i="21"/>
  <c r="AY616" i="21"/>
  <c r="AZ616" i="21" s="1"/>
  <c r="AR617" i="21"/>
  <c r="AS617" i="21"/>
  <c r="AY617" i="21"/>
  <c r="AZ617" i="21" s="1"/>
  <c r="AR618" i="21"/>
  <c r="AS618" i="21"/>
  <c r="AY618" i="21"/>
  <c r="AZ618" i="21" s="1"/>
  <c r="AR619" i="21"/>
  <c r="AS619" i="21"/>
  <c r="AY619" i="21"/>
  <c r="AZ619" i="21" s="1"/>
  <c r="AR620" i="21"/>
  <c r="AS620" i="21"/>
  <c r="AY620" i="21"/>
  <c r="AZ620" i="21" s="1"/>
  <c r="AR621" i="21"/>
  <c r="AS621" i="21"/>
  <c r="AY621" i="21"/>
  <c r="AZ621" i="21" s="1"/>
  <c r="AR622" i="21"/>
  <c r="AS622" i="21"/>
  <c r="AY622" i="21"/>
  <c r="AZ622" i="21" s="1"/>
  <c r="AR623" i="21"/>
  <c r="AS623" i="21"/>
  <c r="AY623" i="21"/>
  <c r="AZ623" i="21" s="1"/>
  <c r="AR624" i="21"/>
  <c r="AS624" i="21"/>
  <c r="AY624" i="21"/>
  <c r="AZ624" i="21" s="1"/>
  <c r="AR625" i="21"/>
  <c r="AS625" i="21"/>
  <c r="AY625" i="21"/>
  <c r="AZ625" i="21" s="1"/>
  <c r="AR626" i="21"/>
  <c r="AS626" i="21"/>
  <c r="AY626" i="21"/>
  <c r="AZ626" i="21" s="1"/>
  <c r="AR627" i="21"/>
  <c r="AS627" i="21"/>
  <c r="AY627" i="21"/>
  <c r="AZ627" i="21" s="1"/>
  <c r="AR628" i="21"/>
  <c r="AS628" i="21"/>
  <c r="AY628" i="21"/>
  <c r="AZ628" i="21" s="1"/>
  <c r="AR629" i="21"/>
  <c r="AS629" i="21"/>
  <c r="AY629" i="21"/>
  <c r="AZ629" i="21" s="1"/>
  <c r="AR630" i="21"/>
  <c r="AS630" i="21"/>
  <c r="AY630" i="21"/>
  <c r="AZ630" i="21" s="1"/>
  <c r="AR631" i="21"/>
  <c r="AS631" i="21"/>
  <c r="AY631" i="21"/>
  <c r="AZ631" i="21" s="1"/>
  <c r="AR632" i="21"/>
  <c r="AS632" i="21"/>
  <c r="AY632" i="21"/>
  <c r="AZ632" i="21" s="1"/>
  <c r="AR633" i="21"/>
  <c r="AS633" i="21"/>
  <c r="AY633" i="21"/>
  <c r="AZ633" i="21" s="1"/>
  <c r="AR634" i="21"/>
  <c r="AS634" i="21"/>
  <c r="AW634" i="21"/>
  <c r="AX634" i="21" s="1"/>
  <c r="AY634" i="21"/>
  <c r="AZ634" i="21" s="1"/>
  <c r="AR635" i="21"/>
  <c r="AS635" i="21"/>
  <c r="AY635" i="21"/>
  <c r="AZ635" i="21" s="1"/>
  <c r="AR636" i="21"/>
  <c r="AS636" i="21"/>
  <c r="AW636" i="21"/>
  <c r="AX636" i="21" s="1"/>
  <c r="AT636" i="21"/>
  <c r="AV636" i="21" s="1"/>
  <c r="AY636" i="21"/>
  <c r="AZ636" i="21" s="1"/>
  <c r="AR637" i="21"/>
  <c r="AS637" i="21"/>
  <c r="AW637" i="21"/>
  <c r="AX637" i="21" s="1"/>
  <c r="AT637" i="21"/>
  <c r="AV637" i="21" s="1"/>
  <c r="AY637" i="21"/>
  <c r="AZ637" i="21" s="1"/>
  <c r="AR638" i="21"/>
  <c r="AS638" i="21"/>
  <c r="AW638" i="21"/>
  <c r="AX638" i="21" s="1"/>
  <c r="AY638" i="21"/>
  <c r="AZ638" i="21" s="1"/>
  <c r="AR639" i="21"/>
  <c r="AS639" i="21"/>
  <c r="AW639" i="21"/>
  <c r="AX639" i="21" s="1"/>
  <c r="AT639" i="21"/>
  <c r="AV639" i="21" s="1"/>
  <c r="AY639" i="21"/>
  <c r="AZ639" i="21" s="1"/>
  <c r="AR640" i="21"/>
  <c r="AS640" i="21"/>
  <c r="AW640" i="21"/>
  <c r="AX640" i="21" s="1"/>
  <c r="AT640" i="21"/>
  <c r="AV640" i="21" s="1"/>
  <c r="AY640" i="21"/>
  <c r="AZ640" i="21" s="1"/>
  <c r="AR641" i="21"/>
  <c r="AS641" i="21"/>
  <c r="AW641" i="21"/>
  <c r="AX641" i="21" s="1"/>
  <c r="AY641" i="21"/>
  <c r="AZ641" i="21" s="1"/>
  <c r="AR642" i="21"/>
  <c r="AS642" i="21"/>
  <c r="AW642" i="21"/>
  <c r="AX642" i="21" s="1"/>
  <c r="AT642" i="21"/>
  <c r="AV642" i="21" s="1"/>
  <c r="AY642" i="21"/>
  <c r="AZ642" i="21" s="1"/>
  <c r="AR643" i="21"/>
  <c r="AS643" i="21"/>
  <c r="AW643" i="21"/>
  <c r="AX643" i="21" s="1"/>
  <c r="AT643" i="21"/>
  <c r="AV643" i="21" s="1"/>
  <c r="AY643" i="21"/>
  <c r="AZ643" i="21" s="1"/>
  <c r="AR644" i="21"/>
  <c r="AS644" i="21"/>
  <c r="AW644" i="21"/>
  <c r="AX644" i="21" s="1"/>
  <c r="AY644" i="21"/>
  <c r="AZ644" i="21" s="1"/>
  <c r="AR645" i="21"/>
  <c r="AS645" i="21"/>
  <c r="AW645" i="21"/>
  <c r="AX645" i="21" s="1"/>
  <c r="AT645" i="21"/>
  <c r="AV645" i="21" s="1"/>
  <c r="AY645" i="21"/>
  <c r="AZ645" i="21" s="1"/>
  <c r="AR646" i="21"/>
  <c r="AS646" i="21"/>
  <c r="AW646" i="21"/>
  <c r="AX646" i="21" s="1"/>
  <c r="AY646" i="21"/>
  <c r="AZ646" i="21" s="1"/>
  <c r="AR647" i="21"/>
  <c r="AS647" i="21"/>
  <c r="AW647" i="21"/>
  <c r="AX647" i="21" s="1"/>
  <c r="AY647" i="21"/>
  <c r="AZ647" i="21" s="1"/>
  <c r="AR648" i="21"/>
  <c r="AS648" i="21"/>
  <c r="AW648" i="21"/>
  <c r="AX648" i="21" s="1"/>
  <c r="AY648" i="21"/>
  <c r="AZ648" i="21" s="1"/>
  <c r="AR649" i="21"/>
  <c r="AS649" i="21"/>
  <c r="AW649" i="21"/>
  <c r="AX649" i="21" s="1"/>
  <c r="AY649" i="21"/>
  <c r="AZ649" i="21" s="1"/>
  <c r="AR650" i="21"/>
  <c r="AS650" i="21"/>
  <c r="AW650" i="21"/>
  <c r="AX650" i="21" s="1"/>
  <c r="AT650" i="21"/>
  <c r="AV650" i="21" s="1"/>
  <c r="AY650" i="21"/>
  <c r="AZ650" i="21" s="1"/>
  <c r="AR651" i="21"/>
  <c r="AS651" i="21"/>
  <c r="AW651" i="21"/>
  <c r="AX651" i="21" s="1"/>
  <c r="AY651" i="21"/>
  <c r="AZ651" i="21" s="1"/>
  <c r="AR652" i="21"/>
  <c r="AS652" i="21"/>
  <c r="AW652" i="21"/>
  <c r="AX652" i="21" s="1"/>
  <c r="AT652" i="21"/>
  <c r="AV652" i="21" s="1"/>
  <c r="AY652" i="21"/>
  <c r="AZ652" i="21" s="1"/>
  <c r="AR653" i="21"/>
  <c r="AS653" i="21"/>
  <c r="AW653" i="21"/>
  <c r="AX653" i="21" s="1"/>
  <c r="AT653" i="21"/>
  <c r="AV653" i="21" s="1"/>
  <c r="AY653" i="21"/>
  <c r="AZ653" i="21" s="1"/>
  <c r="AR654" i="21"/>
  <c r="AS654" i="21"/>
  <c r="AW654" i="21"/>
  <c r="AX654" i="21" s="1"/>
  <c r="AY654" i="21"/>
  <c r="AZ654" i="21" s="1"/>
  <c r="AR655" i="21"/>
  <c r="AS655" i="21"/>
  <c r="AW655" i="21"/>
  <c r="AX655" i="21" s="1"/>
  <c r="AT655" i="21"/>
  <c r="AV655" i="21" s="1"/>
  <c r="AY655" i="21"/>
  <c r="AZ655" i="21" s="1"/>
  <c r="AR656" i="21"/>
  <c r="AS656" i="21"/>
  <c r="AW656" i="21"/>
  <c r="AX656" i="21" s="1"/>
  <c r="AT656" i="21"/>
  <c r="AV656" i="21" s="1"/>
  <c r="AY656" i="21"/>
  <c r="AZ656" i="21" s="1"/>
  <c r="AR657" i="21"/>
  <c r="AS657" i="21"/>
  <c r="AW657" i="21"/>
  <c r="AX657" i="21" s="1"/>
  <c r="AY657" i="21"/>
  <c r="AZ657" i="21" s="1"/>
  <c r="AR658" i="21"/>
  <c r="AS658" i="21"/>
  <c r="AW658" i="21"/>
  <c r="AX658" i="21" s="1"/>
  <c r="AT658" i="21"/>
  <c r="AV658" i="21" s="1"/>
  <c r="AY658" i="21"/>
  <c r="AZ658" i="21" s="1"/>
  <c r="AR659" i="21"/>
  <c r="AS659" i="21"/>
  <c r="AW659" i="21"/>
  <c r="AX659" i="21" s="1"/>
  <c r="AT659" i="21"/>
  <c r="AV659" i="21" s="1"/>
  <c r="AY659" i="21"/>
  <c r="AZ659" i="21" s="1"/>
  <c r="AR660" i="21"/>
  <c r="AS660" i="21"/>
  <c r="AW660" i="21"/>
  <c r="AX660" i="21" s="1"/>
  <c r="AY660" i="21"/>
  <c r="AZ660" i="21" s="1"/>
  <c r="AR661" i="21"/>
  <c r="AS661" i="21"/>
  <c r="AW661" i="21"/>
  <c r="AX661" i="21" s="1"/>
  <c r="AT661" i="21"/>
  <c r="AV661" i="21" s="1"/>
  <c r="AY661" i="21"/>
  <c r="AZ661" i="21" s="1"/>
  <c r="AR662" i="21"/>
  <c r="AS662" i="21"/>
  <c r="AW662" i="21"/>
  <c r="AX662" i="21" s="1"/>
  <c r="AY662" i="21"/>
  <c r="AZ662" i="21" s="1"/>
  <c r="AR663" i="21"/>
  <c r="AS663" i="21"/>
  <c r="AW663" i="21"/>
  <c r="AX663" i="21" s="1"/>
  <c r="AY663" i="21"/>
  <c r="AZ663" i="21" s="1"/>
  <c r="AR664" i="21"/>
  <c r="AS664" i="21"/>
  <c r="AW664" i="21"/>
  <c r="AX664" i="21" s="1"/>
  <c r="AY664" i="21"/>
  <c r="AZ664" i="21" s="1"/>
  <c r="AR665" i="21"/>
  <c r="AS665" i="21"/>
  <c r="AW665" i="21"/>
  <c r="AX665" i="21" s="1"/>
  <c r="AY665" i="21"/>
  <c r="AZ665" i="21" s="1"/>
  <c r="AR666" i="21"/>
  <c r="AS666" i="21"/>
  <c r="AW666" i="21"/>
  <c r="AX666" i="21" s="1"/>
  <c r="AT666" i="21"/>
  <c r="AV666" i="21" s="1"/>
  <c r="AY666" i="21"/>
  <c r="AZ666" i="21" s="1"/>
  <c r="AR667" i="21"/>
  <c r="AS667" i="21"/>
  <c r="AW667" i="21"/>
  <c r="AX667" i="21" s="1"/>
  <c r="AY667" i="21"/>
  <c r="AZ667" i="21" s="1"/>
  <c r="AR668" i="21"/>
  <c r="AS668" i="21"/>
  <c r="AW668" i="21"/>
  <c r="AX668" i="21" s="1"/>
  <c r="AY668" i="21"/>
  <c r="AZ668" i="21" s="1"/>
  <c r="AR669" i="21"/>
  <c r="AS669" i="21"/>
  <c r="AW669" i="21"/>
  <c r="AX669" i="21" s="1"/>
  <c r="AT669" i="21"/>
  <c r="AV669" i="21" s="1"/>
  <c r="AY669" i="21"/>
  <c r="AZ669" i="21" s="1"/>
  <c r="AR670" i="21"/>
  <c r="AS670" i="21"/>
  <c r="AW670" i="21"/>
  <c r="AX670" i="21" s="1"/>
  <c r="AY670" i="21"/>
  <c r="AZ670" i="21" s="1"/>
  <c r="AR671" i="21"/>
  <c r="AS671" i="21"/>
  <c r="AW671" i="21"/>
  <c r="AX671" i="21" s="1"/>
  <c r="AY671" i="21"/>
  <c r="AZ671" i="21" s="1"/>
  <c r="AR672" i="21"/>
  <c r="AS672" i="21"/>
  <c r="AW672" i="21"/>
  <c r="AX672" i="21" s="1"/>
  <c r="AT672" i="21"/>
  <c r="AV672" i="21" s="1"/>
  <c r="AY672" i="21"/>
  <c r="AZ672" i="21" s="1"/>
  <c r="AR673" i="21"/>
  <c r="AS673" i="21"/>
  <c r="AW673" i="21"/>
  <c r="AX673" i="21" s="1"/>
  <c r="AY673" i="21"/>
  <c r="AZ673" i="21" s="1"/>
  <c r="AR674" i="21"/>
  <c r="AS674" i="21"/>
  <c r="AW674" i="21"/>
  <c r="AX674" i="21" s="1"/>
  <c r="AT674" i="21"/>
  <c r="AV674" i="21" s="1"/>
  <c r="AY674" i="21"/>
  <c r="AZ674" i="21" s="1"/>
  <c r="AR675" i="21"/>
  <c r="AS675" i="21"/>
  <c r="AW675" i="21"/>
  <c r="AX675" i="21" s="1"/>
  <c r="AT675" i="21"/>
  <c r="AV675" i="21" s="1"/>
  <c r="AY675" i="21"/>
  <c r="AZ675" i="21" s="1"/>
  <c r="AR676" i="21"/>
  <c r="AS676" i="21"/>
  <c r="AT676" i="21"/>
  <c r="AV676" i="21" s="1"/>
  <c r="AW676" i="21"/>
  <c r="AX676" i="21" s="1"/>
  <c r="AY676" i="21"/>
  <c r="AZ676" i="21" s="1"/>
  <c r="AR677" i="21"/>
  <c r="AS677" i="21"/>
  <c r="AW677" i="21"/>
  <c r="AX677" i="21" s="1"/>
  <c r="AY677" i="21"/>
  <c r="AZ677" i="21" s="1"/>
  <c r="AR678" i="21"/>
  <c r="AS678" i="21"/>
  <c r="AT678" i="21"/>
  <c r="AV678" i="21" s="1"/>
  <c r="AW678" i="21"/>
  <c r="AX678" i="21" s="1"/>
  <c r="AY678" i="21"/>
  <c r="AZ678" i="21" s="1"/>
  <c r="AR679" i="21"/>
  <c r="AS679" i="21"/>
  <c r="AW679" i="21"/>
  <c r="AX679" i="21" s="1"/>
  <c r="AY679" i="21"/>
  <c r="AZ679" i="21" s="1"/>
  <c r="AR680" i="21"/>
  <c r="AS680" i="21"/>
  <c r="AT680" i="21"/>
  <c r="AV680" i="21" s="1"/>
  <c r="AW680" i="21"/>
  <c r="AX680" i="21" s="1"/>
  <c r="AY680" i="21"/>
  <c r="AZ680" i="21" s="1"/>
  <c r="AR681" i="21"/>
  <c r="AS681" i="21"/>
  <c r="AW681" i="21"/>
  <c r="AX681" i="21" s="1"/>
  <c r="AY681" i="21"/>
  <c r="AZ681" i="21" s="1"/>
  <c r="AR682" i="21"/>
  <c r="AS682" i="21"/>
  <c r="AW682" i="21"/>
  <c r="AX682" i="21" s="1"/>
  <c r="AT682" i="21"/>
  <c r="AV682" i="21" s="1"/>
  <c r="AY682" i="21"/>
  <c r="AZ682" i="21" s="1"/>
  <c r="AR683" i="21"/>
  <c r="AS683" i="21"/>
  <c r="AW683" i="21"/>
  <c r="AX683" i="21" s="1"/>
  <c r="AY683" i="21"/>
  <c r="AZ683" i="21" s="1"/>
  <c r="AR684" i="21"/>
  <c r="AS684" i="21"/>
  <c r="AW684" i="21"/>
  <c r="AX684" i="21" s="1"/>
  <c r="AT684" i="21"/>
  <c r="AV684" i="21" s="1"/>
  <c r="AY684" i="21"/>
  <c r="AZ684" i="21" s="1"/>
  <c r="AR685" i="21"/>
  <c r="AS685" i="21"/>
  <c r="AW685" i="21"/>
  <c r="AX685" i="21" s="1"/>
  <c r="AT685" i="21"/>
  <c r="AV685" i="21" s="1"/>
  <c r="AY685" i="21"/>
  <c r="AZ685" i="21" s="1"/>
  <c r="AR686" i="21"/>
  <c r="AS686" i="21"/>
  <c r="AT686" i="21"/>
  <c r="AV686" i="21" s="1"/>
  <c r="AY686" i="21"/>
  <c r="AZ686" i="21" s="1"/>
  <c r="AR687" i="21"/>
  <c r="AS687" i="21"/>
  <c r="AW687" i="21"/>
  <c r="AX687" i="21" s="1"/>
  <c r="AT687" i="21"/>
  <c r="AV687" i="21" s="1"/>
  <c r="AY687" i="21"/>
  <c r="AZ687" i="21" s="1"/>
  <c r="AR688" i="21"/>
  <c r="AS688" i="21"/>
  <c r="AT688" i="21"/>
  <c r="AV688" i="21" s="1"/>
  <c r="AY688" i="21"/>
  <c r="AZ688" i="21" s="1"/>
  <c r="AR689" i="21"/>
  <c r="AS689" i="21"/>
  <c r="AW689" i="21"/>
  <c r="AX689" i="21" s="1"/>
  <c r="AT689" i="21"/>
  <c r="AV689" i="21" s="1"/>
  <c r="AY689" i="21"/>
  <c r="AZ689" i="21" s="1"/>
  <c r="AR690" i="21"/>
  <c r="AS690" i="21"/>
  <c r="AT690" i="21"/>
  <c r="AV690" i="21" s="1"/>
  <c r="AY690" i="21"/>
  <c r="AZ690" i="21" s="1"/>
  <c r="AR691" i="21"/>
  <c r="AS691" i="21"/>
  <c r="AW691" i="21"/>
  <c r="AX691" i="21" s="1"/>
  <c r="AY691" i="21"/>
  <c r="AZ691" i="21" s="1"/>
  <c r="AR692" i="21"/>
  <c r="AS692" i="21"/>
  <c r="AT692" i="21"/>
  <c r="AV692" i="21" s="1"/>
  <c r="AY692" i="21"/>
  <c r="AZ692" i="21" s="1"/>
  <c r="AR693" i="21"/>
  <c r="AS693" i="21"/>
  <c r="AW693" i="21"/>
  <c r="AX693" i="21" s="1"/>
  <c r="AY693" i="21"/>
  <c r="AZ693" i="21" s="1"/>
  <c r="AR694" i="21"/>
  <c r="AS694" i="21"/>
  <c r="AW694" i="21"/>
  <c r="AX694" i="21" s="1"/>
  <c r="AT694" i="21"/>
  <c r="AV694" i="21" s="1"/>
  <c r="AY694" i="21"/>
  <c r="AZ694" i="21" s="1"/>
  <c r="AR695" i="21"/>
  <c r="AS695" i="21"/>
  <c r="AW695" i="21"/>
  <c r="AX695" i="21" s="1"/>
  <c r="AY695" i="21"/>
  <c r="AZ695" i="21" s="1"/>
  <c r="AR696" i="21"/>
  <c r="AS696" i="21"/>
  <c r="AW696" i="21"/>
  <c r="AX696" i="21" s="1"/>
  <c r="AT696" i="21"/>
  <c r="AV696" i="21" s="1"/>
  <c r="AY696" i="21"/>
  <c r="AZ696" i="21" s="1"/>
  <c r="AR697" i="21"/>
  <c r="AS697" i="21"/>
  <c r="AW697" i="21"/>
  <c r="AX697" i="21" s="1"/>
  <c r="AT697" i="21"/>
  <c r="AV697" i="21" s="1"/>
  <c r="AY697" i="21"/>
  <c r="AZ697" i="21" s="1"/>
  <c r="AR698" i="21"/>
  <c r="AS698" i="21"/>
  <c r="AW698" i="21"/>
  <c r="AX698" i="21" s="1"/>
  <c r="AT698" i="21"/>
  <c r="AV698" i="21" s="1"/>
  <c r="AY698" i="21"/>
  <c r="AZ698" i="21" s="1"/>
  <c r="AR699" i="21"/>
  <c r="AS699" i="21"/>
  <c r="AW699" i="21"/>
  <c r="AX699" i="21" s="1"/>
  <c r="AY699" i="21"/>
  <c r="AZ699" i="21" s="1"/>
  <c r="AR700" i="21"/>
  <c r="AS700" i="21"/>
  <c r="AT700" i="21"/>
  <c r="AV700" i="21" s="1"/>
  <c r="AY700" i="21"/>
  <c r="AZ700" i="21" s="1"/>
  <c r="AR701" i="21"/>
  <c r="AS701" i="21"/>
  <c r="AW701" i="21"/>
  <c r="AX701" i="21" s="1"/>
  <c r="AT701" i="21"/>
  <c r="AV701" i="21" s="1"/>
  <c r="AY701" i="21"/>
  <c r="AZ701" i="21" s="1"/>
  <c r="AR702" i="21"/>
  <c r="AS702" i="21"/>
  <c r="AT702" i="21"/>
  <c r="AV702" i="21" s="1"/>
  <c r="AY702" i="21"/>
  <c r="AZ702" i="21" s="1"/>
  <c r="AR703" i="21"/>
  <c r="AS703" i="21"/>
  <c r="AW703" i="21"/>
  <c r="AX703" i="21" s="1"/>
  <c r="AT703" i="21"/>
  <c r="AV703" i="21" s="1"/>
  <c r="AY703" i="21"/>
  <c r="AZ703" i="21" s="1"/>
  <c r="AR704" i="21"/>
  <c r="AS704" i="21"/>
  <c r="AT704" i="21"/>
  <c r="AV704" i="21" s="1"/>
  <c r="AY704" i="21"/>
  <c r="AZ704" i="21" s="1"/>
  <c r="AR705" i="21"/>
  <c r="AS705" i="21"/>
  <c r="AW705" i="21"/>
  <c r="AX705" i="21" s="1"/>
  <c r="AT705" i="21"/>
  <c r="AV705" i="21" s="1"/>
  <c r="AY705" i="21"/>
  <c r="AZ705" i="21" s="1"/>
  <c r="AR706" i="21"/>
  <c r="AS706" i="21"/>
  <c r="AT706" i="21"/>
  <c r="AV706" i="21" s="1"/>
  <c r="AW706" i="21"/>
  <c r="AX706" i="21" s="1"/>
  <c r="AY706" i="21"/>
  <c r="AZ706" i="21" s="1"/>
  <c r="AR707" i="21"/>
  <c r="AS707" i="21"/>
  <c r="AW707" i="21"/>
  <c r="AX707" i="21" s="1"/>
  <c r="AT707" i="21"/>
  <c r="AV707" i="21" s="1"/>
  <c r="AY707" i="21"/>
  <c r="AZ707" i="21" s="1"/>
  <c r="AR708" i="21"/>
  <c r="AS708" i="21"/>
  <c r="AT708" i="21"/>
  <c r="AV708" i="21" s="1"/>
  <c r="AW708" i="21"/>
  <c r="AX708" i="21" s="1"/>
  <c r="AY708" i="21"/>
  <c r="AZ708" i="21" s="1"/>
  <c r="AR709" i="21"/>
  <c r="AS709" i="21"/>
  <c r="AW709" i="21"/>
  <c r="AX709" i="21" s="1"/>
  <c r="AT709" i="21"/>
  <c r="AV709" i="21" s="1"/>
  <c r="AR710" i="21"/>
  <c r="AS710" i="21"/>
  <c r="AT710" i="21"/>
  <c r="AV710" i="21" s="1"/>
  <c r="AW710" i="21"/>
  <c r="AX710" i="21" s="1"/>
  <c r="AY710" i="21"/>
  <c r="AZ710" i="21" s="1"/>
  <c r="AR711" i="21"/>
  <c r="AS711" i="21"/>
  <c r="AW711" i="21"/>
  <c r="AX711" i="21" s="1"/>
  <c r="AT711" i="21"/>
  <c r="AV711" i="21" s="1"/>
  <c r="AY711" i="21"/>
  <c r="AZ711" i="21" s="1"/>
  <c r="AR712" i="21"/>
  <c r="AS712" i="21"/>
  <c r="AT712" i="21"/>
  <c r="AV712" i="21" s="1"/>
  <c r="AW712" i="21"/>
  <c r="AX712" i="21" s="1"/>
  <c r="AY712" i="21"/>
  <c r="AZ712" i="21" s="1"/>
  <c r="AR713" i="21"/>
  <c r="AS713" i="21"/>
  <c r="AW713" i="21"/>
  <c r="AX713" i="21" s="1"/>
  <c r="AT713" i="21"/>
  <c r="AV713" i="21" s="1"/>
  <c r="AR714" i="21"/>
  <c r="AS714" i="21"/>
  <c r="AY714" i="21"/>
  <c r="AZ714" i="21" s="1"/>
  <c r="AT714" i="21"/>
  <c r="AV714" i="21" s="1"/>
  <c r="AW714" i="21"/>
  <c r="AX714" i="21" s="1"/>
  <c r="AR715" i="21"/>
  <c r="AS715" i="21"/>
  <c r="AW715" i="21"/>
  <c r="AX715" i="21" s="1"/>
  <c r="AT715" i="21"/>
  <c r="AV715" i="21" s="1"/>
  <c r="AY715" i="21"/>
  <c r="AZ715" i="21" s="1"/>
  <c r="AR716" i="21"/>
  <c r="AS716" i="21"/>
  <c r="AW716" i="21"/>
  <c r="AX716" i="21" s="1"/>
  <c r="AT716" i="21"/>
  <c r="AV716" i="21" s="1"/>
  <c r="AR717" i="21"/>
  <c r="AS717" i="21"/>
  <c r="AT717" i="21"/>
  <c r="AV717" i="21" s="1"/>
  <c r="AW717" i="21"/>
  <c r="AX717" i="21" s="1"/>
  <c r="AY717" i="21"/>
  <c r="AZ717" i="21" s="1"/>
  <c r="AR718" i="21"/>
  <c r="AS718" i="21"/>
  <c r="AY718" i="21"/>
  <c r="AZ718" i="21" s="1"/>
  <c r="AT718" i="21"/>
  <c r="AV718" i="21" s="1"/>
  <c r="AR719" i="21"/>
  <c r="AS719" i="21"/>
  <c r="AT719" i="21"/>
  <c r="AV719" i="21" s="1"/>
  <c r="AW719" i="21"/>
  <c r="AX719" i="21" s="1"/>
  <c r="AY719" i="21"/>
  <c r="AZ719" i="21" s="1"/>
  <c r="AR720" i="21"/>
  <c r="AS720" i="21"/>
  <c r="AT720" i="21"/>
  <c r="AV720" i="21" s="1"/>
  <c r="AW720" i="21"/>
  <c r="AX720" i="21" s="1"/>
  <c r="AY720" i="21"/>
  <c r="AZ720" i="21" s="1"/>
  <c r="AR721" i="21"/>
  <c r="AS721" i="21"/>
  <c r="AY721" i="21"/>
  <c r="AZ721" i="21" s="1"/>
  <c r="AT721" i="21"/>
  <c r="AV721" i="21" s="1"/>
  <c r="AR722" i="21"/>
  <c r="AS722" i="21"/>
  <c r="AY722" i="21"/>
  <c r="AZ722" i="21" s="1"/>
  <c r="AT722" i="21"/>
  <c r="AV722" i="21" s="1"/>
  <c r="AW722" i="21"/>
  <c r="AX722" i="21" s="1"/>
  <c r="AR723" i="21"/>
  <c r="AS723" i="21"/>
  <c r="AW723" i="21"/>
  <c r="AX723" i="21" s="1"/>
  <c r="AT723" i="21"/>
  <c r="AV723" i="21" s="1"/>
  <c r="AY723" i="21"/>
  <c r="AZ723" i="21" s="1"/>
  <c r="AR724" i="21"/>
  <c r="AS724" i="21"/>
  <c r="AW724" i="21"/>
  <c r="AX724" i="21" s="1"/>
  <c r="AT724" i="21"/>
  <c r="AV724" i="21" s="1"/>
  <c r="AR725" i="21"/>
  <c r="AS725" i="21"/>
  <c r="AT725" i="21"/>
  <c r="AV725" i="21" s="1"/>
  <c r="AW725" i="21"/>
  <c r="AX725" i="21" s="1"/>
  <c r="AY725" i="21"/>
  <c r="AZ725" i="21" s="1"/>
  <c r="AR726" i="21"/>
  <c r="AS726" i="21"/>
  <c r="AY726" i="21"/>
  <c r="AZ726" i="21" s="1"/>
  <c r="AT726" i="21"/>
  <c r="AV726" i="21" s="1"/>
  <c r="AR727" i="21"/>
  <c r="AS727" i="21"/>
  <c r="AT727" i="21"/>
  <c r="AV727" i="21" s="1"/>
  <c r="AW727" i="21"/>
  <c r="AX727" i="21" s="1"/>
  <c r="AY727" i="21"/>
  <c r="AZ727" i="21" s="1"/>
  <c r="AR728" i="21"/>
  <c r="AS728" i="21"/>
  <c r="AY728" i="21"/>
  <c r="AZ728" i="21" s="1"/>
  <c r="AT728" i="21"/>
  <c r="AV728" i="21" s="1"/>
  <c r="AW728" i="21"/>
  <c r="AX728" i="21" s="1"/>
  <c r="AR729" i="21"/>
  <c r="AS729" i="21"/>
  <c r="AW729" i="21"/>
  <c r="AX729" i="21" s="1"/>
  <c r="AT729" i="21"/>
  <c r="AV729" i="21" s="1"/>
  <c r="AR730" i="21"/>
  <c r="AS730" i="21"/>
  <c r="AT730" i="21"/>
  <c r="AV730" i="21" s="1"/>
  <c r="AW730" i="21"/>
  <c r="AX730" i="21" s="1"/>
  <c r="AY730" i="21"/>
  <c r="AZ730" i="21" s="1"/>
  <c r="AR731" i="21"/>
  <c r="AS731" i="21"/>
  <c r="AT731" i="21"/>
  <c r="AV731" i="21" s="1"/>
  <c r="AW731" i="21"/>
  <c r="AX731" i="21" s="1"/>
  <c r="AY731" i="21"/>
  <c r="AZ731" i="21" s="1"/>
  <c r="AY608" i="21"/>
  <c r="AZ608" i="21" s="1"/>
  <c r="AS608" i="21"/>
  <c r="AW608" i="21"/>
  <c r="AX608" i="21" s="1"/>
  <c r="AR608" i="21"/>
  <c r="AT633" i="21"/>
  <c r="AV633" i="21" s="1"/>
  <c r="AW633" i="21"/>
  <c r="AX633" i="21" s="1"/>
  <c r="AT629" i="21"/>
  <c r="AV629" i="21" s="1"/>
  <c r="AW629" i="21"/>
  <c r="AX629" i="21" s="1"/>
  <c r="AT625" i="21"/>
  <c r="AV625" i="21" s="1"/>
  <c r="AW625" i="21"/>
  <c r="AX625" i="21" s="1"/>
  <c r="AT621" i="21"/>
  <c r="AV621" i="21" s="1"/>
  <c r="AW621" i="21"/>
  <c r="AX621" i="21" s="1"/>
  <c r="AT617" i="21"/>
  <c r="AV617" i="21" s="1"/>
  <c r="AW617" i="21"/>
  <c r="AX617" i="21" s="1"/>
  <c r="AT613" i="21"/>
  <c r="AV613" i="21" s="1"/>
  <c r="AW613" i="21"/>
  <c r="AX613" i="21" s="1"/>
  <c r="AW726" i="21"/>
  <c r="AX726" i="21" s="1"/>
  <c r="AW718" i="21"/>
  <c r="AX718" i="21" s="1"/>
  <c r="AW704" i="21"/>
  <c r="AX704" i="21" s="1"/>
  <c r="AT695" i="21"/>
  <c r="AV695" i="21" s="1"/>
  <c r="AT665" i="21"/>
  <c r="AV665" i="21" s="1"/>
  <c r="AT662" i="21"/>
  <c r="AV662" i="21" s="1"/>
  <c r="AT649" i="21"/>
  <c r="AV649" i="21" s="1"/>
  <c r="AT646" i="21"/>
  <c r="AV646" i="21" s="1"/>
  <c r="AW692" i="21"/>
  <c r="AX692" i="21" s="1"/>
  <c r="AY709" i="21"/>
  <c r="AZ709" i="21" s="1"/>
  <c r="AW686" i="21"/>
  <c r="AX686" i="21" s="1"/>
  <c r="AT683" i="21"/>
  <c r="AV683" i="21" s="1"/>
  <c r="AT671" i="21"/>
  <c r="AV671" i="21" s="1"/>
  <c r="AT668" i="21"/>
  <c r="AV668" i="21" s="1"/>
  <c r="AT612" i="21"/>
  <c r="AV612" i="21" s="1"/>
  <c r="AW612" i="21"/>
  <c r="AX612" i="21" s="1"/>
  <c r="AT677" i="21"/>
  <c r="AV677" i="21" s="1"/>
  <c r="AT632" i="21"/>
  <c r="AV632" i="21" s="1"/>
  <c r="AW632" i="21"/>
  <c r="AX632" i="21" s="1"/>
  <c r="AT628" i="21"/>
  <c r="AV628" i="21" s="1"/>
  <c r="AW628" i="21"/>
  <c r="AX628" i="21" s="1"/>
  <c r="AT624" i="21"/>
  <c r="AV624" i="21" s="1"/>
  <c r="AW624" i="21"/>
  <c r="AX624" i="21" s="1"/>
  <c r="AT620" i="21"/>
  <c r="AV620" i="21" s="1"/>
  <c r="AW620" i="21"/>
  <c r="AX620" i="21" s="1"/>
  <c r="AT616" i="21"/>
  <c r="AV616" i="21" s="1"/>
  <c r="AW616" i="21"/>
  <c r="AX616" i="21" s="1"/>
  <c r="AW700" i="21"/>
  <c r="AX700" i="21" s="1"/>
  <c r="AT611" i="21"/>
  <c r="AV611" i="21" s="1"/>
  <c r="AW611" i="21"/>
  <c r="AX611" i="21" s="1"/>
  <c r="AT691" i="21"/>
  <c r="AV691" i="21" s="1"/>
  <c r="AT667" i="21"/>
  <c r="AV667" i="21" s="1"/>
  <c r="AT664" i="21"/>
  <c r="AV664" i="21" s="1"/>
  <c r="AT651" i="21"/>
  <c r="AV651" i="21" s="1"/>
  <c r="AT648" i="21"/>
  <c r="AV648" i="21" s="1"/>
  <c r="AT635" i="21"/>
  <c r="AV635" i="21" s="1"/>
  <c r="AW635" i="21"/>
  <c r="AX635" i="21" s="1"/>
  <c r="AW721" i="21"/>
  <c r="AX721" i="21" s="1"/>
  <c r="AT631" i="21"/>
  <c r="AV631" i="21" s="1"/>
  <c r="AW631" i="21"/>
  <c r="AX631" i="21" s="1"/>
  <c r="AT627" i="21"/>
  <c r="AV627" i="21" s="1"/>
  <c r="AW627" i="21"/>
  <c r="AX627" i="21" s="1"/>
  <c r="AT623" i="21"/>
  <c r="AV623" i="21" s="1"/>
  <c r="AW623" i="21"/>
  <c r="AX623" i="21" s="1"/>
  <c r="AT619" i="21"/>
  <c r="AV619" i="21" s="1"/>
  <c r="AW619" i="21"/>
  <c r="AX619" i="21" s="1"/>
  <c r="AT615" i="21"/>
  <c r="AV615" i="21" s="1"/>
  <c r="AW615" i="21"/>
  <c r="AX615" i="21" s="1"/>
  <c r="AW688" i="21"/>
  <c r="AX688" i="21" s="1"/>
  <c r="AT679" i="21"/>
  <c r="AV679" i="21" s="1"/>
  <c r="AT673" i="21"/>
  <c r="AV673" i="21" s="1"/>
  <c r="AT670" i="21"/>
  <c r="AV670" i="21" s="1"/>
  <c r="AT657" i="21"/>
  <c r="AV657" i="21" s="1"/>
  <c r="AT654" i="21"/>
  <c r="AV654" i="21" s="1"/>
  <c r="AT641" i="21"/>
  <c r="AV641" i="21" s="1"/>
  <c r="AT638" i="21"/>
  <c r="AV638" i="21" s="1"/>
  <c r="AY729" i="21"/>
  <c r="AZ729" i="21" s="1"/>
  <c r="AW702" i="21"/>
  <c r="AX702" i="21" s="1"/>
  <c r="AT699" i="21"/>
  <c r="AV699" i="21" s="1"/>
  <c r="AT663" i="21"/>
  <c r="AV663" i="21" s="1"/>
  <c r="AT660" i="21"/>
  <c r="AV660" i="21" s="1"/>
  <c r="AT647" i="21"/>
  <c r="AV647" i="21" s="1"/>
  <c r="AT644" i="21"/>
  <c r="AV644" i="21" s="1"/>
  <c r="AY724" i="21"/>
  <c r="AZ724" i="21" s="1"/>
  <c r="AY716" i="21"/>
  <c r="AZ716" i="21" s="1"/>
  <c r="AY713" i="21"/>
  <c r="AZ713" i="21" s="1"/>
  <c r="AT693" i="21"/>
  <c r="AV693" i="21" s="1"/>
  <c r="AT634" i="21"/>
  <c r="AV634" i="21" s="1"/>
  <c r="AT614" i="21"/>
  <c r="AV614" i="21" s="1"/>
  <c r="AW614" i="21"/>
  <c r="AX614" i="21" s="1"/>
  <c r="AW690" i="21"/>
  <c r="AX690" i="21" s="1"/>
  <c r="AT630" i="21"/>
  <c r="AV630" i="21" s="1"/>
  <c r="AW630" i="21"/>
  <c r="AX630" i="21" s="1"/>
  <c r="AT626" i="21"/>
  <c r="AV626" i="21" s="1"/>
  <c r="AW626" i="21"/>
  <c r="AX626" i="21" s="1"/>
  <c r="AT622" i="21"/>
  <c r="AV622" i="21" s="1"/>
  <c r="AW622" i="21"/>
  <c r="AX622" i="21" s="1"/>
  <c r="AT618" i="21"/>
  <c r="AV618" i="21" s="1"/>
  <c r="AW618" i="21"/>
  <c r="AX618" i="21" s="1"/>
  <c r="AT681" i="21"/>
  <c r="AV681" i="21" s="1"/>
  <c r="AW610" i="21"/>
  <c r="AX610" i="21" s="1"/>
  <c r="AW609" i="21"/>
  <c r="AX609" i="21" s="1"/>
  <c r="AT608" i="21"/>
  <c r="AV608" i="21" s="1"/>
  <c r="C61" i="18"/>
  <c r="A57" i="18"/>
  <c r="C58" i="18"/>
  <c r="CY14" i="6"/>
  <c r="CY13" i="6"/>
  <c r="CY2" i="6"/>
  <c r="A64" i="18"/>
  <c r="E57" i="18"/>
  <c r="I57" i="18"/>
  <c r="M57" i="18"/>
  <c r="Q57" i="18"/>
  <c r="B58" i="18"/>
  <c r="Q64" i="18"/>
  <c r="S58" i="18"/>
  <c r="R58" i="18"/>
  <c r="N58" i="18"/>
  <c r="M64" i="18"/>
  <c r="O58" i="18"/>
  <c r="K58" i="18"/>
  <c r="J58" i="18"/>
  <c r="I64" i="18"/>
  <c r="G58" i="18"/>
  <c r="F58" i="18"/>
  <c r="E64" i="18"/>
  <c r="AB47" i="14"/>
  <c r="AF47" i="14" s="1"/>
  <c r="X47" i="14"/>
  <c r="Y47" i="14" s="1"/>
  <c r="B47" i="14"/>
  <c r="AA47" i="14" s="1"/>
  <c r="I48" i="12"/>
  <c r="CW9" i="6"/>
  <c r="CW8" i="6"/>
  <c r="G46" i="14"/>
  <c r="G47" i="12"/>
  <c r="AG94" i="20"/>
  <c r="AH94" i="20"/>
  <c r="AI94" i="20"/>
  <c r="AJ94" i="20"/>
  <c r="AK94" i="20"/>
  <c r="AL94" i="20"/>
  <c r="AM94" i="20"/>
  <c r="AN94" i="20"/>
  <c r="AO94" i="20"/>
  <c r="AP94" i="20"/>
  <c r="AQ94" i="20"/>
  <c r="BD90" i="20"/>
  <c r="BE90" i="20"/>
  <c r="BF90" i="20"/>
  <c r="BG90" i="20"/>
  <c r="BH90" i="20"/>
  <c r="BI90" i="20"/>
  <c r="BJ90" i="20"/>
  <c r="BK90" i="20"/>
  <c r="BL90" i="20"/>
  <c r="BM90" i="20"/>
  <c r="BN90" i="20"/>
  <c r="CA90" i="20"/>
  <c r="CB90" i="20"/>
  <c r="CC90" i="20"/>
  <c r="CD90" i="20"/>
  <c r="CE90" i="20"/>
  <c r="CF90" i="20"/>
  <c r="CG90" i="20"/>
  <c r="CH90" i="20"/>
  <c r="CI90" i="20"/>
  <c r="CJ90" i="20"/>
  <c r="CK90" i="20"/>
  <c r="AR467" i="21"/>
  <c r="AS467" i="21"/>
  <c r="AT467" i="21"/>
  <c r="AV467" i="21" s="1"/>
  <c r="AY467" i="21"/>
  <c r="AZ467" i="21" s="1"/>
  <c r="AR468" i="21"/>
  <c r="AS468" i="21"/>
  <c r="AT468" i="21"/>
  <c r="AV468" i="21" s="1"/>
  <c r="AY468" i="21"/>
  <c r="AZ468" i="21" s="1"/>
  <c r="AR469" i="21"/>
  <c r="AS469" i="21"/>
  <c r="AY469" i="21"/>
  <c r="AZ469" i="21" s="1"/>
  <c r="AR470" i="21"/>
  <c r="AS470" i="21"/>
  <c r="AT470" i="21"/>
  <c r="AV470" i="21" s="1"/>
  <c r="AR471" i="21"/>
  <c r="AS471" i="21"/>
  <c r="AY471" i="21"/>
  <c r="AZ471" i="21" s="1"/>
  <c r="AR472" i="21"/>
  <c r="AS472" i="21"/>
  <c r="AY472" i="21"/>
  <c r="AZ472" i="21" s="1"/>
  <c r="AR473" i="21"/>
  <c r="AS473" i="21"/>
  <c r="AY473" i="21"/>
  <c r="AZ473" i="21" s="1"/>
  <c r="AR474" i="21"/>
  <c r="AS474" i="21"/>
  <c r="AY474" i="21"/>
  <c r="AZ474" i="21" s="1"/>
  <c r="AR475" i="21"/>
  <c r="AS475" i="21"/>
  <c r="AY475" i="21"/>
  <c r="AZ475" i="21" s="1"/>
  <c r="AR476" i="21"/>
  <c r="AS476" i="21"/>
  <c r="AY476" i="21"/>
  <c r="AZ476" i="21" s="1"/>
  <c r="AR477" i="21"/>
  <c r="AS477" i="21"/>
  <c r="AY477" i="21"/>
  <c r="AZ477" i="21" s="1"/>
  <c r="AR478" i="21"/>
  <c r="AS478" i="21"/>
  <c r="AY478" i="21"/>
  <c r="AZ478" i="21" s="1"/>
  <c r="AR479" i="21"/>
  <c r="AS479" i="21"/>
  <c r="AY479" i="21"/>
  <c r="AZ479" i="21" s="1"/>
  <c r="AR480" i="21"/>
  <c r="AS480" i="21"/>
  <c r="AY480" i="21"/>
  <c r="AZ480" i="21" s="1"/>
  <c r="AR481" i="21"/>
  <c r="AS481" i="21"/>
  <c r="AY481" i="21"/>
  <c r="AZ481" i="21" s="1"/>
  <c r="AR482" i="21"/>
  <c r="AS482" i="21"/>
  <c r="AW482" i="21"/>
  <c r="AX482" i="21" s="1"/>
  <c r="AT482" i="21"/>
  <c r="AV482" i="21" s="1"/>
  <c r="AR483" i="21"/>
  <c r="AS483" i="21"/>
  <c r="AT483" i="21"/>
  <c r="AV483" i="21" s="1"/>
  <c r="AR484" i="21"/>
  <c r="AS484" i="21"/>
  <c r="AY484" i="21"/>
  <c r="AZ484" i="21" s="1"/>
  <c r="AR485" i="21"/>
  <c r="AS485" i="21"/>
  <c r="AY485" i="21"/>
  <c r="AZ485" i="21" s="1"/>
  <c r="AR486" i="21"/>
  <c r="AS486" i="21"/>
  <c r="AY486" i="21"/>
  <c r="AZ486" i="21" s="1"/>
  <c r="AR487" i="21"/>
  <c r="AS487" i="21"/>
  <c r="AY487" i="21"/>
  <c r="AZ487" i="21" s="1"/>
  <c r="AR488" i="21"/>
  <c r="AS488" i="21"/>
  <c r="AW488" i="21"/>
  <c r="AX488" i="21" s="1"/>
  <c r="AT488" i="21"/>
  <c r="AV488" i="21" s="1"/>
  <c r="AR489" i="21"/>
  <c r="AS489" i="21"/>
  <c r="AY489" i="21"/>
  <c r="AZ489" i="21" s="1"/>
  <c r="AR490" i="21"/>
  <c r="AS490" i="21"/>
  <c r="AY490" i="21"/>
  <c r="AZ490" i="21" s="1"/>
  <c r="AR491" i="21"/>
  <c r="AS491" i="21"/>
  <c r="AY491" i="21"/>
  <c r="AZ491" i="21" s="1"/>
  <c r="AR492" i="21"/>
  <c r="AS492" i="21"/>
  <c r="AY492" i="21"/>
  <c r="AZ492" i="21" s="1"/>
  <c r="AR493" i="21"/>
  <c r="AS493" i="21"/>
  <c r="AY493" i="21"/>
  <c r="AZ493" i="21" s="1"/>
  <c r="AR494" i="21"/>
  <c r="AS494" i="21"/>
  <c r="AY494" i="21"/>
  <c r="AZ494" i="21" s="1"/>
  <c r="AR495" i="21"/>
  <c r="AS495" i="21"/>
  <c r="AY495" i="21"/>
  <c r="AZ495" i="21" s="1"/>
  <c r="AR496" i="21"/>
  <c r="AS496" i="21"/>
  <c r="AY496" i="21"/>
  <c r="AZ496" i="21" s="1"/>
  <c r="AR497" i="21"/>
  <c r="AS497" i="21"/>
  <c r="AY497" i="21"/>
  <c r="AZ497" i="21" s="1"/>
  <c r="AR498" i="21"/>
  <c r="AS498" i="21"/>
  <c r="AY498" i="21"/>
  <c r="AZ498" i="21" s="1"/>
  <c r="AR499" i="21"/>
  <c r="AS499" i="21"/>
  <c r="AY499" i="21"/>
  <c r="AZ499" i="21" s="1"/>
  <c r="AR500" i="21"/>
  <c r="AS500" i="21"/>
  <c r="AW500" i="21"/>
  <c r="AX500" i="21" s="1"/>
  <c r="AT500" i="21"/>
  <c r="AV500" i="21" s="1"/>
  <c r="AY500" i="21"/>
  <c r="AZ500" i="21" s="1"/>
  <c r="AR501" i="21"/>
  <c r="AS501" i="21"/>
  <c r="AY501" i="21"/>
  <c r="AZ501" i="21" s="1"/>
  <c r="AR502" i="21"/>
  <c r="AS502" i="21"/>
  <c r="AY502" i="21"/>
  <c r="AZ502" i="21" s="1"/>
  <c r="AR503" i="21"/>
  <c r="AS503" i="21"/>
  <c r="AY503" i="21"/>
  <c r="AZ503" i="21" s="1"/>
  <c r="AR504" i="21"/>
  <c r="AS504" i="21"/>
  <c r="AY504" i="21"/>
  <c r="AZ504" i="21" s="1"/>
  <c r="AR505" i="21"/>
  <c r="AS505" i="21"/>
  <c r="AY505" i="21"/>
  <c r="AZ505" i="21" s="1"/>
  <c r="AR506" i="21"/>
  <c r="AS506" i="21"/>
  <c r="AW506" i="21"/>
  <c r="AX506" i="21" s="1"/>
  <c r="AT506" i="21"/>
  <c r="AV506" i="21" s="1"/>
  <c r="AY506" i="21"/>
  <c r="AZ506" i="21" s="1"/>
  <c r="AR507" i="21"/>
  <c r="AS507" i="21"/>
  <c r="AT507" i="21"/>
  <c r="AV507" i="21" s="1"/>
  <c r="AR508" i="21"/>
  <c r="AS508" i="21"/>
  <c r="AW508" i="21"/>
  <c r="AX508" i="21" s="1"/>
  <c r="AT508" i="21"/>
  <c r="AV508" i="21" s="1"/>
  <c r="AY508" i="21"/>
  <c r="AZ508" i="21" s="1"/>
  <c r="AR509" i="21"/>
  <c r="AS509" i="21"/>
  <c r="AT509" i="21"/>
  <c r="AV509" i="21" s="1"/>
  <c r="AR510" i="21"/>
  <c r="AS510" i="21"/>
  <c r="AW510" i="21"/>
  <c r="AX510" i="21" s="1"/>
  <c r="AT510" i="21"/>
  <c r="AV510" i="21" s="1"/>
  <c r="AY510" i="21"/>
  <c r="AZ510" i="21" s="1"/>
  <c r="AR511" i="21"/>
  <c r="AS511" i="21"/>
  <c r="AY511" i="21"/>
  <c r="AZ511" i="21" s="1"/>
  <c r="AR512" i="21"/>
  <c r="AS512" i="21"/>
  <c r="AW512" i="21"/>
  <c r="AX512" i="21" s="1"/>
  <c r="AT512" i="21"/>
  <c r="AV512" i="21" s="1"/>
  <c r="AY512" i="21"/>
  <c r="AZ512" i="21" s="1"/>
  <c r="AR513" i="21"/>
  <c r="AS513" i="21"/>
  <c r="AW513" i="21"/>
  <c r="AX513" i="21" s="1"/>
  <c r="AY513" i="21"/>
  <c r="AZ513" i="21" s="1"/>
  <c r="AR514" i="21"/>
  <c r="AS514" i="21"/>
  <c r="AW514" i="21"/>
  <c r="AX514" i="21" s="1"/>
  <c r="AT514" i="21"/>
  <c r="AV514" i="21" s="1"/>
  <c r="AR515" i="21"/>
  <c r="AS515" i="21"/>
  <c r="AW515" i="21"/>
  <c r="AX515" i="21" s="1"/>
  <c r="AT515" i="21"/>
  <c r="AV515" i="21" s="1"/>
  <c r="AY515" i="21"/>
  <c r="AZ515" i="21" s="1"/>
  <c r="AR516" i="21"/>
  <c r="AS516" i="21"/>
  <c r="AW516" i="21"/>
  <c r="AX516" i="21" s="1"/>
  <c r="AY516" i="21"/>
  <c r="AZ516" i="21" s="1"/>
  <c r="AR517" i="21"/>
  <c r="AS517" i="21"/>
  <c r="AW517" i="21"/>
  <c r="AX517" i="21" s="1"/>
  <c r="AY517" i="21"/>
  <c r="AZ517" i="21" s="1"/>
  <c r="AR518" i="21"/>
  <c r="AS518" i="21"/>
  <c r="AW518" i="21"/>
  <c r="AX518" i="21" s="1"/>
  <c r="AT518" i="21"/>
  <c r="AV518" i="21" s="1"/>
  <c r="AY518" i="21"/>
  <c r="AZ518" i="21" s="1"/>
  <c r="AR519" i="21"/>
  <c r="AS519" i="21"/>
  <c r="AW519" i="21"/>
  <c r="AX519" i="21" s="1"/>
  <c r="AY519" i="21"/>
  <c r="AZ519" i="21" s="1"/>
  <c r="AR520" i="21"/>
  <c r="AS520" i="21"/>
  <c r="AW520" i="21"/>
  <c r="AX520" i="21" s="1"/>
  <c r="AY520" i="21"/>
  <c r="AZ520" i="21" s="1"/>
  <c r="AR521" i="21"/>
  <c r="AS521" i="21"/>
  <c r="AW521" i="21"/>
  <c r="AX521" i="21" s="1"/>
  <c r="AT521" i="21"/>
  <c r="AV521" i="21" s="1"/>
  <c r="AY521" i="21"/>
  <c r="AZ521" i="21" s="1"/>
  <c r="AR522" i="21"/>
  <c r="AS522" i="21"/>
  <c r="AW522" i="21"/>
  <c r="AX522" i="21" s="1"/>
  <c r="AT522" i="21"/>
  <c r="AV522" i="21" s="1"/>
  <c r="AR523" i="21"/>
  <c r="AS523" i="21"/>
  <c r="AW523" i="21"/>
  <c r="AX523" i="21" s="1"/>
  <c r="AY523" i="21"/>
  <c r="AZ523" i="21" s="1"/>
  <c r="AR524" i="21"/>
  <c r="AS524" i="21"/>
  <c r="AW524" i="21"/>
  <c r="AX524" i="21" s="1"/>
  <c r="AY524" i="21"/>
  <c r="AZ524" i="21" s="1"/>
  <c r="AR525" i="21"/>
  <c r="AS525" i="21"/>
  <c r="AW525" i="21"/>
  <c r="AX525" i="21" s="1"/>
  <c r="AY525" i="21"/>
  <c r="AZ525" i="21" s="1"/>
  <c r="AR526" i="21"/>
  <c r="AS526" i="21"/>
  <c r="AW526" i="21"/>
  <c r="AX526" i="21" s="1"/>
  <c r="AY526" i="21"/>
  <c r="AZ526" i="21" s="1"/>
  <c r="AR527" i="21"/>
  <c r="AS527" i="21"/>
  <c r="AW527" i="21"/>
  <c r="AX527" i="21" s="1"/>
  <c r="AY527" i="21"/>
  <c r="AZ527" i="21" s="1"/>
  <c r="AR528" i="21"/>
  <c r="AS528" i="21"/>
  <c r="AW528" i="21"/>
  <c r="AX528" i="21" s="1"/>
  <c r="AY528" i="21"/>
  <c r="AZ528" i="21" s="1"/>
  <c r="AR529" i="21"/>
  <c r="AS529" i="21"/>
  <c r="AW529" i="21"/>
  <c r="AX529" i="21" s="1"/>
  <c r="AT529" i="21"/>
  <c r="AV529" i="21" s="1"/>
  <c r="AR530" i="21"/>
  <c r="AS530" i="21"/>
  <c r="AW530" i="21"/>
  <c r="AX530" i="21" s="1"/>
  <c r="AY530" i="21"/>
  <c r="AZ530" i="21" s="1"/>
  <c r="AR531" i="21"/>
  <c r="AS531" i="21"/>
  <c r="AW531" i="21"/>
  <c r="AX531" i="21" s="1"/>
  <c r="AY531" i="21"/>
  <c r="AZ531" i="21" s="1"/>
  <c r="AR532" i="21"/>
  <c r="AS532" i="21"/>
  <c r="AW532" i="21"/>
  <c r="AX532" i="21" s="1"/>
  <c r="AY532" i="21"/>
  <c r="AZ532" i="21" s="1"/>
  <c r="AR533" i="21"/>
  <c r="AS533" i="21"/>
  <c r="AW533" i="21"/>
  <c r="AX533" i="21" s="1"/>
  <c r="AY533" i="21"/>
  <c r="AZ533" i="21" s="1"/>
  <c r="AR534" i="21"/>
  <c r="AS534" i="21"/>
  <c r="AW534" i="21"/>
  <c r="AX534" i="21" s="1"/>
  <c r="AT534" i="21"/>
  <c r="AV534" i="21" s="1"/>
  <c r="AY534" i="21"/>
  <c r="AZ534" i="21" s="1"/>
  <c r="AR535" i="21"/>
  <c r="AS535" i="21"/>
  <c r="AW535" i="21"/>
  <c r="AX535" i="21" s="1"/>
  <c r="AY535" i="21"/>
  <c r="AZ535" i="21" s="1"/>
  <c r="AR536" i="21"/>
  <c r="AS536" i="21"/>
  <c r="AW536" i="21"/>
  <c r="AX536" i="21" s="1"/>
  <c r="AY536" i="21"/>
  <c r="AZ536" i="21" s="1"/>
  <c r="AR537" i="21"/>
  <c r="AS537" i="21"/>
  <c r="AW537" i="21"/>
  <c r="AX537" i="21" s="1"/>
  <c r="AY537" i="21"/>
  <c r="AZ537" i="21" s="1"/>
  <c r="AR538" i="21"/>
  <c r="AS538" i="21"/>
  <c r="AW538" i="21"/>
  <c r="AX538" i="21" s="1"/>
  <c r="AY538" i="21"/>
  <c r="AZ538" i="21" s="1"/>
  <c r="AR539" i="21"/>
  <c r="AS539" i="21"/>
  <c r="AW539" i="21"/>
  <c r="AX539" i="21" s="1"/>
  <c r="AY539" i="21"/>
  <c r="AZ539" i="21" s="1"/>
  <c r="AR540" i="21"/>
  <c r="AS540" i="21"/>
  <c r="AW540" i="21"/>
  <c r="AX540" i="21" s="1"/>
  <c r="AY540" i="21"/>
  <c r="AZ540" i="21" s="1"/>
  <c r="AR541" i="21"/>
  <c r="AS541" i="21"/>
  <c r="AW541" i="21"/>
  <c r="AX541" i="21" s="1"/>
  <c r="AY541" i="21"/>
  <c r="AZ541" i="21" s="1"/>
  <c r="AR542" i="21"/>
  <c r="AS542" i="21"/>
  <c r="AW542" i="21"/>
  <c r="AX542" i="21" s="1"/>
  <c r="AY542" i="21"/>
  <c r="AZ542" i="21" s="1"/>
  <c r="AR543" i="21"/>
  <c r="AS543" i="21"/>
  <c r="AW543" i="21"/>
  <c r="AX543" i="21" s="1"/>
  <c r="AT543" i="21"/>
  <c r="AV543" i="21" s="1"/>
  <c r="AR544" i="21"/>
  <c r="AS544" i="21"/>
  <c r="AW544" i="21"/>
  <c r="AX544" i="21" s="1"/>
  <c r="AY544" i="21"/>
  <c r="AZ544" i="21" s="1"/>
  <c r="AR545" i="21"/>
  <c r="AS545" i="21"/>
  <c r="AW545" i="21"/>
  <c r="AX545" i="21" s="1"/>
  <c r="AY545" i="21"/>
  <c r="AZ545" i="21" s="1"/>
  <c r="AR546" i="21"/>
  <c r="AS546" i="21"/>
  <c r="AW546" i="21"/>
  <c r="AX546" i="21" s="1"/>
  <c r="AY546" i="21"/>
  <c r="AZ546" i="21" s="1"/>
  <c r="AR547" i="21"/>
  <c r="AS547" i="21"/>
  <c r="AW547" i="21"/>
  <c r="AX547" i="21" s="1"/>
  <c r="AY547" i="21"/>
  <c r="AZ547" i="21" s="1"/>
  <c r="AR548" i="21"/>
  <c r="AS548" i="21"/>
  <c r="AW548" i="21"/>
  <c r="AX548" i="21" s="1"/>
  <c r="AY548" i="21"/>
  <c r="AZ548" i="21" s="1"/>
  <c r="AR549" i="21"/>
  <c r="AS549" i="21"/>
  <c r="AW549" i="21"/>
  <c r="AX549" i="21" s="1"/>
  <c r="AY549" i="21"/>
  <c r="AZ549" i="21" s="1"/>
  <c r="AR550" i="21"/>
  <c r="AS550" i="21"/>
  <c r="AW550" i="21"/>
  <c r="AX550" i="21" s="1"/>
  <c r="AY550" i="21"/>
  <c r="AZ550" i="21" s="1"/>
  <c r="AR551" i="21"/>
  <c r="AS551" i="21"/>
  <c r="AW551" i="21"/>
  <c r="AX551" i="21" s="1"/>
  <c r="AT551" i="21"/>
  <c r="AV551" i="21" s="1"/>
  <c r="AY551" i="21"/>
  <c r="AZ551" i="21" s="1"/>
  <c r="AR552" i="21"/>
  <c r="AS552" i="21"/>
  <c r="AW552" i="21"/>
  <c r="AX552" i="21" s="1"/>
  <c r="AY552" i="21"/>
  <c r="AZ552" i="21" s="1"/>
  <c r="AR553" i="21"/>
  <c r="AS553" i="21"/>
  <c r="AW553" i="21"/>
  <c r="AX553" i="21" s="1"/>
  <c r="AY553" i="21"/>
  <c r="AZ553" i="21" s="1"/>
  <c r="AR554" i="21"/>
  <c r="AS554" i="21"/>
  <c r="AW554" i="21"/>
  <c r="AX554" i="21" s="1"/>
  <c r="AY554" i="21"/>
  <c r="AZ554" i="21" s="1"/>
  <c r="AR555" i="21"/>
  <c r="AS555" i="21"/>
  <c r="AW555" i="21"/>
  <c r="AX555" i="21" s="1"/>
  <c r="AY555" i="21"/>
  <c r="AZ555" i="21" s="1"/>
  <c r="AR556" i="21"/>
  <c r="AS556" i="21"/>
  <c r="AW556" i="21"/>
  <c r="AX556" i="21" s="1"/>
  <c r="AT556" i="21"/>
  <c r="AV556" i="21" s="1"/>
  <c r="AR557" i="21"/>
  <c r="AS557" i="21"/>
  <c r="AW557" i="21"/>
  <c r="AX557" i="21" s="1"/>
  <c r="AY557" i="21"/>
  <c r="AZ557" i="21" s="1"/>
  <c r="AR558" i="21"/>
  <c r="AS558" i="21"/>
  <c r="AW558" i="21"/>
  <c r="AX558" i="21" s="1"/>
  <c r="AY558" i="21"/>
  <c r="AZ558" i="21" s="1"/>
  <c r="AR559" i="21"/>
  <c r="AS559" i="21"/>
  <c r="AW559" i="21"/>
  <c r="AX559" i="21" s="1"/>
  <c r="AY559" i="21"/>
  <c r="AZ559" i="21" s="1"/>
  <c r="AR560" i="21"/>
  <c r="AS560" i="21"/>
  <c r="AW560" i="21"/>
  <c r="AX560" i="21" s="1"/>
  <c r="AY560" i="21"/>
  <c r="AZ560" i="21" s="1"/>
  <c r="AR561" i="21"/>
  <c r="AS561" i="21"/>
  <c r="AW561" i="21"/>
  <c r="AX561" i="21" s="1"/>
  <c r="AY561" i="21"/>
  <c r="AZ561" i="21" s="1"/>
  <c r="AR562" i="21"/>
  <c r="AS562" i="21"/>
  <c r="AW562" i="21"/>
  <c r="AX562" i="21" s="1"/>
  <c r="AY562" i="21"/>
  <c r="AZ562" i="21" s="1"/>
  <c r="AR563" i="21"/>
  <c r="AS563" i="21"/>
  <c r="AW563" i="21"/>
  <c r="AX563" i="21" s="1"/>
  <c r="AY563" i="21"/>
  <c r="AZ563" i="21" s="1"/>
  <c r="AR564" i="21"/>
  <c r="AS564" i="21"/>
  <c r="AW564" i="21"/>
  <c r="AX564" i="21" s="1"/>
  <c r="AT564" i="21"/>
  <c r="AV564" i="21" s="1"/>
  <c r="AR565" i="21"/>
  <c r="AS565" i="21"/>
  <c r="AW565" i="21"/>
  <c r="AX565" i="21" s="1"/>
  <c r="AY565" i="21"/>
  <c r="AZ565" i="21" s="1"/>
  <c r="AR566" i="21"/>
  <c r="AS566" i="21"/>
  <c r="AW566" i="21"/>
  <c r="AX566" i="21" s="1"/>
  <c r="AY566" i="21"/>
  <c r="AZ566" i="21" s="1"/>
  <c r="AR567" i="21"/>
  <c r="AS567" i="21"/>
  <c r="AW567" i="21"/>
  <c r="AX567" i="21" s="1"/>
  <c r="AY567" i="21"/>
  <c r="AZ567" i="21" s="1"/>
  <c r="AR568" i="21"/>
  <c r="AS568" i="21"/>
  <c r="AW568" i="21"/>
  <c r="AX568" i="21" s="1"/>
  <c r="AY568" i="21"/>
  <c r="AZ568" i="21" s="1"/>
  <c r="AR569" i="21"/>
  <c r="AS569" i="21"/>
  <c r="AW569" i="21"/>
  <c r="AX569" i="21" s="1"/>
  <c r="AT569" i="21"/>
  <c r="AV569" i="21" s="1"/>
  <c r="AY569" i="21"/>
  <c r="AZ569" i="21" s="1"/>
  <c r="AR570" i="21"/>
  <c r="AS570" i="21"/>
  <c r="AW570" i="21"/>
  <c r="AX570" i="21" s="1"/>
  <c r="AY570" i="21"/>
  <c r="AZ570" i="21" s="1"/>
  <c r="AR571" i="21"/>
  <c r="AS571" i="21"/>
  <c r="AW571" i="21"/>
  <c r="AX571" i="21" s="1"/>
  <c r="AT571" i="21"/>
  <c r="AV571" i="21" s="1"/>
  <c r="AY571" i="21"/>
  <c r="AZ571" i="21" s="1"/>
  <c r="AR572" i="21"/>
  <c r="AS572" i="21"/>
  <c r="AW572" i="21"/>
  <c r="AX572" i="21" s="1"/>
  <c r="AT572" i="21"/>
  <c r="AV572" i="21" s="1"/>
  <c r="AR573" i="21"/>
  <c r="AS573" i="21"/>
  <c r="AW573" i="21"/>
  <c r="AX573" i="21" s="1"/>
  <c r="AY573" i="21"/>
  <c r="AZ573" i="21" s="1"/>
  <c r="AR574" i="21"/>
  <c r="AS574" i="21"/>
  <c r="AW574" i="21"/>
  <c r="AX574" i="21" s="1"/>
  <c r="AY574" i="21"/>
  <c r="AZ574" i="21" s="1"/>
  <c r="AR575" i="21"/>
  <c r="AS575" i="21"/>
  <c r="AW575" i="21"/>
  <c r="AX575" i="21" s="1"/>
  <c r="AY575" i="21"/>
  <c r="AZ575" i="21" s="1"/>
  <c r="AR576" i="21"/>
  <c r="AS576" i="21"/>
  <c r="AW576" i="21"/>
  <c r="AX576" i="21" s="1"/>
  <c r="AY576" i="21"/>
  <c r="AZ576" i="21" s="1"/>
  <c r="AR577" i="21"/>
  <c r="AS577" i="21"/>
  <c r="AW577" i="21"/>
  <c r="AX577" i="21" s="1"/>
  <c r="AY577" i="21"/>
  <c r="AZ577" i="21" s="1"/>
  <c r="AR578" i="21"/>
  <c r="AS578" i="21"/>
  <c r="AW578" i="21"/>
  <c r="AX578" i="21" s="1"/>
  <c r="AT578" i="21"/>
  <c r="AV578" i="21" s="1"/>
  <c r="AR579" i="21"/>
  <c r="AS579" i="21"/>
  <c r="AW579" i="21"/>
  <c r="AX579" i="21" s="1"/>
  <c r="AY579" i="21"/>
  <c r="AZ579" i="21" s="1"/>
  <c r="AR580" i="21"/>
  <c r="AS580" i="21"/>
  <c r="AW580" i="21"/>
  <c r="AX580" i="21" s="1"/>
  <c r="AY580" i="21"/>
  <c r="AZ580" i="21" s="1"/>
  <c r="AR581" i="21"/>
  <c r="AS581" i="21"/>
  <c r="AW581" i="21"/>
  <c r="AX581" i="21" s="1"/>
  <c r="AY581" i="21"/>
  <c r="AZ581" i="21" s="1"/>
  <c r="AR582" i="21"/>
  <c r="AS582" i="21"/>
  <c r="AW582" i="21"/>
  <c r="AX582" i="21" s="1"/>
  <c r="AY582" i="21"/>
  <c r="AZ582" i="21" s="1"/>
  <c r="AR583" i="21"/>
  <c r="AS583" i="21"/>
  <c r="AW583" i="21"/>
  <c r="AX583" i="21" s="1"/>
  <c r="AY583" i="21"/>
  <c r="AZ583" i="21" s="1"/>
  <c r="AR584" i="21"/>
  <c r="AS584" i="21"/>
  <c r="AT584" i="21"/>
  <c r="AV584" i="21" s="1"/>
  <c r="AW584" i="21"/>
  <c r="AX584" i="21" s="1"/>
  <c r="AY584" i="21"/>
  <c r="AZ584" i="21" s="1"/>
  <c r="AR585" i="21"/>
  <c r="AS585" i="21"/>
  <c r="AW585" i="21"/>
  <c r="AX585" i="21" s="1"/>
  <c r="AT585" i="21"/>
  <c r="AV585" i="21" s="1"/>
  <c r="AR586" i="21"/>
  <c r="AS586" i="21"/>
  <c r="AT586" i="21"/>
  <c r="AV586" i="21" s="1"/>
  <c r="AW586" i="21"/>
  <c r="AX586" i="21" s="1"/>
  <c r="AY586" i="21"/>
  <c r="AZ586" i="21" s="1"/>
  <c r="AR587" i="21"/>
  <c r="AS587" i="21"/>
  <c r="AW587" i="21"/>
  <c r="AX587" i="21" s="1"/>
  <c r="AT587" i="21"/>
  <c r="AV587" i="21" s="1"/>
  <c r="AR588" i="21"/>
  <c r="AS588" i="21"/>
  <c r="AT588" i="21"/>
  <c r="AV588" i="21" s="1"/>
  <c r="AW588" i="21"/>
  <c r="AX588" i="21" s="1"/>
  <c r="AY588" i="21"/>
  <c r="AZ588" i="21" s="1"/>
  <c r="AR589" i="21"/>
  <c r="AS589" i="21"/>
  <c r="AW589" i="21"/>
  <c r="AX589" i="21" s="1"/>
  <c r="AT589" i="21"/>
  <c r="AV589" i="21" s="1"/>
  <c r="AY589" i="21"/>
  <c r="AZ589" i="21" s="1"/>
  <c r="AR590" i="21"/>
  <c r="AS590" i="21"/>
  <c r="AW590" i="21"/>
  <c r="AX590" i="21" s="1"/>
  <c r="AT590" i="21"/>
  <c r="AV590" i="21" s="1"/>
  <c r="AY590" i="21"/>
  <c r="AZ590" i="21" s="1"/>
  <c r="AR591" i="21"/>
  <c r="AS591" i="21"/>
  <c r="AW591" i="21"/>
  <c r="AX591" i="21" s="1"/>
  <c r="AY591" i="21"/>
  <c r="AZ591" i="21" s="1"/>
  <c r="AR592" i="21"/>
  <c r="AS592" i="21"/>
  <c r="AT592" i="21"/>
  <c r="AV592" i="21" s="1"/>
  <c r="AW592" i="21"/>
  <c r="AX592" i="21" s="1"/>
  <c r="AY592" i="21"/>
  <c r="AZ592" i="21" s="1"/>
  <c r="AR593" i="21"/>
  <c r="AS593" i="21"/>
  <c r="AW593" i="21"/>
  <c r="AX593" i="21" s="1"/>
  <c r="AT593" i="21"/>
  <c r="AV593" i="21" s="1"/>
  <c r="AR594" i="21"/>
  <c r="AS594" i="21"/>
  <c r="AW594" i="21"/>
  <c r="AX594" i="21" s="1"/>
  <c r="AT594" i="21"/>
  <c r="AV594" i="21" s="1"/>
  <c r="AY594" i="21"/>
  <c r="AZ594" i="21" s="1"/>
  <c r="AR595" i="21"/>
  <c r="AS595" i="21"/>
  <c r="AW595" i="21"/>
  <c r="AX595" i="21" s="1"/>
  <c r="AY595" i="21"/>
  <c r="AZ595" i="21" s="1"/>
  <c r="AR596" i="21"/>
  <c r="AS596" i="21"/>
  <c r="AT596" i="21"/>
  <c r="AV596" i="21" s="1"/>
  <c r="AY596" i="21"/>
  <c r="AZ596" i="21" s="1"/>
  <c r="AR597" i="21"/>
  <c r="AS597" i="21"/>
  <c r="AW597" i="21"/>
  <c r="AX597" i="21" s="1"/>
  <c r="AT597" i="21"/>
  <c r="AV597" i="21" s="1"/>
  <c r="AY597" i="21"/>
  <c r="AZ597" i="21" s="1"/>
  <c r="AR598" i="21"/>
  <c r="AS598" i="21"/>
  <c r="AW598" i="21"/>
  <c r="AX598" i="21" s="1"/>
  <c r="AT598" i="21"/>
  <c r="AV598" i="21" s="1"/>
  <c r="AY598" i="21"/>
  <c r="AZ598" i="21" s="1"/>
  <c r="AR599" i="21"/>
  <c r="AS599" i="21"/>
  <c r="AW599" i="21"/>
  <c r="AX599" i="21" s="1"/>
  <c r="AY599" i="21"/>
  <c r="AZ599" i="21" s="1"/>
  <c r="AR600" i="21"/>
  <c r="AS600" i="21"/>
  <c r="AT600" i="21"/>
  <c r="AV600" i="21" s="1"/>
  <c r="AY600" i="21"/>
  <c r="AZ600" i="21" s="1"/>
  <c r="AR601" i="21"/>
  <c r="AS601" i="21"/>
  <c r="AW601" i="21"/>
  <c r="AX601" i="21" s="1"/>
  <c r="AT601" i="21"/>
  <c r="AV601" i="21" s="1"/>
  <c r="AY601" i="21"/>
  <c r="AZ601" i="21" s="1"/>
  <c r="AR602" i="21"/>
  <c r="AS602" i="21"/>
  <c r="AW602" i="21"/>
  <c r="AX602" i="21" s="1"/>
  <c r="AT602" i="21"/>
  <c r="AV602" i="21" s="1"/>
  <c r="AY602" i="21"/>
  <c r="AZ602" i="21" s="1"/>
  <c r="AR603" i="21"/>
  <c r="AS603" i="21"/>
  <c r="AW603" i="21"/>
  <c r="AX603" i="21" s="1"/>
  <c r="AY603" i="21"/>
  <c r="AZ603" i="21" s="1"/>
  <c r="AR604" i="21"/>
  <c r="AS604" i="21"/>
  <c r="AW604" i="21"/>
  <c r="AX604" i="21" s="1"/>
  <c r="AT604" i="21"/>
  <c r="AV604" i="21" s="1"/>
  <c r="AR605" i="21"/>
  <c r="AS605" i="21"/>
  <c r="AW605" i="21"/>
  <c r="AX605" i="21" s="1"/>
  <c r="AT605" i="21"/>
  <c r="AV605" i="21" s="1"/>
  <c r="AY605" i="21"/>
  <c r="AZ605" i="21" s="1"/>
  <c r="AR606" i="21"/>
  <c r="AS606" i="21"/>
  <c r="AW606" i="21"/>
  <c r="AX606" i="21" s="1"/>
  <c r="AT606" i="21"/>
  <c r="AV606" i="21" s="1"/>
  <c r="AY606" i="21"/>
  <c r="AZ606" i="21" s="1"/>
  <c r="AT466" i="21"/>
  <c r="AV466" i="21" s="1"/>
  <c r="AS466" i="21"/>
  <c r="AY466" i="21"/>
  <c r="AZ466" i="21" s="1"/>
  <c r="AR466" i="21"/>
  <c r="R51" i="18"/>
  <c r="N51" i="18"/>
  <c r="J51" i="18"/>
  <c r="B51" i="18"/>
  <c r="C52" i="18"/>
  <c r="A48" i="18"/>
  <c r="Q48" i="18"/>
  <c r="K47" i="14"/>
  <c r="AT583" i="21"/>
  <c r="AV583" i="21" s="1"/>
  <c r="AT580" i="21"/>
  <c r="AV580" i="21" s="1"/>
  <c r="AT567" i="21"/>
  <c r="AV567" i="21" s="1"/>
  <c r="AT548" i="21"/>
  <c r="AV548" i="21" s="1"/>
  <c r="AT535" i="21"/>
  <c r="AV535" i="21" s="1"/>
  <c r="AT532" i="21"/>
  <c r="AV532" i="21" s="1"/>
  <c r="AY522" i="21"/>
  <c r="AZ522" i="21" s="1"/>
  <c r="AT519" i="21"/>
  <c r="AV519" i="21" s="1"/>
  <c r="AT516" i="21"/>
  <c r="AV516" i="21" s="1"/>
  <c r="AT502" i="21"/>
  <c r="AV502" i="21" s="1"/>
  <c r="AW502" i="21"/>
  <c r="AX502" i="21" s="1"/>
  <c r="AY482" i="21"/>
  <c r="AZ482" i="21" s="1"/>
  <c r="AW509" i="21"/>
  <c r="AX509" i="21" s="1"/>
  <c r="AY509" i="21"/>
  <c r="AZ509" i="21" s="1"/>
  <c r="AT498" i="21"/>
  <c r="AV498" i="21" s="1"/>
  <c r="AW498" i="21"/>
  <c r="AX498" i="21" s="1"/>
  <c r="AT494" i="21"/>
  <c r="AV494" i="21" s="1"/>
  <c r="AW494" i="21"/>
  <c r="AX494" i="21" s="1"/>
  <c r="AT490" i="21"/>
  <c r="AV490" i="21" s="1"/>
  <c r="AW490" i="21"/>
  <c r="AX490" i="21" s="1"/>
  <c r="AT603" i="21"/>
  <c r="AV603" i="21" s="1"/>
  <c r="AT573" i="21"/>
  <c r="AV573" i="21" s="1"/>
  <c r="AT570" i="21"/>
  <c r="AV570" i="21" s="1"/>
  <c r="AT557" i="21"/>
  <c r="AV557" i="21" s="1"/>
  <c r="AT554" i="21"/>
  <c r="AV554" i="21" s="1"/>
  <c r="AT541" i="21"/>
  <c r="AV541" i="21" s="1"/>
  <c r="AT538" i="21"/>
  <c r="AV538" i="21" s="1"/>
  <c r="AT525" i="21"/>
  <c r="AV525" i="21" s="1"/>
  <c r="AT486" i="21"/>
  <c r="AV486" i="21" s="1"/>
  <c r="AW486" i="21"/>
  <c r="AX486" i="21" s="1"/>
  <c r="AT505" i="21"/>
  <c r="AV505" i="21" s="1"/>
  <c r="AW505" i="21"/>
  <c r="AX505" i="21" s="1"/>
  <c r="AT501" i="21"/>
  <c r="AV501" i="21" s="1"/>
  <c r="AW501" i="21"/>
  <c r="AX501" i="21" s="1"/>
  <c r="AT478" i="21"/>
  <c r="AV478" i="21" s="1"/>
  <c r="AW478" i="21"/>
  <c r="AX478" i="21" s="1"/>
  <c r="AT474" i="21"/>
  <c r="AV474" i="21" s="1"/>
  <c r="AW474" i="21"/>
  <c r="AX474" i="21" s="1"/>
  <c r="AW470" i="21"/>
  <c r="AX470" i="21" s="1"/>
  <c r="AY470" i="21"/>
  <c r="AZ470" i="21" s="1"/>
  <c r="AW600" i="21"/>
  <c r="AX600" i="21" s="1"/>
  <c r="AT591" i="21"/>
  <c r="AV591" i="21" s="1"/>
  <c r="AY585" i="21"/>
  <c r="AZ585" i="21" s="1"/>
  <c r="AT579" i="21"/>
  <c r="AV579" i="21" s="1"/>
  <c r="AT576" i="21"/>
  <c r="AV576" i="21" s="1"/>
  <c r="AT563" i="21"/>
  <c r="AV563" i="21" s="1"/>
  <c r="AT560" i="21"/>
  <c r="AV560" i="21" s="1"/>
  <c r="AT547" i="21"/>
  <c r="AV547" i="21" s="1"/>
  <c r="AT544" i="21"/>
  <c r="AV544" i="21" s="1"/>
  <c r="AT531" i="21"/>
  <c r="AV531" i="21" s="1"/>
  <c r="AT528" i="21"/>
  <c r="AV528" i="21" s="1"/>
  <c r="AT497" i="21"/>
  <c r="AV497" i="21" s="1"/>
  <c r="AW497" i="21"/>
  <c r="AX497" i="21" s="1"/>
  <c r="AT493" i="21"/>
  <c r="AV493" i="21" s="1"/>
  <c r="AW493" i="21"/>
  <c r="AX493" i="21" s="1"/>
  <c r="AT489" i="21"/>
  <c r="AV489" i="21" s="1"/>
  <c r="AW489" i="21"/>
  <c r="AX489" i="21" s="1"/>
  <c r="AT485" i="21"/>
  <c r="AV485" i="21" s="1"/>
  <c r="AW485" i="21"/>
  <c r="AX485" i="21" s="1"/>
  <c r="AT582" i="21"/>
  <c r="AV582" i="21" s="1"/>
  <c r="AY572" i="21"/>
  <c r="AZ572" i="21" s="1"/>
  <c r="AT566" i="21"/>
  <c r="AV566" i="21" s="1"/>
  <c r="AY556" i="21"/>
  <c r="AZ556" i="21" s="1"/>
  <c r="AT553" i="21"/>
  <c r="AV553" i="21" s="1"/>
  <c r="AT550" i="21"/>
  <c r="AV550" i="21" s="1"/>
  <c r="AT537" i="21"/>
  <c r="AV537" i="21" s="1"/>
  <c r="AT481" i="21"/>
  <c r="AV481" i="21" s="1"/>
  <c r="AW481" i="21"/>
  <c r="AX481" i="21" s="1"/>
  <c r="AT477" i="21"/>
  <c r="AV477" i="21" s="1"/>
  <c r="AW477" i="21"/>
  <c r="AX477" i="21" s="1"/>
  <c r="AT473" i="21"/>
  <c r="AV473" i="21" s="1"/>
  <c r="AW473" i="21"/>
  <c r="AX473" i="21" s="1"/>
  <c r="AT469" i="21"/>
  <c r="AV469" i="21" s="1"/>
  <c r="AW469" i="21"/>
  <c r="AX469" i="21" s="1"/>
  <c r="AY543" i="21"/>
  <c r="AZ543" i="21" s="1"/>
  <c r="AY488" i="21"/>
  <c r="AZ488" i="21" s="1"/>
  <c r="AT599" i="21"/>
  <c r="AV599" i="21" s="1"/>
  <c r="AY593" i="21"/>
  <c r="AZ593" i="21" s="1"/>
  <c r="AY578" i="21"/>
  <c r="AZ578" i="21" s="1"/>
  <c r="AT575" i="21"/>
  <c r="AV575" i="21" s="1"/>
  <c r="AT559" i="21"/>
  <c r="AV559" i="21" s="1"/>
  <c r="AT540" i="21"/>
  <c r="AV540" i="21" s="1"/>
  <c r="AT527" i="21"/>
  <c r="AV527" i="21" s="1"/>
  <c r="AT524" i="21"/>
  <c r="AV524" i="21" s="1"/>
  <c r="AY514" i="21"/>
  <c r="AZ514" i="21" s="1"/>
  <c r="AT511" i="21"/>
  <c r="AV511" i="21" s="1"/>
  <c r="AW511" i="21"/>
  <c r="AX511" i="21" s="1"/>
  <c r="AT504" i="21"/>
  <c r="AV504" i="21" s="1"/>
  <c r="AW504" i="21"/>
  <c r="AX504" i="21" s="1"/>
  <c r="AT496" i="21"/>
  <c r="AV496" i="21" s="1"/>
  <c r="AW496" i="21"/>
  <c r="AX496" i="21" s="1"/>
  <c r="AT492" i="21"/>
  <c r="AV492" i="21" s="1"/>
  <c r="AW492" i="21"/>
  <c r="AX492" i="21" s="1"/>
  <c r="AW596" i="21"/>
  <c r="AX596" i="21" s="1"/>
  <c r="AY587" i="21"/>
  <c r="AZ587" i="21" s="1"/>
  <c r="AT581" i="21"/>
  <c r="AV581" i="21" s="1"/>
  <c r="AT565" i="21"/>
  <c r="AV565" i="21" s="1"/>
  <c r="AT562" i="21"/>
  <c r="AV562" i="21" s="1"/>
  <c r="AT549" i="21"/>
  <c r="AV549" i="21" s="1"/>
  <c r="AT546" i="21"/>
  <c r="AV546" i="21" s="1"/>
  <c r="AT533" i="21"/>
  <c r="AV533" i="21" s="1"/>
  <c r="AT530" i="21"/>
  <c r="AV530" i="21" s="1"/>
  <c r="AT517" i="21"/>
  <c r="AV517" i="21" s="1"/>
  <c r="AW507" i="21"/>
  <c r="AX507" i="21" s="1"/>
  <c r="AY507" i="21"/>
  <c r="AZ507" i="21" s="1"/>
  <c r="AT484" i="21"/>
  <c r="AV484" i="21" s="1"/>
  <c r="AW484" i="21"/>
  <c r="AX484" i="21" s="1"/>
  <c r="AT503" i="21"/>
  <c r="AV503" i="21" s="1"/>
  <c r="AW503" i="21"/>
  <c r="AX503" i="21" s="1"/>
  <c r="AT480" i="21"/>
  <c r="AV480" i="21" s="1"/>
  <c r="AW480" i="21"/>
  <c r="AX480" i="21" s="1"/>
  <c r="AT476" i="21"/>
  <c r="AV476" i="21" s="1"/>
  <c r="AW476" i="21"/>
  <c r="AX476" i="21" s="1"/>
  <c r="AT472" i="21"/>
  <c r="AV472" i="21" s="1"/>
  <c r="AW472" i="21"/>
  <c r="AX472" i="21" s="1"/>
  <c r="AY604" i="21"/>
  <c r="AZ604" i="21" s="1"/>
  <c r="AT568" i="21"/>
  <c r="AV568" i="21" s="1"/>
  <c r="AT555" i="21"/>
  <c r="AV555" i="21" s="1"/>
  <c r="AT552" i="21"/>
  <c r="AV552" i="21" s="1"/>
  <c r="AT539" i="21"/>
  <c r="AV539" i="21" s="1"/>
  <c r="AT536" i="21"/>
  <c r="AV536" i="21" s="1"/>
  <c r="AT523" i="21"/>
  <c r="AV523" i="21" s="1"/>
  <c r="AT520" i="21"/>
  <c r="AV520" i="21" s="1"/>
  <c r="AT499" i="21"/>
  <c r="AV499" i="21" s="1"/>
  <c r="AW499" i="21"/>
  <c r="AX499" i="21" s="1"/>
  <c r="AT495" i="21"/>
  <c r="AV495" i="21" s="1"/>
  <c r="AW495" i="21"/>
  <c r="AX495" i="21" s="1"/>
  <c r="AT491" i="21"/>
  <c r="AV491" i="21" s="1"/>
  <c r="AW491" i="21"/>
  <c r="AX491" i="21" s="1"/>
  <c r="AY529" i="21"/>
  <c r="AZ529" i="21" s="1"/>
  <c r="AT487" i="21"/>
  <c r="AV487" i="21" s="1"/>
  <c r="AW487" i="21"/>
  <c r="AX487" i="21" s="1"/>
  <c r="AW483" i="21"/>
  <c r="AX483" i="21" s="1"/>
  <c r="AY483" i="21"/>
  <c r="AZ483" i="21" s="1"/>
  <c r="AT595" i="21"/>
  <c r="AV595" i="21" s="1"/>
  <c r="AT577" i="21"/>
  <c r="AV577" i="21" s="1"/>
  <c r="AT574" i="21"/>
  <c r="AV574" i="21" s="1"/>
  <c r="AY564" i="21"/>
  <c r="AZ564" i="21" s="1"/>
  <c r="AT561" i="21"/>
  <c r="AV561" i="21" s="1"/>
  <c r="AT558" i="21"/>
  <c r="AV558" i="21" s="1"/>
  <c r="AT545" i="21"/>
  <c r="AV545" i="21" s="1"/>
  <c r="AT542" i="21"/>
  <c r="AV542" i="21" s="1"/>
  <c r="AT526" i="21"/>
  <c r="AV526" i="21" s="1"/>
  <c r="AT513" i="21"/>
  <c r="AV513" i="21" s="1"/>
  <c r="AT479" i="21"/>
  <c r="AV479" i="21" s="1"/>
  <c r="AW479" i="21"/>
  <c r="AX479" i="21" s="1"/>
  <c r="AT475" i="21"/>
  <c r="AV475" i="21" s="1"/>
  <c r="AW475" i="21"/>
  <c r="AX475" i="21" s="1"/>
  <c r="AT471" i="21"/>
  <c r="AV471" i="21" s="1"/>
  <c r="AW471" i="21"/>
  <c r="AX471" i="21" s="1"/>
  <c r="AW468" i="21"/>
  <c r="AX468" i="21" s="1"/>
  <c r="AW467" i="21"/>
  <c r="AX467" i="21" s="1"/>
  <c r="AW466" i="21"/>
  <c r="AX466" i="21" s="1"/>
  <c r="S49" i="18"/>
  <c r="R49" i="18"/>
  <c r="Q55" i="18"/>
  <c r="A55" i="18"/>
  <c r="B49" i="18"/>
  <c r="C49" i="18"/>
  <c r="E48" i="18"/>
  <c r="I48" i="18"/>
  <c r="M48" i="18"/>
  <c r="I47" i="12"/>
  <c r="J47" i="12"/>
  <c r="AB46" i="14"/>
  <c r="AF46" i="14" s="1"/>
  <c r="X46" i="14"/>
  <c r="Y46" i="14" s="1"/>
  <c r="B46" i="14"/>
  <c r="AA46" i="14" s="1"/>
  <c r="CX14" i="6"/>
  <c r="CX2" i="6"/>
  <c r="G46" i="12"/>
  <c r="J46" i="12" s="1"/>
  <c r="CV9" i="6"/>
  <c r="CV8" i="6"/>
  <c r="CW14" i="6"/>
  <c r="CW2" i="6"/>
  <c r="N42" i="18"/>
  <c r="R42" i="18"/>
  <c r="J42" i="18"/>
  <c r="F42" i="18"/>
  <c r="B42" i="18"/>
  <c r="AW444" i="21"/>
  <c r="AX444" i="21" s="1"/>
  <c r="AT444" i="21"/>
  <c r="AV444" i="21" s="1"/>
  <c r="AT409" i="21"/>
  <c r="AV409" i="21" s="1"/>
  <c r="AW409" i="21"/>
  <c r="AX409" i="21" s="1"/>
  <c r="AR340" i="21"/>
  <c r="AS340" i="21"/>
  <c r="AW340" i="21"/>
  <c r="AX340" i="21" s="1"/>
  <c r="AT340" i="21"/>
  <c r="AV340" i="21" s="1"/>
  <c r="AR341" i="21"/>
  <c r="AS341" i="21"/>
  <c r="AY341" i="21"/>
  <c r="AZ341" i="21" s="1"/>
  <c r="AR342" i="21"/>
  <c r="AS342" i="21"/>
  <c r="AT342" i="21"/>
  <c r="AV342" i="21" s="1"/>
  <c r="AY342" i="21"/>
  <c r="AZ342" i="21" s="1"/>
  <c r="AR343" i="21"/>
  <c r="AS343" i="21"/>
  <c r="AY343" i="21"/>
  <c r="AZ343" i="21" s="1"/>
  <c r="AR344" i="21"/>
  <c r="AS344" i="21"/>
  <c r="AT344" i="21"/>
  <c r="AV344" i="21" s="1"/>
  <c r="AY344" i="21"/>
  <c r="AZ344" i="21" s="1"/>
  <c r="AR345" i="21"/>
  <c r="AS345" i="21"/>
  <c r="AY345" i="21"/>
  <c r="AZ345" i="21" s="1"/>
  <c r="AR346" i="21"/>
  <c r="AS346" i="21"/>
  <c r="AT346" i="21"/>
  <c r="AV346" i="21" s="1"/>
  <c r="AY346" i="21"/>
  <c r="AZ346" i="21" s="1"/>
  <c r="AR347" i="21"/>
  <c r="AS347" i="21"/>
  <c r="AY347" i="21"/>
  <c r="AZ347" i="21" s="1"/>
  <c r="AR348" i="21"/>
  <c r="AS348" i="21"/>
  <c r="AT348" i="21"/>
  <c r="AV348" i="21" s="1"/>
  <c r="AY348" i="21"/>
  <c r="AZ348" i="21" s="1"/>
  <c r="AR349" i="21"/>
  <c r="AS349" i="21"/>
  <c r="AY349" i="21"/>
  <c r="AZ349" i="21" s="1"/>
  <c r="AR350" i="21"/>
  <c r="AS350" i="21"/>
  <c r="AT350" i="21"/>
  <c r="AV350" i="21" s="1"/>
  <c r="AY350" i="21"/>
  <c r="AZ350" i="21" s="1"/>
  <c r="AR351" i="21"/>
  <c r="AS351" i="21"/>
  <c r="AT351" i="21"/>
  <c r="AV351" i="21" s="1"/>
  <c r="AR352" i="21"/>
  <c r="AS352" i="21"/>
  <c r="AY352" i="21"/>
  <c r="AZ352" i="21" s="1"/>
  <c r="AR353" i="21"/>
  <c r="AS353" i="21"/>
  <c r="AY353" i="21"/>
  <c r="AZ353" i="21" s="1"/>
  <c r="AR354" i="21"/>
  <c r="AS354" i="21"/>
  <c r="AY354" i="21"/>
  <c r="AZ354" i="21" s="1"/>
  <c r="AR355" i="21"/>
  <c r="AS355" i="21"/>
  <c r="AY355" i="21"/>
  <c r="AZ355" i="21" s="1"/>
  <c r="AR356" i="21"/>
  <c r="AS356" i="21"/>
  <c r="AT356" i="21"/>
  <c r="AV356" i="21" s="1"/>
  <c r="AR357" i="21"/>
  <c r="AS357" i="21"/>
  <c r="AY357" i="21"/>
  <c r="AZ357" i="21" s="1"/>
  <c r="AR358" i="21"/>
  <c r="AS358" i="21"/>
  <c r="AY358" i="21"/>
  <c r="AZ358" i="21" s="1"/>
  <c r="AR359" i="21"/>
  <c r="AS359" i="21"/>
  <c r="AT359" i="21"/>
  <c r="AV359" i="21" s="1"/>
  <c r="AR360" i="21"/>
  <c r="AS360" i="21"/>
  <c r="AY360" i="21"/>
  <c r="AZ360" i="21" s="1"/>
  <c r="AR361" i="21"/>
  <c r="AS361" i="21"/>
  <c r="AY361" i="21"/>
  <c r="AZ361" i="21" s="1"/>
  <c r="AR362" i="21"/>
  <c r="AS362" i="21"/>
  <c r="AY362" i="21"/>
  <c r="AZ362" i="21" s="1"/>
  <c r="AR363" i="21"/>
  <c r="AS363" i="21"/>
  <c r="AT363" i="21"/>
  <c r="AV363" i="21" s="1"/>
  <c r="AR364" i="21"/>
  <c r="AS364" i="21"/>
  <c r="AY364" i="21"/>
  <c r="AZ364" i="21" s="1"/>
  <c r="AR365" i="21"/>
  <c r="AS365" i="21"/>
  <c r="AY365" i="21"/>
  <c r="AZ365" i="21" s="1"/>
  <c r="AR366" i="21"/>
  <c r="AS366" i="21"/>
  <c r="AY366" i="21"/>
  <c r="AZ366" i="21" s="1"/>
  <c r="AR367" i="21"/>
  <c r="AS367" i="21"/>
  <c r="AY367" i="21"/>
  <c r="AZ367" i="21" s="1"/>
  <c r="AR368" i="21"/>
  <c r="AS368" i="21"/>
  <c r="AT368" i="21"/>
  <c r="AV368" i="21" s="1"/>
  <c r="AR369" i="21"/>
  <c r="AS369" i="21"/>
  <c r="AY369" i="21"/>
  <c r="AZ369" i="21" s="1"/>
  <c r="AR370" i="21"/>
  <c r="AS370" i="21"/>
  <c r="AT370" i="21"/>
  <c r="AV370" i="21" s="1"/>
  <c r="AR371" i="21"/>
  <c r="AS371" i="21"/>
  <c r="AY371" i="21"/>
  <c r="AZ371" i="21" s="1"/>
  <c r="AR372" i="21"/>
  <c r="AS372" i="21"/>
  <c r="AY372" i="21"/>
  <c r="AZ372" i="21" s="1"/>
  <c r="AR373" i="21"/>
  <c r="AS373" i="21"/>
  <c r="AY373" i="21"/>
  <c r="AZ373" i="21" s="1"/>
  <c r="AR374" i="21"/>
  <c r="AS374" i="21"/>
  <c r="AY374" i="21"/>
  <c r="AZ374" i="21" s="1"/>
  <c r="AR375" i="21"/>
  <c r="AS375" i="21"/>
  <c r="AY375" i="21"/>
  <c r="AZ375" i="21" s="1"/>
  <c r="AR376" i="21"/>
  <c r="AS376" i="21"/>
  <c r="AT376" i="21"/>
  <c r="AV376" i="21" s="1"/>
  <c r="AR377" i="21"/>
  <c r="AS377" i="21"/>
  <c r="AY377" i="21"/>
  <c r="AZ377" i="21" s="1"/>
  <c r="AR378" i="21"/>
  <c r="AS378" i="21"/>
  <c r="AY378" i="21"/>
  <c r="AZ378" i="21" s="1"/>
  <c r="AR379" i="21"/>
  <c r="AS379" i="21"/>
  <c r="AY379" i="21"/>
  <c r="AZ379" i="21" s="1"/>
  <c r="AR380" i="21"/>
  <c r="AS380" i="21"/>
  <c r="AY380" i="21"/>
  <c r="AZ380" i="21" s="1"/>
  <c r="AR381" i="21"/>
  <c r="AS381" i="21"/>
  <c r="AY381" i="21"/>
  <c r="AZ381" i="21" s="1"/>
  <c r="AR382" i="21"/>
  <c r="AS382" i="21"/>
  <c r="AT382" i="21"/>
  <c r="AV382" i="21" s="1"/>
  <c r="AR383" i="21"/>
  <c r="AS383" i="21"/>
  <c r="AY383" i="21"/>
  <c r="AZ383" i="21" s="1"/>
  <c r="AR384" i="21"/>
  <c r="AS384" i="21"/>
  <c r="AY384" i="21"/>
  <c r="AZ384" i="21" s="1"/>
  <c r="AR385" i="21"/>
  <c r="AS385" i="21"/>
  <c r="AY385" i="21"/>
  <c r="AZ385" i="21" s="1"/>
  <c r="AR386" i="21"/>
  <c r="AS386" i="21"/>
  <c r="AT386" i="21"/>
  <c r="AV386" i="21" s="1"/>
  <c r="AR387" i="21"/>
  <c r="AS387" i="21"/>
  <c r="AT387" i="21"/>
  <c r="AV387" i="21" s="1"/>
  <c r="AR388" i="21"/>
  <c r="AS388" i="21"/>
  <c r="AT388" i="21"/>
  <c r="AV388" i="21" s="1"/>
  <c r="AR389" i="21"/>
  <c r="AS389" i="21"/>
  <c r="AY389" i="21"/>
  <c r="AZ389" i="21" s="1"/>
  <c r="AR390" i="21"/>
  <c r="AS390" i="21"/>
  <c r="AY390" i="21"/>
  <c r="AZ390" i="21" s="1"/>
  <c r="AR391" i="21"/>
  <c r="AS391" i="21"/>
  <c r="AY391" i="21"/>
  <c r="AZ391" i="21" s="1"/>
  <c r="AR392" i="21"/>
  <c r="AS392" i="21"/>
  <c r="AY392" i="21"/>
  <c r="AZ392" i="21" s="1"/>
  <c r="AR393" i="21"/>
  <c r="AS393" i="21"/>
  <c r="AY393" i="21"/>
  <c r="AZ393" i="21" s="1"/>
  <c r="AR394" i="21"/>
  <c r="AS394" i="21"/>
  <c r="AY394" i="21"/>
  <c r="AZ394" i="21" s="1"/>
  <c r="AR395" i="21"/>
  <c r="AS395" i="21"/>
  <c r="AY395" i="21"/>
  <c r="AZ395" i="21" s="1"/>
  <c r="AR396" i="21"/>
  <c r="AS396" i="21"/>
  <c r="AY396" i="21"/>
  <c r="AZ396" i="21" s="1"/>
  <c r="AR397" i="21"/>
  <c r="AS397" i="21"/>
  <c r="AY397" i="21"/>
  <c r="AZ397" i="21" s="1"/>
  <c r="AR398" i="21"/>
  <c r="AS398" i="21"/>
  <c r="AY398" i="21"/>
  <c r="AZ398" i="21" s="1"/>
  <c r="AR399" i="21"/>
  <c r="AS399" i="21"/>
  <c r="AY399" i="21"/>
  <c r="AZ399" i="21" s="1"/>
  <c r="AR400" i="21"/>
  <c r="AS400" i="21"/>
  <c r="AY400" i="21"/>
  <c r="AZ400" i="21" s="1"/>
  <c r="AR401" i="21"/>
  <c r="AS401" i="21"/>
  <c r="AY401" i="21"/>
  <c r="AZ401" i="21" s="1"/>
  <c r="AR402" i="21"/>
  <c r="AS402" i="21"/>
  <c r="AT402" i="21"/>
  <c r="AV402" i="21" s="1"/>
  <c r="AR403" i="21"/>
  <c r="AS403" i="21"/>
  <c r="AY403" i="21"/>
  <c r="AZ403" i="21" s="1"/>
  <c r="AR404" i="21"/>
  <c r="AS404" i="21"/>
  <c r="AY404" i="21"/>
  <c r="AZ404" i="21" s="1"/>
  <c r="AR405" i="21"/>
  <c r="AS405" i="21"/>
  <c r="AY405" i="21"/>
  <c r="AZ405" i="21" s="1"/>
  <c r="AR406" i="21"/>
  <c r="AS406" i="21"/>
  <c r="AY406" i="21"/>
  <c r="AZ406" i="21" s="1"/>
  <c r="AR407" i="21"/>
  <c r="AS407" i="21"/>
  <c r="AY407" i="21"/>
  <c r="AZ407" i="21" s="1"/>
  <c r="AR408" i="21"/>
  <c r="AS408" i="21"/>
  <c r="AY408" i="21"/>
  <c r="AZ408" i="21" s="1"/>
  <c r="AR409" i="21"/>
  <c r="AS409" i="21"/>
  <c r="AY409" i="21"/>
  <c r="AZ409" i="21" s="1"/>
  <c r="AR410" i="21"/>
  <c r="AS410" i="21"/>
  <c r="AY410" i="21"/>
  <c r="AZ410" i="21" s="1"/>
  <c r="AR411" i="21"/>
  <c r="AS411" i="21"/>
  <c r="AY411" i="21"/>
  <c r="AZ411" i="21" s="1"/>
  <c r="AR412" i="21"/>
  <c r="AS412" i="21"/>
  <c r="AY412" i="21"/>
  <c r="AZ412" i="21" s="1"/>
  <c r="AR413" i="21"/>
  <c r="AS413" i="21"/>
  <c r="AY413" i="21"/>
  <c r="AZ413" i="21" s="1"/>
  <c r="AR414" i="21"/>
  <c r="AS414" i="21"/>
  <c r="AT414" i="21"/>
  <c r="AV414" i="21" s="1"/>
  <c r="AR415" i="21"/>
  <c r="AS415" i="21"/>
  <c r="AY415" i="21"/>
  <c r="AZ415" i="21" s="1"/>
  <c r="AR416" i="21"/>
  <c r="AS416" i="21"/>
  <c r="AY416" i="21"/>
  <c r="AZ416" i="21" s="1"/>
  <c r="AR417" i="21"/>
  <c r="AS417" i="21"/>
  <c r="AY417" i="21"/>
  <c r="AZ417" i="21" s="1"/>
  <c r="AR418" i="21"/>
  <c r="AS418" i="21"/>
  <c r="AT418" i="21"/>
  <c r="AV418" i="21" s="1"/>
  <c r="AR419" i="21"/>
  <c r="AS419" i="21"/>
  <c r="AW419" i="21"/>
  <c r="AX419" i="21" s="1"/>
  <c r="AT419" i="21"/>
  <c r="AV419" i="21" s="1"/>
  <c r="AR420" i="21"/>
  <c r="AS420" i="21"/>
  <c r="AY420" i="21"/>
  <c r="AZ420" i="21" s="1"/>
  <c r="AR421" i="21"/>
  <c r="AS421" i="21"/>
  <c r="AY421" i="21"/>
  <c r="AZ421" i="21" s="1"/>
  <c r="AR422" i="21"/>
  <c r="AS422" i="21"/>
  <c r="AY422" i="21"/>
  <c r="AZ422" i="21" s="1"/>
  <c r="AR423" i="21"/>
  <c r="AS423" i="21"/>
  <c r="AY423" i="21"/>
  <c r="AZ423" i="21" s="1"/>
  <c r="AR424" i="21"/>
  <c r="AS424" i="21"/>
  <c r="AY424" i="21"/>
  <c r="AZ424" i="21" s="1"/>
  <c r="AR425" i="21"/>
  <c r="AS425" i="21"/>
  <c r="AY425" i="21"/>
  <c r="AZ425" i="21" s="1"/>
  <c r="AR426" i="21"/>
  <c r="AS426" i="21"/>
  <c r="AY426" i="21"/>
  <c r="AZ426" i="21" s="1"/>
  <c r="AR427" i="21"/>
  <c r="AS427" i="21"/>
  <c r="AY427" i="21"/>
  <c r="AZ427" i="21" s="1"/>
  <c r="AR428" i="21"/>
  <c r="AS428" i="21"/>
  <c r="AY428" i="21"/>
  <c r="AZ428" i="21" s="1"/>
  <c r="AR429" i="21"/>
  <c r="AS429" i="21"/>
  <c r="AW429" i="21"/>
  <c r="AX429" i="21" s="1"/>
  <c r="AT429" i="21"/>
  <c r="AV429" i="21" s="1"/>
  <c r="AY429" i="21"/>
  <c r="AZ429" i="21" s="1"/>
  <c r="AR430" i="21"/>
  <c r="AS430" i="21"/>
  <c r="AY430" i="21"/>
  <c r="AZ430" i="21" s="1"/>
  <c r="AR431" i="21"/>
  <c r="AS431" i="21"/>
  <c r="AW431" i="21"/>
  <c r="AX431" i="21" s="1"/>
  <c r="AT431" i="21"/>
  <c r="AV431" i="21" s="1"/>
  <c r="AY431" i="21"/>
  <c r="AZ431" i="21" s="1"/>
  <c r="AR432" i="21"/>
  <c r="AS432" i="21"/>
  <c r="AY432" i="21"/>
  <c r="AZ432" i="21" s="1"/>
  <c r="AR433" i="21"/>
  <c r="AS433" i="21"/>
  <c r="AW433" i="21"/>
  <c r="AX433" i="21" s="1"/>
  <c r="AT433" i="21"/>
  <c r="AV433" i="21" s="1"/>
  <c r="AY433" i="21"/>
  <c r="AZ433" i="21" s="1"/>
  <c r="AR434" i="21"/>
  <c r="AS434" i="21"/>
  <c r="AY434" i="21"/>
  <c r="AZ434" i="21" s="1"/>
  <c r="AR435" i="21"/>
  <c r="AS435" i="21"/>
  <c r="AW435" i="21"/>
  <c r="AX435" i="21" s="1"/>
  <c r="AT435" i="21"/>
  <c r="AV435" i="21" s="1"/>
  <c r="AY435" i="21"/>
  <c r="AZ435" i="21" s="1"/>
  <c r="AR436" i="21"/>
  <c r="AS436" i="21"/>
  <c r="AW436" i="21"/>
  <c r="AX436" i="21" s="1"/>
  <c r="AY436" i="21"/>
  <c r="AZ436" i="21" s="1"/>
  <c r="AR437" i="21"/>
  <c r="AS437" i="21"/>
  <c r="AW437" i="21"/>
  <c r="AX437" i="21" s="1"/>
  <c r="AT437" i="21"/>
  <c r="AV437" i="21" s="1"/>
  <c r="AR438" i="21"/>
  <c r="AS438" i="21"/>
  <c r="AW438" i="21"/>
  <c r="AX438" i="21" s="1"/>
  <c r="AY438" i="21"/>
  <c r="AZ438" i="21" s="1"/>
  <c r="AR439" i="21"/>
  <c r="AS439" i="21"/>
  <c r="AW439" i="21"/>
  <c r="AX439" i="21" s="1"/>
  <c r="AY439" i="21"/>
  <c r="AZ439" i="21" s="1"/>
  <c r="AR440" i="21"/>
  <c r="AS440" i="21"/>
  <c r="AT440" i="21"/>
  <c r="AV440" i="21" s="1"/>
  <c r="AR441" i="21"/>
  <c r="AS441" i="21"/>
  <c r="AW441" i="21"/>
  <c r="AX441" i="21" s="1"/>
  <c r="AT441" i="21"/>
  <c r="AV441" i="21" s="1"/>
  <c r="AY441" i="21"/>
  <c r="AZ441" i="21" s="1"/>
  <c r="AR442" i="21"/>
  <c r="AS442" i="21"/>
  <c r="AW442" i="21"/>
  <c r="AX442" i="21" s="1"/>
  <c r="AY442" i="21"/>
  <c r="AZ442" i="21" s="1"/>
  <c r="AR443" i="21"/>
  <c r="AS443" i="21"/>
  <c r="AW443" i="21"/>
  <c r="AX443" i="21" s="1"/>
  <c r="AT443" i="21"/>
  <c r="AV443" i="21" s="1"/>
  <c r="AY443" i="21"/>
  <c r="AZ443" i="21" s="1"/>
  <c r="AR444" i="21"/>
  <c r="AS444" i="21"/>
  <c r="AY444" i="21"/>
  <c r="AZ444" i="21" s="1"/>
  <c r="AR445" i="21"/>
  <c r="AS445" i="21"/>
  <c r="AW445" i="21"/>
  <c r="AX445" i="21" s="1"/>
  <c r="AT445" i="21"/>
  <c r="AV445" i="21" s="1"/>
  <c r="AY445" i="21"/>
  <c r="AZ445" i="21" s="1"/>
  <c r="AR446" i="21"/>
  <c r="AS446" i="21"/>
  <c r="AW446" i="21"/>
  <c r="AX446" i="21" s="1"/>
  <c r="AT446" i="21"/>
  <c r="AV446" i="21" s="1"/>
  <c r="AY446" i="21"/>
  <c r="AZ446" i="21" s="1"/>
  <c r="AR447" i="21"/>
  <c r="AS447" i="21"/>
  <c r="AW447" i="21"/>
  <c r="AX447" i="21" s="1"/>
  <c r="AT447" i="21"/>
  <c r="AV447" i="21" s="1"/>
  <c r="AY447" i="21"/>
  <c r="AZ447" i="21" s="1"/>
  <c r="AR448" i="21"/>
  <c r="AS448" i="21"/>
  <c r="AT448" i="21"/>
  <c r="AV448" i="21" s="1"/>
  <c r="AR449" i="21"/>
  <c r="AS449" i="21"/>
  <c r="AW449" i="21"/>
  <c r="AX449" i="21" s="1"/>
  <c r="AT449" i="21"/>
  <c r="AV449" i="21" s="1"/>
  <c r="AR450" i="21"/>
  <c r="AS450" i="21"/>
  <c r="AT450" i="21"/>
  <c r="AV450" i="21" s="1"/>
  <c r="AR451" i="21"/>
  <c r="AS451" i="21"/>
  <c r="AW451" i="21"/>
  <c r="AX451" i="21" s="1"/>
  <c r="AY451" i="21"/>
  <c r="AZ451" i="21" s="1"/>
  <c r="AR452" i="21"/>
  <c r="AS452" i="21"/>
  <c r="AW452" i="21"/>
  <c r="AX452" i="21" s="1"/>
  <c r="AY452" i="21"/>
  <c r="AZ452" i="21" s="1"/>
  <c r="AR453" i="21"/>
  <c r="AS453" i="21"/>
  <c r="AW453" i="21"/>
  <c r="AX453" i="21" s="1"/>
  <c r="AT453" i="21"/>
  <c r="AV453" i="21" s="1"/>
  <c r="AY453" i="21"/>
  <c r="AZ453" i="21" s="1"/>
  <c r="AR454" i="21"/>
  <c r="AS454" i="21"/>
  <c r="AW454" i="21"/>
  <c r="AX454" i="21" s="1"/>
  <c r="AY454" i="21"/>
  <c r="AZ454" i="21" s="1"/>
  <c r="AR455" i="21"/>
  <c r="AS455" i="21"/>
  <c r="AW455" i="21"/>
  <c r="AX455" i="21" s="1"/>
  <c r="AY455" i="21"/>
  <c r="AZ455" i="21" s="1"/>
  <c r="AR456" i="21"/>
  <c r="AS456" i="21"/>
  <c r="AT456" i="21"/>
  <c r="AV456" i="21" s="1"/>
  <c r="AR457" i="21"/>
  <c r="AS457" i="21"/>
  <c r="AW457" i="21"/>
  <c r="AX457" i="21" s="1"/>
  <c r="AY457" i="21"/>
  <c r="AZ457" i="21" s="1"/>
  <c r="AR458" i="21"/>
  <c r="AS458" i="21"/>
  <c r="AW458" i="21"/>
  <c r="AX458" i="21" s="1"/>
  <c r="AT458" i="21"/>
  <c r="AV458" i="21" s="1"/>
  <c r="AY458" i="21"/>
  <c r="AZ458" i="21" s="1"/>
  <c r="AR459" i="21"/>
  <c r="AS459" i="21"/>
  <c r="AW459" i="21"/>
  <c r="AX459" i="21" s="1"/>
  <c r="AY459" i="21"/>
  <c r="AZ459" i="21" s="1"/>
  <c r="AR460" i="21"/>
  <c r="AS460" i="21"/>
  <c r="AW460" i="21"/>
  <c r="AX460" i="21" s="1"/>
  <c r="AY460" i="21"/>
  <c r="AZ460" i="21" s="1"/>
  <c r="AR461" i="21"/>
  <c r="AS461" i="21"/>
  <c r="AW461" i="21"/>
  <c r="AX461" i="21" s="1"/>
  <c r="AY461" i="21"/>
  <c r="AZ461" i="21" s="1"/>
  <c r="AR462" i="21"/>
  <c r="AS462" i="21"/>
  <c r="AW462" i="21"/>
  <c r="AX462" i="21" s="1"/>
  <c r="AY462" i="21"/>
  <c r="AZ462" i="21" s="1"/>
  <c r="AR463" i="21"/>
  <c r="AS463" i="21"/>
  <c r="AW463" i="21"/>
  <c r="AX463" i="21" s="1"/>
  <c r="AY463" i="21"/>
  <c r="AZ463" i="21" s="1"/>
  <c r="AR464" i="21"/>
  <c r="AS464" i="21"/>
  <c r="AW464" i="21"/>
  <c r="AX464" i="21" s="1"/>
  <c r="AY464" i="21"/>
  <c r="AZ464" i="21" s="1"/>
  <c r="AY339" i="21"/>
  <c r="AZ339" i="21" s="1"/>
  <c r="AS339" i="21"/>
  <c r="AW339" i="21"/>
  <c r="AX339" i="21" s="1"/>
  <c r="AR339" i="21"/>
  <c r="O49" i="18"/>
  <c r="M55" i="18"/>
  <c r="N49" i="18"/>
  <c r="K49" i="18"/>
  <c r="J49" i="18"/>
  <c r="I55" i="18"/>
  <c r="F49" i="18"/>
  <c r="E55" i="18"/>
  <c r="G49" i="18"/>
  <c r="K46" i="14"/>
  <c r="L46" i="14"/>
  <c r="O46" i="14"/>
  <c r="AT353" i="21"/>
  <c r="AV353" i="21" s="1"/>
  <c r="AW353" i="21"/>
  <c r="AX353" i="21" s="1"/>
  <c r="AT460" i="21"/>
  <c r="AV460" i="21" s="1"/>
  <c r="AT457" i="21"/>
  <c r="AV457" i="21" s="1"/>
  <c r="AT421" i="21"/>
  <c r="AV421" i="21" s="1"/>
  <c r="AW421" i="21"/>
  <c r="AX421" i="21" s="1"/>
  <c r="AT412" i="21"/>
  <c r="AV412" i="21" s="1"/>
  <c r="AW412" i="21"/>
  <c r="AX412" i="21" s="1"/>
  <c r="AT403" i="21"/>
  <c r="AV403" i="21" s="1"/>
  <c r="AW403" i="21"/>
  <c r="AX403" i="21" s="1"/>
  <c r="AT380" i="21"/>
  <c r="AV380" i="21" s="1"/>
  <c r="AW380" i="21"/>
  <c r="AX380" i="21" s="1"/>
  <c r="AT371" i="21"/>
  <c r="AV371" i="21" s="1"/>
  <c r="AW371" i="21"/>
  <c r="AX371" i="21" s="1"/>
  <c r="AW440" i="21"/>
  <c r="AX440" i="21" s="1"/>
  <c r="AY440" i="21"/>
  <c r="AZ440" i="21" s="1"/>
  <c r="AT357" i="21"/>
  <c r="AV357" i="21" s="1"/>
  <c r="AW357" i="21"/>
  <c r="AX357" i="21" s="1"/>
  <c r="AT463" i="21"/>
  <c r="AV463" i="21" s="1"/>
  <c r="AT425" i="21"/>
  <c r="AV425" i="21" s="1"/>
  <c r="AW425" i="21"/>
  <c r="AX425" i="21" s="1"/>
  <c r="AT416" i="21"/>
  <c r="AV416" i="21" s="1"/>
  <c r="AW416" i="21"/>
  <c r="AX416" i="21" s="1"/>
  <c r="AT407" i="21"/>
  <c r="AV407" i="21" s="1"/>
  <c r="AW407" i="21"/>
  <c r="AX407" i="21" s="1"/>
  <c r="AT384" i="21"/>
  <c r="AV384" i="21" s="1"/>
  <c r="AW384" i="21"/>
  <c r="AX384" i="21" s="1"/>
  <c r="AT375" i="21"/>
  <c r="AV375" i="21" s="1"/>
  <c r="AW375" i="21"/>
  <c r="AX375" i="21" s="1"/>
  <c r="AT352" i="21"/>
  <c r="AV352" i="21" s="1"/>
  <c r="AW352" i="21"/>
  <c r="AX352" i="21" s="1"/>
  <c r="AT430" i="21"/>
  <c r="AV430" i="21" s="1"/>
  <c r="AW430" i="21"/>
  <c r="AX430" i="21" s="1"/>
  <c r="AY450" i="21"/>
  <c r="AZ450" i="21" s="1"/>
  <c r="AW450" i="21"/>
  <c r="AX450" i="21" s="1"/>
  <c r="AT420" i="21"/>
  <c r="AV420" i="21" s="1"/>
  <c r="AW420" i="21"/>
  <c r="AX420" i="21" s="1"/>
  <c r="AW402" i="21"/>
  <c r="AX402" i="21" s="1"/>
  <c r="AY402" i="21"/>
  <c r="AZ402" i="21" s="1"/>
  <c r="AT393" i="21"/>
  <c r="AV393" i="21" s="1"/>
  <c r="AW393" i="21"/>
  <c r="AX393" i="21" s="1"/>
  <c r="AW370" i="21"/>
  <c r="AX370" i="21" s="1"/>
  <c r="AY370" i="21"/>
  <c r="AZ370" i="21" s="1"/>
  <c r="AT361" i="21"/>
  <c r="AV361" i="21" s="1"/>
  <c r="AW361" i="21"/>
  <c r="AX361" i="21" s="1"/>
  <c r="AT343" i="21"/>
  <c r="AV343" i="21" s="1"/>
  <c r="AW343" i="21"/>
  <c r="AX343" i="21" s="1"/>
  <c r="AT385" i="21"/>
  <c r="AV385" i="21" s="1"/>
  <c r="AW385" i="21"/>
  <c r="AX385" i="21" s="1"/>
  <c r="AT366" i="21"/>
  <c r="AV366" i="21" s="1"/>
  <c r="AW366" i="21"/>
  <c r="AX366" i="21" s="1"/>
  <c r="AT436" i="21"/>
  <c r="AV436" i="21" s="1"/>
  <c r="AT411" i="21"/>
  <c r="AV411" i="21" s="1"/>
  <c r="AW411" i="21"/>
  <c r="AX411" i="21" s="1"/>
  <c r="AW388" i="21"/>
  <c r="AX388" i="21" s="1"/>
  <c r="AY388" i="21"/>
  <c r="AZ388" i="21" s="1"/>
  <c r="AT379" i="21"/>
  <c r="AV379" i="21" s="1"/>
  <c r="AW379" i="21"/>
  <c r="AX379" i="21" s="1"/>
  <c r="AW356" i="21"/>
  <c r="AX356" i="21" s="1"/>
  <c r="AY356" i="21"/>
  <c r="AZ356" i="21" s="1"/>
  <c r="AT424" i="21"/>
  <c r="AV424" i="21" s="1"/>
  <c r="AW424" i="21"/>
  <c r="AX424" i="21" s="1"/>
  <c r="AT406" i="21"/>
  <c r="AV406" i="21" s="1"/>
  <c r="AW406" i="21"/>
  <c r="AX406" i="21" s="1"/>
  <c r="AT397" i="21"/>
  <c r="AV397" i="21" s="1"/>
  <c r="AW397" i="21"/>
  <c r="AX397" i="21" s="1"/>
  <c r="AT374" i="21"/>
  <c r="AV374" i="21" s="1"/>
  <c r="AW374" i="21"/>
  <c r="AX374" i="21" s="1"/>
  <c r="AT365" i="21"/>
  <c r="AV365" i="21" s="1"/>
  <c r="AW365" i="21"/>
  <c r="AX365" i="21" s="1"/>
  <c r="AT347" i="21"/>
  <c r="AV347" i="21" s="1"/>
  <c r="AW347" i="21"/>
  <c r="AX347" i="21" s="1"/>
  <c r="AT362" i="21"/>
  <c r="AV362" i="21" s="1"/>
  <c r="AW362" i="21"/>
  <c r="AX362" i="21" s="1"/>
  <c r="AW456" i="21"/>
  <c r="AX456" i="21" s="1"/>
  <c r="AY456" i="21"/>
  <c r="AZ456" i="21" s="1"/>
  <c r="AY449" i="21"/>
  <c r="AZ449" i="21" s="1"/>
  <c r="AT462" i="21"/>
  <c r="AV462" i="21" s="1"/>
  <c r="AT459" i="21"/>
  <c r="AV459" i="21" s="1"/>
  <c r="AT439" i="21"/>
  <c r="AV439" i="21" s="1"/>
  <c r="AT432" i="21"/>
  <c r="AV432" i="21" s="1"/>
  <c r="AW432" i="21"/>
  <c r="AX432" i="21" s="1"/>
  <c r="AY419" i="21"/>
  <c r="AZ419" i="21" s="1"/>
  <c r="AT415" i="21"/>
  <c r="AV415" i="21" s="1"/>
  <c r="AW415" i="21"/>
  <c r="AX415" i="21" s="1"/>
  <c r="AT392" i="21"/>
  <c r="AV392" i="21" s="1"/>
  <c r="AW392" i="21"/>
  <c r="AX392" i="21" s="1"/>
  <c r="AT383" i="21"/>
  <c r="AV383" i="21" s="1"/>
  <c r="AW383" i="21"/>
  <c r="AX383" i="21" s="1"/>
  <c r="AT360" i="21"/>
  <c r="AV360" i="21" s="1"/>
  <c r="AW360" i="21"/>
  <c r="AX360" i="21" s="1"/>
  <c r="AT442" i="21"/>
  <c r="AV442" i="21" s="1"/>
  <c r="AT428" i="21"/>
  <c r="AV428" i="21" s="1"/>
  <c r="AW428" i="21"/>
  <c r="AX428" i="21" s="1"/>
  <c r="AT410" i="21"/>
  <c r="AV410" i="21" s="1"/>
  <c r="AW410" i="21"/>
  <c r="AX410" i="21" s="1"/>
  <c r="AT401" i="21"/>
  <c r="AV401" i="21" s="1"/>
  <c r="AW401" i="21"/>
  <c r="AX401" i="21" s="1"/>
  <c r="AT378" i="21"/>
  <c r="AV378" i="21" s="1"/>
  <c r="AW378" i="21"/>
  <c r="AX378" i="21" s="1"/>
  <c r="AT369" i="21"/>
  <c r="AV369" i="21" s="1"/>
  <c r="AW369" i="21"/>
  <c r="AX369" i="21" s="1"/>
  <c r="AW351" i="21"/>
  <c r="AX351" i="21" s="1"/>
  <c r="AY351" i="21"/>
  <c r="AZ351" i="21" s="1"/>
  <c r="AT417" i="21"/>
  <c r="AV417" i="21" s="1"/>
  <c r="AW417" i="21"/>
  <c r="AX417" i="21" s="1"/>
  <c r="AT396" i="21"/>
  <c r="AV396" i="21" s="1"/>
  <c r="AW396" i="21"/>
  <c r="AX396" i="21" s="1"/>
  <c r="AW387" i="21"/>
  <c r="AX387" i="21" s="1"/>
  <c r="AY387" i="21"/>
  <c r="AZ387" i="21" s="1"/>
  <c r="AT364" i="21"/>
  <c r="AV364" i="21" s="1"/>
  <c r="AW364" i="21"/>
  <c r="AX364" i="21" s="1"/>
  <c r="AT355" i="21"/>
  <c r="AV355" i="21" s="1"/>
  <c r="AW355" i="21"/>
  <c r="AX355" i="21" s="1"/>
  <c r="AT455" i="21"/>
  <c r="AV455" i="21" s="1"/>
  <c r="AT423" i="21"/>
  <c r="AV423" i="21" s="1"/>
  <c r="AW423" i="21"/>
  <c r="AX423" i="21" s="1"/>
  <c r="AW414" i="21"/>
  <c r="AX414" i="21" s="1"/>
  <c r="AY414" i="21"/>
  <c r="AZ414" i="21" s="1"/>
  <c r="AT405" i="21"/>
  <c r="AV405" i="21" s="1"/>
  <c r="AW405" i="21"/>
  <c r="AX405" i="21" s="1"/>
  <c r="AW382" i="21"/>
  <c r="AX382" i="21" s="1"/>
  <c r="AY382" i="21"/>
  <c r="AZ382" i="21" s="1"/>
  <c r="AT373" i="21"/>
  <c r="AV373" i="21" s="1"/>
  <c r="AW373" i="21"/>
  <c r="AX373" i="21" s="1"/>
  <c r="AT394" i="21"/>
  <c r="AV394" i="21" s="1"/>
  <c r="AW394" i="21"/>
  <c r="AX394" i="21" s="1"/>
  <c r="AW448" i="21"/>
  <c r="AX448" i="21" s="1"/>
  <c r="AY448" i="21"/>
  <c r="AZ448" i="21" s="1"/>
  <c r="AT438" i="21"/>
  <c r="AV438" i="21" s="1"/>
  <c r="AT400" i="21"/>
  <c r="AV400" i="21" s="1"/>
  <c r="AW400" i="21"/>
  <c r="AX400" i="21" s="1"/>
  <c r="AT391" i="21"/>
  <c r="AV391" i="21" s="1"/>
  <c r="AW391" i="21"/>
  <c r="AX391" i="21" s="1"/>
  <c r="AW368" i="21"/>
  <c r="AX368" i="21" s="1"/>
  <c r="AY368" i="21"/>
  <c r="AZ368" i="21" s="1"/>
  <c r="AW359" i="21"/>
  <c r="AX359" i="21" s="1"/>
  <c r="AY359" i="21"/>
  <c r="AZ359" i="21" s="1"/>
  <c r="AT341" i="21"/>
  <c r="AV341" i="21" s="1"/>
  <c r="AW341" i="21"/>
  <c r="AX341" i="21" s="1"/>
  <c r="AT398" i="21"/>
  <c r="AV398" i="21" s="1"/>
  <c r="AW398" i="21"/>
  <c r="AX398" i="21" s="1"/>
  <c r="AT427" i="21"/>
  <c r="AV427" i="21" s="1"/>
  <c r="AW427" i="21"/>
  <c r="AX427" i="21" s="1"/>
  <c r="AY418" i="21"/>
  <c r="AZ418" i="21" s="1"/>
  <c r="AW418" i="21"/>
  <c r="AX418" i="21" s="1"/>
  <c r="AW386" i="21"/>
  <c r="AX386" i="21" s="1"/>
  <c r="AY386" i="21"/>
  <c r="AZ386" i="21" s="1"/>
  <c r="AT377" i="21"/>
  <c r="AV377" i="21" s="1"/>
  <c r="AW377" i="21"/>
  <c r="AX377" i="21" s="1"/>
  <c r="AT354" i="21"/>
  <c r="AV354" i="21" s="1"/>
  <c r="AW354" i="21"/>
  <c r="AX354" i="21" s="1"/>
  <c r="AT464" i="21"/>
  <c r="AV464" i="21" s="1"/>
  <c r="AT461" i="21"/>
  <c r="AV461" i="21" s="1"/>
  <c r="AT422" i="21"/>
  <c r="AV422" i="21" s="1"/>
  <c r="AW422" i="21"/>
  <c r="AX422" i="21" s="1"/>
  <c r="AT404" i="21"/>
  <c r="AV404" i="21" s="1"/>
  <c r="AW404" i="21"/>
  <c r="AX404" i="21" s="1"/>
  <c r="AT395" i="21"/>
  <c r="AV395" i="21" s="1"/>
  <c r="AW395" i="21"/>
  <c r="AX395" i="21" s="1"/>
  <c r="AT372" i="21"/>
  <c r="AV372" i="21" s="1"/>
  <c r="AW372" i="21"/>
  <c r="AX372" i="21" s="1"/>
  <c r="AW363" i="21"/>
  <c r="AX363" i="21" s="1"/>
  <c r="AY363" i="21"/>
  <c r="AZ363" i="21" s="1"/>
  <c r="AT345" i="21"/>
  <c r="AV345" i="21" s="1"/>
  <c r="AW345" i="21"/>
  <c r="AX345" i="21" s="1"/>
  <c r="AT389" i="21"/>
  <c r="AV389" i="21" s="1"/>
  <c r="AW389" i="21"/>
  <c r="AX389" i="21" s="1"/>
  <c r="AT452" i="21"/>
  <c r="AV452" i="21" s="1"/>
  <c r="AT454" i="21"/>
  <c r="AV454" i="21" s="1"/>
  <c r="AT451" i="21"/>
  <c r="AV451" i="21" s="1"/>
  <c r="AT413" i="21"/>
  <c r="AV413" i="21" s="1"/>
  <c r="AW413" i="21"/>
  <c r="AX413" i="21" s="1"/>
  <c r="AT390" i="21"/>
  <c r="AV390" i="21" s="1"/>
  <c r="AW390" i="21"/>
  <c r="AX390" i="21" s="1"/>
  <c r="AT381" i="21"/>
  <c r="AV381" i="21" s="1"/>
  <c r="AW381" i="21"/>
  <c r="AX381" i="21" s="1"/>
  <c r="AT358" i="21"/>
  <c r="AV358" i="21" s="1"/>
  <c r="AW358" i="21"/>
  <c r="AX358" i="21" s="1"/>
  <c r="AY437" i="21"/>
  <c r="AZ437" i="21" s="1"/>
  <c r="AT434" i="21"/>
  <c r="AV434" i="21" s="1"/>
  <c r="AW434" i="21"/>
  <c r="AX434" i="21" s="1"/>
  <c r="AT426" i="21"/>
  <c r="AV426" i="21" s="1"/>
  <c r="AW426" i="21"/>
  <c r="AX426" i="21" s="1"/>
  <c r="AT408" i="21"/>
  <c r="AV408" i="21" s="1"/>
  <c r="AW408" i="21"/>
  <c r="AX408" i="21" s="1"/>
  <c r="AT399" i="21"/>
  <c r="AV399" i="21" s="1"/>
  <c r="AW399" i="21"/>
  <c r="AX399" i="21" s="1"/>
  <c r="AW376" i="21"/>
  <c r="AX376" i="21" s="1"/>
  <c r="AY376" i="21"/>
  <c r="AZ376" i="21" s="1"/>
  <c r="AT367" i="21"/>
  <c r="AV367" i="21" s="1"/>
  <c r="AW367" i="21"/>
  <c r="AX367" i="21" s="1"/>
  <c r="AT349" i="21"/>
  <c r="AV349" i="21" s="1"/>
  <c r="AW349" i="21"/>
  <c r="AX349" i="21" s="1"/>
  <c r="AY340" i="21"/>
  <c r="AZ340" i="21" s="1"/>
  <c r="AW350" i="21"/>
  <c r="AX350" i="21" s="1"/>
  <c r="AW348" i="21"/>
  <c r="AX348" i="21" s="1"/>
  <c r="AW346" i="21"/>
  <c r="AX346" i="21" s="1"/>
  <c r="AW344" i="21"/>
  <c r="AX344" i="21" s="1"/>
  <c r="AW342" i="21"/>
  <c r="AX342" i="21" s="1"/>
  <c r="AT339" i="21"/>
  <c r="AV339" i="21" s="1"/>
  <c r="C43" i="18"/>
  <c r="A39" i="18"/>
  <c r="B40" i="18"/>
  <c r="I46" i="12"/>
  <c r="AB45" i="14"/>
  <c r="AF45" i="14" s="1"/>
  <c r="X45" i="14"/>
  <c r="Y45" i="14" s="1"/>
  <c r="C45" i="14"/>
  <c r="G45" i="14" s="1"/>
  <c r="B45" i="14"/>
  <c r="AA45" i="14" s="1"/>
  <c r="M39" i="18"/>
  <c r="A46" i="18"/>
  <c r="C40" i="18"/>
  <c r="E39" i="18"/>
  <c r="I39" i="18"/>
  <c r="Q39" i="18"/>
  <c r="R33" i="18"/>
  <c r="N33" i="18"/>
  <c r="J33" i="18"/>
  <c r="F33" i="18"/>
  <c r="B33" i="18"/>
  <c r="AR230" i="21"/>
  <c r="AS230" i="21"/>
  <c r="AT230" i="21"/>
  <c r="AV230" i="21" s="1"/>
  <c r="AY230" i="21"/>
  <c r="AZ230" i="21" s="1"/>
  <c r="AR231" i="21"/>
  <c r="AS231" i="21"/>
  <c r="AW231" i="21"/>
  <c r="AX231" i="21" s="1"/>
  <c r="AT231" i="21"/>
  <c r="AV231" i="21" s="1"/>
  <c r="AY231" i="21"/>
  <c r="AZ231" i="21" s="1"/>
  <c r="AR232" i="21"/>
  <c r="AS232" i="21"/>
  <c r="AT232" i="21"/>
  <c r="AV232" i="21" s="1"/>
  <c r="AY232" i="21"/>
  <c r="AZ232" i="21" s="1"/>
  <c r="AR233" i="21"/>
  <c r="AS233" i="21"/>
  <c r="AW233" i="21"/>
  <c r="AX233" i="21" s="1"/>
  <c r="AT233" i="21"/>
  <c r="AV233" i="21" s="1"/>
  <c r="AY233" i="21"/>
  <c r="AZ233" i="21" s="1"/>
  <c r="AR234" i="21"/>
  <c r="AS234" i="21"/>
  <c r="AT234" i="21"/>
  <c r="AV234" i="21" s="1"/>
  <c r="AY234" i="21"/>
  <c r="AZ234" i="21" s="1"/>
  <c r="AR235" i="21"/>
  <c r="AS235" i="21"/>
  <c r="AW235" i="21"/>
  <c r="AX235" i="21" s="1"/>
  <c r="AT235" i="21"/>
  <c r="AV235" i="21" s="1"/>
  <c r="AY235" i="21"/>
  <c r="AZ235" i="21" s="1"/>
  <c r="AR236" i="21"/>
  <c r="AS236" i="21"/>
  <c r="AT236" i="21"/>
  <c r="AV236" i="21" s="1"/>
  <c r="AY236" i="21"/>
  <c r="AZ236" i="21" s="1"/>
  <c r="AR237" i="21"/>
  <c r="AS237" i="21"/>
  <c r="AW237" i="21"/>
  <c r="AX237" i="21" s="1"/>
  <c r="AT237" i="21"/>
  <c r="AV237" i="21" s="1"/>
  <c r="AR238" i="21"/>
  <c r="AS238" i="21"/>
  <c r="AT238" i="21"/>
  <c r="AV238" i="21" s="1"/>
  <c r="AY238" i="21"/>
  <c r="AZ238" i="21" s="1"/>
  <c r="AR239" i="21"/>
  <c r="AS239" i="21"/>
  <c r="AW239" i="21"/>
  <c r="AX239" i="21" s="1"/>
  <c r="AT239" i="21"/>
  <c r="AV239" i="21" s="1"/>
  <c r="AY239" i="21"/>
  <c r="AZ239" i="21" s="1"/>
  <c r="AR240" i="21"/>
  <c r="AS240" i="21"/>
  <c r="AT240" i="21"/>
  <c r="AV240" i="21" s="1"/>
  <c r="AY240" i="21"/>
  <c r="AZ240" i="21" s="1"/>
  <c r="AR241" i="21"/>
  <c r="AS241" i="21"/>
  <c r="AW241" i="21"/>
  <c r="AX241" i="21" s="1"/>
  <c r="AT241" i="21"/>
  <c r="AV241" i="21" s="1"/>
  <c r="AY241" i="21"/>
  <c r="AZ241" i="21" s="1"/>
  <c r="AR242" i="21"/>
  <c r="AS242" i="21"/>
  <c r="AW242" i="21"/>
  <c r="AX242" i="21" s="1"/>
  <c r="AT242" i="21"/>
  <c r="AV242" i="21" s="1"/>
  <c r="AR243" i="21"/>
  <c r="AS243" i="21"/>
  <c r="AW243" i="21"/>
  <c r="AX243" i="21" s="1"/>
  <c r="AT243" i="21"/>
  <c r="AV243" i="21" s="1"/>
  <c r="AY243" i="21"/>
  <c r="AZ243" i="21" s="1"/>
  <c r="AR244" i="21"/>
  <c r="AS244" i="21"/>
  <c r="AT244" i="21"/>
  <c r="AV244" i="21" s="1"/>
  <c r="AY244" i="21"/>
  <c r="AZ244" i="21" s="1"/>
  <c r="AR245" i="21"/>
  <c r="AS245" i="21"/>
  <c r="AW245" i="21"/>
  <c r="AX245" i="21" s="1"/>
  <c r="AT245" i="21"/>
  <c r="AV245" i="21" s="1"/>
  <c r="AR246" i="21"/>
  <c r="AS246" i="21"/>
  <c r="AT246" i="21"/>
  <c r="AV246" i="21" s="1"/>
  <c r="AY246" i="21"/>
  <c r="AZ246" i="21" s="1"/>
  <c r="AR247" i="21"/>
  <c r="AS247" i="21"/>
  <c r="AW247" i="21"/>
  <c r="AX247" i="21" s="1"/>
  <c r="AT247" i="21"/>
  <c r="AV247" i="21" s="1"/>
  <c r="AY247" i="21"/>
  <c r="AZ247" i="21" s="1"/>
  <c r="AR248" i="21"/>
  <c r="AS248" i="21"/>
  <c r="AW248" i="21"/>
  <c r="AX248" i="21" s="1"/>
  <c r="AT248" i="21"/>
  <c r="AV248" i="21" s="1"/>
  <c r="AR249" i="21"/>
  <c r="AS249" i="21"/>
  <c r="AW249" i="21"/>
  <c r="AX249" i="21" s="1"/>
  <c r="AT249" i="21"/>
  <c r="AV249" i="21" s="1"/>
  <c r="AY249" i="21"/>
  <c r="AZ249" i="21" s="1"/>
  <c r="AR250" i="21"/>
  <c r="AS250" i="21"/>
  <c r="AT250" i="21"/>
  <c r="AV250" i="21" s="1"/>
  <c r="AY250" i="21"/>
  <c r="AZ250" i="21" s="1"/>
  <c r="AR251" i="21"/>
  <c r="AS251" i="21"/>
  <c r="AW251" i="21"/>
  <c r="AX251" i="21" s="1"/>
  <c r="AT251" i="21"/>
  <c r="AV251" i="21" s="1"/>
  <c r="AY251" i="21"/>
  <c r="AZ251" i="21" s="1"/>
  <c r="AR252" i="21"/>
  <c r="AS252" i="21"/>
  <c r="AT252" i="21"/>
  <c r="AV252" i="21" s="1"/>
  <c r="AY252" i="21"/>
  <c r="AZ252" i="21" s="1"/>
  <c r="AR253" i="21"/>
  <c r="AS253" i="21"/>
  <c r="AW253" i="21"/>
  <c r="AX253" i="21" s="1"/>
  <c r="AT253" i="21"/>
  <c r="AV253" i="21" s="1"/>
  <c r="AY253" i="21"/>
  <c r="AZ253" i="21" s="1"/>
  <c r="AR254" i="21"/>
  <c r="AS254" i="21"/>
  <c r="AW254" i="21"/>
  <c r="AX254" i="21" s="1"/>
  <c r="AT254" i="21"/>
  <c r="AV254" i="21" s="1"/>
  <c r="AR255" i="21"/>
  <c r="AS255" i="21"/>
  <c r="AW255" i="21"/>
  <c r="AX255" i="21" s="1"/>
  <c r="AT255" i="21"/>
  <c r="AV255" i="21" s="1"/>
  <c r="AR256" i="21"/>
  <c r="AS256" i="21"/>
  <c r="AT256" i="21"/>
  <c r="AV256" i="21" s="1"/>
  <c r="AY256" i="21"/>
  <c r="AZ256" i="21" s="1"/>
  <c r="AR257" i="21"/>
  <c r="AS257" i="21"/>
  <c r="AW257" i="21"/>
  <c r="AX257" i="21" s="1"/>
  <c r="AT257" i="21"/>
  <c r="AV257" i="21" s="1"/>
  <c r="AY257" i="21"/>
  <c r="AZ257" i="21" s="1"/>
  <c r="AR258" i="21"/>
  <c r="AS258" i="21"/>
  <c r="AT258" i="21"/>
  <c r="AV258" i="21" s="1"/>
  <c r="AY258" i="21"/>
  <c r="AZ258" i="21" s="1"/>
  <c r="AR259" i="21"/>
  <c r="AS259" i="21"/>
  <c r="AW259" i="21"/>
  <c r="AX259" i="21" s="1"/>
  <c r="AT259" i="21"/>
  <c r="AV259" i="21" s="1"/>
  <c r="AR260" i="21"/>
  <c r="AS260" i="21"/>
  <c r="AW260" i="21"/>
  <c r="AX260" i="21" s="1"/>
  <c r="AT260" i="21"/>
  <c r="AV260" i="21" s="1"/>
  <c r="AR261" i="21"/>
  <c r="AS261" i="21"/>
  <c r="AW261" i="21"/>
  <c r="AX261" i="21" s="1"/>
  <c r="AT261" i="21"/>
  <c r="AV261" i="21" s="1"/>
  <c r="AY261" i="21"/>
  <c r="AZ261" i="21" s="1"/>
  <c r="AR262" i="21"/>
  <c r="AS262" i="21"/>
  <c r="AT262" i="21"/>
  <c r="AV262" i="21" s="1"/>
  <c r="AY262" i="21"/>
  <c r="AZ262" i="21" s="1"/>
  <c r="AR263" i="21"/>
  <c r="AS263" i="21"/>
  <c r="AW263" i="21"/>
  <c r="AX263" i="21" s="1"/>
  <c r="AT263" i="21"/>
  <c r="AV263" i="21" s="1"/>
  <c r="AY263" i="21"/>
  <c r="AZ263" i="21" s="1"/>
  <c r="AR264" i="21"/>
  <c r="AS264" i="21"/>
  <c r="AW264" i="21"/>
  <c r="AX264" i="21" s="1"/>
  <c r="AT264" i="21"/>
  <c r="AV264" i="21" s="1"/>
  <c r="AR265" i="21"/>
  <c r="AS265" i="21"/>
  <c r="AW265" i="21"/>
  <c r="AX265" i="21" s="1"/>
  <c r="AT265" i="21"/>
  <c r="AV265" i="21" s="1"/>
  <c r="AY265" i="21"/>
  <c r="AZ265" i="21" s="1"/>
  <c r="AR266" i="21"/>
  <c r="AS266" i="21"/>
  <c r="AT266" i="21"/>
  <c r="AV266" i="21" s="1"/>
  <c r="AY266" i="21"/>
  <c r="AZ266" i="21" s="1"/>
  <c r="AR267" i="21"/>
  <c r="AS267" i="21"/>
  <c r="AW267" i="21"/>
  <c r="AX267" i="21" s="1"/>
  <c r="AT267" i="21"/>
  <c r="AV267" i="21" s="1"/>
  <c r="AY267" i="21"/>
  <c r="AZ267" i="21" s="1"/>
  <c r="AR268" i="21"/>
  <c r="AS268" i="21"/>
  <c r="AT268" i="21"/>
  <c r="AV268" i="21" s="1"/>
  <c r="AY268" i="21"/>
  <c r="AZ268" i="21" s="1"/>
  <c r="AR269" i="21"/>
  <c r="AS269" i="21"/>
  <c r="AW269" i="21"/>
  <c r="AX269" i="21" s="1"/>
  <c r="AT269" i="21"/>
  <c r="AV269" i="21" s="1"/>
  <c r="AY269" i="21"/>
  <c r="AZ269" i="21" s="1"/>
  <c r="AR270" i="21"/>
  <c r="AS270" i="21"/>
  <c r="AT270" i="21"/>
  <c r="AV270" i="21" s="1"/>
  <c r="AY270" i="21"/>
  <c r="AZ270" i="21" s="1"/>
  <c r="AR271" i="21"/>
  <c r="AS271" i="21"/>
  <c r="AW271" i="21"/>
  <c r="AX271" i="21" s="1"/>
  <c r="AT271" i="21"/>
  <c r="AV271" i="21" s="1"/>
  <c r="AY271" i="21"/>
  <c r="AZ271" i="21" s="1"/>
  <c r="AR272" i="21"/>
  <c r="AS272" i="21"/>
  <c r="AT272" i="21"/>
  <c r="AV272" i="21" s="1"/>
  <c r="AY272" i="21"/>
  <c r="AZ272" i="21" s="1"/>
  <c r="AR273" i="21"/>
  <c r="AS273" i="21"/>
  <c r="AW273" i="21"/>
  <c r="AX273" i="21" s="1"/>
  <c r="AT273" i="21"/>
  <c r="AV273" i="21" s="1"/>
  <c r="AR274" i="21"/>
  <c r="AS274" i="21"/>
  <c r="AT274" i="21"/>
  <c r="AV274" i="21" s="1"/>
  <c r="AY274" i="21"/>
  <c r="AZ274" i="21" s="1"/>
  <c r="AR275" i="21"/>
  <c r="AS275" i="21"/>
  <c r="AW275" i="21"/>
  <c r="AX275" i="21" s="1"/>
  <c r="AT275" i="21"/>
  <c r="AV275" i="21" s="1"/>
  <c r="AY275" i="21"/>
  <c r="AZ275" i="21" s="1"/>
  <c r="AR276" i="21"/>
  <c r="AS276" i="21"/>
  <c r="AT276" i="21"/>
  <c r="AV276" i="21" s="1"/>
  <c r="AY276" i="21"/>
  <c r="AZ276" i="21" s="1"/>
  <c r="AR277" i="21"/>
  <c r="AS277" i="21"/>
  <c r="AW277" i="21"/>
  <c r="AX277" i="21" s="1"/>
  <c r="AT277" i="21"/>
  <c r="AV277" i="21" s="1"/>
  <c r="AY277" i="21"/>
  <c r="AZ277" i="21" s="1"/>
  <c r="AR278" i="21"/>
  <c r="AS278" i="21"/>
  <c r="AT278" i="21"/>
  <c r="AV278" i="21" s="1"/>
  <c r="AY278" i="21"/>
  <c r="AZ278" i="21" s="1"/>
  <c r="AR279" i="21"/>
  <c r="AS279" i="21"/>
  <c r="AW279" i="21"/>
  <c r="AX279" i="21" s="1"/>
  <c r="AT279" i="21"/>
  <c r="AV279" i="21" s="1"/>
  <c r="AY279" i="21"/>
  <c r="AZ279" i="21" s="1"/>
  <c r="AR280" i="21"/>
  <c r="AS280" i="21"/>
  <c r="AW280" i="21"/>
  <c r="AX280" i="21" s="1"/>
  <c r="AT280" i="21"/>
  <c r="AV280" i="21" s="1"/>
  <c r="AR281" i="21"/>
  <c r="AS281" i="21"/>
  <c r="AW281" i="21"/>
  <c r="AX281" i="21" s="1"/>
  <c r="AT281" i="21"/>
  <c r="AV281" i="21" s="1"/>
  <c r="AY281" i="21"/>
  <c r="AZ281" i="21" s="1"/>
  <c r="AR282" i="21"/>
  <c r="AS282" i="21"/>
  <c r="AT282" i="21"/>
  <c r="AV282" i="21" s="1"/>
  <c r="AY282" i="21"/>
  <c r="AZ282" i="21" s="1"/>
  <c r="AR283" i="21"/>
  <c r="AS283" i="21"/>
  <c r="AW283" i="21"/>
  <c r="AX283" i="21" s="1"/>
  <c r="AT283" i="21"/>
  <c r="AV283" i="21" s="1"/>
  <c r="AY283" i="21"/>
  <c r="AZ283" i="21" s="1"/>
  <c r="AR284" i="21"/>
  <c r="AS284" i="21"/>
  <c r="AT284" i="21"/>
  <c r="AV284" i="21" s="1"/>
  <c r="AY284" i="21"/>
  <c r="AZ284" i="21" s="1"/>
  <c r="AR285" i="21"/>
  <c r="AS285" i="21"/>
  <c r="AW285" i="21"/>
  <c r="AX285" i="21" s="1"/>
  <c r="AT285" i="21"/>
  <c r="AV285" i="21" s="1"/>
  <c r="AY285" i="21"/>
  <c r="AZ285" i="21" s="1"/>
  <c r="AR286" i="21"/>
  <c r="AS286" i="21"/>
  <c r="AW286" i="21"/>
  <c r="AX286" i="21" s="1"/>
  <c r="AT286" i="21"/>
  <c r="AV286" i="21" s="1"/>
  <c r="AR287" i="21"/>
  <c r="AS287" i="21"/>
  <c r="AW287" i="21"/>
  <c r="AX287" i="21" s="1"/>
  <c r="AT287" i="21"/>
  <c r="AV287" i="21" s="1"/>
  <c r="AY287" i="21"/>
  <c r="AZ287" i="21" s="1"/>
  <c r="AR288" i="21"/>
  <c r="AS288" i="21"/>
  <c r="AT288" i="21"/>
  <c r="AV288" i="21" s="1"/>
  <c r="AY288" i="21"/>
  <c r="AZ288" i="21" s="1"/>
  <c r="AR289" i="21"/>
  <c r="AS289" i="21"/>
  <c r="AW289" i="21"/>
  <c r="AX289" i="21" s="1"/>
  <c r="AT289" i="21"/>
  <c r="AV289" i="21" s="1"/>
  <c r="AY289" i="21"/>
  <c r="AZ289" i="21" s="1"/>
  <c r="AR290" i="21"/>
  <c r="AS290" i="21"/>
  <c r="AT290" i="21"/>
  <c r="AV290" i="21" s="1"/>
  <c r="AY290" i="21"/>
  <c r="AZ290" i="21" s="1"/>
  <c r="AR291" i="21"/>
  <c r="AS291" i="21"/>
  <c r="AW291" i="21"/>
  <c r="AX291" i="21" s="1"/>
  <c r="AT291" i="21"/>
  <c r="AV291" i="21" s="1"/>
  <c r="AR292" i="21"/>
  <c r="AS292" i="21"/>
  <c r="AT292" i="21"/>
  <c r="AV292" i="21" s="1"/>
  <c r="AY292" i="21"/>
  <c r="AZ292" i="21" s="1"/>
  <c r="AR293" i="21"/>
  <c r="AS293" i="21"/>
  <c r="AW293" i="21"/>
  <c r="AX293" i="21" s="1"/>
  <c r="AT293" i="21"/>
  <c r="AV293" i="21" s="1"/>
  <c r="AY293" i="21"/>
  <c r="AZ293" i="21" s="1"/>
  <c r="AR294" i="21"/>
  <c r="AS294" i="21"/>
  <c r="AT294" i="21"/>
  <c r="AV294" i="21" s="1"/>
  <c r="AY294" i="21"/>
  <c r="AZ294" i="21" s="1"/>
  <c r="AR295" i="21"/>
  <c r="AS295" i="21"/>
  <c r="AW295" i="21"/>
  <c r="AX295" i="21" s="1"/>
  <c r="AT295" i="21"/>
  <c r="AV295" i="21" s="1"/>
  <c r="AY295" i="21"/>
  <c r="AZ295" i="21" s="1"/>
  <c r="AR296" i="21"/>
  <c r="AS296" i="21"/>
  <c r="AT296" i="21"/>
  <c r="AV296" i="21" s="1"/>
  <c r="AY296" i="21"/>
  <c r="AZ296" i="21" s="1"/>
  <c r="AR297" i="21"/>
  <c r="AS297" i="21"/>
  <c r="AW297" i="21"/>
  <c r="AX297" i="21" s="1"/>
  <c r="AT297" i="21"/>
  <c r="AV297" i="21" s="1"/>
  <c r="AY297" i="21"/>
  <c r="AZ297" i="21" s="1"/>
  <c r="AR298" i="21"/>
  <c r="AS298" i="21"/>
  <c r="AT298" i="21"/>
  <c r="AV298" i="21" s="1"/>
  <c r="AY298" i="21"/>
  <c r="AZ298" i="21" s="1"/>
  <c r="AR299" i="21"/>
  <c r="AS299" i="21"/>
  <c r="AW299" i="21"/>
  <c r="AX299" i="21" s="1"/>
  <c r="AT299" i="21"/>
  <c r="AV299" i="21" s="1"/>
  <c r="AY299" i="21"/>
  <c r="AZ299" i="21" s="1"/>
  <c r="AR300" i="21"/>
  <c r="AS300" i="21"/>
  <c r="AT300" i="21"/>
  <c r="AV300" i="21" s="1"/>
  <c r="AY300" i="21"/>
  <c r="AZ300" i="21" s="1"/>
  <c r="AR301" i="21"/>
  <c r="AS301" i="21"/>
  <c r="AW301" i="21"/>
  <c r="AX301" i="21" s="1"/>
  <c r="AT301" i="21"/>
  <c r="AV301" i="21" s="1"/>
  <c r="AY301" i="21"/>
  <c r="AZ301" i="21" s="1"/>
  <c r="AR302" i="21"/>
  <c r="AS302" i="21"/>
  <c r="AT302" i="21"/>
  <c r="AV302" i="21" s="1"/>
  <c r="AY302" i="21"/>
  <c r="AZ302" i="21" s="1"/>
  <c r="AR303" i="21"/>
  <c r="AS303" i="21"/>
  <c r="AW303" i="21"/>
  <c r="AX303" i="21" s="1"/>
  <c r="AT303" i="21"/>
  <c r="AV303" i="21" s="1"/>
  <c r="AY303" i="21"/>
  <c r="AZ303" i="21" s="1"/>
  <c r="AR304" i="21"/>
  <c r="AS304" i="21"/>
  <c r="AW304" i="21"/>
  <c r="AX304" i="21" s="1"/>
  <c r="AT304" i="21"/>
  <c r="AV304" i="21" s="1"/>
  <c r="AR305" i="21"/>
  <c r="AS305" i="21"/>
  <c r="AW305" i="21"/>
  <c r="AX305" i="21" s="1"/>
  <c r="AT305" i="21"/>
  <c r="AV305" i="21" s="1"/>
  <c r="AY305" i="21"/>
  <c r="AZ305" i="21" s="1"/>
  <c r="AR306" i="21"/>
  <c r="AS306" i="21"/>
  <c r="AW306" i="21"/>
  <c r="AX306" i="21" s="1"/>
  <c r="AT306" i="21"/>
  <c r="AV306" i="21" s="1"/>
  <c r="AR307" i="21"/>
  <c r="AS307" i="21"/>
  <c r="AW307" i="21"/>
  <c r="AX307" i="21" s="1"/>
  <c r="AT307" i="21"/>
  <c r="AV307" i="21" s="1"/>
  <c r="AR308" i="21"/>
  <c r="AS308" i="21"/>
  <c r="AT308" i="21"/>
  <c r="AV308" i="21" s="1"/>
  <c r="AY308" i="21"/>
  <c r="AZ308" i="21" s="1"/>
  <c r="AR309" i="21"/>
  <c r="AS309" i="21"/>
  <c r="AW309" i="21"/>
  <c r="AX309" i="21" s="1"/>
  <c r="AT309" i="21"/>
  <c r="AV309" i="21" s="1"/>
  <c r="AR310" i="21"/>
  <c r="AS310" i="21"/>
  <c r="AT310" i="21"/>
  <c r="AV310" i="21" s="1"/>
  <c r="AY310" i="21"/>
  <c r="AZ310" i="21" s="1"/>
  <c r="AR311" i="21"/>
  <c r="AS311" i="21"/>
  <c r="AW311" i="21"/>
  <c r="AX311" i="21" s="1"/>
  <c r="AT311" i="21"/>
  <c r="AV311" i="21" s="1"/>
  <c r="AY311" i="21"/>
  <c r="AZ311" i="21" s="1"/>
  <c r="AR312" i="21"/>
  <c r="AS312" i="21"/>
  <c r="AT312" i="21"/>
  <c r="AV312" i="21" s="1"/>
  <c r="AY312" i="21"/>
  <c r="AZ312" i="21" s="1"/>
  <c r="AR313" i="21"/>
  <c r="AS313" i="21"/>
  <c r="AW313" i="21"/>
  <c r="AX313" i="21" s="1"/>
  <c r="AT313" i="21"/>
  <c r="AV313" i="21" s="1"/>
  <c r="AY313" i="21"/>
  <c r="AZ313" i="21" s="1"/>
  <c r="AR314" i="21"/>
  <c r="AS314" i="21"/>
  <c r="AW314" i="21"/>
  <c r="AX314" i="21" s="1"/>
  <c r="AT314" i="21"/>
  <c r="AV314" i="21" s="1"/>
  <c r="AR315" i="21"/>
  <c r="AS315" i="21"/>
  <c r="AW315" i="21"/>
  <c r="AX315" i="21" s="1"/>
  <c r="AT315" i="21"/>
  <c r="AV315" i="21" s="1"/>
  <c r="AY315" i="21"/>
  <c r="AZ315" i="21" s="1"/>
  <c r="AR316" i="21"/>
  <c r="AS316" i="21"/>
  <c r="AT316" i="21"/>
  <c r="AV316" i="21" s="1"/>
  <c r="AY316" i="21"/>
  <c r="AZ316" i="21" s="1"/>
  <c r="AR317" i="21"/>
  <c r="AS317" i="21"/>
  <c r="AW317" i="21"/>
  <c r="AX317" i="21" s="1"/>
  <c r="AT317" i="21"/>
  <c r="AV317" i="21" s="1"/>
  <c r="AY317" i="21"/>
  <c r="AZ317" i="21" s="1"/>
  <c r="AR318" i="21"/>
  <c r="AS318" i="21"/>
  <c r="AT318" i="21"/>
  <c r="AV318" i="21" s="1"/>
  <c r="AY318" i="21"/>
  <c r="AZ318" i="21" s="1"/>
  <c r="AR319" i="21"/>
  <c r="AS319" i="21"/>
  <c r="AW319" i="21"/>
  <c r="AX319" i="21" s="1"/>
  <c r="AT319" i="21"/>
  <c r="AV319" i="21" s="1"/>
  <c r="AY319" i="21"/>
  <c r="AZ319" i="21" s="1"/>
  <c r="AR320" i="21"/>
  <c r="AS320" i="21"/>
  <c r="AT320" i="21"/>
  <c r="AV320" i="21" s="1"/>
  <c r="AY320" i="21"/>
  <c r="AZ320" i="21" s="1"/>
  <c r="AR321" i="21"/>
  <c r="AS321" i="21"/>
  <c r="AW321" i="21"/>
  <c r="AX321" i="21" s="1"/>
  <c r="AT321" i="21"/>
  <c r="AV321" i="21" s="1"/>
  <c r="AR322" i="21"/>
  <c r="AS322" i="21"/>
  <c r="AT322" i="21"/>
  <c r="AV322" i="21" s="1"/>
  <c r="AY322" i="21"/>
  <c r="AZ322" i="21" s="1"/>
  <c r="AR323" i="21"/>
  <c r="AS323" i="21"/>
  <c r="AW323" i="21"/>
  <c r="AX323" i="21" s="1"/>
  <c r="AT323" i="21"/>
  <c r="AV323" i="21" s="1"/>
  <c r="AY323" i="21"/>
  <c r="AZ323" i="21" s="1"/>
  <c r="AR324" i="21"/>
  <c r="AS324" i="21"/>
  <c r="AW324" i="21"/>
  <c r="AX324" i="21" s="1"/>
  <c r="AT324" i="21"/>
  <c r="AV324" i="21" s="1"/>
  <c r="AR325" i="21"/>
  <c r="AS325" i="21"/>
  <c r="AY325" i="21"/>
  <c r="AZ325" i="21" s="1"/>
  <c r="AT325" i="21"/>
  <c r="AV325" i="21" s="1"/>
  <c r="AR326" i="21"/>
  <c r="AS326" i="21"/>
  <c r="AT326" i="21"/>
  <c r="AV326" i="21" s="1"/>
  <c r="AY326" i="21"/>
  <c r="AZ326" i="21" s="1"/>
  <c r="AR327" i="21"/>
  <c r="AS327" i="21"/>
  <c r="AW327" i="21"/>
  <c r="AX327" i="21" s="1"/>
  <c r="AT327" i="21"/>
  <c r="AV327" i="21" s="1"/>
  <c r="AY327" i="21"/>
  <c r="AZ327" i="21" s="1"/>
  <c r="AR328" i="21"/>
  <c r="AS328" i="21"/>
  <c r="AW328" i="21"/>
  <c r="AX328" i="21" s="1"/>
  <c r="AT328" i="21"/>
  <c r="AV328" i="21" s="1"/>
  <c r="AR329" i="21"/>
  <c r="AS329" i="21"/>
  <c r="AW329" i="21"/>
  <c r="AX329" i="21" s="1"/>
  <c r="AT329" i="21"/>
  <c r="AV329" i="21" s="1"/>
  <c r="AR330" i="21"/>
  <c r="AS330" i="21"/>
  <c r="AT330" i="21"/>
  <c r="AV330" i="21" s="1"/>
  <c r="AY330" i="21"/>
  <c r="AZ330" i="21" s="1"/>
  <c r="AR331" i="21"/>
  <c r="AS331" i="21"/>
  <c r="AW331" i="21"/>
  <c r="AX331" i="21" s="1"/>
  <c r="AT331" i="21"/>
  <c r="AV331" i="21" s="1"/>
  <c r="AY331" i="21"/>
  <c r="AZ331" i="21" s="1"/>
  <c r="AR332" i="21"/>
  <c r="AS332" i="21"/>
  <c r="AT332" i="21"/>
  <c r="AV332" i="21" s="1"/>
  <c r="AY332" i="21"/>
  <c r="AZ332" i="21" s="1"/>
  <c r="AR333" i="21"/>
  <c r="AS333" i="21"/>
  <c r="AW333" i="21"/>
  <c r="AX333" i="21" s="1"/>
  <c r="AT333" i="21"/>
  <c r="AV333" i="21" s="1"/>
  <c r="AR334" i="21"/>
  <c r="AS334" i="21"/>
  <c r="AT334" i="21"/>
  <c r="AV334" i="21" s="1"/>
  <c r="AY334" i="21"/>
  <c r="AZ334" i="21" s="1"/>
  <c r="AR335" i="21"/>
  <c r="AS335" i="21"/>
  <c r="AW335" i="21"/>
  <c r="AX335" i="21" s="1"/>
  <c r="AT335" i="21"/>
  <c r="AV335" i="21" s="1"/>
  <c r="AY335" i="21"/>
  <c r="AZ335" i="21" s="1"/>
  <c r="AR336" i="21"/>
  <c r="AS336" i="21"/>
  <c r="AW336" i="21"/>
  <c r="AX336" i="21" s="1"/>
  <c r="AT336" i="21"/>
  <c r="AV336" i="21" s="1"/>
  <c r="AR337" i="21"/>
  <c r="AS337" i="21"/>
  <c r="AW337" i="21"/>
  <c r="AX337" i="21" s="1"/>
  <c r="AT337" i="21"/>
  <c r="AV337" i="21" s="1"/>
  <c r="AY337" i="21"/>
  <c r="AZ337" i="21" s="1"/>
  <c r="AY229" i="21"/>
  <c r="AZ229" i="21" s="1"/>
  <c r="AS229" i="21"/>
  <c r="AW229" i="21"/>
  <c r="AX229" i="21" s="1"/>
  <c r="AR229" i="21"/>
  <c r="C34" i="18"/>
  <c r="A30" i="18"/>
  <c r="Q30" i="18"/>
  <c r="CV14" i="6"/>
  <c r="CV2" i="6"/>
  <c r="AB44" i="14"/>
  <c r="AF44" i="14" s="1"/>
  <c r="AI44" i="14" s="1"/>
  <c r="AU44" i="14" s="1"/>
  <c r="G33" i="18" s="1"/>
  <c r="Q46" i="18"/>
  <c r="R40" i="18"/>
  <c r="S40" i="18"/>
  <c r="K40" i="18"/>
  <c r="J40" i="18"/>
  <c r="I46" i="18"/>
  <c r="E46" i="18"/>
  <c r="G40" i="18"/>
  <c r="F40" i="18"/>
  <c r="O40" i="18"/>
  <c r="N40" i="18"/>
  <c r="M46" i="18"/>
  <c r="AY329" i="21"/>
  <c r="AZ329" i="21" s="1"/>
  <c r="AY309" i="21"/>
  <c r="AZ309" i="21" s="1"/>
  <c r="AY273" i="21"/>
  <c r="AZ273" i="21" s="1"/>
  <c r="AY259" i="21"/>
  <c r="AZ259" i="21" s="1"/>
  <c r="AY255" i="21"/>
  <c r="AZ255" i="21" s="1"/>
  <c r="AY245" i="21"/>
  <c r="AZ245" i="21" s="1"/>
  <c r="AY237" i="21"/>
  <c r="AZ237" i="21" s="1"/>
  <c r="AY321" i="21"/>
  <c r="AZ321" i="21" s="1"/>
  <c r="AY291" i="21"/>
  <c r="AZ291" i="21" s="1"/>
  <c r="AY333" i="21"/>
  <c r="AZ333" i="21" s="1"/>
  <c r="AY307" i="21"/>
  <c r="AZ307" i="21" s="1"/>
  <c r="AW325" i="21"/>
  <c r="AX325" i="21" s="1"/>
  <c r="AY336" i="21"/>
  <c r="AZ336" i="21" s="1"/>
  <c r="AY304" i="21"/>
  <c r="AZ304" i="21" s="1"/>
  <c r="AY286" i="21"/>
  <c r="AZ286" i="21" s="1"/>
  <c r="AY280" i="21"/>
  <c r="AZ280" i="21" s="1"/>
  <c r="AY264" i="21"/>
  <c r="AZ264" i="21" s="1"/>
  <c r="AY260" i="21"/>
  <c r="AZ260" i="21" s="1"/>
  <c r="AY254" i="21"/>
  <c r="AZ254" i="21" s="1"/>
  <c r="AY248" i="21"/>
  <c r="AZ248" i="21" s="1"/>
  <c r="AY242" i="21"/>
  <c r="AZ242" i="21" s="1"/>
  <c r="AY324" i="21"/>
  <c r="AZ324" i="21" s="1"/>
  <c r="AY314" i="21"/>
  <c r="AZ314" i="21" s="1"/>
  <c r="AY306" i="21"/>
  <c r="AZ306" i="21" s="1"/>
  <c r="AY328" i="21"/>
  <c r="AZ328" i="21" s="1"/>
  <c r="AW334" i="21"/>
  <c r="AX334" i="21" s="1"/>
  <c r="AW332" i="21"/>
  <c r="AX332" i="21" s="1"/>
  <c r="AW330" i="21"/>
  <c r="AX330" i="21" s="1"/>
  <c r="AW326" i="21"/>
  <c r="AX326" i="21" s="1"/>
  <c r="AW322" i="21"/>
  <c r="AX322" i="21" s="1"/>
  <c r="AW320" i="21"/>
  <c r="AX320" i="21" s="1"/>
  <c r="AW318" i="21"/>
  <c r="AX318" i="21" s="1"/>
  <c r="AW316" i="21"/>
  <c r="AX316" i="21" s="1"/>
  <c r="AW312" i="21"/>
  <c r="AX312" i="21" s="1"/>
  <c r="AW310" i="21"/>
  <c r="AX310" i="21" s="1"/>
  <c r="AW308" i="21"/>
  <c r="AX308" i="21" s="1"/>
  <c r="AW302" i="21"/>
  <c r="AX302" i="21" s="1"/>
  <c r="AW300" i="21"/>
  <c r="AX300" i="21" s="1"/>
  <c r="AW298" i="21"/>
  <c r="AX298" i="21" s="1"/>
  <c r="AW296" i="21"/>
  <c r="AX296" i="21" s="1"/>
  <c r="AW294" i="21"/>
  <c r="AX294" i="21" s="1"/>
  <c r="AW292" i="21"/>
  <c r="AX292" i="21" s="1"/>
  <c r="AW290" i="21"/>
  <c r="AX290" i="21" s="1"/>
  <c r="AW288" i="21"/>
  <c r="AX288" i="21" s="1"/>
  <c r="AW284" i="21"/>
  <c r="AX284" i="21" s="1"/>
  <c r="AW282" i="21"/>
  <c r="AX282" i="21" s="1"/>
  <c r="AW278" i="21"/>
  <c r="AX278" i="21" s="1"/>
  <c r="AW276" i="21"/>
  <c r="AX276" i="21" s="1"/>
  <c r="AW274" i="21"/>
  <c r="AX274" i="21" s="1"/>
  <c r="AW272" i="21"/>
  <c r="AX272" i="21" s="1"/>
  <c r="AW270" i="21"/>
  <c r="AX270" i="21" s="1"/>
  <c r="AW268" i="21"/>
  <c r="AX268" i="21" s="1"/>
  <c r="AW266" i="21"/>
  <c r="AX266" i="21" s="1"/>
  <c r="AW262" i="21"/>
  <c r="AX262" i="21" s="1"/>
  <c r="AW258" i="21"/>
  <c r="AX258" i="21" s="1"/>
  <c r="AW256" i="21"/>
  <c r="AX256" i="21" s="1"/>
  <c r="AW252" i="21"/>
  <c r="AX252" i="21" s="1"/>
  <c r="AW250" i="21"/>
  <c r="AX250" i="21" s="1"/>
  <c r="AW246" i="21"/>
  <c r="AX246" i="21" s="1"/>
  <c r="AW244" i="21"/>
  <c r="AX244" i="21" s="1"/>
  <c r="AW240" i="21"/>
  <c r="AX240" i="21" s="1"/>
  <c r="AW238" i="21"/>
  <c r="AX238" i="21" s="1"/>
  <c r="AW236" i="21"/>
  <c r="AX236" i="21" s="1"/>
  <c r="AW234" i="21"/>
  <c r="AX234" i="21" s="1"/>
  <c r="AW232" i="21"/>
  <c r="AX232" i="21" s="1"/>
  <c r="AW230" i="21"/>
  <c r="AX230" i="21" s="1"/>
  <c r="AT229" i="21"/>
  <c r="AV229" i="21" s="1"/>
  <c r="Q37" i="18"/>
  <c r="S31" i="18"/>
  <c r="R31" i="18"/>
  <c r="E30" i="18"/>
  <c r="M30" i="18"/>
  <c r="B31" i="18"/>
  <c r="C31" i="18"/>
  <c r="A37" i="18"/>
  <c r="I30" i="18"/>
  <c r="O31" i="18"/>
  <c r="N31" i="18"/>
  <c r="M37" i="18"/>
  <c r="E37" i="18"/>
  <c r="G31" i="18"/>
  <c r="F31" i="18"/>
  <c r="K31" i="18"/>
  <c r="J31" i="18"/>
  <c r="I37" i="18"/>
  <c r="C44" i="14"/>
  <c r="G44" i="14" s="1"/>
  <c r="B44" i="14"/>
  <c r="AA44" i="14" s="1"/>
  <c r="X44" i="14"/>
  <c r="Y44" i="14" s="1"/>
  <c r="I45" i="12"/>
  <c r="G45" i="12"/>
  <c r="J45" i="12" s="1"/>
  <c r="CU14" i="6"/>
  <c r="CU9" i="6"/>
  <c r="CU8" i="6"/>
  <c r="CU2" i="6"/>
  <c r="I44" i="12"/>
  <c r="G44" i="12"/>
  <c r="AB43" i="14"/>
  <c r="C43" i="14"/>
  <c r="G43" i="14" s="1"/>
  <c r="V43" i="14" s="1"/>
  <c r="C31" i="19"/>
  <c r="C14" i="19"/>
  <c r="C13" i="19"/>
  <c r="C4" i="19"/>
  <c r="AG87" i="20"/>
  <c r="AH87" i="20"/>
  <c r="AI87" i="20"/>
  <c r="AJ87" i="20"/>
  <c r="AK87" i="20"/>
  <c r="AL87" i="20"/>
  <c r="AM87" i="20"/>
  <c r="AN87" i="20"/>
  <c r="AO87" i="20"/>
  <c r="AP87" i="20"/>
  <c r="AQ87" i="20"/>
  <c r="BD86" i="20"/>
  <c r="BE86" i="20"/>
  <c r="BF86" i="20"/>
  <c r="BG86" i="20"/>
  <c r="BH86" i="20"/>
  <c r="BI86" i="20"/>
  <c r="BJ86" i="20"/>
  <c r="BK86" i="20"/>
  <c r="BL86" i="20"/>
  <c r="BM86" i="20"/>
  <c r="BN86" i="20"/>
  <c r="CA86" i="20"/>
  <c r="CB86" i="20"/>
  <c r="CC86" i="20"/>
  <c r="CD86" i="20"/>
  <c r="CE86" i="20"/>
  <c r="CF86" i="20"/>
  <c r="CG86" i="20"/>
  <c r="CH86" i="20"/>
  <c r="CI86" i="20"/>
  <c r="CJ86" i="20"/>
  <c r="CK86" i="20"/>
  <c r="AG85" i="20"/>
  <c r="AH85" i="20"/>
  <c r="AI85" i="20"/>
  <c r="AJ85" i="20"/>
  <c r="AK85" i="20"/>
  <c r="AL85" i="20"/>
  <c r="AM85" i="20"/>
  <c r="AN85" i="20"/>
  <c r="AO85" i="20"/>
  <c r="AP85" i="20"/>
  <c r="AQ85" i="20"/>
  <c r="BD87" i="20"/>
  <c r="BE87" i="20"/>
  <c r="BF87" i="20"/>
  <c r="BG87" i="20"/>
  <c r="BH87" i="20"/>
  <c r="BI87" i="20"/>
  <c r="BJ87" i="20"/>
  <c r="BK87" i="20"/>
  <c r="BL87" i="20"/>
  <c r="BM87" i="20"/>
  <c r="BN87" i="20"/>
  <c r="CA87" i="20"/>
  <c r="CB87" i="20"/>
  <c r="CC87" i="20"/>
  <c r="CD87" i="20"/>
  <c r="CE87" i="20"/>
  <c r="CF87" i="20"/>
  <c r="CG87" i="20"/>
  <c r="CH87" i="20"/>
  <c r="CI87" i="20"/>
  <c r="CJ87" i="20"/>
  <c r="CK87" i="20"/>
  <c r="AG88" i="20"/>
  <c r="AH88" i="20"/>
  <c r="AI88" i="20"/>
  <c r="AJ88" i="20"/>
  <c r="AK88" i="20"/>
  <c r="AL88" i="20"/>
  <c r="AM88" i="20"/>
  <c r="AN88" i="20"/>
  <c r="AO88" i="20"/>
  <c r="AP88" i="20"/>
  <c r="AQ88" i="20"/>
  <c r="BD88" i="20"/>
  <c r="BE88" i="20"/>
  <c r="BF88" i="20"/>
  <c r="BG88" i="20"/>
  <c r="BH88" i="20"/>
  <c r="BI88" i="20"/>
  <c r="BJ88" i="20"/>
  <c r="BK88" i="20"/>
  <c r="BL88" i="20"/>
  <c r="BM88" i="20"/>
  <c r="BN88" i="20"/>
  <c r="CA88" i="20"/>
  <c r="CB88" i="20"/>
  <c r="CC88" i="20"/>
  <c r="CD88" i="20"/>
  <c r="CE88" i="20"/>
  <c r="CF88" i="20"/>
  <c r="CG88" i="20"/>
  <c r="CH88" i="20"/>
  <c r="CI88" i="20"/>
  <c r="CJ88" i="20"/>
  <c r="CK88" i="20"/>
  <c r="AG89" i="20"/>
  <c r="AH89" i="20"/>
  <c r="AI89" i="20"/>
  <c r="AJ89" i="20"/>
  <c r="AK89" i="20"/>
  <c r="AL89" i="20"/>
  <c r="AM89" i="20"/>
  <c r="AN89" i="20"/>
  <c r="AO89" i="20"/>
  <c r="AP89" i="20"/>
  <c r="AQ89" i="20"/>
  <c r="BD89" i="20"/>
  <c r="BE89" i="20"/>
  <c r="BF89" i="20"/>
  <c r="BG89" i="20"/>
  <c r="BH89" i="20"/>
  <c r="BI89" i="20"/>
  <c r="BJ89" i="20"/>
  <c r="BK89" i="20"/>
  <c r="BL89" i="20"/>
  <c r="BM89" i="20"/>
  <c r="BN89" i="20"/>
  <c r="CA89" i="20"/>
  <c r="CB89" i="20"/>
  <c r="CC89" i="20"/>
  <c r="CD89" i="20"/>
  <c r="CE89" i="20"/>
  <c r="CF89" i="20"/>
  <c r="CG89" i="20"/>
  <c r="CH89" i="20"/>
  <c r="CI89" i="20"/>
  <c r="CJ89" i="20"/>
  <c r="CK89" i="20"/>
  <c r="AR115" i="21"/>
  <c r="AS115" i="21"/>
  <c r="AT115" i="21"/>
  <c r="AV115" i="21" s="1"/>
  <c r="AY115" i="21"/>
  <c r="AZ115" i="21" s="1"/>
  <c r="AR116" i="21"/>
  <c r="AS116" i="21"/>
  <c r="AW116" i="21"/>
  <c r="AX116" i="21" s="1"/>
  <c r="AY116" i="21"/>
  <c r="AZ116" i="21" s="1"/>
  <c r="AR117" i="21"/>
  <c r="AS117" i="21"/>
  <c r="AT117" i="21"/>
  <c r="AV117" i="21" s="1"/>
  <c r="AY117" i="21"/>
  <c r="AZ117" i="21" s="1"/>
  <c r="AR118" i="21"/>
  <c r="AS118" i="21"/>
  <c r="AW118" i="21"/>
  <c r="AX118" i="21" s="1"/>
  <c r="AT118" i="21"/>
  <c r="AV118" i="21" s="1"/>
  <c r="AR119" i="21"/>
  <c r="AS119" i="21"/>
  <c r="AW119" i="21"/>
  <c r="AX119" i="21" s="1"/>
  <c r="AY119" i="21"/>
  <c r="AZ119" i="21" s="1"/>
  <c r="AR120" i="21"/>
  <c r="AS120" i="21"/>
  <c r="AT120" i="21"/>
  <c r="AV120" i="21" s="1"/>
  <c r="AY120" i="21"/>
  <c r="AZ120" i="21" s="1"/>
  <c r="AR121" i="21"/>
  <c r="AS121" i="21"/>
  <c r="AW121" i="21"/>
  <c r="AX121" i="21" s="1"/>
  <c r="AT121" i="21"/>
  <c r="AV121" i="21" s="1"/>
  <c r="AR122" i="21"/>
  <c r="AS122" i="21"/>
  <c r="AW122" i="21"/>
  <c r="AX122" i="21" s="1"/>
  <c r="AT122" i="21"/>
  <c r="AV122" i="21" s="1"/>
  <c r="AY122" i="21"/>
  <c r="AZ122" i="21" s="1"/>
  <c r="AR123" i="21"/>
  <c r="AS123" i="21"/>
  <c r="AT123" i="21"/>
  <c r="AV123" i="21" s="1"/>
  <c r="AY123" i="21"/>
  <c r="AZ123" i="21" s="1"/>
  <c r="AR124" i="21"/>
  <c r="AS124" i="21"/>
  <c r="AT124" i="21"/>
  <c r="AV124" i="21" s="1"/>
  <c r="AY124" i="21"/>
  <c r="AZ124" i="21" s="1"/>
  <c r="AR125" i="21"/>
  <c r="AS125" i="21"/>
  <c r="AW125" i="21"/>
  <c r="AX125" i="21" s="1"/>
  <c r="AT125" i="21"/>
  <c r="AV125" i="21" s="1"/>
  <c r="AY125" i="21"/>
  <c r="AZ125" i="21" s="1"/>
  <c r="AR126" i="21"/>
  <c r="AS126" i="21"/>
  <c r="AW126" i="21"/>
  <c r="AX126" i="21" s="1"/>
  <c r="AT126" i="21"/>
  <c r="AV126" i="21" s="1"/>
  <c r="AR127" i="21"/>
  <c r="AS127" i="21"/>
  <c r="AT127" i="21"/>
  <c r="AV127" i="21" s="1"/>
  <c r="AY127" i="21"/>
  <c r="AZ127" i="21" s="1"/>
  <c r="AR128" i="21"/>
  <c r="AS128" i="21"/>
  <c r="AW128" i="21"/>
  <c r="AX128" i="21" s="1"/>
  <c r="AY128" i="21"/>
  <c r="AZ128" i="21" s="1"/>
  <c r="AR129" i="21"/>
  <c r="AS129" i="21"/>
  <c r="AT129" i="21"/>
  <c r="AV129" i="21" s="1"/>
  <c r="AY129" i="21"/>
  <c r="AZ129" i="21" s="1"/>
  <c r="AR130" i="21"/>
  <c r="AS130" i="21"/>
  <c r="AW130" i="21"/>
  <c r="AX130" i="21" s="1"/>
  <c r="AT130" i="21"/>
  <c r="AV130" i="21" s="1"/>
  <c r="AR131" i="21"/>
  <c r="AS131" i="21"/>
  <c r="AW131" i="21"/>
  <c r="AX131" i="21" s="1"/>
  <c r="AT131" i="21"/>
  <c r="AV131" i="21" s="1"/>
  <c r="AY131" i="21"/>
  <c r="AZ131" i="21" s="1"/>
  <c r="AR132" i="21"/>
  <c r="AS132" i="21"/>
  <c r="AT132" i="21"/>
  <c r="AV132" i="21" s="1"/>
  <c r="AY132" i="21"/>
  <c r="AZ132" i="21" s="1"/>
  <c r="AR133" i="21"/>
  <c r="AS133" i="21"/>
  <c r="AT133" i="21"/>
  <c r="AV133" i="21" s="1"/>
  <c r="AY133" i="21"/>
  <c r="AZ133" i="21" s="1"/>
  <c r="AR134" i="21"/>
  <c r="AS134" i="21"/>
  <c r="AW134" i="21"/>
  <c r="AX134" i="21" s="1"/>
  <c r="AT134" i="21"/>
  <c r="AV134" i="21" s="1"/>
  <c r="AY134" i="21"/>
  <c r="AZ134" i="21" s="1"/>
  <c r="AR135" i="21"/>
  <c r="AS135" i="21"/>
  <c r="AT135" i="21"/>
  <c r="AV135" i="21" s="1"/>
  <c r="AY135" i="21"/>
  <c r="AZ135" i="21" s="1"/>
  <c r="AR136" i="21"/>
  <c r="AS136" i="21"/>
  <c r="AW136" i="21"/>
  <c r="AX136" i="21" s="1"/>
  <c r="AT136" i="21"/>
  <c r="AV136" i="21" s="1"/>
  <c r="AR137" i="21"/>
  <c r="AS137" i="21"/>
  <c r="AW137" i="21"/>
  <c r="AX137" i="21" s="1"/>
  <c r="AT137" i="21"/>
  <c r="AV137" i="21" s="1"/>
  <c r="AR138" i="21"/>
  <c r="AS138" i="21"/>
  <c r="AT138" i="21"/>
  <c r="AV138" i="21" s="1"/>
  <c r="AY138" i="21"/>
  <c r="AZ138" i="21" s="1"/>
  <c r="AR139" i="21"/>
  <c r="AS139" i="21"/>
  <c r="AT139" i="21"/>
  <c r="AV139" i="21" s="1"/>
  <c r="AY139" i="21"/>
  <c r="AZ139" i="21" s="1"/>
  <c r="AR140" i="21"/>
  <c r="AS140" i="21"/>
  <c r="AW140" i="21"/>
  <c r="AX140" i="21" s="1"/>
  <c r="AT140" i="21"/>
  <c r="AV140" i="21" s="1"/>
  <c r="AR141" i="21"/>
  <c r="AS141" i="21"/>
  <c r="AT141" i="21"/>
  <c r="AV141" i="21" s="1"/>
  <c r="AY141" i="21"/>
  <c r="AZ141" i="21" s="1"/>
  <c r="AR142" i="21"/>
  <c r="AS142" i="21"/>
  <c r="AT142" i="21"/>
  <c r="AV142" i="21" s="1"/>
  <c r="AY142" i="21"/>
  <c r="AZ142" i="21" s="1"/>
  <c r="AR143" i="21"/>
  <c r="AS143" i="21"/>
  <c r="AW143" i="21"/>
  <c r="AX143" i="21" s="1"/>
  <c r="AY143" i="21"/>
  <c r="AZ143" i="21" s="1"/>
  <c r="AR144" i="21"/>
  <c r="AS144" i="21"/>
  <c r="AT144" i="21"/>
  <c r="AV144" i="21" s="1"/>
  <c r="AY144" i="21"/>
  <c r="AZ144" i="21" s="1"/>
  <c r="AR145" i="21"/>
  <c r="AS145" i="21"/>
  <c r="AT145" i="21"/>
  <c r="AV145" i="21" s="1"/>
  <c r="AY145" i="21"/>
  <c r="AZ145" i="21" s="1"/>
  <c r="AR146" i="21"/>
  <c r="AS146" i="21"/>
  <c r="AW146" i="21"/>
  <c r="AX146" i="21" s="1"/>
  <c r="AY146" i="21"/>
  <c r="AZ146" i="21" s="1"/>
  <c r="AR147" i="21"/>
  <c r="AS147" i="21"/>
  <c r="AT147" i="21"/>
  <c r="AV147" i="21" s="1"/>
  <c r="AY147" i="21"/>
  <c r="AZ147" i="21" s="1"/>
  <c r="AR148" i="21"/>
  <c r="AS148" i="21"/>
  <c r="AW148" i="21"/>
  <c r="AX148" i="21" s="1"/>
  <c r="AT148" i="21"/>
  <c r="AV148" i="21" s="1"/>
  <c r="AR149" i="21"/>
  <c r="AS149" i="21"/>
  <c r="AW149" i="21"/>
  <c r="AX149" i="21" s="1"/>
  <c r="AT149" i="21"/>
  <c r="AV149" i="21" s="1"/>
  <c r="AY149" i="21"/>
  <c r="AZ149" i="21" s="1"/>
  <c r="AR150" i="21"/>
  <c r="AS150" i="21"/>
  <c r="AT150" i="21"/>
  <c r="AV150" i="21" s="1"/>
  <c r="AY150" i="21"/>
  <c r="AZ150" i="21" s="1"/>
  <c r="AR151" i="21"/>
  <c r="AS151" i="21"/>
  <c r="AT151" i="21"/>
  <c r="AV151" i="21" s="1"/>
  <c r="AY151" i="21"/>
  <c r="AZ151" i="21" s="1"/>
  <c r="AR152" i="21"/>
  <c r="AS152" i="21"/>
  <c r="AW152" i="21"/>
  <c r="AX152" i="21" s="1"/>
  <c r="AT152" i="21"/>
  <c r="AV152" i="21" s="1"/>
  <c r="AY152" i="21"/>
  <c r="AZ152" i="21" s="1"/>
  <c r="AR153" i="21"/>
  <c r="AS153" i="21"/>
  <c r="AT153" i="21"/>
  <c r="AV153" i="21" s="1"/>
  <c r="AY153" i="21"/>
  <c r="AZ153" i="21" s="1"/>
  <c r="AR154" i="21"/>
  <c r="AS154" i="21"/>
  <c r="AT154" i="21"/>
  <c r="AV154" i="21" s="1"/>
  <c r="AY154" i="21"/>
  <c r="AZ154" i="21" s="1"/>
  <c r="AR155" i="21"/>
  <c r="AS155" i="21"/>
  <c r="AW155" i="21"/>
  <c r="AX155" i="21" s="1"/>
  <c r="AT155" i="21"/>
  <c r="AV155" i="21" s="1"/>
  <c r="AY155" i="21"/>
  <c r="AZ155" i="21" s="1"/>
  <c r="AR156" i="21"/>
  <c r="AS156" i="21"/>
  <c r="AT156" i="21"/>
  <c r="AV156" i="21" s="1"/>
  <c r="AY156" i="21"/>
  <c r="AZ156" i="21" s="1"/>
  <c r="AR157" i="21"/>
  <c r="AS157" i="21"/>
  <c r="AT157" i="21"/>
  <c r="AV157" i="21" s="1"/>
  <c r="AY157" i="21"/>
  <c r="AZ157" i="21" s="1"/>
  <c r="AR158" i="21"/>
  <c r="AS158" i="21"/>
  <c r="AW158" i="21"/>
  <c r="AX158" i="21" s="1"/>
  <c r="AT158" i="21"/>
  <c r="AV158" i="21" s="1"/>
  <c r="AY158" i="21"/>
  <c r="AZ158" i="21" s="1"/>
  <c r="AR159" i="21"/>
  <c r="AS159" i="21"/>
  <c r="AW159" i="21"/>
  <c r="AX159" i="21" s="1"/>
  <c r="AT159" i="21"/>
  <c r="AV159" i="21" s="1"/>
  <c r="AY159" i="21"/>
  <c r="AZ159" i="21" s="1"/>
  <c r="AR160" i="21"/>
  <c r="AS160" i="21"/>
  <c r="AT160" i="21"/>
  <c r="AV160" i="21" s="1"/>
  <c r="AY160" i="21"/>
  <c r="AZ160" i="21" s="1"/>
  <c r="AR161" i="21"/>
  <c r="AS161" i="21"/>
  <c r="AW161" i="21"/>
  <c r="AX161" i="21" s="1"/>
  <c r="AT161" i="21"/>
  <c r="AV161" i="21" s="1"/>
  <c r="AY161" i="21"/>
  <c r="AZ161" i="21" s="1"/>
  <c r="AR162" i="21"/>
  <c r="AS162" i="21"/>
  <c r="AT162" i="21"/>
  <c r="AV162" i="21" s="1"/>
  <c r="AY162" i="21"/>
  <c r="AZ162" i="21" s="1"/>
  <c r="AR163" i="21"/>
  <c r="AS163" i="21"/>
  <c r="AW163" i="21"/>
  <c r="AX163" i="21" s="1"/>
  <c r="AT163" i="21"/>
  <c r="AV163" i="21" s="1"/>
  <c r="AR164" i="21"/>
  <c r="AS164" i="21"/>
  <c r="AW164" i="21"/>
  <c r="AX164" i="21" s="1"/>
  <c r="AT164" i="21"/>
  <c r="AV164" i="21" s="1"/>
  <c r="AR165" i="21"/>
  <c r="AS165" i="21"/>
  <c r="AT165" i="21"/>
  <c r="AV165" i="21" s="1"/>
  <c r="AY165" i="21"/>
  <c r="AZ165" i="21" s="1"/>
  <c r="AR166" i="21"/>
  <c r="AS166" i="21"/>
  <c r="AT166" i="21"/>
  <c r="AV166" i="21" s="1"/>
  <c r="AY166" i="21"/>
  <c r="AZ166" i="21" s="1"/>
  <c r="AR167" i="21"/>
  <c r="AS167" i="21"/>
  <c r="AW167" i="21"/>
  <c r="AX167" i="21" s="1"/>
  <c r="AY167" i="21"/>
  <c r="AZ167" i="21" s="1"/>
  <c r="AR168" i="21"/>
  <c r="AS168" i="21"/>
  <c r="AT168" i="21"/>
  <c r="AV168" i="21" s="1"/>
  <c r="AY168" i="21"/>
  <c r="AZ168" i="21" s="1"/>
  <c r="AR169" i="21"/>
  <c r="AS169" i="21"/>
  <c r="AT169" i="21"/>
  <c r="AV169" i="21" s="1"/>
  <c r="AY169" i="21"/>
  <c r="AZ169" i="21" s="1"/>
  <c r="AR170" i="21"/>
  <c r="AS170" i="21"/>
  <c r="AW170" i="21"/>
  <c r="AX170" i="21" s="1"/>
  <c r="AT170" i="21"/>
  <c r="AV170" i="21" s="1"/>
  <c r="AY170" i="21"/>
  <c r="AZ170" i="21" s="1"/>
  <c r="AR171" i="21"/>
  <c r="AS171" i="21"/>
  <c r="AT171" i="21"/>
  <c r="AV171" i="21" s="1"/>
  <c r="AY171" i="21"/>
  <c r="AZ171" i="21" s="1"/>
  <c r="AR172" i="21"/>
  <c r="AS172" i="21"/>
  <c r="AT172" i="21"/>
  <c r="AV172" i="21" s="1"/>
  <c r="AY172" i="21"/>
  <c r="AZ172" i="21" s="1"/>
  <c r="AR173" i="21"/>
  <c r="AS173" i="21"/>
  <c r="AW173" i="21"/>
  <c r="AX173" i="21" s="1"/>
  <c r="AT173" i="21"/>
  <c r="AV173" i="21" s="1"/>
  <c r="AR174" i="21"/>
  <c r="AS174" i="21"/>
  <c r="AT174" i="21"/>
  <c r="AV174" i="21" s="1"/>
  <c r="AY174" i="21"/>
  <c r="AZ174" i="21" s="1"/>
  <c r="AR175" i="21"/>
  <c r="AS175" i="21"/>
  <c r="AT175" i="21"/>
  <c r="AV175" i="21" s="1"/>
  <c r="AY175" i="21"/>
  <c r="AZ175" i="21" s="1"/>
  <c r="AR176" i="21"/>
  <c r="AS176" i="21"/>
  <c r="AW176" i="21"/>
  <c r="AX176" i="21" s="1"/>
  <c r="AT176" i="21"/>
  <c r="AV176" i="21" s="1"/>
  <c r="AR177" i="21"/>
  <c r="AS177" i="21"/>
  <c r="AT177" i="21"/>
  <c r="AV177" i="21" s="1"/>
  <c r="AY177" i="21"/>
  <c r="AZ177" i="21" s="1"/>
  <c r="AR178" i="21"/>
  <c r="AS178" i="21"/>
  <c r="AT178" i="21"/>
  <c r="AV178" i="21" s="1"/>
  <c r="AY178" i="21"/>
  <c r="AZ178" i="21" s="1"/>
  <c r="AR179" i="21"/>
  <c r="AS179" i="21"/>
  <c r="AW179" i="21"/>
  <c r="AX179" i="21" s="1"/>
  <c r="AT179" i="21"/>
  <c r="AV179" i="21" s="1"/>
  <c r="AR180" i="21"/>
  <c r="AS180" i="21"/>
  <c r="AT180" i="21"/>
  <c r="AV180" i="21" s="1"/>
  <c r="AY180" i="21"/>
  <c r="AZ180" i="21" s="1"/>
  <c r="AR181" i="21"/>
  <c r="AS181" i="21"/>
  <c r="AT181" i="21"/>
  <c r="AV181" i="21" s="1"/>
  <c r="AY181" i="21"/>
  <c r="AZ181" i="21" s="1"/>
  <c r="AR182" i="21"/>
  <c r="AS182" i="21"/>
  <c r="AW182" i="21"/>
  <c r="AX182" i="21" s="1"/>
  <c r="AY182" i="21"/>
  <c r="AZ182" i="21" s="1"/>
  <c r="AR183" i="21"/>
  <c r="AS183" i="21"/>
  <c r="AT183" i="21"/>
  <c r="AV183" i="21" s="1"/>
  <c r="AY183" i="21"/>
  <c r="AZ183" i="21" s="1"/>
  <c r="AR184" i="21"/>
  <c r="AS184" i="21"/>
  <c r="AT184" i="21"/>
  <c r="AV184" i="21" s="1"/>
  <c r="AY184" i="21"/>
  <c r="AZ184" i="21" s="1"/>
  <c r="AR185" i="21"/>
  <c r="AS185" i="21"/>
  <c r="AW185" i="21"/>
  <c r="AX185" i="21" s="1"/>
  <c r="AY185" i="21"/>
  <c r="AZ185" i="21" s="1"/>
  <c r="AR186" i="21"/>
  <c r="AS186" i="21"/>
  <c r="AW186" i="21"/>
  <c r="AX186" i="21" s="1"/>
  <c r="AT186" i="21"/>
  <c r="AV186" i="21" s="1"/>
  <c r="AY186" i="21"/>
  <c r="AZ186" i="21" s="1"/>
  <c r="AR187" i="21"/>
  <c r="AS187" i="21"/>
  <c r="AT187" i="21"/>
  <c r="AV187" i="21" s="1"/>
  <c r="AY187" i="21"/>
  <c r="AZ187" i="21" s="1"/>
  <c r="AR188" i="21"/>
  <c r="AS188" i="21"/>
  <c r="AW188" i="21"/>
  <c r="AX188" i="21" s="1"/>
  <c r="AY188" i="21"/>
  <c r="AZ188" i="21" s="1"/>
  <c r="AR189" i="21"/>
  <c r="AS189" i="21"/>
  <c r="AW189" i="21"/>
  <c r="AX189" i="21" s="1"/>
  <c r="AT189" i="21"/>
  <c r="AV189" i="21" s="1"/>
  <c r="AY189" i="21"/>
  <c r="AZ189" i="21" s="1"/>
  <c r="AR190" i="21"/>
  <c r="AS190" i="21"/>
  <c r="AW190" i="21"/>
  <c r="AX190" i="21" s="1"/>
  <c r="AT190" i="21"/>
  <c r="AV190" i="21" s="1"/>
  <c r="AR191" i="21"/>
  <c r="AS191" i="21"/>
  <c r="AW191" i="21"/>
  <c r="AX191" i="21" s="1"/>
  <c r="AT191" i="21"/>
  <c r="AV191" i="21" s="1"/>
  <c r="AY191" i="21"/>
  <c r="AZ191" i="21" s="1"/>
  <c r="AR192" i="21"/>
  <c r="AS192" i="21"/>
  <c r="AT192" i="21"/>
  <c r="AV192" i="21" s="1"/>
  <c r="AY192" i="21"/>
  <c r="AZ192" i="21" s="1"/>
  <c r="AR193" i="21"/>
  <c r="AS193" i="21"/>
  <c r="AT193" i="21"/>
  <c r="AV193" i="21" s="1"/>
  <c r="AY193" i="21"/>
  <c r="AZ193" i="21" s="1"/>
  <c r="AR194" i="21"/>
  <c r="AS194" i="21"/>
  <c r="AW194" i="21"/>
  <c r="AX194" i="21" s="1"/>
  <c r="AY194" i="21"/>
  <c r="AZ194" i="21" s="1"/>
  <c r="AR195" i="21"/>
  <c r="AS195" i="21"/>
  <c r="AW195" i="21"/>
  <c r="AX195" i="21" s="1"/>
  <c r="AT195" i="21"/>
  <c r="AV195" i="21" s="1"/>
  <c r="AY195" i="21"/>
  <c r="AZ195" i="21" s="1"/>
  <c r="AR196" i="21"/>
  <c r="AS196" i="21"/>
  <c r="AT196" i="21"/>
  <c r="AV196" i="21" s="1"/>
  <c r="AY196" i="21"/>
  <c r="AZ196" i="21" s="1"/>
  <c r="AR197" i="21"/>
  <c r="AS197" i="21"/>
  <c r="AW197" i="21"/>
  <c r="AX197" i="21" s="1"/>
  <c r="AT197" i="21"/>
  <c r="AV197" i="21" s="1"/>
  <c r="AY197" i="21"/>
  <c r="AZ197" i="21" s="1"/>
  <c r="AR198" i="21"/>
  <c r="AS198" i="21"/>
  <c r="AT198" i="21"/>
  <c r="AV198" i="21" s="1"/>
  <c r="AY198" i="21"/>
  <c r="AZ198" i="21" s="1"/>
  <c r="AR199" i="21"/>
  <c r="AS199" i="21"/>
  <c r="AT199" i="21"/>
  <c r="AV199" i="21" s="1"/>
  <c r="AY199" i="21"/>
  <c r="AZ199" i="21" s="1"/>
  <c r="AR200" i="21"/>
  <c r="AS200" i="21"/>
  <c r="AW200" i="21"/>
  <c r="AX200" i="21" s="1"/>
  <c r="AY200" i="21"/>
  <c r="AZ200" i="21" s="1"/>
  <c r="AR201" i="21"/>
  <c r="AS201" i="21"/>
  <c r="AT201" i="21"/>
  <c r="AV201" i="21" s="1"/>
  <c r="AY201" i="21"/>
  <c r="AZ201" i="21" s="1"/>
  <c r="AR202" i="21"/>
  <c r="AS202" i="21"/>
  <c r="AT202" i="21"/>
  <c r="AV202" i="21" s="1"/>
  <c r="AY202" i="21"/>
  <c r="AZ202" i="21" s="1"/>
  <c r="AR203" i="21"/>
  <c r="AS203" i="21"/>
  <c r="AW203" i="21"/>
  <c r="AX203" i="21" s="1"/>
  <c r="AT203" i="21"/>
  <c r="AV203" i="21" s="1"/>
  <c r="AY203" i="21"/>
  <c r="AZ203" i="21" s="1"/>
  <c r="AR204" i="21"/>
  <c r="AS204" i="21"/>
  <c r="AT204" i="21"/>
  <c r="AV204" i="21" s="1"/>
  <c r="AY204" i="21"/>
  <c r="AZ204" i="21" s="1"/>
  <c r="AR205" i="21"/>
  <c r="AS205" i="21"/>
  <c r="AW205" i="21"/>
  <c r="AX205" i="21" s="1"/>
  <c r="AT205" i="21"/>
  <c r="AV205" i="21" s="1"/>
  <c r="AR206" i="21"/>
  <c r="AS206" i="21"/>
  <c r="AW206" i="21"/>
  <c r="AX206" i="21" s="1"/>
  <c r="AT206" i="21"/>
  <c r="AV206" i="21" s="1"/>
  <c r="AY206" i="21"/>
  <c r="AZ206" i="21" s="1"/>
  <c r="AR207" i="21"/>
  <c r="AS207" i="21"/>
  <c r="AT207" i="21"/>
  <c r="AV207" i="21" s="1"/>
  <c r="AY207" i="21"/>
  <c r="AZ207" i="21" s="1"/>
  <c r="AR208" i="21"/>
  <c r="AS208" i="21"/>
  <c r="AT208" i="21"/>
  <c r="AV208" i="21" s="1"/>
  <c r="AY208" i="21"/>
  <c r="AZ208" i="21" s="1"/>
  <c r="AR209" i="21"/>
  <c r="AS209" i="21"/>
  <c r="AW209" i="21"/>
  <c r="AX209" i="21" s="1"/>
  <c r="AT209" i="21"/>
  <c r="AV209" i="21" s="1"/>
  <c r="AR210" i="21"/>
  <c r="AS210" i="21"/>
  <c r="AW210" i="21"/>
  <c r="AX210" i="21" s="1"/>
  <c r="AT210" i="21"/>
  <c r="AV210" i="21" s="1"/>
  <c r="AR211" i="21"/>
  <c r="AS211" i="21"/>
  <c r="AT211" i="21"/>
  <c r="AV211" i="21" s="1"/>
  <c r="AY211" i="21"/>
  <c r="AZ211" i="21" s="1"/>
  <c r="AR212" i="21"/>
  <c r="AS212" i="21"/>
  <c r="AW212" i="21"/>
  <c r="AX212" i="21" s="1"/>
  <c r="AY212" i="21"/>
  <c r="AZ212" i="21" s="1"/>
  <c r="AR213" i="21"/>
  <c r="AS213" i="21"/>
  <c r="AW213" i="21"/>
  <c r="AX213" i="21" s="1"/>
  <c r="AT213" i="21"/>
  <c r="AV213" i="21" s="1"/>
  <c r="AR214" i="21"/>
  <c r="AS214" i="21"/>
  <c r="AT214" i="21"/>
  <c r="AV214" i="21" s="1"/>
  <c r="AY214" i="21"/>
  <c r="AZ214" i="21" s="1"/>
  <c r="AR215" i="21"/>
  <c r="AS215" i="21"/>
  <c r="AW215" i="21"/>
  <c r="AX215" i="21" s="1"/>
  <c r="AT215" i="21"/>
  <c r="AV215" i="21" s="1"/>
  <c r="AR216" i="21"/>
  <c r="AS216" i="21"/>
  <c r="AT216" i="21"/>
  <c r="AV216" i="21" s="1"/>
  <c r="AY216" i="21"/>
  <c r="AZ216" i="21" s="1"/>
  <c r="AR217" i="21"/>
  <c r="AS217" i="21"/>
  <c r="AT217" i="21"/>
  <c r="AV217" i="21" s="1"/>
  <c r="AY217" i="21"/>
  <c r="AZ217" i="21" s="1"/>
  <c r="AR218" i="21"/>
  <c r="AS218" i="21"/>
  <c r="AW218" i="21"/>
  <c r="AX218" i="21" s="1"/>
  <c r="AY218" i="21"/>
  <c r="AZ218" i="21" s="1"/>
  <c r="AR219" i="21"/>
  <c r="AS219" i="21"/>
  <c r="AW219" i="21"/>
  <c r="AX219" i="21" s="1"/>
  <c r="AT219" i="21"/>
  <c r="AV219" i="21" s="1"/>
  <c r="AY219" i="21"/>
  <c r="AZ219" i="21" s="1"/>
  <c r="AR220" i="21"/>
  <c r="AS220" i="21"/>
  <c r="AT220" i="21"/>
  <c r="AV220" i="21" s="1"/>
  <c r="AY220" i="21"/>
  <c r="AZ220" i="21" s="1"/>
  <c r="AR221" i="21"/>
  <c r="AS221" i="21"/>
  <c r="AW221" i="21"/>
  <c r="AX221" i="21" s="1"/>
  <c r="AT221" i="21"/>
  <c r="AV221" i="21" s="1"/>
  <c r="AY221" i="21"/>
  <c r="AZ221" i="21" s="1"/>
  <c r="AR222" i="21"/>
  <c r="AS222" i="21"/>
  <c r="AT222" i="21"/>
  <c r="AV222" i="21" s="1"/>
  <c r="AY222" i="21"/>
  <c r="AZ222" i="21" s="1"/>
  <c r="AR223" i="21"/>
  <c r="AS223" i="21"/>
  <c r="AT223" i="21"/>
  <c r="AV223" i="21" s="1"/>
  <c r="AY223" i="21"/>
  <c r="AZ223" i="21" s="1"/>
  <c r="AR224" i="21"/>
  <c r="AS224" i="21"/>
  <c r="AW224" i="21"/>
  <c r="AX224" i="21" s="1"/>
  <c r="AY224" i="21"/>
  <c r="AZ224" i="21" s="1"/>
  <c r="AR225" i="21"/>
  <c r="AS225" i="21"/>
  <c r="AT225" i="21"/>
  <c r="AV225" i="21" s="1"/>
  <c r="AY225" i="21"/>
  <c r="AZ225" i="21" s="1"/>
  <c r="AR226" i="21"/>
  <c r="AS226" i="21"/>
  <c r="AT226" i="21"/>
  <c r="AV226" i="21" s="1"/>
  <c r="AY226" i="21"/>
  <c r="AZ226" i="21" s="1"/>
  <c r="AR227" i="21"/>
  <c r="AS227" i="21"/>
  <c r="AW227" i="21"/>
  <c r="AX227" i="21" s="1"/>
  <c r="AT227" i="21"/>
  <c r="AV227" i="21" s="1"/>
  <c r="AR114" i="21"/>
  <c r="AS114" i="21"/>
  <c r="AT114" i="21"/>
  <c r="AV114" i="21" s="1"/>
  <c r="AY114" i="21"/>
  <c r="AZ114" i="21" s="1"/>
  <c r="AT212" i="21"/>
  <c r="AV212" i="21" s="1"/>
  <c r="AT194" i="21"/>
  <c r="AV194" i="21" s="1"/>
  <c r="AT143" i="21"/>
  <c r="AV143" i="21" s="1"/>
  <c r="AT128" i="21"/>
  <c r="AV128" i="21" s="1"/>
  <c r="AT218" i="21"/>
  <c r="AV218" i="21" s="1"/>
  <c r="AT200" i="21"/>
  <c r="AV200" i="21" s="1"/>
  <c r="AT146" i="21"/>
  <c r="AV146" i="21" s="1"/>
  <c r="AY210" i="21"/>
  <c r="AZ210" i="21" s="1"/>
  <c r="AT224" i="21"/>
  <c r="AV224" i="21" s="1"/>
  <c r="AY213" i="21"/>
  <c r="AZ213" i="21" s="1"/>
  <c r="AT182" i="21"/>
  <c r="AV182" i="21" s="1"/>
  <c r="AT167" i="21"/>
  <c r="AV167" i="21" s="1"/>
  <c r="AT116" i="21"/>
  <c r="AV116" i="21" s="1"/>
  <c r="AT185" i="21"/>
  <c r="AV185" i="21" s="1"/>
  <c r="AY126" i="21"/>
  <c r="AZ126" i="21" s="1"/>
  <c r="AT188" i="21"/>
  <c r="AV188" i="21" s="1"/>
  <c r="AT119" i="21"/>
  <c r="AV119" i="21" s="1"/>
  <c r="AW225" i="21"/>
  <c r="AX225" i="21" s="1"/>
  <c r="AW222" i="21"/>
  <c r="AX222" i="21" s="1"/>
  <c r="AW216" i="21"/>
  <c r="AX216" i="21" s="1"/>
  <c r="AW207" i="21"/>
  <c r="AX207" i="21" s="1"/>
  <c r="AW204" i="21"/>
  <c r="AX204" i="21" s="1"/>
  <c r="AW201" i="21"/>
  <c r="AX201" i="21" s="1"/>
  <c r="AW198" i="21"/>
  <c r="AX198" i="21" s="1"/>
  <c r="AW192" i="21"/>
  <c r="AX192" i="21" s="1"/>
  <c r="AW183" i="21"/>
  <c r="AX183" i="21" s="1"/>
  <c r="AW180" i="21"/>
  <c r="AX180" i="21" s="1"/>
  <c r="AW177" i="21"/>
  <c r="AX177" i="21" s="1"/>
  <c r="AW174" i="21"/>
  <c r="AX174" i="21" s="1"/>
  <c r="AW171" i="21"/>
  <c r="AX171" i="21" s="1"/>
  <c r="AW168" i="21"/>
  <c r="AX168" i="21" s="1"/>
  <c r="AW165" i="21"/>
  <c r="AX165" i="21" s="1"/>
  <c r="AW162" i="21"/>
  <c r="AX162" i="21" s="1"/>
  <c r="AW156" i="21"/>
  <c r="AX156" i="21" s="1"/>
  <c r="AW153" i="21"/>
  <c r="AX153" i="21" s="1"/>
  <c r="AW150" i="21"/>
  <c r="AX150" i="21" s="1"/>
  <c r="AW147" i="21"/>
  <c r="AX147" i="21" s="1"/>
  <c r="AW144" i="21"/>
  <c r="AX144" i="21" s="1"/>
  <c r="AW141" i="21"/>
  <c r="AX141" i="21" s="1"/>
  <c r="AW138" i="21"/>
  <c r="AX138" i="21" s="1"/>
  <c r="AW135" i="21"/>
  <c r="AX135" i="21" s="1"/>
  <c r="AW132" i="21"/>
  <c r="AX132" i="21" s="1"/>
  <c r="AW129" i="21"/>
  <c r="AX129" i="21" s="1"/>
  <c r="AW123" i="21"/>
  <c r="AX123" i="21" s="1"/>
  <c r="AW120" i="21"/>
  <c r="AX120" i="21" s="1"/>
  <c r="AW117" i="21"/>
  <c r="AX117" i="21" s="1"/>
  <c r="AY205" i="21"/>
  <c r="AZ205" i="21" s="1"/>
  <c r="AY190" i="21"/>
  <c r="AZ190" i="21" s="1"/>
  <c r="AY163" i="21"/>
  <c r="AZ163" i="21" s="1"/>
  <c r="AY148" i="21"/>
  <c r="AZ148" i="21" s="1"/>
  <c r="AY136" i="21"/>
  <c r="AZ136" i="21" s="1"/>
  <c r="AY130" i="21"/>
  <c r="AZ130" i="21" s="1"/>
  <c r="AY121" i="21"/>
  <c r="AZ121" i="21" s="1"/>
  <c r="AY118" i="21"/>
  <c r="AZ118" i="21" s="1"/>
  <c r="AW226" i="21"/>
  <c r="AX226" i="21" s="1"/>
  <c r="AW223" i="21"/>
  <c r="AX223" i="21" s="1"/>
  <c r="AW220" i="21"/>
  <c r="AX220" i="21" s="1"/>
  <c r="AW217" i="21"/>
  <c r="AX217" i="21" s="1"/>
  <c r="AW214" i="21"/>
  <c r="AX214" i="21" s="1"/>
  <c r="AW211" i="21"/>
  <c r="AX211" i="21" s="1"/>
  <c r="AW208" i="21"/>
  <c r="AX208" i="21" s="1"/>
  <c r="AW202" i="21"/>
  <c r="AX202" i="21" s="1"/>
  <c r="AW199" i="21"/>
  <c r="AX199" i="21" s="1"/>
  <c r="AW196" i="21"/>
  <c r="AX196" i="21" s="1"/>
  <c r="AW193" i="21"/>
  <c r="AX193" i="21" s="1"/>
  <c r="AW187" i="21"/>
  <c r="AX187" i="21" s="1"/>
  <c r="AW184" i="21"/>
  <c r="AX184" i="21" s="1"/>
  <c r="AW181" i="21"/>
  <c r="AX181" i="21" s="1"/>
  <c r="AW178" i="21"/>
  <c r="AX178" i="21" s="1"/>
  <c r="AW175" i="21"/>
  <c r="AX175" i="21" s="1"/>
  <c r="AW172" i="21"/>
  <c r="AX172" i="21" s="1"/>
  <c r="AW169" i="21"/>
  <c r="AX169" i="21" s="1"/>
  <c r="AW166" i="21"/>
  <c r="AX166" i="21" s="1"/>
  <c r="AW160" i="21"/>
  <c r="AX160" i="21" s="1"/>
  <c r="AW157" i="21"/>
  <c r="AX157" i="21" s="1"/>
  <c r="AW154" i="21"/>
  <c r="AX154" i="21" s="1"/>
  <c r="AW151" i="21"/>
  <c r="AX151" i="21" s="1"/>
  <c r="AW145" i="21"/>
  <c r="AX145" i="21" s="1"/>
  <c r="AW142" i="21"/>
  <c r="AX142" i="21" s="1"/>
  <c r="AW139" i="21"/>
  <c r="AX139" i="21" s="1"/>
  <c r="AW133" i="21"/>
  <c r="AX133" i="21" s="1"/>
  <c r="AW127" i="21"/>
  <c r="AX127" i="21" s="1"/>
  <c r="AW124" i="21"/>
  <c r="AX124" i="21" s="1"/>
  <c r="AW115" i="21"/>
  <c r="AX115" i="21" s="1"/>
  <c r="AY227" i="21"/>
  <c r="AZ227" i="21" s="1"/>
  <c r="AY215" i="21"/>
  <c r="AZ215" i="21" s="1"/>
  <c r="AY209" i="21"/>
  <c r="AZ209" i="21" s="1"/>
  <c r="AY179" i="21"/>
  <c r="AZ179" i="21" s="1"/>
  <c r="AY176" i="21"/>
  <c r="AZ176" i="21" s="1"/>
  <c r="AY173" i="21"/>
  <c r="AZ173" i="21" s="1"/>
  <c r="AY164" i="21"/>
  <c r="AZ164" i="21" s="1"/>
  <c r="AY140" i="21"/>
  <c r="AZ140" i="21" s="1"/>
  <c r="AY137" i="21"/>
  <c r="AZ137" i="21" s="1"/>
  <c r="AW114" i="21"/>
  <c r="AX114" i="21" s="1"/>
  <c r="R24" i="18"/>
  <c r="N24" i="18"/>
  <c r="J24" i="18"/>
  <c r="F24" i="18"/>
  <c r="B24" i="18"/>
  <c r="B43" i="14"/>
  <c r="AA43" i="14" s="1"/>
  <c r="I43" i="12"/>
  <c r="G43" i="12"/>
  <c r="J43" i="12" s="1"/>
  <c r="X43" i="14"/>
  <c r="Y43" i="14" s="1"/>
  <c r="A21" i="18"/>
  <c r="E21" i="18"/>
  <c r="I21" i="18"/>
  <c r="M21" i="18"/>
  <c r="Q21" i="18"/>
  <c r="B22" i="18"/>
  <c r="C22" i="18"/>
  <c r="F22" i="18"/>
  <c r="G22" i="18"/>
  <c r="J22" i="18"/>
  <c r="K22" i="18"/>
  <c r="N22" i="18"/>
  <c r="O22" i="18"/>
  <c r="R22" i="18"/>
  <c r="S22" i="18"/>
  <c r="A28" i="18"/>
  <c r="E28" i="18"/>
  <c r="I28" i="18"/>
  <c r="M28" i="18"/>
  <c r="Q28" i="18"/>
  <c r="CT14" i="6"/>
  <c r="CT9" i="6"/>
  <c r="CT10" i="6" s="1"/>
  <c r="CU11" i="6" s="1"/>
  <c r="CT8" i="6"/>
  <c r="CT2" i="6"/>
  <c r="AB42" i="14"/>
  <c r="AF42" i="14" s="1"/>
  <c r="AS42" i="14" s="1"/>
  <c r="AA42" i="14"/>
  <c r="B42" i="14"/>
  <c r="I42" i="12"/>
  <c r="G42" i="12"/>
  <c r="T42" i="12" s="1"/>
  <c r="G42" i="14"/>
  <c r="V42" i="14" s="1"/>
  <c r="B15" i="18"/>
  <c r="R15" i="18"/>
  <c r="N15" i="18"/>
  <c r="J15" i="18"/>
  <c r="F15" i="18"/>
  <c r="B43" i="19"/>
  <c r="B34" i="19"/>
  <c r="B25" i="19"/>
  <c r="B16" i="19"/>
  <c r="AY4" i="21"/>
  <c r="AZ4" i="21" s="1"/>
  <c r="AY5" i="21"/>
  <c r="AZ5" i="21" s="1"/>
  <c r="AY6" i="21"/>
  <c r="AZ6" i="21" s="1"/>
  <c r="AY7" i="21"/>
  <c r="AZ7" i="21" s="1"/>
  <c r="AY8" i="21"/>
  <c r="AZ8" i="21" s="1"/>
  <c r="AY9" i="21"/>
  <c r="AZ9" i="21" s="1"/>
  <c r="AY13" i="21"/>
  <c r="AZ13" i="21" s="1"/>
  <c r="AY14" i="21"/>
  <c r="AZ14" i="21" s="1"/>
  <c r="AY15" i="21"/>
  <c r="AZ15" i="21" s="1"/>
  <c r="AY16" i="21"/>
  <c r="AZ16" i="21" s="1"/>
  <c r="AY17" i="21"/>
  <c r="AZ17" i="21" s="1"/>
  <c r="AY18" i="21"/>
  <c r="AZ18" i="21" s="1"/>
  <c r="AY19" i="21"/>
  <c r="AZ19" i="21" s="1"/>
  <c r="AY20" i="21"/>
  <c r="AZ20" i="21" s="1"/>
  <c r="AY21" i="21"/>
  <c r="AZ21" i="21" s="1"/>
  <c r="AY22" i="21"/>
  <c r="AZ22" i="21" s="1"/>
  <c r="AY25" i="21"/>
  <c r="AZ25" i="21" s="1"/>
  <c r="AY26" i="21"/>
  <c r="AZ26" i="21" s="1"/>
  <c r="AY28" i="21"/>
  <c r="AZ28" i="21" s="1"/>
  <c r="AY29" i="21"/>
  <c r="AZ29" i="21" s="1"/>
  <c r="AY31" i="21"/>
  <c r="AZ31" i="21" s="1"/>
  <c r="AY32" i="21"/>
  <c r="AZ32" i="21" s="1"/>
  <c r="AY34" i="21"/>
  <c r="AZ34" i="21" s="1"/>
  <c r="AY35" i="21"/>
  <c r="AZ35" i="21" s="1"/>
  <c r="AY36" i="21"/>
  <c r="AZ36" i="21" s="1"/>
  <c r="AY40" i="21"/>
  <c r="AZ40" i="21" s="1"/>
  <c r="AY41" i="21"/>
  <c r="AZ41" i="21" s="1"/>
  <c r="AY42" i="21"/>
  <c r="AZ42" i="21" s="1"/>
  <c r="AY43" i="21"/>
  <c r="AZ43" i="21" s="1"/>
  <c r="AY44" i="21"/>
  <c r="AZ44" i="21" s="1"/>
  <c r="AY45" i="21"/>
  <c r="AZ45" i="21" s="1"/>
  <c r="AY46" i="21"/>
  <c r="AZ46" i="21" s="1"/>
  <c r="AY48" i="21"/>
  <c r="AZ48" i="21" s="1"/>
  <c r="AY49" i="21"/>
  <c r="AZ49" i="21" s="1"/>
  <c r="AY50" i="21"/>
  <c r="AZ50" i="21" s="1"/>
  <c r="AY51" i="21"/>
  <c r="AZ51" i="21" s="1"/>
  <c r="AY52" i="21"/>
  <c r="AZ52" i="21" s="1"/>
  <c r="AY53" i="21"/>
  <c r="AZ53" i="21" s="1"/>
  <c r="AY54" i="21"/>
  <c r="AZ54" i="21" s="1"/>
  <c r="AY55" i="21"/>
  <c r="AZ55" i="21" s="1"/>
  <c r="AY56" i="21"/>
  <c r="AZ56" i="21" s="1"/>
  <c r="AY57" i="21"/>
  <c r="AZ57" i="21" s="1"/>
  <c r="AY59" i="21"/>
  <c r="AZ59" i="21" s="1"/>
  <c r="AY60" i="21"/>
  <c r="AZ60" i="21" s="1"/>
  <c r="AY61" i="21"/>
  <c r="AZ61" i="21" s="1"/>
  <c r="AY62" i="21"/>
  <c r="AZ62" i="21" s="1"/>
  <c r="AY63" i="21"/>
  <c r="AZ63" i="21" s="1"/>
  <c r="AY64" i="21"/>
  <c r="AZ64" i="21" s="1"/>
  <c r="AY65" i="21"/>
  <c r="AZ65" i="21" s="1"/>
  <c r="AY67" i="21"/>
  <c r="AZ67" i="21" s="1"/>
  <c r="AY68" i="21"/>
  <c r="AZ68" i="21" s="1"/>
  <c r="AY69" i="21"/>
  <c r="AZ69" i="21" s="1"/>
  <c r="AY70" i="21"/>
  <c r="AZ70" i="21" s="1"/>
  <c r="AY71" i="21"/>
  <c r="AZ71" i="21" s="1"/>
  <c r="AY72" i="21"/>
  <c r="AZ72" i="21" s="1"/>
  <c r="AY73" i="21"/>
  <c r="AZ73" i="21" s="1"/>
  <c r="AY74" i="21"/>
  <c r="AZ74" i="21" s="1"/>
  <c r="AY75" i="21"/>
  <c r="AZ75" i="21" s="1"/>
  <c r="AY76" i="21"/>
  <c r="AZ76" i="21" s="1"/>
  <c r="AY77" i="21"/>
  <c r="AZ77" i="21" s="1"/>
  <c r="AY79" i="21"/>
  <c r="AZ79" i="21" s="1"/>
  <c r="AY80" i="21"/>
  <c r="AZ80" i="21" s="1"/>
  <c r="AY82" i="21"/>
  <c r="AZ82" i="21" s="1"/>
  <c r="AY83" i="21"/>
  <c r="AZ83" i="21" s="1"/>
  <c r="AY85" i="21"/>
  <c r="AZ85" i="21" s="1"/>
  <c r="AY87" i="21"/>
  <c r="AZ87" i="21" s="1"/>
  <c r="AY88" i="21"/>
  <c r="AZ88" i="21" s="1"/>
  <c r="AY90" i="21"/>
  <c r="AZ90" i="21" s="1"/>
  <c r="AY91" i="21"/>
  <c r="AZ91" i="21" s="1"/>
  <c r="AY92" i="21"/>
  <c r="AZ92" i="21" s="1"/>
  <c r="AY93" i="21"/>
  <c r="AZ93" i="21" s="1"/>
  <c r="AY94" i="21"/>
  <c r="AZ94" i="21" s="1"/>
  <c r="AY95" i="21"/>
  <c r="AZ95" i="21" s="1"/>
  <c r="AY96" i="21"/>
  <c r="AZ96" i="21" s="1"/>
  <c r="AY97" i="21"/>
  <c r="AZ97" i="21" s="1"/>
  <c r="AY100" i="21"/>
  <c r="AZ100" i="21" s="1"/>
  <c r="AY101" i="21"/>
  <c r="AZ101" i="21" s="1"/>
  <c r="AY102" i="21"/>
  <c r="AZ102" i="21" s="1"/>
  <c r="AY103" i="21"/>
  <c r="AZ103" i="21" s="1"/>
  <c r="AY104" i="21"/>
  <c r="AZ104" i="21" s="1"/>
  <c r="AY105" i="21"/>
  <c r="AZ105" i="21" s="1"/>
  <c r="AY106" i="21"/>
  <c r="AZ106" i="21" s="1"/>
  <c r="AY107" i="21"/>
  <c r="AZ107" i="21" s="1"/>
  <c r="AY108" i="21"/>
  <c r="AZ108" i="21" s="1"/>
  <c r="AY110" i="21"/>
  <c r="AZ110" i="21" s="1"/>
  <c r="AY111" i="21"/>
  <c r="AZ111" i="21" s="1"/>
  <c r="AY2" i="21"/>
  <c r="AZ2" i="21" s="1"/>
  <c r="AG84" i="20"/>
  <c r="AH84" i="20"/>
  <c r="AI84" i="20"/>
  <c r="AJ84" i="20"/>
  <c r="AK84" i="20"/>
  <c r="AL84" i="20"/>
  <c r="AM84" i="20"/>
  <c r="AN84" i="20"/>
  <c r="AO84" i="20"/>
  <c r="AP84" i="20"/>
  <c r="AQ84" i="20"/>
  <c r="BD83" i="20"/>
  <c r="BE83" i="20"/>
  <c r="BF83" i="20"/>
  <c r="BG83" i="20"/>
  <c r="BH83" i="20"/>
  <c r="BI83" i="20"/>
  <c r="BJ83" i="20"/>
  <c r="BK83" i="20"/>
  <c r="BL83" i="20"/>
  <c r="BM83" i="20"/>
  <c r="BN83" i="20"/>
  <c r="CA83" i="20"/>
  <c r="CB83" i="20"/>
  <c r="CC83" i="20"/>
  <c r="CD83" i="20"/>
  <c r="CE83" i="20"/>
  <c r="CF83" i="20"/>
  <c r="CG83" i="20"/>
  <c r="CH83" i="20"/>
  <c r="CI83" i="20"/>
  <c r="CJ83" i="20"/>
  <c r="CK83" i="20"/>
  <c r="AG83" i="20"/>
  <c r="AH83" i="20"/>
  <c r="AI83" i="20"/>
  <c r="AJ83" i="20"/>
  <c r="AK83" i="20"/>
  <c r="AL83" i="20"/>
  <c r="AM83" i="20"/>
  <c r="AN83" i="20"/>
  <c r="AO83" i="20"/>
  <c r="AP83" i="20"/>
  <c r="AQ83" i="20"/>
  <c r="BD84" i="20"/>
  <c r="BE84" i="20"/>
  <c r="BF84" i="20"/>
  <c r="BG84" i="20"/>
  <c r="BH84" i="20"/>
  <c r="BI84" i="20"/>
  <c r="BJ84" i="20"/>
  <c r="BK84" i="20"/>
  <c r="BL84" i="20"/>
  <c r="BM84" i="20"/>
  <c r="BN84" i="20"/>
  <c r="CA84" i="20"/>
  <c r="CB84" i="20"/>
  <c r="CC84" i="20"/>
  <c r="CD84" i="20"/>
  <c r="CE84" i="20"/>
  <c r="CF84" i="20"/>
  <c r="CG84" i="20"/>
  <c r="CH84" i="20"/>
  <c r="CI84" i="20"/>
  <c r="CJ84" i="20"/>
  <c r="CK84" i="20"/>
  <c r="AG86" i="20"/>
  <c r="AH86" i="20"/>
  <c r="AI86" i="20"/>
  <c r="AJ86" i="20"/>
  <c r="AK86" i="20"/>
  <c r="AL86" i="20"/>
  <c r="AM86" i="20"/>
  <c r="AN86" i="20"/>
  <c r="AO86" i="20"/>
  <c r="AP86" i="20"/>
  <c r="AQ86" i="20"/>
  <c r="BD85" i="20"/>
  <c r="BE85" i="20"/>
  <c r="BF85" i="20"/>
  <c r="BG85" i="20"/>
  <c r="BH85" i="20"/>
  <c r="BI85" i="20"/>
  <c r="BJ85" i="20"/>
  <c r="BK85" i="20"/>
  <c r="BL85" i="20"/>
  <c r="BM85" i="20"/>
  <c r="BN85" i="20"/>
  <c r="CA85" i="20"/>
  <c r="CB85" i="20"/>
  <c r="CC85" i="20"/>
  <c r="CD85" i="20"/>
  <c r="CE85" i="20"/>
  <c r="CF85" i="20"/>
  <c r="CG85" i="20"/>
  <c r="CH85" i="20"/>
  <c r="CI85" i="20"/>
  <c r="CJ85" i="20"/>
  <c r="CK85" i="20"/>
  <c r="AR52" i="21"/>
  <c r="AS52" i="21"/>
  <c r="AW52" i="21"/>
  <c r="AX52" i="21" s="1"/>
  <c r="AR53" i="21"/>
  <c r="AS53" i="21"/>
  <c r="AT53" i="21"/>
  <c r="AV53" i="21" s="1"/>
  <c r="AR54" i="21"/>
  <c r="AS54" i="21"/>
  <c r="AW54" i="21"/>
  <c r="AX54" i="21" s="1"/>
  <c r="AR55" i="21"/>
  <c r="AS55" i="21"/>
  <c r="AT55" i="21"/>
  <c r="AV55" i="21" s="1"/>
  <c r="AR56" i="21"/>
  <c r="AS56" i="21"/>
  <c r="AW56" i="21"/>
  <c r="AX56" i="21" s="1"/>
  <c r="AR57" i="21"/>
  <c r="AS57" i="21"/>
  <c r="AT57" i="21"/>
  <c r="AV57" i="21" s="1"/>
  <c r="AR58" i="21"/>
  <c r="AS58" i="21"/>
  <c r="AW58" i="21"/>
  <c r="AX58" i="21" s="1"/>
  <c r="AR59" i="21"/>
  <c r="AS59" i="21"/>
  <c r="AT59" i="21"/>
  <c r="AV59" i="21" s="1"/>
  <c r="AR60" i="21"/>
  <c r="AS60" i="21"/>
  <c r="AW60" i="21"/>
  <c r="AX60" i="21" s="1"/>
  <c r="AR61" i="21"/>
  <c r="AS61" i="21"/>
  <c r="AT61" i="21"/>
  <c r="AV61" i="21" s="1"/>
  <c r="AR62" i="21"/>
  <c r="AS62" i="21"/>
  <c r="AW62" i="21"/>
  <c r="AX62" i="21" s="1"/>
  <c r="AR63" i="21"/>
  <c r="AS63" i="21"/>
  <c r="AT63" i="21"/>
  <c r="AV63" i="21" s="1"/>
  <c r="AR64" i="21"/>
  <c r="AS64" i="21"/>
  <c r="AW64" i="21"/>
  <c r="AX64" i="21" s="1"/>
  <c r="AR65" i="21"/>
  <c r="AS65" i="21"/>
  <c r="AT65" i="21"/>
  <c r="AV65" i="21" s="1"/>
  <c r="AR66" i="21"/>
  <c r="AS66" i="21"/>
  <c r="AW66" i="21"/>
  <c r="AX66" i="21" s="1"/>
  <c r="AR67" i="21"/>
  <c r="AS67" i="21"/>
  <c r="AT67" i="21"/>
  <c r="AV67" i="21" s="1"/>
  <c r="AR68" i="21"/>
  <c r="AS68" i="21"/>
  <c r="AW68" i="21"/>
  <c r="AX68" i="21" s="1"/>
  <c r="AR69" i="21"/>
  <c r="AS69" i="21"/>
  <c r="AT69" i="21"/>
  <c r="AV69" i="21" s="1"/>
  <c r="AR70" i="21"/>
  <c r="AS70" i="21"/>
  <c r="AT70" i="21"/>
  <c r="AV70" i="21" s="1"/>
  <c r="AR71" i="21"/>
  <c r="AS71" i="21"/>
  <c r="AT71" i="21"/>
  <c r="AV71" i="21" s="1"/>
  <c r="AR72" i="21"/>
  <c r="AS72" i="21"/>
  <c r="AW72" i="21"/>
  <c r="AX72" i="21" s="1"/>
  <c r="AR73" i="21"/>
  <c r="AS73" i="21"/>
  <c r="AT73" i="21"/>
  <c r="AV73" i="21" s="1"/>
  <c r="AR74" i="21"/>
  <c r="AS74" i="21"/>
  <c r="AT74" i="21"/>
  <c r="AV74" i="21" s="1"/>
  <c r="AR75" i="21"/>
  <c r="AS75" i="21"/>
  <c r="AT75" i="21"/>
  <c r="AV75" i="21" s="1"/>
  <c r="AR76" i="21"/>
  <c r="AS76" i="21"/>
  <c r="AW76" i="21"/>
  <c r="AX76" i="21" s="1"/>
  <c r="AR77" i="21"/>
  <c r="AS77" i="21"/>
  <c r="AT77" i="21"/>
  <c r="AV77" i="21" s="1"/>
  <c r="AR78" i="21"/>
  <c r="AS78" i="21"/>
  <c r="AW78" i="21"/>
  <c r="AX78" i="21" s="1"/>
  <c r="AR79" i="21"/>
  <c r="AS79" i="21"/>
  <c r="AT79" i="21"/>
  <c r="AV79" i="21" s="1"/>
  <c r="AR80" i="21"/>
  <c r="AS80" i="21"/>
  <c r="AW80" i="21"/>
  <c r="AX80" i="21" s="1"/>
  <c r="AR81" i="21"/>
  <c r="AS81" i="21"/>
  <c r="AW81" i="21"/>
  <c r="AX81" i="21" s="1"/>
  <c r="AR82" i="21"/>
  <c r="AS82" i="21"/>
  <c r="AT82" i="21"/>
  <c r="AV82" i="21" s="1"/>
  <c r="AR83" i="21"/>
  <c r="AS83" i="21"/>
  <c r="AT83" i="21"/>
  <c r="AV83" i="21" s="1"/>
  <c r="AR84" i="21"/>
  <c r="AS84" i="21"/>
  <c r="AW84" i="21"/>
  <c r="AX84" i="21" s="1"/>
  <c r="AR85" i="21"/>
  <c r="AS85" i="21"/>
  <c r="AW85" i="21"/>
  <c r="AX85" i="21" s="1"/>
  <c r="AR86" i="21"/>
  <c r="AS86" i="21"/>
  <c r="AW86" i="21"/>
  <c r="AX86" i="21" s="1"/>
  <c r="AR87" i="21"/>
  <c r="AS87" i="21"/>
  <c r="AW87" i="21"/>
  <c r="AX87" i="21" s="1"/>
  <c r="AR88" i="21"/>
  <c r="AS88" i="21"/>
  <c r="AW88" i="21"/>
  <c r="AX88" i="21" s="1"/>
  <c r="AR89" i="21"/>
  <c r="AS89" i="21"/>
  <c r="AW89" i="21"/>
  <c r="AX89" i="21" s="1"/>
  <c r="AR90" i="21"/>
  <c r="AS90" i="21"/>
  <c r="AW90" i="21"/>
  <c r="AX90" i="21" s="1"/>
  <c r="AR91" i="21"/>
  <c r="AS91" i="21"/>
  <c r="AT91" i="21"/>
  <c r="AV91" i="21" s="1"/>
  <c r="AR92" i="21"/>
  <c r="AS92" i="21"/>
  <c r="AW92" i="21"/>
  <c r="AX92" i="21" s="1"/>
  <c r="AR93" i="21"/>
  <c r="AS93" i="21"/>
  <c r="AT93" i="21"/>
  <c r="AV93" i="21" s="1"/>
  <c r="AR94" i="21"/>
  <c r="AS94" i="21"/>
  <c r="AT94" i="21"/>
  <c r="AV94" i="21" s="1"/>
  <c r="AR95" i="21"/>
  <c r="AS95" i="21"/>
  <c r="AT95" i="21"/>
  <c r="AV95" i="21" s="1"/>
  <c r="AR96" i="21"/>
  <c r="AS96" i="21"/>
  <c r="AW96" i="21"/>
  <c r="AX96" i="21" s="1"/>
  <c r="AR97" i="21"/>
  <c r="AS97" i="21"/>
  <c r="AT97" i="21"/>
  <c r="AV97" i="21" s="1"/>
  <c r="AR98" i="21"/>
  <c r="AS98" i="21"/>
  <c r="AW98" i="21"/>
  <c r="AX98" i="21" s="1"/>
  <c r="AR99" i="21"/>
  <c r="AS99" i="21"/>
  <c r="AW99" i="21"/>
  <c r="AX99" i="21" s="1"/>
  <c r="AR100" i="21"/>
  <c r="AS100" i="21"/>
  <c r="AW100" i="21"/>
  <c r="AX100" i="21" s="1"/>
  <c r="AR101" i="21"/>
  <c r="AS101" i="21"/>
  <c r="AT101" i="21"/>
  <c r="AV101" i="21" s="1"/>
  <c r="AR102" i="21"/>
  <c r="AS102" i="21"/>
  <c r="AW102" i="21"/>
  <c r="AX102" i="21" s="1"/>
  <c r="AR103" i="21"/>
  <c r="AS103" i="21"/>
  <c r="AT103" i="21"/>
  <c r="AV103" i="21" s="1"/>
  <c r="AR104" i="21"/>
  <c r="AS104" i="21"/>
  <c r="AW104" i="21"/>
  <c r="AX104" i="21" s="1"/>
  <c r="AR105" i="21"/>
  <c r="AS105" i="21"/>
  <c r="AT105" i="21"/>
  <c r="AV105" i="21" s="1"/>
  <c r="AR106" i="21"/>
  <c r="AS106" i="21"/>
  <c r="AW106" i="21"/>
  <c r="AX106" i="21" s="1"/>
  <c r="AR107" i="21"/>
  <c r="AS107" i="21"/>
  <c r="AT107" i="21"/>
  <c r="AV107" i="21" s="1"/>
  <c r="AR108" i="21"/>
  <c r="AS108" i="21"/>
  <c r="AT108" i="21"/>
  <c r="AV108" i="21" s="1"/>
  <c r="AR109" i="21"/>
  <c r="AS109" i="21"/>
  <c r="AW109" i="21"/>
  <c r="AX109" i="21" s="1"/>
  <c r="AR110" i="21"/>
  <c r="AS110" i="21"/>
  <c r="AT110" i="21"/>
  <c r="AV110" i="21" s="1"/>
  <c r="AR111" i="21"/>
  <c r="AS111" i="21"/>
  <c r="AT111" i="21"/>
  <c r="AV111" i="21" s="1"/>
  <c r="AR112" i="21"/>
  <c r="AS112" i="21"/>
  <c r="AW112" i="21"/>
  <c r="AX112" i="21" s="1"/>
  <c r="AT10" i="21"/>
  <c r="AV10" i="21" s="1"/>
  <c r="AT11" i="21"/>
  <c r="AV11" i="21" s="1"/>
  <c r="AT12" i="21"/>
  <c r="AV12" i="21" s="1"/>
  <c r="AT23" i="21"/>
  <c r="AV23" i="21" s="1"/>
  <c r="AT24" i="21"/>
  <c r="AV24" i="21" s="1"/>
  <c r="AT27" i="21"/>
  <c r="AV27" i="21" s="1"/>
  <c r="AT30" i="21"/>
  <c r="AV30" i="21" s="1"/>
  <c r="AT33" i="21"/>
  <c r="AV33" i="21" s="1"/>
  <c r="AT37" i="21"/>
  <c r="AV37" i="21" s="1"/>
  <c r="AT38" i="21"/>
  <c r="AV38" i="21" s="1"/>
  <c r="AT39" i="21"/>
  <c r="AV39" i="21" s="1"/>
  <c r="AT47" i="21"/>
  <c r="AV47" i="21" s="1"/>
  <c r="AT58" i="21"/>
  <c r="AV58" i="21" s="1"/>
  <c r="AT66" i="21"/>
  <c r="AV66" i="21" s="1"/>
  <c r="AT78" i="21"/>
  <c r="AV78" i="21" s="1"/>
  <c r="AT81" i="21"/>
  <c r="AV81" i="21" s="1"/>
  <c r="AT84" i="21"/>
  <c r="AV84" i="21" s="1"/>
  <c r="AT86" i="21"/>
  <c r="AV86" i="21" s="1"/>
  <c r="AT89" i="21"/>
  <c r="AV89" i="21" s="1"/>
  <c r="AT98" i="21"/>
  <c r="AV98" i="21" s="1"/>
  <c r="AT99" i="21"/>
  <c r="AV99" i="21" s="1"/>
  <c r="AT109" i="21"/>
  <c r="AV109" i="21" s="1"/>
  <c r="AT112" i="21"/>
  <c r="AV112" i="21" s="1"/>
  <c r="AT3" i="21"/>
  <c r="AV3" i="21" s="1"/>
  <c r="AT92" i="21"/>
  <c r="AV92" i="21" s="1"/>
  <c r="AT72" i="21"/>
  <c r="AV72" i="21" s="1"/>
  <c r="AT60" i="21"/>
  <c r="AV60" i="21" s="1"/>
  <c r="AT56" i="21"/>
  <c r="AV56" i="21" s="1"/>
  <c r="AY98" i="21"/>
  <c r="AZ98" i="21" s="1"/>
  <c r="AY58" i="21"/>
  <c r="AZ58" i="21" s="1"/>
  <c r="AY112" i="21"/>
  <c r="AZ112" i="21" s="1"/>
  <c r="AY84" i="21"/>
  <c r="AZ84" i="21" s="1"/>
  <c r="AT102" i="21"/>
  <c r="AV102" i="21" s="1"/>
  <c r="AT52" i="21"/>
  <c r="AV52" i="21" s="1"/>
  <c r="AY109" i="21"/>
  <c r="AZ109" i="21" s="1"/>
  <c r="AY81" i="21"/>
  <c r="AZ81" i="21" s="1"/>
  <c r="AY66" i="21"/>
  <c r="AZ66" i="21" s="1"/>
  <c r="AY78" i="21"/>
  <c r="AZ78" i="21" s="1"/>
  <c r="AY89" i="21"/>
  <c r="AZ89" i="21" s="1"/>
  <c r="AY99" i="21"/>
  <c r="AZ99" i="21" s="1"/>
  <c r="AY86" i="21"/>
  <c r="AZ86" i="21" s="1"/>
  <c r="AW82" i="21"/>
  <c r="AX82" i="21" s="1"/>
  <c r="AT90" i="21"/>
  <c r="AV90" i="21" s="1"/>
  <c r="AT80" i="21"/>
  <c r="AV80" i="21" s="1"/>
  <c r="AT106" i="21"/>
  <c r="AV106" i="21" s="1"/>
  <c r="AT76" i="21"/>
  <c r="AV76" i="21" s="1"/>
  <c r="AT68" i="21"/>
  <c r="AV68" i="21" s="1"/>
  <c r="AT96" i="21"/>
  <c r="AV96" i="21" s="1"/>
  <c r="AT64" i="21"/>
  <c r="AV64" i="21" s="1"/>
  <c r="AT88" i="21"/>
  <c r="AV88" i="21" s="1"/>
  <c r="AW111" i="21"/>
  <c r="AX111" i="21" s="1"/>
  <c r="AW95" i="21"/>
  <c r="AX95" i="21" s="1"/>
  <c r="AW65" i="21"/>
  <c r="AX65" i="21" s="1"/>
  <c r="AW110" i="21"/>
  <c r="AX110" i="21" s="1"/>
  <c r="AW94" i="21"/>
  <c r="AX94" i="21" s="1"/>
  <c r="AT87" i="21"/>
  <c r="AV87" i="21" s="1"/>
  <c r="AT62" i="21"/>
  <c r="AV62" i="21" s="1"/>
  <c r="AW93" i="21"/>
  <c r="AX93" i="21" s="1"/>
  <c r="AW79" i="21"/>
  <c r="AX79" i="21" s="1"/>
  <c r="AW63" i="21"/>
  <c r="AX63" i="21" s="1"/>
  <c r="AW108" i="21"/>
  <c r="AX108" i="21" s="1"/>
  <c r="AT85" i="21"/>
  <c r="AV85" i="21" s="1"/>
  <c r="AW107" i="21"/>
  <c r="AX107" i="21" s="1"/>
  <c r="AW91" i="21"/>
  <c r="AX91" i="21" s="1"/>
  <c r="AW77" i="21"/>
  <c r="AX77" i="21" s="1"/>
  <c r="AW61" i="21"/>
  <c r="AX61" i="21" s="1"/>
  <c r="AT104" i="21"/>
  <c r="AV104" i="21" s="1"/>
  <c r="AT54" i="21"/>
  <c r="AV54" i="21" s="1"/>
  <c r="AW105" i="21"/>
  <c r="AX105" i="21" s="1"/>
  <c r="AW75" i="21"/>
  <c r="AX75" i="21" s="1"/>
  <c r="AW59" i="21"/>
  <c r="AX59" i="21" s="1"/>
  <c r="AW74" i="21"/>
  <c r="AX74" i="21" s="1"/>
  <c r="AT100" i="21"/>
  <c r="AV100" i="21" s="1"/>
  <c r="AW103" i="21"/>
  <c r="AX103" i="21" s="1"/>
  <c r="AW73" i="21"/>
  <c r="AX73" i="21" s="1"/>
  <c r="AW57" i="21"/>
  <c r="AX57" i="21" s="1"/>
  <c r="AW101" i="21"/>
  <c r="AX101" i="21" s="1"/>
  <c r="AW71" i="21"/>
  <c r="AX71" i="21" s="1"/>
  <c r="AW55" i="21"/>
  <c r="AX55" i="21" s="1"/>
  <c r="AW70" i="21"/>
  <c r="AX70" i="21" s="1"/>
  <c r="AW69" i="21"/>
  <c r="AX69" i="21" s="1"/>
  <c r="AW53" i="21"/>
  <c r="AX53" i="21" s="1"/>
  <c r="AW97" i="21"/>
  <c r="AX97" i="21" s="1"/>
  <c r="AW83" i="21"/>
  <c r="AX83" i="21" s="1"/>
  <c r="AW67" i="21"/>
  <c r="AX67" i="21" s="1"/>
  <c r="AS3" i="21"/>
  <c r="AS4" i="21"/>
  <c r="AS5" i="21"/>
  <c r="AS6" i="21"/>
  <c r="AS7" i="21"/>
  <c r="AS8" i="21"/>
  <c r="AS9" i="21"/>
  <c r="AS10" i="21"/>
  <c r="AS11" i="21"/>
  <c r="AS12" i="21"/>
  <c r="AS13" i="21"/>
  <c r="AS14" i="21"/>
  <c r="AS15" i="21"/>
  <c r="AS16" i="21"/>
  <c r="AS17" i="21"/>
  <c r="AS18" i="21"/>
  <c r="AS19" i="21"/>
  <c r="AS20" i="21"/>
  <c r="AS21" i="21"/>
  <c r="AS22" i="21"/>
  <c r="AS23" i="21"/>
  <c r="AS24" i="21"/>
  <c r="AS25" i="21"/>
  <c r="AS26" i="21"/>
  <c r="AS27" i="21"/>
  <c r="AS28" i="21"/>
  <c r="AS29" i="21"/>
  <c r="AS30" i="21"/>
  <c r="AS31" i="21"/>
  <c r="AS32" i="21"/>
  <c r="AS33" i="21"/>
  <c r="AW33" i="21"/>
  <c r="AX33" i="21" s="1"/>
  <c r="AS34" i="21"/>
  <c r="AS35" i="21"/>
  <c r="AS36" i="21"/>
  <c r="AS37" i="21"/>
  <c r="AS38" i="21"/>
  <c r="AS39" i="21"/>
  <c r="AS40" i="21"/>
  <c r="AS41" i="21"/>
  <c r="AS42" i="21"/>
  <c r="AS43" i="21"/>
  <c r="AS44" i="21"/>
  <c r="AS45" i="21"/>
  <c r="AS46" i="21"/>
  <c r="AS47" i="21"/>
  <c r="AS48" i="21"/>
  <c r="AS49" i="21"/>
  <c r="AS50" i="21"/>
  <c r="AS51" i="21"/>
  <c r="AS2" i="21"/>
  <c r="AT2" i="21"/>
  <c r="AV2" i="21" s="1"/>
  <c r="AW30" i="21"/>
  <c r="AX30" i="21" s="1"/>
  <c r="AY30" i="21"/>
  <c r="AZ30" i="21" s="1"/>
  <c r="AW12" i="21"/>
  <c r="AX12" i="21" s="1"/>
  <c r="AY12" i="21"/>
  <c r="AZ12" i="21" s="1"/>
  <c r="AW27" i="21"/>
  <c r="AX27" i="21" s="1"/>
  <c r="AY27" i="21"/>
  <c r="AZ27" i="21" s="1"/>
  <c r="AW11" i="21"/>
  <c r="AX11" i="21" s="1"/>
  <c r="AY11" i="21"/>
  <c r="AZ11" i="21" s="1"/>
  <c r="AW47" i="21"/>
  <c r="AX47" i="21" s="1"/>
  <c r="AY47" i="21"/>
  <c r="AZ47" i="21" s="1"/>
  <c r="AW10" i="21"/>
  <c r="AX10" i="21" s="1"/>
  <c r="AY10" i="21"/>
  <c r="AZ10" i="21" s="1"/>
  <c r="AW24" i="21"/>
  <c r="AX24" i="21" s="1"/>
  <c r="AY24" i="21"/>
  <c r="AZ24" i="21" s="1"/>
  <c r="AW39" i="21"/>
  <c r="AX39" i="21" s="1"/>
  <c r="AY39" i="21"/>
  <c r="AZ39" i="21" s="1"/>
  <c r="AW23" i="21"/>
  <c r="AX23" i="21" s="1"/>
  <c r="AY23" i="21"/>
  <c r="AZ23" i="21" s="1"/>
  <c r="AW38" i="21"/>
  <c r="AX38" i="21" s="1"/>
  <c r="AY38" i="21"/>
  <c r="AZ38" i="21" s="1"/>
  <c r="AW37" i="21"/>
  <c r="AX37" i="21" s="1"/>
  <c r="AY37" i="21"/>
  <c r="AZ37" i="21" s="1"/>
  <c r="AY33" i="21"/>
  <c r="AZ33" i="21" s="1"/>
  <c r="AW3" i="21"/>
  <c r="AX3" i="21" s="1"/>
  <c r="AY3" i="21"/>
  <c r="AZ3" i="21" s="1"/>
  <c r="AT17" i="21"/>
  <c r="AV17" i="21" s="1"/>
  <c r="AW17" i="21"/>
  <c r="AX17" i="21" s="1"/>
  <c r="AW51" i="21"/>
  <c r="AX51" i="21" s="1"/>
  <c r="AT51" i="21"/>
  <c r="AV51" i="21" s="1"/>
  <c r="AT48" i="21"/>
  <c r="AV48" i="21" s="1"/>
  <c r="AW48" i="21"/>
  <c r="AX48" i="21" s="1"/>
  <c r="AT32" i="21"/>
  <c r="AV32" i="21" s="1"/>
  <c r="AW32" i="21"/>
  <c r="AX32" i="21" s="1"/>
  <c r="AT16" i="21"/>
  <c r="AV16" i="21" s="1"/>
  <c r="AW16" i="21"/>
  <c r="AX16" i="21" s="1"/>
  <c r="AT31" i="21"/>
  <c r="AV31" i="21" s="1"/>
  <c r="AW31" i="21"/>
  <c r="AX31" i="21" s="1"/>
  <c r="AT15" i="21"/>
  <c r="AV15" i="21" s="1"/>
  <c r="AW15" i="21"/>
  <c r="AX15" i="21" s="1"/>
  <c r="AW14" i="21"/>
  <c r="AX14" i="21" s="1"/>
  <c r="AT14" i="21"/>
  <c r="AV14" i="21" s="1"/>
  <c r="AT49" i="21"/>
  <c r="AV49" i="21" s="1"/>
  <c r="AW49" i="21"/>
  <c r="AX49" i="21" s="1"/>
  <c r="AT46" i="21"/>
  <c r="AV46" i="21" s="1"/>
  <c r="AW46" i="21"/>
  <c r="AX46" i="21" s="1"/>
  <c r="AT45" i="21"/>
  <c r="AV45" i="21" s="1"/>
  <c r="AW45" i="21"/>
  <c r="AX45" i="21" s="1"/>
  <c r="AT29" i="21"/>
  <c r="AV29" i="21" s="1"/>
  <c r="AW29" i="21"/>
  <c r="AX29" i="21" s="1"/>
  <c r="AT13" i="21"/>
  <c r="AV13" i="21" s="1"/>
  <c r="AW13" i="21"/>
  <c r="AX13" i="21" s="1"/>
  <c r="AT28" i="21"/>
  <c r="AV28" i="21" s="1"/>
  <c r="AW28" i="21"/>
  <c r="AX28" i="21" s="1"/>
  <c r="AT44" i="21"/>
  <c r="AV44" i="21" s="1"/>
  <c r="AW44" i="21"/>
  <c r="AX44" i="21" s="1"/>
  <c r="AW42" i="21"/>
  <c r="AX42" i="21" s="1"/>
  <c r="AT42" i="21"/>
  <c r="AV42" i="21" s="1"/>
  <c r="AW26" i="21"/>
  <c r="AX26" i="21" s="1"/>
  <c r="AT26" i="21"/>
  <c r="AV26" i="21" s="1"/>
  <c r="AW41" i="21"/>
  <c r="AX41" i="21" s="1"/>
  <c r="AT41" i="21"/>
  <c r="AV41" i="21" s="1"/>
  <c r="AW25" i="21"/>
  <c r="AX25" i="21" s="1"/>
  <c r="AT25" i="21"/>
  <c r="AV25" i="21" s="1"/>
  <c r="AW9" i="21"/>
  <c r="AX9" i="21" s="1"/>
  <c r="AT9" i="21"/>
  <c r="AV9" i="21" s="1"/>
  <c r="AW40" i="21"/>
  <c r="AX40" i="21" s="1"/>
  <c r="AT40" i="21"/>
  <c r="AV40" i="21" s="1"/>
  <c r="AW8" i="21"/>
  <c r="AX8" i="21" s="1"/>
  <c r="AT8" i="21"/>
  <c r="AV8" i="21" s="1"/>
  <c r="AW43" i="21"/>
  <c r="AX43" i="21" s="1"/>
  <c r="AT43" i="21"/>
  <c r="AV43" i="21" s="1"/>
  <c r="AW7" i="21"/>
  <c r="AX7" i="21" s="1"/>
  <c r="AT7" i="21"/>
  <c r="AV7" i="21" s="1"/>
  <c r="AW22" i="21"/>
  <c r="AX22" i="21" s="1"/>
  <c r="AT22" i="21"/>
  <c r="AV22" i="21" s="1"/>
  <c r="AW6" i="21"/>
  <c r="AX6" i="21" s="1"/>
  <c r="AT6" i="21"/>
  <c r="AV6" i="21" s="1"/>
  <c r="AW21" i="21"/>
  <c r="AX21" i="21" s="1"/>
  <c r="AT21" i="21"/>
  <c r="AV21" i="21" s="1"/>
  <c r="AW5" i="21"/>
  <c r="AX5" i="21" s="1"/>
  <c r="AT5" i="21"/>
  <c r="AV5" i="21" s="1"/>
  <c r="AW2" i="21"/>
  <c r="AX2" i="21" s="1"/>
  <c r="AW36" i="21"/>
  <c r="AX36" i="21" s="1"/>
  <c r="AT36" i="21"/>
  <c r="AV36" i="21" s="1"/>
  <c r="AW20" i="21"/>
  <c r="AX20" i="21" s="1"/>
  <c r="AT20" i="21"/>
  <c r="AV20" i="21" s="1"/>
  <c r="AW4" i="21"/>
  <c r="AX4" i="21" s="1"/>
  <c r="AT4" i="21"/>
  <c r="AV4" i="21" s="1"/>
  <c r="AW35" i="21"/>
  <c r="AX35" i="21" s="1"/>
  <c r="AT35" i="21"/>
  <c r="AV35" i="21" s="1"/>
  <c r="AW19" i="21"/>
  <c r="AX19" i="21" s="1"/>
  <c r="AT19" i="21"/>
  <c r="AV19" i="21" s="1"/>
  <c r="AT50" i="21"/>
  <c r="AV50" i="21" s="1"/>
  <c r="AW50" i="21"/>
  <c r="AX50" i="21" s="1"/>
  <c r="AT34" i="21"/>
  <c r="AV34" i="21" s="1"/>
  <c r="AW34" i="21"/>
  <c r="AX34" i="21" s="1"/>
  <c r="AT18" i="21"/>
  <c r="AV18" i="21" s="1"/>
  <c r="AW18" i="21"/>
  <c r="AX18" i="21" s="1"/>
  <c r="B41" i="19"/>
  <c r="B32" i="19"/>
  <c r="B23" i="19"/>
  <c r="B14" i="19"/>
  <c r="B7" i="19"/>
  <c r="B5" i="19"/>
  <c r="B13" i="19"/>
  <c r="B22" i="19"/>
  <c r="B31" i="19"/>
  <c r="B40" i="19"/>
  <c r="B4" i="19"/>
  <c r="CA6" i="20"/>
  <c r="CB6" i="20"/>
  <c r="CC6" i="20"/>
  <c r="CD6" i="20"/>
  <c r="CE6" i="20"/>
  <c r="CF6" i="20"/>
  <c r="CG6" i="20"/>
  <c r="CH6" i="20"/>
  <c r="CI6" i="20"/>
  <c r="CJ6" i="20"/>
  <c r="CK6" i="20"/>
  <c r="CA7" i="20"/>
  <c r="CB7" i="20"/>
  <c r="CC7" i="20"/>
  <c r="CD7" i="20"/>
  <c r="CE7" i="20"/>
  <c r="CF7" i="20"/>
  <c r="CG7" i="20"/>
  <c r="CH7" i="20"/>
  <c r="CI7" i="20"/>
  <c r="CJ7" i="20"/>
  <c r="CK7" i="20"/>
  <c r="CA8" i="20"/>
  <c r="CB8" i="20"/>
  <c r="CC8" i="20"/>
  <c r="CD8" i="20"/>
  <c r="CE8" i="20"/>
  <c r="CF8" i="20"/>
  <c r="CG8" i="20"/>
  <c r="CH8" i="20"/>
  <c r="CI8" i="20"/>
  <c r="CJ8" i="20"/>
  <c r="CK8" i="20"/>
  <c r="CA9" i="20"/>
  <c r="CB9" i="20"/>
  <c r="CC9" i="20"/>
  <c r="CD9" i="20"/>
  <c r="CE9" i="20"/>
  <c r="CF9" i="20"/>
  <c r="CG9" i="20"/>
  <c r="CH9" i="20"/>
  <c r="CI9" i="20"/>
  <c r="CJ9" i="20"/>
  <c r="CK9" i="20"/>
  <c r="CA10" i="20"/>
  <c r="CB10" i="20"/>
  <c r="CC10" i="20"/>
  <c r="CD10" i="20"/>
  <c r="CE10" i="20"/>
  <c r="CF10" i="20"/>
  <c r="CG10" i="20"/>
  <c r="CH10" i="20"/>
  <c r="CI10" i="20"/>
  <c r="CJ10" i="20"/>
  <c r="CK10" i="20"/>
  <c r="CA11" i="20"/>
  <c r="CB11" i="20"/>
  <c r="CC11" i="20"/>
  <c r="CD11" i="20"/>
  <c r="CE11" i="20"/>
  <c r="CF11" i="20"/>
  <c r="CG11" i="20"/>
  <c r="CH11" i="20"/>
  <c r="CI11" i="20"/>
  <c r="CJ11" i="20"/>
  <c r="CK11" i="20"/>
  <c r="CA12" i="20"/>
  <c r="CB12" i="20"/>
  <c r="CC12" i="20"/>
  <c r="CD12" i="20"/>
  <c r="CE12" i="20"/>
  <c r="CF12" i="20"/>
  <c r="CG12" i="20"/>
  <c r="CH12" i="20"/>
  <c r="CI12" i="20"/>
  <c r="CJ12" i="20"/>
  <c r="CK12" i="20"/>
  <c r="CA13" i="20"/>
  <c r="CB13" i="20"/>
  <c r="CC13" i="20"/>
  <c r="CD13" i="20"/>
  <c r="CE13" i="20"/>
  <c r="CF13" i="20"/>
  <c r="CG13" i="20"/>
  <c r="CH13" i="20"/>
  <c r="CI13" i="20"/>
  <c r="CJ13" i="20"/>
  <c r="CK13" i="20"/>
  <c r="CA14" i="20"/>
  <c r="CB14" i="20"/>
  <c r="CC14" i="20"/>
  <c r="CD14" i="20"/>
  <c r="CE14" i="20"/>
  <c r="CF14" i="20"/>
  <c r="CG14" i="20"/>
  <c r="CH14" i="20"/>
  <c r="CI14" i="20"/>
  <c r="CJ14" i="20"/>
  <c r="CK14" i="20"/>
  <c r="CA15" i="20"/>
  <c r="CB15" i="20"/>
  <c r="CC15" i="20"/>
  <c r="CD15" i="20"/>
  <c r="CE15" i="20"/>
  <c r="CF15" i="20"/>
  <c r="CG15" i="20"/>
  <c r="CH15" i="20"/>
  <c r="CI15" i="20"/>
  <c r="CJ15" i="20"/>
  <c r="CK15" i="20"/>
  <c r="CA16" i="20"/>
  <c r="CB16" i="20"/>
  <c r="CC16" i="20"/>
  <c r="CD16" i="20"/>
  <c r="CE16" i="20"/>
  <c r="CF16" i="20"/>
  <c r="CG16" i="20"/>
  <c r="CH16" i="20"/>
  <c r="CI16" i="20"/>
  <c r="CJ16" i="20"/>
  <c r="CK16" i="20"/>
  <c r="CA17" i="20"/>
  <c r="CB17" i="20"/>
  <c r="CC17" i="20"/>
  <c r="CD17" i="20"/>
  <c r="CE17" i="20"/>
  <c r="CF17" i="20"/>
  <c r="CG17" i="20"/>
  <c r="CH17" i="20"/>
  <c r="CI17" i="20"/>
  <c r="CJ17" i="20"/>
  <c r="CK17" i="20"/>
  <c r="CA18" i="20"/>
  <c r="CB18" i="20"/>
  <c r="CC18" i="20"/>
  <c r="CD18" i="20"/>
  <c r="CE18" i="20"/>
  <c r="CF18" i="20"/>
  <c r="CG18" i="20"/>
  <c r="CH18" i="20"/>
  <c r="CI18" i="20"/>
  <c r="CJ18" i="20"/>
  <c r="CK18" i="20"/>
  <c r="CA19" i="20"/>
  <c r="CB19" i="20"/>
  <c r="CC19" i="20"/>
  <c r="CD19" i="20"/>
  <c r="CE19" i="20"/>
  <c r="CF19" i="20"/>
  <c r="CG19" i="20"/>
  <c r="CH19" i="20"/>
  <c r="CI19" i="20"/>
  <c r="CJ19" i="20"/>
  <c r="CK19" i="20"/>
  <c r="CA20" i="20"/>
  <c r="CB20" i="20"/>
  <c r="CC20" i="20"/>
  <c r="CD20" i="20"/>
  <c r="CE20" i="20"/>
  <c r="CF20" i="20"/>
  <c r="CG20" i="20"/>
  <c r="CH20" i="20"/>
  <c r="CI20" i="20"/>
  <c r="CJ20" i="20"/>
  <c r="CK20" i="20"/>
  <c r="CA21" i="20"/>
  <c r="CB21" i="20"/>
  <c r="CC21" i="20"/>
  <c r="CD21" i="20"/>
  <c r="CE21" i="20"/>
  <c r="CF21" i="20"/>
  <c r="CG21" i="20"/>
  <c r="CH21" i="20"/>
  <c r="CI21" i="20"/>
  <c r="CJ21" i="20"/>
  <c r="CK21" i="20"/>
  <c r="CA22" i="20"/>
  <c r="CB22" i="20"/>
  <c r="CC22" i="20"/>
  <c r="CD22" i="20"/>
  <c r="CE22" i="20"/>
  <c r="CF22" i="20"/>
  <c r="CG22" i="20"/>
  <c r="CH22" i="20"/>
  <c r="CI22" i="20"/>
  <c r="CJ22" i="20"/>
  <c r="CK22" i="20"/>
  <c r="CA23" i="20"/>
  <c r="CB23" i="20"/>
  <c r="CC23" i="20"/>
  <c r="CD23" i="20"/>
  <c r="CE23" i="20"/>
  <c r="CF23" i="20"/>
  <c r="CG23" i="20"/>
  <c r="CH23" i="20"/>
  <c r="CI23" i="20"/>
  <c r="CJ23" i="20"/>
  <c r="CK23" i="20"/>
  <c r="CA24" i="20"/>
  <c r="CB24" i="20"/>
  <c r="CC24" i="20"/>
  <c r="CD24" i="20"/>
  <c r="CE24" i="20"/>
  <c r="CF24" i="20"/>
  <c r="CG24" i="20"/>
  <c r="CH24" i="20"/>
  <c r="CI24" i="20"/>
  <c r="CJ24" i="20"/>
  <c r="CK24" i="20"/>
  <c r="CA25" i="20"/>
  <c r="CB25" i="20"/>
  <c r="CC25" i="20"/>
  <c r="CD25" i="20"/>
  <c r="CE25" i="20"/>
  <c r="CF25" i="20"/>
  <c r="CG25" i="20"/>
  <c r="CH25" i="20"/>
  <c r="CI25" i="20"/>
  <c r="CJ25" i="20"/>
  <c r="CK25" i="20"/>
  <c r="CA26" i="20"/>
  <c r="CB26" i="20"/>
  <c r="CC26" i="20"/>
  <c r="CD26" i="20"/>
  <c r="CE26" i="20"/>
  <c r="CF26" i="20"/>
  <c r="CG26" i="20"/>
  <c r="CH26" i="20"/>
  <c r="CI26" i="20"/>
  <c r="CJ26" i="20"/>
  <c r="CK26" i="20"/>
  <c r="CA27" i="20"/>
  <c r="CB27" i="20"/>
  <c r="CC27" i="20"/>
  <c r="CD27" i="20"/>
  <c r="CE27" i="20"/>
  <c r="CF27" i="20"/>
  <c r="CG27" i="20"/>
  <c r="CH27" i="20"/>
  <c r="CI27" i="20"/>
  <c r="CJ27" i="20"/>
  <c r="CK27" i="20"/>
  <c r="CA28" i="20"/>
  <c r="CB28" i="20"/>
  <c r="CC28" i="20"/>
  <c r="CD28" i="20"/>
  <c r="CE28" i="20"/>
  <c r="CF28" i="20"/>
  <c r="CG28" i="20"/>
  <c r="CH28" i="20"/>
  <c r="CI28" i="20"/>
  <c r="CJ28" i="20"/>
  <c r="CK28" i="20"/>
  <c r="CA29" i="20"/>
  <c r="CB29" i="20"/>
  <c r="CC29" i="20"/>
  <c r="CD29" i="20"/>
  <c r="CE29" i="20"/>
  <c r="CF29" i="20"/>
  <c r="CG29" i="20"/>
  <c r="CH29" i="20"/>
  <c r="CI29" i="20"/>
  <c r="CJ29" i="20"/>
  <c r="CK29" i="20"/>
  <c r="CA30" i="20"/>
  <c r="CB30" i="20"/>
  <c r="CC30" i="20"/>
  <c r="CD30" i="20"/>
  <c r="CE30" i="20"/>
  <c r="CF30" i="20"/>
  <c r="CG30" i="20"/>
  <c r="CH30" i="20"/>
  <c r="CI30" i="20"/>
  <c r="CJ30" i="20"/>
  <c r="CK30" i="20"/>
  <c r="CA31" i="20"/>
  <c r="CB31" i="20"/>
  <c r="CC31" i="20"/>
  <c r="CD31" i="20"/>
  <c r="CE31" i="20"/>
  <c r="CF31" i="20"/>
  <c r="CG31" i="20"/>
  <c r="CH31" i="20"/>
  <c r="CI31" i="20"/>
  <c r="CJ31" i="20"/>
  <c r="CK31" i="20"/>
  <c r="CA32" i="20"/>
  <c r="CB32" i="20"/>
  <c r="CC32" i="20"/>
  <c r="CD32" i="20"/>
  <c r="CE32" i="20"/>
  <c r="CF32" i="20"/>
  <c r="CG32" i="20"/>
  <c r="CH32" i="20"/>
  <c r="CI32" i="20"/>
  <c r="CJ32" i="20"/>
  <c r="CK32" i="20"/>
  <c r="CA33" i="20"/>
  <c r="CB33" i="20"/>
  <c r="CC33" i="20"/>
  <c r="CD33" i="20"/>
  <c r="CE33" i="20"/>
  <c r="CF33" i="20"/>
  <c r="CG33" i="20"/>
  <c r="CH33" i="20"/>
  <c r="CI33" i="20"/>
  <c r="CJ33" i="20"/>
  <c r="CK33" i="20"/>
  <c r="CA34" i="20"/>
  <c r="CB34" i="20"/>
  <c r="CC34" i="20"/>
  <c r="CD34" i="20"/>
  <c r="CE34" i="20"/>
  <c r="CF34" i="20"/>
  <c r="CG34" i="20"/>
  <c r="CH34" i="20"/>
  <c r="CI34" i="20"/>
  <c r="CJ34" i="20"/>
  <c r="CK34" i="20"/>
  <c r="CA35" i="20"/>
  <c r="CB35" i="20"/>
  <c r="CC35" i="20"/>
  <c r="CD35" i="20"/>
  <c r="CE35" i="20"/>
  <c r="CF35" i="20"/>
  <c r="CG35" i="20"/>
  <c r="CH35" i="20"/>
  <c r="CI35" i="20"/>
  <c r="CJ35" i="20"/>
  <c r="CK35" i="20"/>
  <c r="CA36" i="20"/>
  <c r="CB36" i="20"/>
  <c r="CC36" i="20"/>
  <c r="CD36" i="20"/>
  <c r="CE36" i="20"/>
  <c r="CF36" i="20"/>
  <c r="CG36" i="20"/>
  <c r="CH36" i="20"/>
  <c r="CI36" i="20"/>
  <c r="CJ36" i="20"/>
  <c r="CK36" i="20"/>
  <c r="CA37" i="20"/>
  <c r="CB37" i="20"/>
  <c r="CC37" i="20"/>
  <c r="CD37" i="20"/>
  <c r="CE37" i="20"/>
  <c r="CF37" i="20"/>
  <c r="CG37" i="20"/>
  <c r="CH37" i="20"/>
  <c r="CI37" i="20"/>
  <c r="CJ37" i="20"/>
  <c r="CK37" i="20"/>
  <c r="CA38" i="20"/>
  <c r="CB38" i="20"/>
  <c r="CC38" i="20"/>
  <c r="CD38" i="20"/>
  <c r="CE38" i="20"/>
  <c r="CF38" i="20"/>
  <c r="CG38" i="20"/>
  <c r="CH38" i="20"/>
  <c r="CI38" i="20"/>
  <c r="CJ38" i="20"/>
  <c r="CK38" i="20"/>
  <c r="CA39" i="20"/>
  <c r="CB39" i="20"/>
  <c r="CC39" i="20"/>
  <c r="CD39" i="20"/>
  <c r="CE39" i="20"/>
  <c r="CF39" i="20"/>
  <c r="CG39" i="20"/>
  <c r="CH39" i="20"/>
  <c r="CI39" i="20"/>
  <c r="CJ39" i="20"/>
  <c r="CK39" i="20"/>
  <c r="CA40" i="20"/>
  <c r="CB40" i="20"/>
  <c r="CC40" i="20"/>
  <c r="CD40" i="20"/>
  <c r="CE40" i="20"/>
  <c r="CF40" i="20"/>
  <c r="CG40" i="20"/>
  <c r="CH40" i="20"/>
  <c r="CI40" i="20"/>
  <c r="CJ40" i="20"/>
  <c r="CK40" i="20"/>
  <c r="CA41" i="20"/>
  <c r="CB41" i="20"/>
  <c r="CC41" i="20"/>
  <c r="CD41" i="20"/>
  <c r="CE41" i="20"/>
  <c r="CF41" i="20"/>
  <c r="CG41" i="20"/>
  <c r="CH41" i="20"/>
  <c r="CI41" i="20"/>
  <c r="CJ41" i="20"/>
  <c r="CK41" i="20"/>
  <c r="CA42" i="20"/>
  <c r="CB42" i="20"/>
  <c r="CC42" i="20"/>
  <c r="CD42" i="20"/>
  <c r="CE42" i="20"/>
  <c r="CF42" i="20"/>
  <c r="CG42" i="20"/>
  <c r="CH42" i="20"/>
  <c r="CI42" i="20"/>
  <c r="CJ42" i="20"/>
  <c r="CK42" i="20"/>
  <c r="CA43" i="20"/>
  <c r="CB43" i="20"/>
  <c r="CC43" i="20"/>
  <c r="CD43" i="20"/>
  <c r="CE43" i="20"/>
  <c r="CF43" i="20"/>
  <c r="CG43" i="20"/>
  <c r="CH43" i="20"/>
  <c r="CI43" i="20"/>
  <c r="CJ43" i="20"/>
  <c r="CK43" i="20"/>
  <c r="CA44" i="20"/>
  <c r="CB44" i="20"/>
  <c r="CC44" i="20"/>
  <c r="CD44" i="20"/>
  <c r="CE44" i="20"/>
  <c r="CF44" i="20"/>
  <c r="CG44" i="20"/>
  <c r="CH44" i="20"/>
  <c r="CI44" i="20"/>
  <c r="CJ44" i="20"/>
  <c r="CK44" i="20"/>
  <c r="CA45" i="20"/>
  <c r="CB45" i="20"/>
  <c r="CC45" i="20"/>
  <c r="CD45" i="20"/>
  <c r="CE45" i="20"/>
  <c r="CF45" i="20"/>
  <c r="CG45" i="20"/>
  <c r="CH45" i="20"/>
  <c r="CI45" i="20"/>
  <c r="CJ45" i="20"/>
  <c r="CK45" i="20"/>
  <c r="CA46" i="20"/>
  <c r="CB46" i="20"/>
  <c r="CC46" i="20"/>
  <c r="CD46" i="20"/>
  <c r="CE46" i="20"/>
  <c r="CF46" i="20"/>
  <c r="CG46" i="20"/>
  <c r="CH46" i="20"/>
  <c r="CI46" i="20"/>
  <c r="CJ46" i="20"/>
  <c r="CK46" i="20"/>
  <c r="CA47" i="20"/>
  <c r="CB47" i="20"/>
  <c r="CC47" i="20"/>
  <c r="CD47" i="20"/>
  <c r="CE47" i="20"/>
  <c r="CF47" i="20"/>
  <c r="CG47" i="20"/>
  <c r="CH47" i="20"/>
  <c r="CI47" i="20"/>
  <c r="CJ47" i="20"/>
  <c r="CK47" i="20"/>
  <c r="CA48" i="20"/>
  <c r="CB48" i="20"/>
  <c r="CC48" i="20"/>
  <c r="CD48" i="20"/>
  <c r="CE48" i="20"/>
  <c r="CF48" i="20"/>
  <c r="CG48" i="20"/>
  <c r="CH48" i="20"/>
  <c r="CI48" i="20"/>
  <c r="CJ48" i="20"/>
  <c r="CK48" i="20"/>
  <c r="CA49" i="20"/>
  <c r="CB49" i="20"/>
  <c r="CC49" i="20"/>
  <c r="CD49" i="20"/>
  <c r="CE49" i="20"/>
  <c r="CF49" i="20"/>
  <c r="CG49" i="20"/>
  <c r="CH49" i="20"/>
  <c r="CI49" i="20"/>
  <c r="CJ49" i="20"/>
  <c r="CK49" i="20"/>
  <c r="CA50" i="20"/>
  <c r="CB50" i="20"/>
  <c r="CC50" i="20"/>
  <c r="CD50" i="20"/>
  <c r="CE50" i="20"/>
  <c r="CF50" i="20"/>
  <c r="CG50" i="20"/>
  <c r="CH50" i="20"/>
  <c r="CI50" i="20"/>
  <c r="CJ50" i="20"/>
  <c r="CK50" i="20"/>
  <c r="CA51" i="20"/>
  <c r="CB51" i="20"/>
  <c r="CC51" i="20"/>
  <c r="CD51" i="20"/>
  <c r="CE51" i="20"/>
  <c r="CF51" i="20"/>
  <c r="CG51" i="20"/>
  <c r="CH51" i="20"/>
  <c r="CI51" i="20"/>
  <c r="CJ51" i="20"/>
  <c r="CK51" i="20"/>
  <c r="CA52" i="20"/>
  <c r="CB52" i="20"/>
  <c r="CC52" i="20"/>
  <c r="CD52" i="20"/>
  <c r="CE52" i="20"/>
  <c r="CF52" i="20"/>
  <c r="CG52" i="20"/>
  <c r="CH52" i="20"/>
  <c r="CI52" i="20"/>
  <c r="CJ52" i="20"/>
  <c r="CK52" i="20"/>
  <c r="CA53" i="20"/>
  <c r="CB53" i="20"/>
  <c r="CC53" i="20"/>
  <c r="CD53" i="20"/>
  <c r="CE53" i="20"/>
  <c r="CF53" i="20"/>
  <c r="CG53" i="20"/>
  <c r="CH53" i="20"/>
  <c r="CI53" i="20"/>
  <c r="CJ53" i="20"/>
  <c r="CK53" i="20"/>
  <c r="CA54" i="20"/>
  <c r="CB54" i="20"/>
  <c r="CC54" i="20"/>
  <c r="CD54" i="20"/>
  <c r="CE54" i="20"/>
  <c r="CF54" i="20"/>
  <c r="CG54" i="20"/>
  <c r="CH54" i="20"/>
  <c r="CI54" i="20"/>
  <c r="CJ54" i="20"/>
  <c r="CK54" i="20"/>
  <c r="CA55" i="20"/>
  <c r="CB55" i="20"/>
  <c r="CC55" i="20"/>
  <c r="CD55" i="20"/>
  <c r="CE55" i="20"/>
  <c r="CF55" i="20"/>
  <c r="CG55" i="20"/>
  <c r="CH55" i="20"/>
  <c r="CI55" i="20"/>
  <c r="CJ55" i="20"/>
  <c r="CK55" i="20"/>
  <c r="CA56" i="20"/>
  <c r="CB56" i="20"/>
  <c r="CC56" i="20"/>
  <c r="CD56" i="20"/>
  <c r="CE56" i="20"/>
  <c r="CF56" i="20"/>
  <c r="CG56" i="20"/>
  <c r="CH56" i="20"/>
  <c r="CI56" i="20"/>
  <c r="CJ56" i="20"/>
  <c r="CK56" i="20"/>
  <c r="CA57" i="20"/>
  <c r="CB57" i="20"/>
  <c r="CC57" i="20"/>
  <c r="CD57" i="20"/>
  <c r="CE57" i="20"/>
  <c r="CF57" i="20"/>
  <c r="CG57" i="20"/>
  <c r="CH57" i="20"/>
  <c r="CI57" i="20"/>
  <c r="CJ57" i="20"/>
  <c r="CK57" i="20"/>
  <c r="CA58" i="20"/>
  <c r="CB58" i="20"/>
  <c r="CC58" i="20"/>
  <c r="CD58" i="20"/>
  <c r="CE58" i="20"/>
  <c r="CF58" i="20"/>
  <c r="CG58" i="20"/>
  <c r="CH58" i="20"/>
  <c r="CI58" i="20"/>
  <c r="CJ58" i="20"/>
  <c r="CK58" i="20"/>
  <c r="CA59" i="20"/>
  <c r="CB59" i="20"/>
  <c r="CC59" i="20"/>
  <c r="CD59" i="20"/>
  <c r="CE59" i="20"/>
  <c r="CF59" i="20"/>
  <c r="CG59" i="20"/>
  <c r="CH59" i="20"/>
  <c r="CI59" i="20"/>
  <c r="CJ59" i="20"/>
  <c r="CK59" i="20"/>
  <c r="CA60" i="20"/>
  <c r="CB60" i="20"/>
  <c r="CC60" i="20"/>
  <c r="CD60" i="20"/>
  <c r="CE60" i="20"/>
  <c r="CF60" i="20"/>
  <c r="CG60" i="20"/>
  <c r="CH60" i="20"/>
  <c r="CI60" i="20"/>
  <c r="CJ60" i="20"/>
  <c r="CK60" i="20"/>
  <c r="CA61" i="20"/>
  <c r="CB61" i="20"/>
  <c r="CC61" i="20"/>
  <c r="CD61" i="20"/>
  <c r="CE61" i="20"/>
  <c r="CF61" i="20"/>
  <c r="CG61" i="20"/>
  <c r="CH61" i="20"/>
  <c r="CI61" i="20"/>
  <c r="CJ61" i="20"/>
  <c r="CK61" i="20"/>
  <c r="CA62" i="20"/>
  <c r="CB62" i="20"/>
  <c r="CC62" i="20"/>
  <c r="CD62" i="20"/>
  <c r="CE62" i="20"/>
  <c r="CF62" i="20"/>
  <c r="CG62" i="20"/>
  <c r="CH62" i="20"/>
  <c r="CI62" i="20"/>
  <c r="CJ62" i="20"/>
  <c r="CK62" i="20"/>
  <c r="CA63" i="20"/>
  <c r="CB63" i="20"/>
  <c r="CC63" i="20"/>
  <c r="CD63" i="20"/>
  <c r="CE63" i="20"/>
  <c r="CF63" i="20"/>
  <c r="CG63" i="20"/>
  <c r="CH63" i="20"/>
  <c r="CI63" i="20"/>
  <c r="CJ63" i="20"/>
  <c r="CK63" i="20"/>
  <c r="CA64" i="20"/>
  <c r="CB64" i="20"/>
  <c r="CC64" i="20"/>
  <c r="CD64" i="20"/>
  <c r="CE64" i="20"/>
  <c r="CF64" i="20"/>
  <c r="CG64" i="20"/>
  <c r="CH64" i="20"/>
  <c r="CI64" i="20"/>
  <c r="CJ64" i="20"/>
  <c r="CK64" i="20"/>
  <c r="CA65" i="20"/>
  <c r="CB65" i="20"/>
  <c r="CC65" i="20"/>
  <c r="CD65" i="20"/>
  <c r="CE65" i="20"/>
  <c r="CF65" i="20"/>
  <c r="CG65" i="20"/>
  <c r="CH65" i="20"/>
  <c r="CI65" i="20"/>
  <c r="CJ65" i="20"/>
  <c r="CK65" i="20"/>
  <c r="CA66" i="20"/>
  <c r="CB66" i="20"/>
  <c r="CC66" i="20"/>
  <c r="CD66" i="20"/>
  <c r="CE66" i="20"/>
  <c r="CF66" i="20"/>
  <c r="CG66" i="20"/>
  <c r="CH66" i="20"/>
  <c r="CI66" i="20"/>
  <c r="CJ66" i="20"/>
  <c r="CK66" i="20"/>
  <c r="CA67" i="20"/>
  <c r="CB67" i="20"/>
  <c r="CC67" i="20"/>
  <c r="CD67" i="20"/>
  <c r="CE67" i="20"/>
  <c r="CF67" i="20"/>
  <c r="CG67" i="20"/>
  <c r="CH67" i="20"/>
  <c r="CI67" i="20"/>
  <c r="CJ67" i="20"/>
  <c r="CK67" i="20"/>
  <c r="CA68" i="20"/>
  <c r="CB68" i="20"/>
  <c r="CC68" i="20"/>
  <c r="CD68" i="20"/>
  <c r="CE68" i="20"/>
  <c r="CF68" i="20"/>
  <c r="CG68" i="20"/>
  <c r="CH68" i="20"/>
  <c r="CI68" i="20"/>
  <c r="CJ68" i="20"/>
  <c r="CK68" i="20"/>
  <c r="CA69" i="20"/>
  <c r="CB69" i="20"/>
  <c r="CC69" i="20"/>
  <c r="CD69" i="20"/>
  <c r="CE69" i="20"/>
  <c r="CF69" i="20"/>
  <c r="CG69" i="20"/>
  <c r="CH69" i="20"/>
  <c r="CI69" i="20"/>
  <c r="CJ69" i="20"/>
  <c r="CK69" i="20"/>
  <c r="CA70" i="20"/>
  <c r="CB70" i="20"/>
  <c r="CC70" i="20"/>
  <c r="CD70" i="20"/>
  <c r="CE70" i="20"/>
  <c r="CF70" i="20"/>
  <c r="CG70" i="20"/>
  <c r="CH70" i="20"/>
  <c r="CI70" i="20"/>
  <c r="CJ70" i="20"/>
  <c r="CK70" i="20"/>
  <c r="CA71" i="20"/>
  <c r="CB71" i="20"/>
  <c r="CC71" i="20"/>
  <c r="CD71" i="20"/>
  <c r="CE71" i="20"/>
  <c r="CF71" i="20"/>
  <c r="CG71" i="20"/>
  <c r="CH71" i="20"/>
  <c r="CI71" i="20"/>
  <c r="CJ71" i="20"/>
  <c r="CK71" i="20"/>
  <c r="CA72" i="20"/>
  <c r="CB72" i="20"/>
  <c r="CC72" i="20"/>
  <c r="CD72" i="20"/>
  <c r="CE72" i="20"/>
  <c r="CF72" i="20"/>
  <c r="CG72" i="20"/>
  <c r="CH72" i="20"/>
  <c r="CI72" i="20"/>
  <c r="CJ72" i="20"/>
  <c r="CK72" i="20"/>
  <c r="CA73" i="20"/>
  <c r="CB73" i="20"/>
  <c r="CC73" i="20"/>
  <c r="CD73" i="20"/>
  <c r="CE73" i="20"/>
  <c r="CF73" i="20"/>
  <c r="CG73" i="20"/>
  <c r="CH73" i="20"/>
  <c r="CI73" i="20"/>
  <c r="CJ73" i="20"/>
  <c r="CK73" i="20"/>
  <c r="CA74" i="20"/>
  <c r="CB74" i="20"/>
  <c r="CC74" i="20"/>
  <c r="CD74" i="20"/>
  <c r="CE74" i="20"/>
  <c r="CF74" i="20"/>
  <c r="CG74" i="20"/>
  <c r="CH74" i="20"/>
  <c r="CI74" i="20"/>
  <c r="CJ74" i="20"/>
  <c r="CK74" i="20"/>
  <c r="CA75" i="20"/>
  <c r="CB75" i="20"/>
  <c r="CC75" i="20"/>
  <c r="CD75" i="20"/>
  <c r="CE75" i="20"/>
  <c r="CF75" i="20"/>
  <c r="CG75" i="20"/>
  <c r="CH75" i="20"/>
  <c r="CI75" i="20"/>
  <c r="CJ75" i="20"/>
  <c r="CK75" i="20"/>
  <c r="CA76" i="20"/>
  <c r="CB76" i="20"/>
  <c r="CC76" i="20"/>
  <c r="CD76" i="20"/>
  <c r="CE76" i="20"/>
  <c r="CF76" i="20"/>
  <c r="CG76" i="20"/>
  <c r="CH76" i="20"/>
  <c r="CI76" i="20"/>
  <c r="CJ76" i="20"/>
  <c r="CK76" i="20"/>
  <c r="CA77" i="20"/>
  <c r="CB77" i="20"/>
  <c r="CC77" i="20"/>
  <c r="CD77" i="20"/>
  <c r="CE77" i="20"/>
  <c r="CF77" i="20"/>
  <c r="CG77" i="20"/>
  <c r="CH77" i="20"/>
  <c r="CI77" i="20"/>
  <c r="CJ77" i="20"/>
  <c r="CK77" i="20"/>
  <c r="CA78" i="20"/>
  <c r="CB78" i="20"/>
  <c r="CC78" i="20"/>
  <c r="CD78" i="20"/>
  <c r="CE78" i="20"/>
  <c r="CF78" i="20"/>
  <c r="CG78" i="20"/>
  <c r="CH78" i="20"/>
  <c r="CI78" i="20"/>
  <c r="CJ78" i="20"/>
  <c r="CK78" i="20"/>
  <c r="CA79" i="20"/>
  <c r="CB79" i="20"/>
  <c r="CC79" i="20"/>
  <c r="CD79" i="20"/>
  <c r="CE79" i="20"/>
  <c r="CF79" i="20"/>
  <c r="CG79" i="20"/>
  <c r="CH79" i="20"/>
  <c r="CI79" i="20"/>
  <c r="CJ79" i="20"/>
  <c r="CK79" i="20"/>
  <c r="CA80" i="20"/>
  <c r="CB80" i="20"/>
  <c r="CC80" i="20"/>
  <c r="CD80" i="20"/>
  <c r="CE80" i="20"/>
  <c r="CF80" i="20"/>
  <c r="CG80" i="20"/>
  <c r="CH80" i="20"/>
  <c r="CI80" i="20"/>
  <c r="CJ80" i="20"/>
  <c r="CK80" i="20"/>
  <c r="CA81" i="20"/>
  <c r="CB81" i="20"/>
  <c r="CC81" i="20"/>
  <c r="CD81" i="20"/>
  <c r="CE81" i="20"/>
  <c r="CF81" i="20"/>
  <c r="CG81" i="20"/>
  <c r="CH81" i="20"/>
  <c r="CI81" i="20"/>
  <c r="CJ81" i="20"/>
  <c r="CK81" i="20"/>
  <c r="CA82" i="20"/>
  <c r="CB82" i="20"/>
  <c r="CC82" i="20"/>
  <c r="CD82" i="20"/>
  <c r="CE82" i="20"/>
  <c r="CF82" i="20"/>
  <c r="CG82" i="20"/>
  <c r="CH82" i="20"/>
  <c r="CI82" i="20"/>
  <c r="CJ82" i="20"/>
  <c r="CK82" i="20"/>
  <c r="CK5" i="20"/>
  <c r="CJ5" i="20"/>
  <c r="CI5" i="20"/>
  <c r="CH5" i="20"/>
  <c r="CG5" i="20"/>
  <c r="CF5" i="20"/>
  <c r="CE5" i="20"/>
  <c r="CD5" i="20"/>
  <c r="CC5" i="20"/>
  <c r="CB5" i="20"/>
  <c r="CA5" i="20"/>
  <c r="CB4" i="20"/>
  <c r="CB1" i="20" s="1"/>
  <c r="CC4" i="20"/>
  <c r="CC1" i="20" s="1"/>
  <c r="CD4" i="20"/>
  <c r="CD1" i="20" s="1"/>
  <c r="CE4" i="20"/>
  <c r="CE1" i="20" s="1"/>
  <c r="CF4" i="20"/>
  <c r="CF1" i="20" s="1"/>
  <c r="CG4" i="20"/>
  <c r="CG1" i="20" s="1"/>
  <c r="CH4" i="20"/>
  <c r="CH1" i="20" s="1"/>
  <c r="CI4" i="20"/>
  <c r="CI1" i="20" s="1"/>
  <c r="CJ4" i="20"/>
  <c r="CJ1" i="20" s="1"/>
  <c r="CK4" i="20"/>
  <c r="CK1" i="20" s="1"/>
  <c r="CA4" i="20"/>
  <c r="CA1" i="20" s="1"/>
  <c r="BD4" i="20"/>
  <c r="BD1" i="20" s="1"/>
  <c r="AG8" i="20"/>
  <c r="AH8" i="20"/>
  <c r="AI8" i="20"/>
  <c r="AJ8" i="20"/>
  <c r="AK8" i="20"/>
  <c r="AL8" i="20"/>
  <c r="AM8" i="20"/>
  <c r="AN8" i="20"/>
  <c r="AO8" i="20"/>
  <c r="AP8" i="20"/>
  <c r="AQ8" i="20"/>
  <c r="AG9" i="20"/>
  <c r="AH9" i="20"/>
  <c r="AI9" i="20"/>
  <c r="AJ9" i="20"/>
  <c r="AK9" i="20"/>
  <c r="AL9" i="20"/>
  <c r="AM9" i="20"/>
  <c r="AN9" i="20"/>
  <c r="AO9" i="20"/>
  <c r="AP9" i="20"/>
  <c r="AQ9" i="20"/>
  <c r="AG6" i="20"/>
  <c r="AH6" i="20"/>
  <c r="AI6" i="20"/>
  <c r="AJ6" i="20"/>
  <c r="AK6" i="20"/>
  <c r="AL6" i="20"/>
  <c r="AM6" i="20"/>
  <c r="AN6" i="20"/>
  <c r="AO6" i="20"/>
  <c r="AP6" i="20"/>
  <c r="AQ6" i="20"/>
  <c r="AG7" i="20"/>
  <c r="AH7" i="20"/>
  <c r="AI7" i="20"/>
  <c r="AJ7" i="20"/>
  <c r="AK7" i="20"/>
  <c r="AL7" i="20"/>
  <c r="AM7" i="20"/>
  <c r="AN7" i="20"/>
  <c r="AO7" i="20"/>
  <c r="AP7" i="20"/>
  <c r="AQ7" i="20"/>
  <c r="AG10" i="20"/>
  <c r="AH10" i="20"/>
  <c r="AI10" i="20"/>
  <c r="AJ10" i="20"/>
  <c r="AK10" i="20"/>
  <c r="AL10" i="20"/>
  <c r="AM10" i="20"/>
  <c r="AN10" i="20"/>
  <c r="AO10" i="20"/>
  <c r="AP10" i="20"/>
  <c r="AQ10" i="20"/>
  <c r="AG12" i="20"/>
  <c r="AH12" i="20"/>
  <c r="AI12" i="20"/>
  <c r="AJ12" i="20"/>
  <c r="AK12" i="20"/>
  <c r="AL12" i="20"/>
  <c r="AM12" i="20"/>
  <c r="AN12" i="20"/>
  <c r="AO12" i="20"/>
  <c r="AP12" i="20"/>
  <c r="AQ12" i="20"/>
  <c r="AG13" i="20"/>
  <c r="AH13" i="20"/>
  <c r="AI13" i="20"/>
  <c r="AJ13" i="20"/>
  <c r="AK13" i="20"/>
  <c r="AL13" i="20"/>
  <c r="AM13" i="20"/>
  <c r="AN13" i="20"/>
  <c r="AO13" i="20"/>
  <c r="AP13" i="20"/>
  <c r="AQ13" i="20"/>
  <c r="AG11" i="20"/>
  <c r="AH11" i="20"/>
  <c r="AI11" i="20"/>
  <c r="AJ11" i="20"/>
  <c r="AK11" i="20"/>
  <c r="AL11" i="20"/>
  <c r="AM11" i="20"/>
  <c r="AN11" i="20"/>
  <c r="AO11" i="20"/>
  <c r="AP11" i="20"/>
  <c r="AQ11" i="20"/>
  <c r="AG14" i="20"/>
  <c r="AH14" i="20"/>
  <c r="AI14" i="20"/>
  <c r="AJ14" i="20"/>
  <c r="AK14" i="20"/>
  <c r="AL14" i="20"/>
  <c r="AM14" i="20"/>
  <c r="AN14" i="20"/>
  <c r="AO14" i="20"/>
  <c r="AP14" i="20"/>
  <c r="AQ14" i="20"/>
  <c r="AG15" i="20"/>
  <c r="AH15" i="20"/>
  <c r="AI15" i="20"/>
  <c r="AJ15" i="20"/>
  <c r="AK15" i="20"/>
  <c r="AL15" i="20"/>
  <c r="AM15" i="20"/>
  <c r="AN15" i="20"/>
  <c r="AO15" i="20"/>
  <c r="AP15" i="20"/>
  <c r="AQ15" i="20"/>
  <c r="AG21" i="20"/>
  <c r="AH21" i="20"/>
  <c r="AI21" i="20"/>
  <c r="AJ21" i="20"/>
  <c r="AK21" i="20"/>
  <c r="AL21" i="20"/>
  <c r="AM21" i="20"/>
  <c r="AN21" i="20"/>
  <c r="AO21" i="20"/>
  <c r="AP21" i="20"/>
  <c r="AQ21" i="20"/>
  <c r="AG22" i="20"/>
  <c r="AH22" i="20"/>
  <c r="AI22" i="20"/>
  <c r="AJ22" i="20"/>
  <c r="AK22" i="20"/>
  <c r="AL22" i="20"/>
  <c r="AM22" i="20"/>
  <c r="AN22" i="20"/>
  <c r="AO22" i="20"/>
  <c r="AP22" i="20"/>
  <c r="AQ22" i="20"/>
  <c r="AG23" i="20"/>
  <c r="AH23" i="20"/>
  <c r="AI23" i="20"/>
  <c r="AJ23" i="20"/>
  <c r="AK23" i="20"/>
  <c r="AL23" i="20"/>
  <c r="AM23" i="20"/>
  <c r="AN23" i="20"/>
  <c r="AO23" i="20"/>
  <c r="AP23" i="20"/>
  <c r="AQ23" i="20"/>
  <c r="AG24" i="20"/>
  <c r="AH24" i="20"/>
  <c r="AI24" i="20"/>
  <c r="AJ24" i="20"/>
  <c r="AK24" i="20"/>
  <c r="AL24" i="20"/>
  <c r="AM24" i="20"/>
  <c r="AN24" i="20"/>
  <c r="AO24" i="20"/>
  <c r="AP24" i="20"/>
  <c r="AQ24" i="20"/>
  <c r="AG16" i="20"/>
  <c r="AH16" i="20"/>
  <c r="AI16" i="20"/>
  <c r="AJ16" i="20"/>
  <c r="AK16" i="20"/>
  <c r="AL16" i="20"/>
  <c r="AM16" i="20"/>
  <c r="AN16" i="20"/>
  <c r="AO16" i="20"/>
  <c r="AP16" i="20"/>
  <c r="AQ16" i="20"/>
  <c r="AG17" i="20"/>
  <c r="AH17" i="20"/>
  <c r="AI17" i="20"/>
  <c r="AJ17" i="20"/>
  <c r="AK17" i="20"/>
  <c r="AL17" i="20"/>
  <c r="AM17" i="20"/>
  <c r="AN17" i="20"/>
  <c r="AO17" i="20"/>
  <c r="AP17" i="20"/>
  <c r="AQ17" i="20"/>
  <c r="AG18" i="20"/>
  <c r="AH18" i="20"/>
  <c r="AI18" i="20"/>
  <c r="AJ18" i="20"/>
  <c r="AK18" i="20"/>
  <c r="AL18" i="20"/>
  <c r="AM18" i="20"/>
  <c r="AN18" i="20"/>
  <c r="AO18" i="20"/>
  <c r="AP18" i="20"/>
  <c r="AQ18" i="20"/>
  <c r="AG25" i="20"/>
  <c r="AH25" i="20"/>
  <c r="AI25" i="20"/>
  <c r="AJ25" i="20"/>
  <c r="AK25" i="20"/>
  <c r="AL25" i="20"/>
  <c r="AM25" i="20"/>
  <c r="AN25" i="20"/>
  <c r="AO25" i="20"/>
  <c r="AP25" i="20"/>
  <c r="AQ25" i="20"/>
  <c r="AG19" i="20"/>
  <c r="AH19" i="20"/>
  <c r="AI19" i="20"/>
  <c r="AJ19" i="20"/>
  <c r="AK19" i="20"/>
  <c r="AL19" i="20"/>
  <c r="AM19" i="20"/>
  <c r="AN19" i="20"/>
  <c r="AO19" i="20"/>
  <c r="AP19" i="20"/>
  <c r="AQ19" i="20"/>
  <c r="AG20" i="20"/>
  <c r="AH20" i="20"/>
  <c r="AI20" i="20"/>
  <c r="AJ20" i="20"/>
  <c r="AK20" i="20"/>
  <c r="AL20" i="20"/>
  <c r="AM20" i="20"/>
  <c r="AN20" i="20"/>
  <c r="AO20" i="20"/>
  <c r="AP20" i="20"/>
  <c r="AQ20" i="20"/>
  <c r="AG26" i="20"/>
  <c r="AH26" i="20"/>
  <c r="AI26" i="20"/>
  <c r="AJ26" i="20"/>
  <c r="AK26" i="20"/>
  <c r="AL26" i="20"/>
  <c r="AM26" i="20"/>
  <c r="AN26" i="20"/>
  <c r="AO26" i="20"/>
  <c r="AP26" i="20"/>
  <c r="AQ26" i="20"/>
  <c r="AG28" i="20"/>
  <c r="AH28" i="20"/>
  <c r="AI28" i="20"/>
  <c r="AJ28" i="20"/>
  <c r="AK28" i="20"/>
  <c r="AL28" i="20"/>
  <c r="AM28" i="20"/>
  <c r="AN28" i="20"/>
  <c r="AO28" i="20"/>
  <c r="AP28" i="20"/>
  <c r="AQ28" i="20"/>
  <c r="AG27" i="20"/>
  <c r="AH27" i="20"/>
  <c r="AI27" i="20"/>
  <c r="AJ27" i="20"/>
  <c r="AK27" i="20"/>
  <c r="AL27" i="20"/>
  <c r="AM27" i="20"/>
  <c r="AN27" i="20"/>
  <c r="AO27" i="20"/>
  <c r="AP27" i="20"/>
  <c r="AQ27" i="20"/>
  <c r="AG29" i="20"/>
  <c r="AH29" i="20"/>
  <c r="AI29" i="20"/>
  <c r="AJ29" i="20"/>
  <c r="AK29" i="20"/>
  <c r="AL29" i="20"/>
  <c r="AM29" i="20"/>
  <c r="AN29" i="20"/>
  <c r="AO29" i="20"/>
  <c r="AP29" i="20"/>
  <c r="AQ29" i="20"/>
  <c r="AG30" i="20"/>
  <c r="AH30" i="20"/>
  <c r="AI30" i="20"/>
  <c r="AJ30" i="20"/>
  <c r="AK30" i="20"/>
  <c r="AL30" i="20"/>
  <c r="AM30" i="20"/>
  <c r="AN30" i="20"/>
  <c r="AO30" i="20"/>
  <c r="AP30" i="20"/>
  <c r="AQ30" i="20"/>
  <c r="AG31" i="20"/>
  <c r="AH31" i="20"/>
  <c r="AI31" i="20"/>
  <c r="AJ31" i="20"/>
  <c r="AK31" i="20"/>
  <c r="AL31" i="20"/>
  <c r="AM31" i="20"/>
  <c r="AN31" i="20"/>
  <c r="AO31" i="20"/>
  <c r="AP31" i="20"/>
  <c r="AQ31" i="20"/>
  <c r="AG32" i="20"/>
  <c r="AH32" i="20"/>
  <c r="AI32" i="20"/>
  <c r="AJ32" i="20"/>
  <c r="AK32" i="20"/>
  <c r="AL32" i="20"/>
  <c r="AM32" i="20"/>
  <c r="AN32" i="20"/>
  <c r="AO32" i="20"/>
  <c r="AP32" i="20"/>
  <c r="AQ32" i="20"/>
  <c r="AG34" i="20"/>
  <c r="AH34" i="20"/>
  <c r="AI34" i="20"/>
  <c r="AJ34" i="20"/>
  <c r="AK34" i="20"/>
  <c r="AL34" i="20"/>
  <c r="AM34" i="20"/>
  <c r="AN34" i="20"/>
  <c r="AO34" i="20"/>
  <c r="AP34" i="20"/>
  <c r="AQ34" i="20"/>
  <c r="AG35" i="20"/>
  <c r="AH35" i="20"/>
  <c r="AI35" i="20"/>
  <c r="AJ35" i="20"/>
  <c r="AK35" i="20"/>
  <c r="AL35" i="20"/>
  <c r="AM35" i="20"/>
  <c r="AN35" i="20"/>
  <c r="AO35" i="20"/>
  <c r="AP35" i="20"/>
  <c r="AQ35" i="20"/>
  <c r="AG33" i="20"/>
  <c r="AH33" i="20"/>
  <c r="AI33" i="20"/>
  <c r="AJ33" i="20"/>
  <c r="AK33" i="20"/>
  <c r="AL33" i="20"/>
  <c r="AM33" i="20"/>
  <c r="AN33" i="20"/>
  <c r="AO33" i="20"/>
  <c r="AP33" i="20"/>
  <c r="AQ33" i="20"/>
  <c r="AG36" i="20"/>
  <c r="AH36" i="20"/>
  <c r="AI36" i="20"/>
  <c r="AJ36" i="20"/>
  <c r="AK36" i="20"/>
  <c r="AL36" i="20"/>
  <c r="AM36" i="20"/>
  <c r="AN36" i="20"/>
  <c r="AO36" i="20"/>
  <c r="AP36" i="20"/>
  <c r="AQ36" i="20"/>
  <c r="AG37" i="20"/>
  <c r="AH37" i="20"/>
  <c r="AI37" i="20"/>
  <c r="AJ37" i="20"/>
  <c r="AK37" i="20"/>
  <c r="AL37" i="20"/>
  <c r="AM37" i="20"/>
  <c r="AN37" i="20"/>
  <c r="AO37" i="20"/>
  <c r="AP37" i="20"/>
  <c r="AQ37" i="20"/>
  <c r="AG38" i="20"/>
  <c r="AH38" i="20"/>
  <c r="AI38" i="20"/>
  <c r="AJ38" i="20"/>
  <c r="AK38" i="20"/>
  <c r="AL38" i="20"/>
  <c r="AM38" i="20"/>
  <c r="AN38" i="20"/>
  <c r="AO38" i="20"/>
  <c r="AP38" i="20"/>
  <c r="AQ38" i="20"/>
  <c r="AG39" i="20"/>
  <c r="AH39" i="20"/>
  <c r="AI39" i="20"/>
  <c r="AJ39" i="20"/>
  <c r="AK39" i="20"/>
  <c r="AL39" i="20"/>
  <c r="AM39" i="20"/>
  <c r="AN39" i="20"/>
  <c r="AO39" i="20"/>
  <c r="AP39" i="20"/>
  <c r="AQ39" i="20"/>
  <c r="AG40" i="20"/>
  <c r="AH40" i="20"/>
  <c r="AI40" i="20"/>
  <c r="AJ40" i="20"/>
  <c r="AK40" i="20"/>
  <c r="AL40" i="20"/>
  <c r="AM40" i="20"/>
  <c r="AN40" i="20"/>
  <c r="AO40" i="20"/>
  <c r="AP40" i="20"/>
  <c r="AQ40" i="20"/>
  <c r="AG42" i="20"/>
  <c r="AH42" i="20"/>
  <c r="AI42" i="20"/>
  <c r="AJ42" i="20"/>
  <c r="AK42" i="20"/>
  <c r="AL42" i="20"/>
  <c r="AM42" i="20"/>
  <c r="AN42" i="20"/>
  <c r="AO42" i="20"/>
  <c r="AP42" i="20"/>
  <c r="AQ42" i="20"/>
  <c r="AG43" i="20"/>
  <c r="AH43" i="20"/>
  <c r="AI43" i="20"/>
  <c r="AJ43" i="20"/>
  <c r="AK43" i="20"/>
  <c r="AL43" i="20"/>
  <c r="AM43" i="20"/>
  <c r="AN43" i="20"/>
  <c r="AO43" i="20"/>
  <c r="AP43" i="20"/>
  <c r="AQ43" i="20"/>
  <c r="AG41" i="20"/>
  <c r="AH41" i="20"/>
  <c r="AI41" i="20"/>
  <c r="AJ41" i="20"/>
  <c r="AK41" i="20"/>
  <c r="AL41" i="20"/>
  <c r="AM41" i="20"/>
  <c r="AN41" i="20"/>
  <c r="AO41" i="20"/>
  <c r="AP41" i="20"/>
  <c r="AQ41" i="20"/>
  <c r="AG44" i="20"/>
  <c r="AH44" i="20"/>
  <c r="AI44" i="20"/>
  <c r="AJ44" i="20"/>
  <c r="AK44" i="20"/>
  <c r="AL44" i="20"/>
  <c r="AM44" i="20"/>
  <c r="AN44" i="20"/>
  <c r="AO44" i="20"/>
  <c r="AP44" i="20"/>
  <c r="AQ44" i="20"/>
  <c r="AG45" i="20"/>
  <c r="AH45" i="20"/>
  <c r="AI45" i="20"/>
  <c r="AJ45" i="20"/>
  <c r="AK45" i="20"/>
  <c r="AL45" i="20"/>
  <c r="AM45" i="20"/>
  <c r="AN45" i="20"/>
  <c r="AO45" i="20"/>
  <c r="AP45" i="20"/>
  <c r="AQ45" i="20"/>
  <c r="AG46" i="20"/>
  <c r="AH46" i="20"/>
  <c r="AI46" i="20"/>
  <c r="AJ46" i="20"/>
  <c r="AK46" i="20"/>
  <c r="AL46" i="20"/>
  <c r="AM46" i="20"/>
  <c r="AN46" i="20"/>
  <c r="AO46" i="20"/>
  <c r="AP46" i="20"/>
  <c r="AQ46" i="20"/>
  <c r="AG56" i="20"/>
  <c r="AH56" i="20"/>
  <c r="AI56" i="20"/>
  <c r="AJ56" i="20"/>
  <c r="AK56" i="20"/>
  <c r="AL56" i="20"/>
  <c r="AM56" i="20"/>
  <c r="AN56" i="20"/>
  <c r="AO56" i="20"/>
  <c r="AP56" i="20"/>
  <c r="AQ56" i="20"/>
  <c r="AG60" i="20"/>
  <c r="AH60" i="20"/>
  <c r="AI60" i="20"/>
  <c r="AJ60" i="20"/>
  <c r="AK60" i="20"/>
  <c r="AL60" i="20"/>
  <c r="AM60" i="20"/>
  <c r="AN60" i="20"/>
  <c r="AO60" i="20"/>
  <c r="AP60" i="20"/>
  <c r="AQ60" i="20"/>
  <c r="AG57" i="20"/>
  <c r="AH57" i="20"/>
  <c r="AI57" i="20"/>
  <c r="AJ57" i="20"/>
  <c r="AK57" i="20"/>
  <c r="AL57" i="20"/>
  <c r="AM57" i="20"/>
  <c r="AN57" i="20"/>
  <c r="AO57" i="20"/>
  <c r="AP57" i="20"/>
  <c r="AQ57" i="20"/>
  <c r="AG59" i="20"/>
  <c r="AH59" i="20"/>
  <c r="AI59" i="20"/>
  <c r="AJ59" i="20"/>
  <c r="AK59" i="20"/>
  <c r="AL59" i="20"/>
  <c r="AM59" i="20"/>
  <c r="AN59" i="20"/>
  <c r="AO59" i="20"/>
  <c r="AP59" i="20"/>
  <c r="AQ59" i="20"/>
  <c r="AG48" i="20"/>
  <c r="AH48" i="20"/>
  <c r="AI48" i="20"/>
  <c r="AJ48" i="20"/>
  <c r="AK48" i="20"/>
  <c r="AL48" i="20"/>
  <c r="AM48" i="20"/>
  <c r="AN48" i="20"/>
  <c r="AO48" i="20"/>
  <c r="AP48" i="20"/>
  <c r="AQ48" i="20"/>
  <c r="AG49" i="20"/>
  <c r="AH49" i="20"/>
  <c r="AI49" i="20"/>
  <c r="AJ49" i="20"/>
  <c r="AK49" i="20"/>
  <c r="AL49" i="20"/>
  <c r="AM49" i="20"/>
  <c r="AN49" i="20"/>
  <c r="AO49" i="20"/>
  <c r="AP49" i="20"/>
  <c r="AQ49" i="20"/>
  <c r="AG50" i="20"/>
  <c r="AH50" i="20"/>
  <c r="AI50" i="20"/>
  <c r="AJ50" i="20"/>
  <c r="AK50" i="20"/>
  <c r="AL50" i="20"/>
  <c r="AM50" i="20"/>
  <c r="AN50" i="20"/>
  <c r="AO50" i="20"/>
  <c r="AP50" i="20"/>
  <c r="AQ50" i="20"/>
  <c r="AG51" i="20"/>
  <c r="AH51" i="20"/>
  <c r="AI51" i="20"/>
  <c r="AJ51" i="20"/>
  <c r="AK51" i="20"/>
  <c r="AL51" i="20"/>
  <c r="AM51" i="20"/>
  <c r="AN51" i="20"/>
  <c r="AO51" i="20"/>
  <c r="AP51" i="20"/>
  <c r="AQ51" i="20"/>
  <c r="AG58" i="20"/>
  <c r="AH58" i="20"/>
  <c r="AI58" i="20"/>
  <c r="AJ58" i="20"/>
  <c r="AK58" i="20"/>
  <c r="AL58" i="20"/>
  <c r="AM58" i="20"/>
  <c r="AN58" i="20"/>
  <c r="AO58" i="20"/>
  <c r="AP58" i="20"/>
  <c r="AQ58" i="20"/>
  <c r="AG61" i="20"/>
  <c r="AH61" i="20"/>
  <c r="AI61" i="20"/>
  <c r="AJ61" i="20"/>
  <c r="AK61" i="20"/>
  <c r="AL61" i="20"/>
  <c r="AM61" i="20"/>
  <c r="AN61" i="20"/>
  <c r="AO61" i="20"/>
  <c r="AP61" i="20"/>
  <c r="AQ61" i="20"/>
  <c r="AG47" i="20"/>
  <c r="AH47" i="20"/>
  <c r="AI47" i="20"/>
  <c r="AJ47" i="20"/>
  <c r="AK47" i="20"/>
  <c r="AL47" i="20"/>
  <c r="AM47" i="20"/>
  <c r="AN47" i="20"/>
  <c r="AO47" i="20"/>
  <c r="AP47" i="20"/>
  <c r="AQ47" i="20"/>
  <c r="AG52" i="20"/>
  <c r="AH52" i="20"/>
  <c r="AI52" i="20"/>
  <c r="AJ52" i="20"/>
  <c r="AK52" i="20"/>
  <c r="AL52" i="20"/>
  <c r="AM52" i="20"/>
  <c r="AN52" i="20"/>
  <c r="AO52" i="20"/>
  <c r="AP52" i="20"/>
  <c r="AQ52" i="20"/>
  <c r="AG53" i="20"/>
  <c r="AH53" i="20"/>
  <c r="AI53" i="20"/>
  <c r="AJ53" i="20"/>
  <c r="AK53" i="20"/>
  <c r="AL53" i="20"/>
  <c r="AM53" i="20"/>
  <c r="AN53" i="20"/>
  <c r="AO53" i="20"/>
  <c r="AP53" i="20"/>
  <c r="AQ53" i="20"/>
  <c r="AG54" i="20"/>
  <c r="AH54" i="20"/>
  <c r="AI54" i="20"/>
  <c r="AJ54" i="20"/>
  <c r="AK54" i="20"/>
  <c r="AL54" i="20"/>
  <c r="AM54" i="20"/>
  <c r="AN54" i="20"/>
  <c r="AO54" i="20"/>
  <c r="AP54" i="20"/>
  <c r="AQ54" i="20"/>
  <c r="AG55" i="20"/>
  <c r="AH55" i="20"/>
  <c r="AI55" i="20"/>
  <c r="AJ55" i="20"/>
  <c r="AK55" i="20"/>
  <c r="AL55" i="20"/>
  <c r="AM55" i="20"/>
  <c r="AN55" i="20"/>
  <c r="AO55" i="20"/>
  <c r="AP55" i="20"/>
  <c r="AQ55" i="20"/>
  <c r="AG62" i="20"/>
  <c r="AH62" i="20"/>
  <c r="AI62" i="20"/>
  <c r="AJ62" i="20"/>
  <c r="AK62" i="20"/>
  <c r="AL62" i="20"/>
  <c r="AM62" i="20"/>
  <c r="AN62" i="20"/>
  <c r="AO62" i="20"/>
  <c r="AP62" i="20"/>
  <c r="AQ62" i="20"/>
  <c r="AG63" i="20"/>
  <c r="AH63" i="20"/>
  <c r="AI63" i="20"/>
  <c r="AJ63" i="20"/>
  <c r="AK63" i="20"/>
  <c r="AL63" i="20"/>
  <c r="AM63" i="20"/>
  <c r="AN63" i="20"/>
  <c r="AO63" i="20"/>
  <c r="AP63" i="20"/>
  <c r="AQ63" i="20"/>
  <c r="AG67" i="20"/>
  <c r="AH67" i="20"/>
  <c r="AI67" i="20"/>
  <c r="AJ67" i="20"/>
  <c r="AK67" i="20"/>
  <c r="AL67" i="20"/>
  <c r="AM67" i="20"/>
  <c r="AN67" i="20"/>
  <c r="AO67" i="20"/>
  <c r="AP67" i="20"/>
  <c r="AQ67" i="20"/>
  <c r="AG68" i="20"/>
  <c r="AH68" i="20"/>
  <c r="AI68" i="20"/>
  <c r="AJ68" i="20"/>
  <c r="AK68" i="20"/>
  <c r="AL68" i="20"/>
  <c r="AM68" i="20"/>
  <c r="AN68" i="20"/>
  <c r="AO68" i="20"/>
  <c r="AP68" i="20"/>
  <c r="AQ68" i="20"/>
  <c r="AG65" i="20"/>
  <c r="AH65" i="20"/>
  <c r="AI65" i="20"/>
  <c r="AJ65" i="20"/>
  <c r="AK65" i="20"/>
  <c r="AL65" i="20"/>
  <c r="AM65" i="20"/>
  <c r="AN65" i="20"/>
  <c r="AO65" i="20"/>
  <c r="AP65" i="20"/>
  <c r="AQ65" i="20"/>
  <c r="AG66" i="20"/>
  <c r="AH66" i="20"/>
  <c r="AI66" i="20"/>
  <c r="AJ66" i="20"/>
  <c r="AK66" i="20"/>
  <c r="AL66" i="20"/>
  <c r="AM66" i="20"/>
  <c r="AN66" i="20"/>
  <c r="AO66" i="20"/>
  <c r="AP66" i="20"/>
  <c r="AQ66" i="20"/>
  <c r="AG69" i="20"/>
  <c r="AH69" i="20"/>
  <c r="AI69" i="20"/>
  <c r="AJ69" i="20"/>
  <c r="AK69" i="20"/>
  <c r="AL69" i="20"/>
  <c r="AM69" i="20"/>
  <c r="AN69" i="20"/>
  <c r="AO69" i="20"/>
  <c r="AP69" i="20"/>
  <c r="AQ69" i="20"/>
  <c r="AG71" i="20"/>
  <c r="AH71" i="20"/>
  <c r="AI71" i="20"/>
  <c r="AJ71" i="20"/>
  <c r="AK71" i="20"/>
  <c r="AL71" i="20"/>
  <c r="AM71" i="20"/>
  <c r="AN71" i="20"/>
  <c r="AO71" i="20"/>
  <c r="AP71" i="20"/>
  <c r="AQ71" i="20"/>
  <c r="AG72" i="20"/>
  <c r="AH72" i="20"/>
  <c r="AI72" i="20"/>
  <c r="AJ72" i="20"/>
  <c r="AK72" i="20"/>
  <c r="AL72" i="20"/>
  <c r="AM72" i="20"/>
  <c r="AN72" i="20"/>
  <c r="AO72" i="20"/>
  <c r="AP72" i="20"/>
  <c r="AQ72" i="20"/>
  <c r="AG70" i="20"/>
  <c r="AH70" i="20"/>
  <c r="AI70" i="20"/>
  <c r="AJ70" i="20"/>
  <c r="AK70" i="20"/>
  <c r="AL70" i="20"/>
  <c r="AM70" i="20"/>
  <c r="AN70" i="20"/>
  <c r="AO70" i="20"/>
  <c r="AP70" i="20"/>
  <c r="AQ70" i="20"/>
  <c r="AG73" i="20"/>
  <c r="AH73" i="20"/>
  <c r="AI73" i="20"/>
  <c r="AJ73" i="20"/>
  <c r="AK73" i="20"/>
  <c r="AL73" i="20"/>
  <c r="AM73" i="20"/>
  <c r="AN73" i="20"/>
  <c r="AO73" i="20"/>
  <c r="AP73" i="20"/>
  <c r="AQ73" i="20"/>
  <c r="AG74" i="20"/>
  <c r="AH74" i="20"/>
  <c r="AI74" i="20"/>
  <c r="AJ74" i="20"/>
  <c r="AK74" i="20"/>
  <c r="AL74" i="20"/>
  <c r="AM74" i="20"/>
  <c r="AN74" i="20"/>
  <c r="AO74" i="20"/>
  <c r="AP74" i="20"/>
  <c r="AQ74" i="20"/>
  <c r="AG64" i="20"/>
  <c r="AH64" i="20"/>
  <c r="AI64" i="20"/>
  <c r="AJ64" i="20"/>
  <c r="AK64" i="20"/>
  <c r="AL64" i="20"/>
  <c r="AM64" i="20"/>
  <c r="AN64" i="20"/>
  <c r="AO64" i="20"/>
  <c r="AP64" i="20"/>
  <c r="AQ64" i="20"/>
  <c r="AG75" i="20"/>
  <c r="AH75" i="20"/>
  <c r="AI75" i="20"/>
  <c r="AJ75" i="20"/>
  <c r="AK75" i="20"/>
  <c r="AL75" i="20"/>
  <c r="AM75" i="20"/>
  <c r="AN75" i="20"/>
  <c r="AO75" i="20"/>
  <c r="AP75" i="20"/>
  <c r="AQ75" i="20"/>
  <c r="AG76" i="20"/>
  <c r="AH76" i="20"/>
  <c r="AI76" i="20"/>
  <c r="AJ76" i="20"/>
  <c r="AK76" i="20"/>
  <c r="AL76" i="20"/>
  <c r="AM76" i="20"/>
  <c r="AN76" i="20"/>
  <c r="AO76" i="20"/>
  <c r="AP76" i="20"/>
  <c r="AQ76" i="20"/>
  <c r="AG77" i="20"/>
  <c r="AH77" i="20"/>
  <c r="AI77" i="20"/>
  <c r="AJ77" i="20"/>
  <c r="AK77" i="20"/>
  <c r="AL77" i="20"/>
  <c r="AM77" i="20"/>
  <c r="AN77" i="20"/>
  <c r="AO77" i="20"/>
  <c r="AP77" i="20"/>
  <c r="AQ77" i="20"/>
  <c r="AG78" i="20"/>
  <c r="AH78" i="20"/>
  <c r="AI78" i="20"/>
  <c r="AJ78" i="20"/>
  <c r="AK78" i="20"/>
  <c r="AL78" i="20"/>
  <c r="AM78" i="20"/>
  <c r="AN78" i="20"/>
  <c r="AO78" i="20"/>
  <c r="AP78" i="20"/>
  <c r="AQ78" i="20"/>
  <c r="AG79" i="20"/>
  <c r="AH79" i="20"/>
  <c r="AI79" i="20"/>
  <c r="AJ79" i="20"/>
  <c r="AK79" i="20"/>
  <c r="AL79" i="20"/>
  <c r="AM79" i="20"/>
  <c r="AN79" i="20"/>
  <c r="AO79" i="20"/>
  <c r="AP79" i="20"/>
  <c r="AQ79" i="20"/>
  <c r="AG82" i="20"/>
  <c r="AH82" i="20"/>
  <c r="AI82" i="20"/>
  <c r="AJ82" i="20"/>
  <c r="AK82" i="20"/>
  <c r="AL82" i="20"/>
  <c r="AM82" i="20"/>
  <c r="AN82" i="20"/>
  <c r="AO82" i="20"/>
  <c r="AP82" i="20"/>
  <c r="AQ82" i="20"/>
  <c r="AG80" i="20"/>
  <c r="AH80" i="20"/>
  <c r="AI80" i="20"/>
  <c r="AJ80" i="20"/>
  <c r="AK80" i="20"/>
  <c r="AL80" i="20"/>
  <c r="AM80" i="20"/>
  <c r="AN80" i="20"/>
  <c r="AO80" i="20"/>
  <c r="AP80" i="20"/>
  <c r="AQ80" i="20"/>
  <c r="AG81" i="20"/>
  <c r="AH81" i="20"/>
  <c r="AI81" i="20"/>
  <c r="AJ81" i="20"/>
  <c r="AK81" i="20"/>
  <c r="AL81" i="20"/>
  <c r="AM81" i="20"/>
  <c r="AN81" i="20"/>
  <c r="AO81" i="20"/>
  <c r="AP81" i="20"/>
  <c r="AQ81" i="20"/>
  <c r="AQ5" i="20"/>
  <c r="AP5" i="20"/>
  <c r="AO5" i="20"/>
  <c r="AN5" i="20"/>
  <c r="AM5" i="20"/>
  <c r="AL5" i="20"/>
  <c r="AK5" i="20"/>
  <c r="AJ5" i="20"/>
  <c r="AI5" i="20"/>
  <c r="AH5" i="20"/>
  <c r="AG5" i="20"/>
  <c r="BD28" i="20"/>
  <c r="BE28" i="20"/>
  <c r="BF28" i="20"/>
  <c r="BG28" i="20"/>
  <c r="BH28" i="20"/>
  <c r="BI28" i="20"/>
  <c r="BJ28" i="20"/>
  <c r="BK28" i="20"/>
  <c r="BL28" i="20"/>
  <c r="BM28" i="20"/>
  <c r="BN28" i="20"/>
  <c r="BD29" i="20"/>
  <c r="BE29" i="20"/>
  <c r="BF29" i="20"/>
  <c r="BG29" i="20"/>
  <c r="BH29" i="20"/>
  <c r="BI29" i="20"/>
  <c r="BJ29" i="20"/>
  <c r="BK29" i="20"/>
  <c r="BL29" i="20"/>
  <c r="BM29" i="20"/>
  <c r="BN29" i="20"/>
  <c r="BD30" i="20"/>
  <c r="BE30" i="20"/>
  <c r="BF30" i="20"/>
  <c r="BG30" i="20"/>
  <c r="BH30" i="20"/>
  <c r="BI30" i="20"/>
  <c r="BJ30" i="20"/>
  <c r="BK30" i="20"/>
  <c r="BL30" i="20"/>
  <c r="BM30" i="20"/>
  <c r="BN30" i="20"/>
  <c r="BD31" i="20"/>
  <c r="BE31" i="20"/>
  <c r="BF31" i="20"/>
  <c r="BG31" i="20"/>
  <c r="BH31" i="20"/>
  <c r="BI31" i="20"/>
  <c r="BJ31" i="20"/>
  <c r="BK31" i="20"/>
  <c r="BL31" i="20"/>
  <c r="BM31" i="20"/>
  <c r="BN31" i="20"/>
  <c r="BD32" i="20"/>
  <c r="BE32" i="20"/>
  <c r="BF32" i="20"/>
  <c r="BG32" i="20"/>
  <c r="BH32" i="20"/>
  <c r="BI32" i="20"/>
  <c r="BJ32" i="20"/>
  <c r="BK32" i="20"/>
  <c r="BL32" i="20"/>
  <c r="BM32" i="20"/>
  <c r="BN32" i="20"/>
  <c r="BD33" i="20"/>
  <c r="BE33" i="20"/>
  <c r="BF33" i="20"/>
  <c r="BG33" i="20"/>
  <c r="BH33" i="20"/>
  <c r="BI33" i="20"/>
  <c r="BJ33" i="20"/>
  <c r="BK33" i="20"/>
  <c r="BL33" i="20"/>
  <c r="BM33" i="20"/>
  <c r="BN33" i="20"/>
  <c r="BD34" i="20"/>
  <c r="BE34" i="20"/>
  <c r="BF34" i="20"/>
  <c r="BG34" i="20"/>
  <c r="BH34" i="20"/>
  <c r="BI34" i="20"/>
  <c r="BJ34" i="20"/>
  <c r="BK34" i="20"/>
  <c r="BL34" i="20"/>
  <c r="BM34" i="20"/>
  <c r="BN34" i="20"/>
  <c r="BD35" i="20"/>
  <c r="BE35" i="20"/>
  <c r="BF35" i="20"/>
  <c r="BG35" i="20"/>
  <c r="BH35" i="20"/>
  <c r="BI35" i="20"/>
  <c r="BJ35" i="20"/>
  <c r="BK35" i="20"/>
  <c r="BL35" i="20"/>
  <c r="BM35" i="20"/>
  <c r="BN35" i="20"/>
  <c r="BD36" i="20"/>
  <c r="BE36" i="20"/>
  <c r="BF36" i="20"/>
  <c r="BG36" i="20"/>
  <c r="BH36" i="20"/>
  <c r="BI36" i="20"/>
  <c r="BJ36" i="20"/>
  <c r="BK36" i="20"/>
  <c r="BL36" i="20"/>
  <c r="BM36" i="20"/>
  <c r="BN36" i="20"/>
  <c r="BD37" i="20"/>
  <c r="BE37" i="20"/>
  <c r="BF37" i="20"/>
  <c r="BG37" i="20"/>
  <c r="BH37" i="20"/>
  <c r="BI37" i="20"/>
  <c r="BJ37" i="20"/>
  <c r="BK37" i="20"/>
  <c r="BL37" i="20"/>
  <c r="BM37" i="20"/>
  <c r="BN37" i="20"/>
  <c r="BD38" i="20"/>
  <c r="BE38" i="20"/>
  <c r="BF38" i="20"/>
  <c r="BG38" i="20"/>
  <c r="BH38" i="20"/>
  <c r="BI38" i="20"/>
  <c r="BJ38" i="20"/>
  <c r="BK38" i="20"/>
  <c r="BL38" i="20"/>
  <c r="BM38" i="20"/>
  <c r="BN38" i="20"/>
  <c r="BD39" i="20"/>
  <c r="BE39" i="20"/>
  <c r="BF39" i="20"/>
  <c r="BG39" i="20"/>
  <c r="BH39" i="20"/>
  <c r="BI39" i="20"/>
  <c r="BJ39" i="20"/>
  <c r="BK39" i="20"/>
  <c r="BL39" i="20"/>
  <c r="BM39" i="20"/>
  <c r="BN39" i="20"/>
  <c r="BD40" i="20"/>
  <c r="BE40" i="20"/>
  <c r="BF40" i="20"/>
  <c r="BG40" i="20"/>
  <c r="BH40" i="20"/>
  <c r="BI40" i="20"/>
  <c r="BJ40" i="20"/>
  <c r="BK40" i="20"/>
  <c r="BL40" i="20"/>
  <c r="BM40" i="20"/>
  <c r="BN40" i="20"/>
  <c r="BD41" i="20"/>
  <c r="BE41" i="20"/>
  <c r="BF41" i="20"/>
  <c r="BG41" i="20"/>
  <c r="BH41" i="20"/>
  <c r="BI41" i="20"/>
  <c r="BJ41" i="20"/>
  <c r="BK41" i="20"/>
  <c r="BL41" i="20"/>
  <c r="BM41" i="20"/>
  <c r="BN41" i="20"/>
  <c r="BD42" i="20"/>
  <c r="BE42" i="20"/>
  <c r="BF42" i="20"/>
  <c r="BG42" i="20"/>
  <c r="BH42" i="20"/>
  <c r="BI42" i="20"/>
  <c r="BJ42" i="20"/>
  <c r="BK42" i="20"/>
  <c r="BL42" i="20"/>
  <c r="BM42" i="20"/>
  <c r="BN42" i="20"/>
  <c r="BD43" i="20"/>
  <c r="BE43" i="20"/>
  <c r="BF43" i="20"/>
  <c r="BG43" i="20"/>
  <c r="BH43" i="20"/>
  <c r="BI43" i="20"/>
  <c r="BJ43" i="20"/>
  <c r="BK43" i="20"/>
  <c r="BL43" i="20"/>
  <c r="BM43" i="20"/>
  <c r="BN43" i="20"/>
  <c r="BD44" i="20"/>
  <c r="BE44" i="20"/>
  <c r="BF44" i="20"/>
  <c r="BG44" i="20"/>
  <c r="BH44" i="20"/>
  <c r="BI44" i="20"/>
  <c r="BJ44" i="20"/>
  <c r="BK44" i="20"/>
  <c r="BL44" i="20"/>
  <c r="BM44" i="20"/>
  <c r="BN44" i="20"/>
  <c r="BD45" i="20"/>
  <c r="BE45" i="20"/>
  <c r="BF45" i="20"/>
  <c r="BG45" i="20"/>
  <c r="BH45" i="20"/>
  <c r="BI45" i="20"/>
  <c r="BJ45" i="20"/>
  <c r="BK45" i="20"/>
  <c r="BL45" i="20"/>
  <c r="BM45" i="20"/>
  <c r="BN45" i="20"/>
  <c r="BD46" i="20"/>
  <c r="BE46" i="20"/>
  <c r="BF46" i="20"/>
  <c r="BG46" i="20"/>
  <c r="BH46" i="20"/>
  <c r="BI46" i="20"/>
  <c r="BJ46" i="20"/>
  <c r="BK46" i="20"/>
  <c r="BL46" i="20"/>
  <c r="BM46" i="20"/>
  <c r="BN46" i="20"/>
  <c r="BD47" i="20"/>
  <c r="BE47" i="20"/>
  <c r="BF47" i="20"/>
  <c r="BG47" i="20"/>
  <c r="BH47" i="20"/>
  <c r="BI47" i="20"/>
  <c r="BJ47" i="20"/>
  <c r="BK47" i="20"/>
  <c r="BL47" i="20"/>
  <c r="BM47" i="20"/>
  <c r="BN47" i="20"/>
  <c r="BD48" i="20"/>
  <c r="BE48" i="20"/>
  <c r="BF48" i="20"/>
  <c r="BG48" i="20"/>
  <c r="BH48" i="20"/>
  <c r="BI48" i="20"/>
  <c r="BJ48" i="20"/>
  <c r="BK48" i="20"/>
  <c r="BL48" i="20"/>
  <c r="BM48" i="20"/>
  <c r="BN48" i="20"/>
  <c r="BD49" i="20"/>
  <c r="BE49" i="20"/>
  <c r="BF49" i="20"/>
  <c r="BG49" i="20"/>
  <c r="BH49" i="20"/>
  <c r="BI49" i="20"/>
  <c r="BJ49" i="20"/>
  <c r="BK49" i="20"/>
  <c r="BL49" i="20"/>
  <c r="BM49" i="20"/>
  <c r="BN49" i="20"/>
  <c r="BD50" i="20"/>
  <c r="BE50" i="20"/>
  <c r="BF50" i="20"/>
  <c r="BG50" i="20"/>
  <c r="BH50" i="20"/>
  <c r="BI50" i="20"/>
  <c r="BJ50" i="20"/>
  <c r="BK50" i="20"/>
  <c r="BL50" i="20"/>
  <c r="BM50" i="20"/>
  <c r="BN50" i="20"/>
  <c r="BD51" i="20"/>
  <c r="BE51" i="20"/>
  <c r="BF51" i="20"/>
  <c r="BG51" i="20"/>
  <c r="BH51" i="20"/>
  <c r="BI51" i="20"/>
  <c r="BJ51" i="20"/>
  <c r="BK51" i="20"/>
  <c r="BL51" i="20"/>
  <c r="BM51" i="20"/>
  <c r="BN51" i="20"/>
  <c r="BD52" i="20"/>
  <c r="BE52" i="20"/>
  <c r="BF52" i="20"/>
  <c r="BG52" i="20"/>
  <c r="BH52" i="20"/>
  <c r="BI52" i="20"/>
  <c r="BJ52" i="20"/>
  <c r="BK52" i="20"/>
  <c r="BL52" i="20"/>
  <c r="BM52" i="20"/>
  <c r="BN52" i="20"/>
  <c r="BD53" i="20"/>
  <c r="BE53" i="20"/>
  <c r="BF53" i="20"/>
  <c r="BG53" i="20"/>
  <c r="BH53" i="20"/>
  <c r="BI53" i="20"/>
  <c r="BJ53" i="20"/>
  <c r="BK53" i="20"/>
  <c r="BL53" i="20"/>
  <c r="BM53" i="20"/>
  <c r="BN53" i="20"/>
  <c r="BD54" i="20"/>
  <c r="BE54" i="20"/>
  <c r="BF54" i="20"/>
  <c r="BG54" i="20"/>
  <c r="BH54" i="20"/>
  <c r="BI54" i="20"/>
  <c r="BJ54" i="20"/>
  <c r="BK54" i="20"/>
  <c r="BL54" i="20"/>
  <c r="BM54" i="20"/>
  <c r="BN54" i="20"/>
  <c r="BD55" i="20"/>
  <c r="BE55" i="20"/>
  <c r="BF55" i="20"/>
  <c r="BG55" i="20"/>
  <c r="BH55" i="20"/>
  <c r="BI55" i="20"/>
  <c r="BJ55" i="20"/>
  <c r="BK55" i="20"/>
  <c r="BL55" i="20"/>
  <c r="BM55" i="20"/>
  <c r="BN55" i="20"/>
  <c r="BD56" i="20"/>
  <c r="BE56" i="20"/>
  <c r="BF56" i="20"/>
  <c r="BG56" i="20"/>
  <c r="BH56" i="20"/>
  <c r="BI56" i="20"/>
  <c r="BJ56" i="20"/>
  <c r="BK56" i="20"/>
  <c r="BL56" i="20"/>
  <c r="BM56" i="20"/>
  <c r="BN56" i="20"/>
  <c r="BD57" i="20"/>
  <c r="BE57" i="20"/>
  <c r="BF57" i="20"/>
  <c r="BG57" i="20"/>
  <c r="BH57" i="20"/>
  <c r="BI57" i="20"/>
  <c r="BJ57" i="20"/>
  <c r="BK57" i="20"/>
  <c r="BL57" i="20"/>
  <c r="BM57" i="20"/>
  <c r="BN57" i="20"/>
  <c r="BD58" i="20"/>
  <c r="BE58" i="20"/>
  <c r="BF58" i="20"/>
  <c r="BG58" i="20"/>
  <c r="BH58" i="20"/>
  <c r="BI58" i="20"/>
  <c r="BJ58" i="20"/>
  <c r="BK58" i="20"/>
  <c r="BL58" i="20"/>
  <c r="BM58" i="20"/>
  <c r="BN58" i="20"/>
  <c r="BD59" i="20"/>
  <c r="BE59" i="20"/>
  <c r="BF59" i="20"/>
  <c r="BG59" i="20"/>
  <c r="BH59" i="20"/>
  <c r="BI59" i="20"/>
  <c r="BJ59" i="20"/>
  <c r="BK59" i="20"/>
  <c r="BL59" i="20"/>
  <c r="BM59" i="20"/>
  <c r="BN59" i="20"/>
  <c r="BD60" i="20"/>
  <c r="BE60" i="20"/>
  <c r="BF60" i="20"/>
  <c r="BG60" i="20"/>
  <c r="BH60" i="20"/>
  <c r="BI60" i="20"/>
  <c r="BJ60" i="20"/>
  <c r="BK60" i="20"/>
  <c r="BL60" i="20"/>
  <c r="BM60" i="20"/>
  <c r="BN60" i="20"/>
  <c r="BD61" i="20"/>
  <c r="BE61" i="20"/>
  <c r="BF61" i="20"/>
  <c r="BG61" i="20"/>
  <c r="BH61" i="20"/>
  <c r="BI61" i="20"/>
  <c r="BJ61" i="20"/>
  <c r="BK61" i="20"/>
  <c r="BL61" i="20"/>
  <c r="BM61" i="20"/>
  <c r="BN61" i="20"/>
  <c r="BD62" i="20"/>
  <c r="BE62" i="20"/>
  <c r="BF62" i="20"/>
  <c r="BG62" i="20"/>
  <c r="BH62" i="20"/>
  <c r="BI62" i="20"/>
  <c r="BJ62" i="20"/>
  <c r="BK62" i="20"/>
  <c r="BL62" i="20"/>
  <c r="BM62" i="20"/>
  <c r="BN62" i="20"/>
  <c r="BD63" i="20"/>
  <c r="BE63" i="20"/>
  <c r="BF63" i="20"/>
  <c r="BG63" i="20"/>
  <c r="BH63" i="20"/>
  <c r="BI63" i="20"/>
  <c r="BJ63" i="20"/>
  <c r="BK63" i="20"/>
  <c r="BL63" i="20"/>
  <c r="BM63" i="20"/>
  <c r="BN63" i="20"/>
  <c r="BD64" i="20"/>
  <c r="BE64" i="20"/>
  <c r="BF64" i="20"/>
  <c r="BG64" i="20"/>
  <c r="BH64" i="20"/>
  <c r="BI64" i="20"/>
  <c r="BJ64" i="20"/>
  <c r="BK64" i="20"/>
  <c r="BL64" i="20"/>
  <c r="BM64" i="20"/>
  <c r="BN64" i="20"/>
  <c r="BD65" i="20"/>
  <c r="BE65" i="20"/>
  <c r="BF65" i="20"/>
  <c r="BG65" i="20"/>
  <c r="BH65" i="20"/>
  <c r="BI65" i="20"/>
  <c r="BJ65" i="20"/>
  <c r="BK65" i="20"/>
  <c r="BL65" i="20"/>
  <c r="BM65" i="20"/>
  <c r="BN65" i="20"/>
  <c r="BD66" i="20"/>
  <c r="BE66" i="20"/>
  <c r="BF66" i="20"/>
  <c r="BG66" i="20"/>
  <c r="BH66" i="20"/>
  <c r="BI66" i="20"/>
  <c r="BJ66" i="20"/>
  <c r="BK66" i="20"/>
  <c r="BL66" i="20"/>
  <c r="BM66" i="20"/>
  <c r="BN66" i="20"/>
  <c r="BD67" i="20"/>
  <c r="BE67" i="20"/>
  <c r="BF67" i="20"/>
  <c r="BG67" i="20"/>
  <c r="BH67" i="20"/>
  <c r="BI67" i="20"/>
  <c r="BJ67" i="20"/>
  <c r="BK67" i="20"/>
  <c r="BL67" i="20"/>
  <c r="BM67" i="20"/>
  <c r="BN67" i="20"/>
  <c r="BD68" i="20"/>
  <c r="BE68" i="20"/>
  <c r="BF68" i="20"/>
  <c r="BG68" i="20"/>
  <c r="BH68" i="20"/>
  <c r="BI68" i="20"/>
  <c r="BJ68" i="20"/>
  <c r="BK68" i="20"/>
  <c r="BL68" i="20"/>
  <c r="BM68" i="20"/>
  <c r="BN68" i="20"/>
  <c r="BD69" i="20"/>
  <c r="BE69" i="20"/>
  <c r="BF69" i="20"/>
  <c r="BG69" i="20"/>
  <c r="BH69" i="20"/>
  <c r="BI69" i="20"/>
  <c r="BJ69" i="20"/>
  <c r="BK69" i="20"/>
  <c r="BL69" i="20"/>
  <c r="BM69" i="20"/>
  <c r="BN69" i="20"/>
  <c r="BD70" i="20"/>
  <c r="BE70" i="20"/>
  <c r="BF70" i="20"/>
  <c r="BG70" i="20"/>
  <c r="BH70" i="20"/>
  <c r="BI70" i="20"/>
  <c r="BJ70" i="20"/>
  <c r="BK70" i="20"/>
  <c r="BL70" i="20"/>
  <c r="BM70" i="20"/>
  <c r="BN70" i="20"/>
  <c r="BD71" i="20"/>
  <c r="BE71" i="20"/>
  <c r="BF71" i="20"/>
  <c r="BG71" i="20"/>
  <c r="BH71" i="20"/>
  <c r="BI71" i="20"/>
  <c r="BJ71" i="20"/>
  <c r="BK71" i="20"/>
  <c r="BL71" i="20"/>
  <c r="BM71" i="20"/>
  <c r="BN71" i="20"/>
  <c r="BD72" i="20"/>
  <c r="BE72" i="20"/>
  <c r="BF72" i="20"/>
  <c r="BG72" i="20"/>
  <c r="BH72" i="20"/>
  <c r="BI72" i="20"/>
  <c r="BJ72" i="20"/>
  <c r="BK72" i="20"/>
  <c r="BL72" i="20"/>
  <c r="BM72" i="20"/>
  <c r="BN72" i="20"/>
  <c r="BD73" i="20"/>
  <c r="BE73" i="20"/>
  <c r="BF73" i="20"/>
  <c r="BG73" i="20"/>
  <c r="BH73" i="20"/>
  <c r="BI73" i="20"/>
  <c r="BJ73" i="20"/>
  <c r="BK73" i="20"/>
  <c r="BL73" i="20"/>
  <c r="BM73" i="20"/>
  <c r="BN73" i="20"/>
  <c r="BD74" i="20"/>
  <c r="BE74" i="20"/>
  <c r="BF74" i="20"/>
  <c r="BG74" i="20"/>
  <c r="BH74" i="20"/>
  <c r="BI74" i="20"/>
  <c r="BJ74" i="20"/>
  <c r="BK74" i="20"/>
  <c r="BL74" i="20"/>
  <c r="BM74" i="20"/>
  <c r="BN74" i="20"/>
  <c r="BD75" i="20"/>
  <c r="BE75" i="20"/>
  <c r="BF75" i="20"/>
  <c r="BG75" i="20"/>
  <c r="BH75" i="20"/>
  <c r="BI75" i="20"/>
  <c r="BJ75" i="20"/>
  <c r="BK75" i="20"/>
  <c r="BL75" i="20"/>
  <c r="BM75" i="20"/>
  <c r="BN75" i="20"/>
  <c r="BD76" i="20"/>
  <c r="BE76" i="20"/>
  <c r="BF76" i="20"/>
  <c r="BG76" i="20"/>
  <c r="BH76" i="20"/>
  <c r="BI76" i="20"/>
  <c r="BJ76" i="20"/>
  <c r="BK76" i="20"/>
  <c r="BL76" i="20"/>
  <c r="BM76" i="20"/>
  <c r="BN76" i="20"/>
  <c r="BD77" i="20"/>
  <c r="BE77" i="20"/>
  <c r="BF77" i="20"/>
  <c r="BG77" i="20"/>
  <c r="BH77" i="20"/>
  <c r="BI77" i="20"/>
  <c r="BJ77" i="20"/>
  <c r="BK77" i="20"/>
  <c r="BL77" i="20"/>
  <c r="BM77" i="20"/>
  <c r="BN77" i="20"/>
  <c r="BD78" i="20"/>
  <c r="BE78" i="20"/>
  <c r="BF78" i="20"/>
  <c r="BG78" i="20"/>
  <c r="BH78" i="20"/>
  <c r="BI78" i="20"/>
  <c r="BJ78" i="20"/>
  <c r="BK78" i="20"/>
  <c r="BL78" i="20"/>
  <c r="BM78" i="20"/>
  <c r="BN78" i="20"/>
  <c r="BD79" i="20"/>
  <c r="BE79" i="20"/>
  <c r="BF79" i="20"/>
  <c r="BG79" i="20"/>
  <c r="BH79" i="20"/>
  <c r="BI79" i="20"/>
  <c r="BJ79" i="20"/>
  <c r="BK79" i="20"/>
  <c r="BL79" i="20"/>
  <c r="BM79" i="20"/>
  <c r="BN79" i="20"/>
  <c r="BD80" i="20"/>
  <c r="BE80" i="20"/>
  <c r="BF80" i="20"/>
  <c r="BG80" i="20"/>
  <c r="BH80" i="20"/>
  <c r="BI80" i="20"/>
  <c r="BJ80" i="20"/>
  <c r="BK80" i="20"/>
  <c r="BL80" i="20"/>
  <c r="BM80" i="20"/>
  <c r="BN80" i="20"/>
  <c r="BD81" i="20"/>
  <c r="BE81" i="20"/>
  <c r="BF81" i="20"/>
  <c r="BG81" i="20"/>
  <c r="BH81" i="20"/>
  <c r="BI81" i="20"/>
  <c r="BJ81" i="20"/>
  <c r="BK81" i="20"/>
  <c r="BL81" i="20"/>
  <c r="BM81" i="20"/>
  <c r="BN81" i="20"/>
  <c r="BD82" i="20"/>
  <c r="BE82" i="20"/>
  <c r="BF82" i="20"/>
  <c r="BG82" i="20"/>
  <c r="BH82" i="20"/>
  <c r="BI82" i="20"/>
  <c r="BJ82" i="20"/>
  <c r="BK82" i="20"/>
  <c r="BL82" i="20"/>
  <c r="BM82" i="20"/>
  <c r="BN82" i="20"/>
  <c r="AR51" i="21"/>
  <c r="AR50" i="21"/>
  <c r="AR49" i="21"/>
  <c r="AR48" i="21"/>
  <c r="AR47" i="21"/>
  <c r="AR46" i="21"/>
  <c r="AR45" i="21"/>
  <c r="AR44" i="21"/>
  <c r="AR43" i="21"/>
  <c r="AR42" i="21"/>
  <c r="AR41" i="21"/>
  <c r="AR40" i="21"/>
  <c r="AR39" i="21"/>
  <c r="AR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R7" i="21"/>
  <c r="AR6" i="21"/>
  <c r="AR5" i="21"/>
  <c r="AR4" i="21"/>
  <c r="AR3" i="21"/>
  <c r="AR2" i="21"/>
  <c r="BN27" i="20"/>
  <c r="BM27" i="20"/>
  <c r="BL27" i="20"/>
  <c r="BK27" i="20"/>
  <c r="BJ27" i="20"/>
  <c r="BI27" i="20"/>
  <c r="BH27" i="20"/>
  <c r="BG27" i="20"/>
  <c r="BF27" i="20"/>
  <c r="BE27" i="20"/>
  <c r="BD27" i="20"/>
  <c r="BN26" i="20"/>
  <c r="BM26" i="20"/>
  <c r="BL26" i="20"/>
  <c r="BK26" i="20"/>
  <c r="BJ26" i="20"/>
  <c r="BI26" i="20"/>
  <c r="BH26" i="20"/>
  <c r="BG26" i="20"/>
  <c r="BF26" i="20"/>
  <c r="BE26" i="20"/>
  <c r="BD26" i="20"/>
  <c r="BN25" i="20"/>
  <c r="BM25" i="20"/>
  <c r="BL25" i="20"/>
  <c r="BK25" i="20"/>
  <c r="BJ25" i="20"/>
  <c r="BI25" i="20"/>
  <c r="BH25" i="20"/>
  <c r="BG25" i="20"/>
  <c r="BF25" i="20"/>
  <c r="BE25" i="20"/>
  <c r="BD25" i="20"/>
  <c r="BN24" i="20"/>
  <c r="BM24" i="20"/>
  <c r="BL24" i="20"/>
  <c r="BK24" i="20"/>
  <c r="BJ24" i="20"/>
  <c r="BI24" i="20"/>
  <c r="BH24" i="20"/>
  <c r="BG24" i="20"/>
  <c r="BF24" i="20"/>
  <c r="BE24" i="20"/>
  <c r="BD24" i="20"/>
  <c r="BN23" i="20"/>
  <c r="BM23" i="20"/>
  <c r="BL23" i="20"/>
  <c r="BK23" i="20"/>
  <c r="BJ23" i="20"/>
  <c r="BI23" i="20"/>
  <c r="BH23" i="20"/>
  <c r="BG23" i="20"/>
  <c r="BF23" i="20"/>
  <c r="BE23" i="20"/>
  <c r="BD23" i="20"/>
  <c r="BN22" i="20"/>
  <c r="BM22" i="20"/>
  <c r="BL22" i="20"/>
  <c r="BK22" i="20"/>
  <c r="BJ22" i="20"/>
  <c r="BI22" i="20"/>
  <c r="BH22" i="20"/>
  <c r="BG22" i="20"/>
  <c r="BF22" i="20"/>
  <c r="BE22" i="20"/>
  <c r="BD22" i="20"/>
  <c r="BN21" i="20"/>
  <c r="BM21" i="20"/>
  <c r="BL21" i="20"/>
  <c r="BK21" i="20"/>
  <c r="BJ21" i="20"/>
  <c r="BI21" i="20"/>
  <c r="BH21" i="20"/>
  <c r="BG21" i="20"/>
  <c r="BF21" i="20"/>
  <c r="BE21" i="20"/>
  <c r="BD21" i="20"/>
  <c r="BN20" i="20"/>
  <c r="BM20" i="20"/>
  <c r="BL20" i="20"/>
  <c r="BK20" i="20"/>
  <c r="BJ20" i="20"/>
  <c r="BI20" i="20"/>
  <c r="BH20" i="20"/>
  <c r="BG20" i="20"/>
  <c r="BF20" i="20"/>
  <c r="BE20" i="20"/>
  <c r="BD20" i="20"/>
  <c r="BN19" i="20"/>
  <c r="BM19" i="20"/>
  <c r="BL19" i="20"/>
  <c r="BK19" i="20"/>
  <c r="BJ19" i="20"/>
  <c r="BI19" i="20"/>
  <c r="BH19" i="20"/>
  <c r="BG19" i="20"/>
  <c r="BF19" i="20"/>
  <c r="BE19" i="20"/>
  <c r="BD19" i="20"/>
  <c r="BN18" i="20"/>
  <c r="BM18" i="20"/>
  <c r="BL18" i="20"/>
  <c r="BK18" i="20"/>
  <c r="BJ18" i="20"/>
  <c r="BI18" i="20"/>
  <c r="BH18" i="20"/>
  <c r="BG18" i="20"/>
  <c r="BF18" i="20"/>
  <c r="BE18" i="20"/>
  <c r="BD18" i="20"/>
  <c r="BN17" i="20"/>
  <c r="BM17" i="20"/>
  <c r="BL17" i="20"/>
  <c r="BK17" i="20"/>
  <c r="BJ17" i="20"/>
  <c r="BI17" i="20"/>
  <c r="BH17" i="20"/>
  <c r="BG17" i="20"/>
  <c r="BF17" i="20"/>
  <c r="BE17" i="20"/>
  <c r="BD17" i="20"/>
  <c r="BN16" i="20"/>
  <c r="BM16" i="20"/>
  <c r="BL16" i="20"/>
  <c r="BK16" i="20"/>
  <c r="BJ16" i="20"/>
  <c r="BI16" i="20"/>
  <c r="BH16" i="20"/>
  <c r="BG16" i="20"/>
  <c r="BF16" i="20"/>
  <c r="BE16" i="20"/>
  <c r="BD16" i="20"/>
  <c r="BN15" i="20"/>
  <c r="BM15" i="20"/>
  <c r="BL15" i="20"/>
  <c r="BK15" i="20"/>
  <c r="BJ15" i="20"/>
  <c r="BI15" i="20"/>
  <c r="BH15" i="20"/>
  <c r="BG15" i="20"/>
  <c r="BF15" i="20"/>
  <c r="BE15" i="20"/>
  <c r="BD15" i="20"/>
  <c r="BN14" i="20"/>
  <c r="BM14" i="20"/>
  <c r="BL14" i="20"/>
  <c r="BK14" i="20"/>
  <c r="BJ14" i="20"/>
  <c r="BI14" i="20"/>
  <c r="BH14" i="20"/>
  <c r="BG14" i="20"/>
  <c r="BF14" i="20"/>
  <c r="BE14" i="20"/>
  <c r="BD14" i="20"/>
  <c r="BN13" i="20"/>
  <c r="BM13" i="20"/>
  <c r="BL13" i="20"/>
  <c r="BK13" i="20"/>
  <c r="BJ13" i="20"/>
  <c r="BI13" i="20"/>
  <c r="BH13" i="20"/>
  <c r="BG13" i="20"/>
  <c r="BF13" i="20"/>
  <c r="BE13" i="20"/>
  <c r="BD13" i="20"/>
  <c r="BN12" i="20"/>
  <c r="BM12" i="20"/>
  <c r="BL12" i="20"/>
  <c r="BK12" i="20"/>
  <c r="BJ12" i="20"/>
  <c r="BI12" i="20"/>
  <c r="BH12" i="20"/>
  <c r="BG12" i="20"/>
  <c r="BF12" i="20"/>
  <c r="BE12" i="20"/>
  <c r="BD12" i="20"/>
  <c r="BN11" i="20"/>
  <c r="BM11" i="20"/>
  <c r="BL11" i="20"/>
  <c r="BK11" i="20"/>
  <c r="BJ11" i="20"/>
  <c r="BI11" i="20"/>
  <c r="BH11" i="20"/>
  <c r="BG11" i="20"/>
  <c r="BF11" i="20"/>
  <c r="BE11" i="20"/>
  <c r="BD11" i="20"/>
  <c r="BN10" i="20"/>
  <c r="BM10" i="20"/>
  <c r="BL10" i="20"/>
  <c r="BK10" i="20"/>
  <c r="BJ10" i="20"/>
  <c r="BI10" i="20"/>
  <c r="BH10" i="20"/>
  <c r="BG10" i="20"/>
  <c r="BF10" i="20"/>
  <c r="BE10" i="20"/>
  <c r="BD10" i="20"/>
  <c r="BN9" i="20"/>
  <c r="BM9" i="20"/>
  <c r="BL9" i="20"/>
  <c r="BK9" i="20"/>
  <c r="BJ9" i="20"/>
  <c r="BI9" i="20"/>
  <c r="BH9" i="20"/>
  <c r="BG9" i="20"/>
  <c r="BF9" i="20"/>
  <c r="BE9" i="20"/>
  <c r="BD9" i="20"/>
  <c r="BN8" i="20"/>
  <c r="BM8" i="20"/>
  <c r="BL8" i="20"/>
  <c r="BK8" i="20"/>
  <c r="BJ8" i="20"/>
  <c r="BI8" i="20"/>
  <c r="BH8" i="20"/>
  <c r="BG8" i="20"/>
  <c r="BF8" i="20"/>
  <c r="BE8" i="20"/>
  <c r="BD8" i="20"/>
  <c r="BN7" i="20"/>
  <c r="BM7" i="20"/>
  <c r="BL7" i="20"/>
  <c r="BK7" i="20"/>
  <c r="BJ7" i="20"/>
  <c r="BI7" i="20"/>
  <c r="BH7" i="20"/>
  <c r="BG7" i="20"/>
  <c r="BF7" i="20"/>
  <c r="BE7" i="20"/>
  <c r="BD7" i="20"/>
  <c r="BN6" i="20"/>
  <c r="BM6" i="20"/>
  <c r="BL6" i="20"/>
  <c r="BK6" i="20"/>
  <c r="BJ6" i="20"/>
  <c r="BI6" i="20"/>
  <c r="BH6" i="20"/>
  <c r="BG6" i="20"/>
  <c r="BF6" i="20"/>
  <c r="BE6" i="20"/>
  <c r="BD6" i="20"/>
  <c r="BN5" i="20"/>
  <c r="BM5" i="20"/>
  <c r="BL5" i="20"/>
  <c r="BK5" i="20"/>
  <c r="BJ5" i="20"/>
  <c r="BI5" i="20"/>
  <c r="BH5" i="20"/>
  <c r="BG5" i="20"/>
  <c r="BF5" i="20"/>
  <c r="BE5" i="20"/>
  <c r="BD5" i="20"/>
  <c r="BN4" i="20"/>
  <c r="BN1" i="20" s="1"/>
  <c r="BM4" i="20"/>
  <c r="BM1" i="20" s="1"/>
  <c r="BL4" i="20"/>
  <c r="BL1" i="20" s="1"/>
  <c r="BK4" i="20"/>
  <c r="BK1" i="20" s="1"/>
  <c r="BJ4" i="20"/>
  <c r="BJ1" i="20" s="1"/>
  <c r="BI4" i="20"/>
  <c r="BI1" i="20" s="1"/>
  <c r="BH4" i="20"/>
  <c r="BH1" i="20" s="1"/>
  <c r="BG4" i="20"/>
  <c r="BG1" i="20" s="1"/>
  <c r="BF4" i="20"/>
  <c r="BF1" i="20" s="1"/>
  <c r="BE4" i="20"/>
  <c r="BE1" i="20" s="1"/>
  <c r="AQ1" i="20"/>
  <c r="AP4" i="20"/>
  <c r="AP1" i="20" s="1"/>
  <c r="AO4" i="20"/>
  <c r="AO1" i="20" s="1"/>
  <c r="AN4" i="20"/>
  <c r="AN1" i="20" s="1"/>
  <c r="AM4" i="20"/>
  <c r="AM1" i="20" s="1"/>
  <c r="AL4" i="20"/>
  <c r="AL1" i="20" s="1"/>
  <c r="AK4" i="20"/>
  <c r="AK1" i="20" s="1"/>
  <c r="AJ4" i="20"/>
  <c r="AJ1" i="20" s="1"/>
  <c r="AI4" i="20"/>
  <c r="AI1" i="20" s="1"/>
  <c r="AH4" i="20"/>
  <c r="AH1" i="20" s="1"/>
  <c r="AG4" i="20"/>
  <c r="AG1" i="20" s="1"/>
  <c r="A12" i="18"/>
  <c r="L11" i="19"/>
  <c r="L20" i="19"/>
  <c r="L29" i="19" s="1"/>
  <c r="L38" i="19" s="1"/>
  <c r="K11" i="19"/>
  <c r="K20" i="19"/>
  <c r="K29" i="19"/>
  <c r="K38" i="19"/>
  <c r="J11" i="19"/>
  <c r="J20" i="19"/>
  <c r="J29" i="19"/>
  <c r="J38" i="19"/>
  <c r="I11" i="19"/>
  <c r="I20" i="19"/>
  <c r="I29" i="19"/>
  <c r="I38" i="19"/>
  <c r="H11" i="19"/>
  <c r="H20" i="19"/>
  <c r="H29" i="19"/>
  <c r="H38" i="19"/>
  <c r="G11" i="19"/>
  <c r="G20" i="19"/>
  <c r="G29" i="19"/>
  <c r="G38" i="19"/>
  <c r="L10" i="19"/>
  <c r="L19" i="19" s="1"/>
  <c r="L28" i="19" s="1"/>
  <c r="L37" i="19" s="1"/>
  <c r="K10" i="19"/>
  <c r="K19" i="19"/>
  <c r="K28" i="19"/>
  <c r="K37" i="19"/>
  <c r="J10" i="19"/>
  <c r="J19" i="19"/>
  <c r="J28" i="19"/>
  <c r="J37" i="19"/>
  <c r="I10" i="19"/>
  <c r="I19" i="19"/>
  <c r="I28" i="19"/>
  <c r="I37" i="19"/>
  <c r="H10" i="19"/>
  <c r="H19" i="19"/>
  <c r="H28" i="19"/>
  <c r="H37" i="19"/>
  <c r="G10" i="19"/>
  <c r="G19" i="19"/>
  <c r="G28" i="19"/>
  <c r="G37" i="19"/>
  <c r="B10" i="19"/>
  <c r="B19" i="19"/>
  <c r="B28" i="19"/>
  <c r="B37" i="19"/>
  <c r="C10" i="19"/>
  <c r="C19" i="19"/>
  <c r="C28" i="19"/>
  <c r="C37" i="19"/>
  <c r="D10" i="19"/>
  <c r="D19" i="19"/>
  <c r="D28" i="19"/>
  <c r="D37" i="19"/>
  <c r="E10" i="19"/>
  <c r="E19" i="19"/>
  <c r="E28" i="19"/>
  <c r="E37" i="19"/>
  <c r="F10" i="19"/>
  <c r="F19" i="19"/>
  <c r="F28" i="19"/>
  <c r="F37" i="19"/>
  <c r="B11" i="19"/>
  <c r="B20" i="19"/>
  <c r="B29" i="19"/>
  <c r="B38" i="19"/>
  <c r="C11" i="19"/>
  <c r="C20" i="19"/>
  <c r="C29" i="19"/>
  <c r="C38" i="19"/>
  <c r="D11" i="19"/>
  <c r="D20" i="19"/>
  <c r="D29" i="19"/>
  <c r="D38" i="19"/>
  <c r="E11" i="19"/>
  <c r="E20" i="19"/>
  <c r="E29" i="19"/>
  <c r="E38" i="19"/>
  <c r="F11" i="19"/>
  <c r="F20" i="19"/>
  <c r="F29" i="19"/>
  <c r="F38" i="19"/>
  <c r="B44" i="19"/>
  <c r="B35" i="19"/>
  <c r="B8" i="19"/>
  <c r="B17" i="19"/>
  <c r="B26" i="19"/>
  <c r="Q12" i="18"/>
  <c r="S13" i="18"/>
  <c r="M12" i="18"/>
  <c r="O13" i="18"/>
  <c r="I12" i="18"/>
  <c r="J13" i="18"/>
  <c r="E12" i="18"/>
  <c r="G13" i="18"/>
  <c r="I19" i="18"/>
  <c r="E19" i="18"/>
  <c r="A19" i="18"/>
  <c r="C13" i="18"/>
  <c r="B13" i="18"/>
  <c r="F13" i="18"/>
  <c r="K13" i="18"/>
  <c r="M19" i="18"/>
  <c r="N13" i="18"/>
  <c r="Q19" i="18"/>
  <c r="R13" i="18"/>
  <c r="CS8" i="6"/>
  <c r="CS9" i="6"/>
  <c r="AU34" i="14"/>
  <c r="AU33" i="14"/>
  <c r="AU32" i="14"/>
  <c r="AU31" i="14"/>
  <c r="AH38" i="14"/>
  <c r="AT38" i="14" s="1"/>
  <c r="AU38" i="14" s="1"/>
  <c r="AH37" i="14"/>
  <c r="AF37" i="14"/>
  <c r="AI37" i="14" s="1"/>
  <c r="AH36" i="14"/>
  <c r="AF36" i="14"/>
  <c r="AI36" i="14" s="1"/>
  <c r="AT36" i="14" s="1"/>
  <c r="AU36" i="14" s="1"/>
  <c r="AH35" i="14"/>
  <c r="AF35" i="14"/>
  <c r="AI35" i="14" s="1"/>
  <c r="AK30" i="14"/>
  <c r="AJ30" i="14"/>
  <c r="AH30" i="14"/>
  <c r="AF30" i="14"/>
  <c r="AK29" i="14"/>
  <c r="AJ29" i="14"/>
  <c r="AH29" i="14"/>
  <c r="AF29" i="14"/>
  <c r="AS29" i="14" s="1"/>
  <c r="AK28" i="14"/>
  <c r="AJ28" i="14"/>
  <c r="AH28" i="14"/>
  <c r="AF28" i="14"/>
  <c r="AK27" i="14"/>
  <c r="AJ27" i="14"/>
  <c r="AH27" i="14"/>
  <c r="AF27" i="14"/>
  <c r="AK26" i="14"/>
  <c r="AJ26" i="14"/>
  <c r="AH26" i="14"/>
  <c r="AF26" i="14"/>
  <c r="AK25" i="14"/>
  <c r="AJ25" i="14"/>
  <c r="AH25" i="14"/>
  <c r="AF25" i="14"/>
  <c r="AK24" i="14"/>
  <c r="AJ24" i="14"/>
  <c r="AH24" i="14"/>
  <c r="AT24" i="14" s="1"/>
  <c r="AU24" i="14" s="1"/>
  <c r="AF24" i="14"/>
  <c r="AK23" i="14"/>
  <c r="AJ23" i="14"/>
  <c r="AH23" i="14"/>
  <c r="AF23" i="14"/>
  <c r="AK22" i="14"/>
  <c r="AJ22" i="14"/>
  <c r="AH22" i="14"/>
  <c r="AF22" i="14"/>
  <c r="AK21" i="14"/>
  <c r="AJ21" i="14"/>
  <c r="AH21" i="14"/>
  <c r="AT21" i="14" s="1"/>
  <c r="AU21" i="14" s="1"/>
  <c r="AF21" i="14"/>
  <c r="AK20" i="14"/>
  <c r="AJ20" i="14"/>
  <c r="AH20" i="14"/>
  <c r="AF20" i="14"/>
  <c r="AT20" i="14" s="1"/>
  <c r="AU20" i="14" s="1"/>
  <c r="AK19" i="14"/>
  <c r="AJ19" i="14"/>
  <c r="AH19" i="14"/>
  <c r="AF19" i="14"/>
  <c r="AK18" i="14"/>
  <c r="AJ18" i="14"/>
  <c r="AH18" i="14"/>
  <c r="AT18" i="14" s="1"/>
  <c r="AU18" i="14" s="1"/>
  <c r="AF18" i="14"/>
  <c r="AK17" i="14"/>
  <c r="AJ17" i="14"/>
  <c r="AH17" i="14"/>
  <c r="AF17" i="14"/>
  <c r="AK16" i="14"/>
  <c r="AJ16" i="14"/>
  <c r="AH16" i="14"/>
  <c r="AF16" i="14"/>
  <c r="AK15" i="14"/>
  <c r="AJ15" i="14"/>
  <c r="AH15" i="14"/>
  <c r="AF15" i="14"/>
  <c r="AK14" i="14"/>
  <c r="AJ14" i="14"/>
  <c r="AH14" i="14"/>
  <c r="AF14" i="14"/>
  <c r="AK13" i="14"/>
  <c r="AJ13" i="14"/>
  <c r="AH13" i="14"/>
  <c r="AF13" i="14"/>
  <c r="AK12" i="14"/>
  <c r="AJ12" i="14"/>
  <c r="AH12" i="14"/>
  <c r="AF12" i="14"/>
  <c r="AK11" i="14"/>
  <c r="AJ11" i="14"/>
  <c r="AH11" i="14"/>
  <c r="AF11" i="14"/>
  <c r="AT11" i="14" s="1"/>
  <c r="AU11" i="14" s="1"/>
  <c r="AK10" i="14"/>
  <c r="AJ10" i="14"/>
  <c r="AH10" i="14"/>
  <c r="AF10" i="14"/>
  <c r="AK9" i="14"/>
  <c r="AJ9" i="14"/>
  <c r="AH9" i="14"/>
  <c r="AF9" i="14"/>
  <c r="AK8" i="14"/>
  <c r="AJ8" i="14"/>
  <c r="AH8" i="14"/>
  <c r="AF8" i="14"/>
  <c r="AT8" i="14" s="1"/>
  <c r="AU8" i="14" s="1"/>
  <c r="AK7" i="14"/>
  <c r="AJ7" i="14"/>
  <c r="AT7" i="14" s="1"/>
  <c r="AU7" i="14" s="1"/>
  <c r="AH7" i="14"/>
  <c r="AF7" i="14"/>
  <c r="AK6" i="14"/>
  <c r="AJ6" i="14"/>
  <c r="AH6" i="14"/>
  <c r="AF6" i="14"/>
  <c r="AK5" i="14"/>
  <c r="AJ5" i="14"/>
  <c r="AH5" i="14"/>
  <c r="AF5" i="14"/>
  <c r="AT5" i="14" s="1"/>
  <c r="AU5" i="14" s="1"/>
  <c r="AK4" i="14"/>
  <c r="AJ4" i="14"/>
  <c r="AH4" i="14"/>
  <c r="AF4" i="14"/>
  <c r="AK3" i="14"/>
  <c r="AJ3" i="14"/>
  <c r="AH3" i="14"/>
  <c r="AF3" i="14"/>
  <c r="AT15" i="14"/>
  <c r="AU15" i="14" s="1"/>
  <c r="AT27" i="14"/>
  <c r="AU27" i="14" s="1"/>
  <c r="AS28" i="14"/>
  <c r="AS30" i="14"/>
  <c r="AT30" i="14" s="1"/>
  <c r="AU30" i="14" s="1"/>
  <c r="R10" i="18"/>
  <c r="C40" i="19" s="1"/>
  <c r="C41" i="19"/>
  <c r="R14" i="18"/>
  <c r="Q10" i="18"/>
  <c r="S4" i="18"/>
  <c r="R4" i="18"/>
  <c r="AA41" i="14"/>
  <c r="N10" i="18"/>
  <c r="C32" i="19"/>
  <c r="M10" i="18"/>
  <c r="O4" i="18"/>
  <c r="N4" i="18"/>
  <c r="J10" i="18"/>
  <c r="I10" i="18"/>
  <c r="K4" i="18"/>
  <c r="J4" i="18"/>
  <c r="F10" i="18"/>
  <c r="E10" i="18"/>
  <c r="G4" i="18"/>
  <c r="F4" i="18"/>
  <c r="B10" i="18"/>
  <c r="A10" i="18"/>
  <c r="C4" i="18"/>
  <c r="B4" i="18"/>
  <c r="N9" i="18"/>
  <c r="N14" i="18"/>
  <c r="F9" i="18"/>
  <c r="F14" i="18"/>
  <c r="J9" i="18"/>
  <c r="C22" i="19"/>
  <c r="C23" i="19"/>
  <c r="J14" i="18"/>
  <c r="B9" i="18"/>
  <c r="C5" i="19"/>
  <c r="B14" i="18"/>
  <c r="AC41" i="14"/>
  <c r="C41" i="14"/>
  <c r="B41" i="14"/>
  <c r="B38" i="14"/>
  <c r="AA38" i="14" s="1"/>
  <c r="B37" i="14"/>
  <c r="B36" i="14"/>
  <c r="B35" i="14"/>
  <c r="X34" i="14"/>
  <c r="Y34" i="14" s="1"/>
  <c r="B34" i="14"/>
  <c r="X33" i="14"/>
  <c r="B33" i="14"/>
  <c r="X32" i="14"/>
  <c r="Y32" i="14" s="1"/>
  <c r="B32" i="14"/>
  <c r="X31" i="14"/>
  <c r="Y31" i="14" s="1"/>
  <c r="B31" i="14"/>
  <c r="Y30" i="14"/>
  <c r="F30" i="14"/>
  <c r="C30" i="14"/>
  <c r="N30" i="14" s="1"/>
  <c r="B30" i="14"/>
  <c r="Y29" i="14"/>
  <c r="F29" i="14"/>
  <c r="C29" i="14"/>
  <c r="B29" i="14"/>
  <c r="Y28" i="14"/>
  <c r="F28" i="14"/>
  <c r="C28" i="14"/>
  <c r="N28" i="14" s="1"/>
  <c r="B28" i="14"/>
  <c r="Y27" i="14"/>
  <c r="F27" i="14"/>
  <c r="C27" i="14"/>
  <c r="B27" i="14"/>
  <c r="F26" i="14"/>
  <c r="C26" i="14"/>
  <c r="B26" i="14"/>
  <c r="F25" i="14"/>
  <c r="C25" i="14"/>
  <c r="I25" i="14" s="1"/>
  <c r="B25" i="14"/>
  <c r="F24" i="14"/>
  <c r="C24" i="14"/>
  <c r="B24" i="14"/>
  <c r="F23" i="14"/>
  <c r="C23" i="14"/>
  <c r="N23" i="14" s="1"/>
  <c r="B23" i="14"/>
  <c r="F22" i="14"/>
  <c r="C22" i="14"/>
  <c r="N22" i="14" s="1"/>
  <c r="B22" i="14"/>
  <c r="F21" i="14"/>
  <c r="C21" i="14"/>
  <c r="N21" i="14" s="1"/>
  <c r="B21" i="14"/>
  <c r="N20" i="14"/>
  <c r="I20" i="14"/>
  <c r="F20" i="14"/>
  <c r="G20" i="14" s="1"/>
  <c r="B20" i="14"/>
  <c r="F19" i="14"/>
  <c r="C19" i="14"/>
  <c r="B19" i="14"/>
  <c r="F18" i="14"/>
  <c r="C18" i="14"/>
  <c r="N18" i="14" s="1"/>
  <c r="B18" i="14"/>
  <c r="F17" i="14"/>
  <c r="C17" i="14"/>
  <c r="N17" i="14" s="1"/>
  <c r="B17" i="14"/>
  <c r="F16" i="14"/>
  <c r="C16" i="14"/>
  <c r="B16" i="14"/>
  <c r="F15" i="14"/>
  <c r="C15" i="14"/>
  <c r="I15" i="14" s="1"/>
  <c r="B15" i="14"/>
  <c r="T14" i="14"/>
  <c r="F14" i="14"/>
  <c r="C14" i="14"/>
  <c r="I14" i="14" s="1"/>
  <c r="B14" i="14"/>
  <c r="T13" i="14"/>
  <c r="F13" i="14"/>
  <c r="C13" i="14"/>
  <c r="N13" i="14" s="1"/>
  <c r="B13" i="14"/>
  <c r="F12" i="14"/>
  <c r="C12" i="14"/>
  <c r="N12" i="14" s="1"/>
  <c r="B12" i="14"/>
  <c r="F11" i="14"/>
  <c r="C11" i="14"/>
  <c r="I11" i="14" s="1"/>
  <c r="B11" i="14"/>
  <c r="F10" i="14"/>
  <c r="C10" i="14"/>
  <c r="N10" i="14" s="1"/>
  <c r="B10" i="14"/>
  <c r="F9" i="14"/>
  <c r="C9" i="14"/>
  <c r="I9" i="14" s="1"/>
  <c r="B9" i="14"/>
  <c r="F8" i="14"/>
  <c r="C8" i="14"/>
  <c r="N8" i="14" s="1"/>
  <c r="B8" i="14"/>
  <c r="F7" i="14"/>
  <c r="C7" i="14"/>
  <c r="I7" i="14" s="1"/>
  <c r="B7" i="14"/>
  <c r="F6" i="14"/>
  <c r="C6" i="14"/>
  <c r="N6" i="14" s="1"/>
  <c r="B6" i="14"/>
  <c r="F5" i="14"/>
  <c r="C5" i="14"/>
  <c r="N5" i="14" s="1"/>
  <c r="B5" i="14"/>
  <c r="F4" i="14"/>
  <c r="C4" i="14"/>
  <c r="F3" i="14"/>
  <c r="C3" i="14"/>
  <c r="N3" i="14" s="1"/>
  <c r="I41" i="12"/>
  <c r="G41" i="12"/>
  <c r="I38" i="12"/>
  <c r="U38" i="12"/>
  <c r="I37" i="12"/>
  <c r="G37" i="12"/>
  <c r="J37" i="12" s="1"/>
  <c r="I36" i="12"/>
  <c r="G36" i="12"/>
  <c r="J36" i="12" s="1"/>
  <c r="I35" i="12"/>
  <c r="G35" i="12"/>
  <c r="J35" i="12" s="1"/>
  <c r="AJ33" i="12"/>
  <c r="X33" i="12"/>
  <c r="AJ32" i="12"/>
  <c r="X32" i="12"/>
  <c r="AJ31" i="12"/>
  <c r="X31" i="12"/>
  <c r="AG30" i="12"/>
  <c r="AE30" i="12"/>
  <c r="AA30" i="12"/>
  <c r="Z30" i="12"/>
  <c r="Y30" i="12"/>
  <c r="X30" i="12"/>
  <c r="L30" i="12"/>
  <c r="K30" i="12"/>
  <c r="I30" i="12"/>
  <c r="G30" i="12"/>
  <c r="T30" i="12" s="1"/>
  <c r="AG29" i="12"/>
  <c r="AE29" i="12"/>
  <c r="AA29" i="12"/>
  <c r="Z29" i="12"/>
  <c r="Y29" i="12"/>
  <c r="AD29" i="12" s="1"/>
  <c r="X29" i="12"/>
  <c r="L29" i="12"/>
  <c r="K29" i="12"/>
  <c r="I29" i="12"/>
  <c r="G29" i="12"/>
  <c r="T29" i="12" s="1"/>
  <c r="AG28" i="12"/>
  <c r="AE28" i="12"/>
  <c r="AA28" i="12"/>
  <c r="Z28" i="12"/>
  <c r="Y28" i="12"/>
  <c r="AB28" i="12" s="1"/>
  <c r="AI28" i="12" s="1"/>
  <c r="X28" i="12"/>
  <c r="L28" i="12"/>
  <c r="K28" i="12"/>
  <c r="I28" i="12"/>
  <c r="G28" i="12"/>
  <c r="AG27" i="12"/>
  <c r="AE27" i="12"/>
  <c r="AA27" i="12"/>
  <c r="Z27" i="12"/>
  <c r="Y27" i="12"/>
  <c r="AD27" i="12" s="1"/>
  <c r="X27" i="12"/>
  <c r="L27" i="12"/>
  <c r="K27" i="12"/>
  <c r="I27" i="12"/>
  <c r="G27" i="12"/>
  <c r="AG26" i="12"/>
  <c r="AE26" i="12"/>
  <c r="AA26" i="12"/>
  <c r="Z26" i="12"/>
  <c r="Y26" i="12"/>
  <c r="X26" i="12"/>
  <c r="L26" i="12"/>
  <c r="K26" i="12"/>
  <c r="I26" i="12"/>
  <c r="G26" i="12"/>
  <c r="AG25" i="12"/>
  <c r="AE25" i="12"/>
  <c r="AA25" i="12"/>
  <c r="Z25" i="12"/>
  <c r="Y25" i="12"/>
  <c r="X25" i="12"/>
  <c r="L25" i="12"/>
  <c r="K25" i="12"/>
  <c r="I25" i="12"/>
  <c r="G25" i="12"/>
  <c r="AG24" i="12"/>
  <c r="AE24" i="12"/>
  <c r="AA24" i="12"/>
  <c r="Z24" i="12"/>
  <c r="Y24" i="12"/>
  <c r="X24" i="12"/>
  <c r="L24" i="12"/>
  <c r="K24" i="12"/>
  <c r="I24" i="12"/>
  <c r="G24" i="12"/>
  <c r="AG23" i="12"/>
  <c r="AE23" i="12"/>
  <c r="AA23" i="12"/>
  <c r="Z23" i="12"/>
  <c r="Y23" i="12"/>
  <c r="AD23" i="12" s="1"/>
  <c r="X23" i="12"/>
  <c r="L23" i="12"/>
  <c r="K23" i="12"/>
  <c r="I23" i="12"/>
  <c r="G23" i="12"/>
  <c r="AG22" i="12"/>
  <c r="AE22" i="12"/>
  <c r="AA22" i="12"/>
  <c r="Z22" i="12"/>
  <c r="Y22" i="12"/>
  <c r="AD22" i="12" s="1"/>
  <c r="X22" i="12"/>
  <c r="L22" i="12"/>
  <c r="K22" i="12"/>
  <c r="I22" i="12"/>
  <c r="G22" i="12"/>
  <c r="AG21" i="12"/>
  <c r="AE21" i="12"/>
  <c r="AA21" i="12"/>
  <c r="Z21" i="12"/>
  <c r="Y21" i="12"/>
  <c r="X21" i="12"/>
  <c r="L21" i="12"/>
  <c r="K21" i="12"/>
  <c r="I21" i="12"/>
  <c r="G21" i="12"/>
  <c r="AG20" i="12"/>
  <c r="AE20" i="12"/>
  <c r="AA20" i="12"/>
  <c r="Z20" i="12"/>
  <c r="Y20" i="12"/>
  <c r="X20" i="12"/>
  <c r="L20" i="12"/>
  <c r="K20" i="12"/>
  <c r="I20" i="12"/>
  <c r="G20" i="12"/>
  <c r="AG19" i="12"/>
  <c r="AE19" i="12"/>
  <c r="AA19" i="12"/>
  <c r="Z19" i="12"/>
  <c r="Y19" i="12"/>
  <c r="X19" i="12"/>
  <c r="L19" i="12"/>
  <c r="K19" i="12"/>
  <c r="I19" i="12"/>
  <c r="G19" i="12"/>
  <c r="AG18" i="12"/>
  <c r="AE18" i="12"/>
  <c r="AA18" i="12"/>
  <c r="Z18" i="12"/>
  <c r="Y18" i="12"/>
  <c r="AD18" i="12" s="1"/>
  <c r="X18" i="12"/>
  <c r="L18" i="12"/>
  <c r="K18" i="12"/>
  <c r="I18" i="12"/>
  <c r="G18" i="12"/>
  <c r="AG17" i="12"/>
  <c r="AE17" i="12"/>
  <c r="AA17" i="12"/>
  <c r="Z17" i="12"/>
  <c r="Y17" i="12"/>
  <c r="AD17" i="12" s="1"/>
  <c r="X17" i="12"/>
  <c r="L17" i="12"/>
  <c r="K17" i="12"/>
  <c r="I17" i="12"/>
  <c r="G17" i="12"/>
  <c r="U17" i="12" s="1"/>
  <c r="X17" i="14" s="1"/>
  <c r="Y17" i="14" s="1"/>
  <c r="AG16" i="12"/>
  <c r="AE16" i="12"/>
  <c r="AA16" i="12"/>
  <c r="Z16" i="12"/>
  <c r="Y16" i="12"/>
  <c r="AD16" i="12" s="1"/>
  <c r="X16" i="12"/>
  <c r="L16" i="12"/>
  <c r="K16" i="12"/>
  <c r="I16" i="12"/>
  <c r="G16" i="12"/>
  <c r="U16" i="12" s="1"/>
  <c r="X16" i="14" s="1"/>
  <c r="Y16" i="14" s="1"/>
  <c r="AG15" i="12"/>
  <c r="AE15" i="12"/>
  <c r="AA15" i="12"/>
  <c r="Z15" i="12"/>
  <c r="Y15" i="12"/>
  <c r="X15" i="12"/>
  <c r="L15" i="12"/>
  <c r="K15" i="12"/>
  <c r="I15" i="12"/>
  <c r="G15" i="12"/>
  <c r="AG14" i="12"/>
  <c r="AE14" i="12"/>
  <c r="AA14" i="12"/>
  <c r="AB14" i="12" s="1"/>
  <c r="Z14" i="12"/>
  <c r="Y14" i="12"/>
  <c r="X14" i="12"/>
  <c r="L14" i="12"/>
  <c r="K14" i="12"/>
  <c r="I14" i="12"/>
  <c r="G14" i="12"/>
  <c r="AG13" i="12"/>
  <c r="AE13" i="12"/>
  <c r="AA13" i="12"/>
  <c r="Z13" i="12"/>
  <c r="Y13" i="12"/>
  <c r="AB13" i="12" s="1"/>
  <c r="X13" i="12"/>
  <c r="L13" i="12"/>
  <c r="K13" i="12"/>
  <c r="I13" i="12"/>
  <c r="G13" i="12"/>
  <c r="AG12" i="12"/>
  <c r="AE12" i="12"/>
  <c r="AA12" i="12"/>
  <c r="Z12" i="12"/>
  <c r="Y12" i="12"/>
  <c r="AD12" i="12" s="1"/>
  <c r="X12" i="12"/>
  <c r="L12" i="12"/>
  <c r="K12" i="12"/>
  <c r="I12" i="12"/>
  <c r="G12" i="12"/>
  <c r="AE11" i="12"/>
  <c r="AA11" i="12"/>
  <c r="Z11" i="12"/>
  <c r="Y11" i="12"/>
  <c r="AD11" i="12" s="1"/>
  <c r="X11" i="12"/>
  <c r="L11" i="12"/>
  <c r="K11" i="12"/>
  <c r="I11" i="12"/>
  <c r="G11" i="12"/>
  <c r="U11" i="12" s="1"/>
  <c r="X11" i="14" s="1"/>
  <c r="Y11" i="14" s="1"/>
  <c r="AE10" i="12"/>
  <c r="AA10" i="12"/>
  <c r="Z10" i="12"/>
  <c r="Y10" i="12"/>
  <c r="AD10" i="12" s="1"/>
  <c r="X10" i="12"/>
  <c r="L10" i="12"/>
  <c r="K10" i="12"/>
  <c r="I10" i="12"/>
  <c r="G10" i="12"/>
  <c r="AE9" i="12"/>
  <c r="AA9" i="12"/>
  <c r="Z9" i="12"/>
  <c r="Y9" i="12"/>
  <c r="AD9" i="12" s="1"/>
  <c r="X9" i="12"/>
  <c r="L9" i="12"/>
  <c r="K9" i="12"/>
  <c r="I9" i="12"/>
  <c r="G9" i="12"/>
  <c r="AE8" i="12"/>
  <c r="AA8" i="12"/>
  <c r="Z8" i="12"/>
  <c r="Y8" i="12"/>
  <c r="AD8" i="12" s="1"/>
  <c r="X8" i="12"/>
  <c r="L8" i="12"/>
  <c r="K8" i="12"/>
  <c r="I8" i="12"/>
  <c r="G8" i="12"/>
  <c r="AE7" i="12"/>
  <c r="AA7" i="12"/>
  <c r="Z7" i="12"/>
  <c r="Y7" i="12"/>
  <c r="AD7" i="12" s="1"/>
  <c r="X7" i="12"/>
  <c r="L7" i="12"/>
  <c r="K7" i="12"/>
  <c r="I7" i="12"/>
  <c r="G7" i="12"/>
  <c r="AE6" i="12"/>
  <c r="AA6" i="12"/>
  <c r="Z6" i="12"/>
  <c r="Y6" i="12"/>
  <c r="AD6" i="12" s="1"/>
  <c r="X6" i="12"/>
  <c r="L6" i="12"/>
  <c r="K6" i="12"/>
  <c r="I6" i="12"/>
  <c r="G6" i="12"/>
  <c r="AE5" i="12"/>
  <c r="AA5" i="12"/>
  <c r="Z5" i="12"/>
  <c r="AB5" i="12" s="1"/>
  <c r="Y5" i="12"/>
  <c r="X5" i="12"/>
  <c r="L5" i="12"/>
  <c r="K5" i="12"/>
  <c r="I5" i="12"/>
  <c r="G5" i="12"/>
  <c r="AE4" i="12"/>
  <c r="AA4" i="12"/>
  <c r="Z4" i="12"/>
  <c r="Y4" i="12"/>
  <c r="AD4" i="12" s="1"/>
  <c r="X4" i="12"/>
  <c r="L4" i="12"/>
  <c r="U4" i="12" s="1"/>
  <c r="X4" i="14" s="1"/>
  <c r="Y4" i="14" s="1"/>
  <c r="K4" i="12"/>
  <c r="I4" i="12"/>
  <c r="G4" i="12"/>
  <c r="AE3" i="12"/>
  <c r="AA3" i="12"/>
  <c r="Z3" i="12"/>
  <c r="Y3" i="12"/>
  <c r="AD3" i="12" s="1"/>
  <c r="X3" i="12"/>
  <c r="L3" i="12"/>
  <c r="K3" i="12"/>
  <c r="I3" i="12"/>
  <c r="G3" i="12"/>
  <c r="BY8" i="6"/>
  <c r="BZ2" i="6"/>
  <c r="BY2" i="6"/>
  <c r="J41" i="12"/>
  <c r="T41" i="12"/>
  <c r="C7" i="18" s="1"/>
  <c r="C10" i="18" s="1"/>
  <c r="C14" i="18" s="1"/>
  <c r="AB21" i="12"/>
  <c r="AD24" i="12"/>
  <c r="AD21" i="12"/>
  <c r="AB27" i="12"/>
  <c r="U25" i="12"/>
  <c r="X25" i="14" s="1"/>
  <c r="Y25" i="14" s="1"/>
  <c r="AD15" i="12"/>
  <c r="I16" i="14"/>
  <c r="N16" i="14"/>
  <c r="AD26" i="12"/>
  <c r="AD20" i="12"/>
  <c r="AD19" i="12"/>
  <c r="AB19" i="12"/>
  <c r="X38" i="14"/>
  <c r="Y38" i="14" s="1"/>
  <c r="AD14" i="12"/>
  <c r="T28" i="12"/>
  <c r="AD5" i="12"/>
  <c r="AD30" i="12"/>
  <c r="I28" i="14"/>
  <c r="I30" i="14"/>
  <c r="CS21" i="6"/>
  <c r="CS5" i="6"/>
  <c r="CS22" i="6"/>
  <c r="CQ9" i="6"/>
  <c r="CQ8" i="6"/>
  <c r="CS14" i="6"/>
  <c r="CS57" i="6" s="1"/>
  <c r="CS2" i="6"/>
  <c r="CQ2" i="6"/>
  <c r="CP9" i="6"/>
  <c r="CP8" i="6"/>
  <c r="CP2" i="6"/>
  <c r="CO9" i="6"/>
  <c r="CO8" i="6"/>
  <c r="CO2" i="6"/>
  <c r="CN9" i="6"/>
  <c r="CN8" i="6"/>
  <c r="CN10" i="6" s="1"/>
  <c r="CO11" i="6" s="1"/>
  <c r="CO12" i="6" s="1"/>
  <c r="CN2" i="6"/>
  <c r="CM9" i="6"/>
  <c r="CM8" i="6"/>
  <c r="CM2" i="6"/>
  <c r="CL9" i="6"/>
  <c r="CL8" i="6"/>
  <c r="CL10" i="6" s="1"/>
  <c r="CM11" i="6" s="1"/>
  <c r="CM12" i="6" s="1"/>
  <c r="CL2" i="6"/>
  <c r="CK9" i="6"/>
  <c r="CK8" i="6"/>
  <c r="CK2" i="6"/>
  <c r="CJ9" i="6"/>
  <c r="CJ8" i="6"/>
  <c r="CJ2" i="6"/>
  <c r="CI9" i="6"/>
  <c r="CI8" i="6"/>
  <c r="CI2" i="6"/>
  <c r="CH12" i="6"/>
  <c r="CH13" i="6" s="1"/>
  <c r="CH9" i="6"/>
  <c r="CH10" i="6" s="1"/>
  <c r="CH8" i="6"/>
  <c r="CH2" i="6"/>
  <c r="CG12" i="6"/>
  <c r="CG13" i="6" s="1"/>
  <c r="CG9" i="6"/>
  <c r="CG8" i="6"/>
  <c r="CG2" i="6"/>
  <c r="CF12" i="6"/>
  <c r="CF13" i="6" s="1"/>
  <c r="CF9" i="6"/>
  <c r="CF8" i="6"/>
  <c r="CF2" i="6"/>
  <c r="CE12" i="6"/>
  <c r="CE13" i="6" s="1"/>
  <c r="CE9" i="6"/>
  <c r="CE8" i="6"/>
  <c r="CE2" i="6"/>
  <c r="CD12" i="6"/>
  <c r="CD13" i="6" s="1"/>
  <c r="CD9" i="6"/>
  <c r="CD10" i="6" s="1"/>
  <c r="CD8" i="6"/>
  <c r="CD2" i="6"/>
  <c r="CC9" i="6"/>
  <c r="CC8" i="6"/>
  <c r="CC2" i="6"/>
  <c r="BY9" i="6"/>
  <c r="CB9" i="6"/>
  <c r="CB8" i="6"/>
  <c r="CA9" i="6"/>
  <c r="CA8" i="6"/>
  <c r="CB12" i="6"/>
  <c r="CB13" i="6" s="1"/>
  <c r="CB2" i="6"/>
  <c r="BZ9" i="6"/>
  <c r="BZ8" i="6"/>
  <c r="CA2" i="6"/>
  <c r="CA12" i="6"/>
  <c r="CA13" i="6" s="1"/>
  <c r="BZ12" i="6"/>
  <c r="BZ13" i="6" s="1"/>
  <c r="BY12" i="6"/>
  <c r="BY13" i="6" s="1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R33" i="6"/>
  <c r="R35" i="6"/>
  <c r="S35" i="6" s="1"/>
  <c r="R37" i="6"/>
  <c r="S37" i="6" s="1"/>
  <c r="T37" i="6" s="1"/>
  <c r="U37" i="6" s="1"/>
  <c r="V37" i="6" s="1"/>
  <c r="W37" i="6" s="1"/>
  <c r="X37" i="6" s="1"/>
  <c r="Y37" i="6" s="1"/>
  <c r="R38" i="6"/>
  <c r="BC23" i="6"/>
  <c r="Q31" i="6"/>
  <c r="Q45" i="6" s="1"/>
  <c r="Q54" i="6" s="1"/>
  <c r="Q63" i="6" s="1"/>
  <c r="Q30" i="6"/>
  <c r="Q44" i="6" s="1"/>
  <c r="Q53" i="6" s="1"/>
  <c r="Q62" i="6" s="1"/>
  <c r="Q28" i="6"/>
  <c r="Q26" i="6"/>
  <c r="Q40" i="6" s="1"/>
  <c r="Q47" i="6" s="1"/>
  <c r="Q56" i="6" s="1"/>
  <c r="Q24" i="6"/>
  <c r="Q23" i="6"/>
  <c r="Q19" i="6"/>
  <c r="Q17" i="6"/>
  <c r="CP10" i="6"/>
  <c r="CQ11" i="6" s="1"/>
  <c r="R30" i="6"/>
  <c r="S30" i="6" s="1"/>
  <c r="CA10" i="6"/>
  <c r="S33" i="6"/>
  <c r="T33" i="6" s="1"/>
  <c r="U33" i="6" s="1"/>
  <c r="V33" i="6" s="1"/>
  <c r="W33" i="6" s="1"/>
  <c r="X33" i="6" s="1"/>
  <c r="Y33" i="6" s="1"/>
  <c r="Z33" i="6" s="1"/>
  <c r="AA33" i="6" s="1"/>
  <c r="AB33" i="6" s="1"/>
  <c r="CO19" i="6"/>
  <c r="CN19" i="6"/>
  <c r="BS17" i="6"/>
  <c r="CS17" i="6"/>
  <c r="CG23" i="6"/>
  <c r="CH19" i="6"/>
  <c r="BJ23" i="6"/>
  <c r="BI23" i="6"/>
  <c r="BO23" i="6"/>
  <c r="BY24" i="6"/>
  <c r="BU23" i="6"/>
  <c r="BR17" i="6"/>
  <c r="BH23" i="6"/>
  <c r="CC23" i="6"/>
  <c r="BK17" i="6"/>
  <c r="BV17" i="6"/>
  <c r="CK19" i="6"/>
  <c r="CA19" i="6"/>
  <c r="BG23" i="6"/>
  <c r="CP24" i="6"/>
  <c r="BG19" i="6"/>
  <c r="BF23" i="6"/>
  <c r="CO23" i="6"/>
  <c r="CH17" i="6"/>
  <c r="BC19" i="6"/>
  <c r="BQ23" i="6"/>
  <c r="BW17" i="6"/>
  <c r="CB17" i="6"/>
  <c r="CJ17" i="6"/>
  <c r="CC24" i="6"/>
  <c r="CJ19" i="6"/>
  <c r="BX17" i="6"/>
  <c r="CL19" i="6"/>
  <c r="BM17" i="6"/>
  <c r="BE19" i="6"/>
  <c r="BY17" i="6"/>
  <c r="BO19" i="6"/>
  <c r="CQ17" i="6"/>
  <c r="BE23" i="6"/>
  <c r="BN23" i="6"/>
  <c r="BZ17" i="6"/>
  <c r="CF23" i="6"/>
  <c r="CM23" i="6"/>
  <c r="BD23" i="6"/>
  <c r="BP17" i="6"/>
  <c r="CA23" i="6"/>
  <c r="BW23" i="6"/>
  <c r="CB23" i="6"/>
  <c r="CO20" i="6"/>
  <c r="CH23" i="6"/>
  <c r="CO24" i="6"/>
  <c r="BO17" i="6"/>
  <c r="CN24" i="6"/>
  <c r="BU17" i="6"/>
  <c r="BV23" i="6"/>
  <c r="BN17" i="6"/>
  <c r="CG17" i="6"/>
  <c r="CP19" i="6"/>
  <c r="CP20" i="6"/>
  <c r="CC19" i="6"/>
  <c r="CO17" i="6"/>
  <c r="CJ23" i="6"/>
  <c r="BQ17" i="6"/>
  <c r="CN20" i="6"/>
  <c r="BS23" i="6"/>
  <c r="CS23" i="6"/>
  <c r="CQ23" i="6"/>
  <c r="CJ24" i="6"/>
  <c r="CM17" i="6"/>
  <c r="CA24" i="6"/>
  <c r="BM23" i="6"/>
  <c r="BJ17" i="6"/>
  <c r="BC17" i="6"/>
  <c r="CK24" i="6"/>
  <c r="CK20" i="6"/>
  <c r="BP23" i="6"/>
  <c r="CF17" i="6"/>
  <c r="CC17" i="6"/>
  <c r="BO24" i="6"/>
  <c r="BC24" i="6"/>
  <c r="CD17" i="6"/>
  <c r="CD23" i="6"/>
  <c r="BV19" i="6"/>
  <c r="BV24" i="6"/>
  <c r="BQ19" i="6"/>
  <c r="BQ24" i="6"/>
  <c r="BK24" i="6"/>
  <c r="BK19" i="6"/>
  <c r="BL24" i="6"/>
  <c r="BE17" i="6"/>
  <c r="CH24" i="6"/>
  <c r="BZ23" i="6"/>
  <c r="CB19" i="6"/>
  <c r="BU19" i="6"/>
  <c r="BW19" i="6"/>
  <c r="BE24" i="6"/>
  <c r="BJ19" i="6"/>
  <c r="BX19" i="6"/>
  <c r="BK23" i="6"/>
  <c r="CF24" i="6"/>
  <c r="BY19" i="6"/>
  <c r="BR23" i="6"/>
  <c r="BX23" i="6"/>
  <c r="BG17" i="6"/>
  <c r="BY23" i="6"/>
  <c r="CA17" i="6"/>
  <c r="BG24" i="6"/>
  <c r="BT19" i="6"/>
  <c r="BT24" i="6"/>
  <c r="BM24" i="6"/>
  <c r="BM19" i="6"/>
  <c r="BH19" i="6"/>
  <c r="BH24" i="6"/>
  <c r="BH17" i="6"/>
  <c r="CD19" i="6"/>
  <c r="CD24" i="6"/>
  <c r="BP19" i="6"/>
  <c r="BP24" i="6"/>
  <c r="BF19" i="6"/>
  <c r="BF17" i="6"/>
  <c r="BF24" i="6"/>
  <c r="CK23" i="6"/>
  <c r="CK17" i="6"/>
  <c r="BZ24" i="6"/>
  <c r="BZ19" i="6"/>
  <c r="CI17" i="6"/>
  <c r="CI23" i="6"/>
  <c r="CL23" i="6"/>
  <c r="CL17" i="6"/>
  <c r="BL17" i="6"/>
  <c r="BL23" i="6"/>
  <c r="BT17" i="6"/>
  <c r="BT23" i="6"/>
  <c r="CM19" i="6"/>
  <c r="CM20" i="6"/>
  <c r="CM24" i="6"/>
  <c r="CQ20" i="6"/>
  <c r="CQ19" i="6"/>
  <c r="CQ24" i="6"/>
  <c r="BD19" i="6"/>
  <c r="BD24" i="6"/>
  <c r="BD17" i="6"/>
  <c r="CE19" i="6"/>
  <c r="CE24" i="6"/>
  <c r="BS24" i="6"/>
  <c r="BS19" i="6"/>
  <c r="CL20" i="6"/>
  <c r="C37" i="3"/>
  <c r="CL24" i="6"/>
  <c r="BW24" i="6"/>
  <c r="CF19" i="6"/>
  <c r="CB24" i="6"/>
  <c r="BN19" i="6"/>
  <c r="BN24" i="6"/>
  <c r="BX24" i="6"/>
  <c r="BJ24" i="6"/>
  <c r="BL19" i="6"/>
  <c r="BU24" i="6"/>
  <c r="CI19" i="6"/>
  <c r="CI24" i="6"/>
  <c r="BI24" i="6"/>
  <c r="BI17" i="6"/>
  <c r="BI19" i="6"/>
  <c r="CP17" i="6"/>
  <c r="CP23" i="6"/>
  <c r="CN17" i="6"/>
  <c r="CN23" i="6"/>
  <c r="CE17" i="6"/>
  <c r="CE23" i="6"/>
  <c r="BR19" i="6"/>
  <c r="BR24" i="6"/>
  <c r="CG24" i="6"/>
  <c r="CG19" i="6"/>
  <c r="D34" i="3"/>
  <c r="D30" i="3"/>
  <c r="D31" i="3"/>
  <c r="D33" i="3"/>
  <c r="D28" i="3"/>
  <c r="D29" i="3"/>
  <c r="D32" i="3"/>
  <c r="CS19" i="6"/>
  <c r="CS24" i="6"/>
  <c r="CS20" i="6"/>
  <c r="I8" i="14"/>
  <c r="I3" i="14"/>
  <c r="N4" i="14"/>
  <c r="I4" i="14"/>
  <c r="N14" i="14"/>
  <c r="F51" i="18"/>
  <c r="S38" i="6"/>
  <c r="T38" i="6" s="1"/>
  <c r="U38" i="6" s="1"/>
  <c r="V38" i="6" s="1"/>
  <c r="W38" i="6" s="1"/>
  <c r="CU10" i="6"/>
  <c r="CU13" i="6" s="1"/>
  <c r="CK10" i="6" l="1"/>
  <c r="CL11" i="6" s="1"/>
  <c r="CL12" i="6" s="1"/>
  <c r="CF10" i="6"/>
  <c r="DC87" i="22"/>
  <c r="DD45" i="22"/>
  <c r="DD87" i="22" s="1"/>
  <c r="DC55" i="22"/>
  <c r="DB97" i="22"/>
  <c r="CV10" i="6"/>
  <c r="CZ27" i="6"/>
  <c r="DA27" i="6" s="1"/>
  <c r="DC42" i="22"/>
  <c r="DB84" i="22"/>
  <c r="DC51" i="22"/>
  <c r="DB93" i="22"/>
  <c r="DA85" i="22"/>
  <c r="DB43" i="22"/>
  <c r="DC47" i="22"/>
  <c r="DB89" i="22"/>
  <c r="DA95" i="22"/>
  <c r="DB53" i="22"/>
  <c r="DA88" i="22"/>
  <c r="DB46" i="22"/>
  <c r="DC56" i="22"/>
  <c r="DB98" i="22"/>
  <c r="DC49" i="22"/>
  <c r="DB91" i="22"/>
  <c r="CI10" i="6"/>
  <c r="CJ11" i="6" s="1"/>
  <c r="CJ12" i="6" s="1"/>
  <c r="DC94" i="22"/>
  <c r="DD52" i="22"/>
  <c r="DD94" i="22" s="1"/>
  <c r="DC41" i="22"/>
  <c r="DB83" i="22"/>
  <c r="DC58" i="22"/>
  <c r="DB100" i="22"/>
  <c r="CQ10" i="6"/>
  <c r="CQ13" i="6" s="1"/>
  <c r="DC96" i="22"/>
  <c r="DD54" i="22"/>
  <c r="DD96" i="22" s="1"/>
  <c r="R9" i="18"/>
  <c r="AT3" i="14"/>
  <c r="AU3" i="14" s="1"/>
  <c r="AT19" i="14"/>
  <c r="AU19" i="14" s="1"/>
  <c r="AT23" i="14"/>
  <c r="AU23" i="14" s="1"/>
  <c r="G14" i="14"/>
  <c r="K14" i="14" s="1"/>
  <c r="AB15" i="12"/>
  <c r="U23" i="12"/>
  <c r="X23" i="14" s="1"/>
  <c r="Y23" i="14" s="1"/>
  <c r="AB26" i="12"/>
  <c r="AJ26" i="12" s="1"/>
  <c r="AB25" i="12"/>
  <c r="AB12" i="12"/>
  <c r="U22" i="12"/>
  <c r="X22" i="14" s="1"/>
  <c r="Y22" i="14" s="1"/>
  <c r="U5" i="12"/>
  <c r="X5" i="14" s="1"/>
  <c r="Y5" i="14" s="1"/>
  <c r="AB17" i="12"/>
  <c r="U21" i="12"/>
  <c r="X21" i="14" s="1"/>
  <c r="Y21" i="14" s="1"/>
  <c r="U37" i="12"/>
  <c r="X37" i="14" s="1"/>
  <c r="Y37" i="14" s="1"/>
  <c r="W46" i="14"/>
  <c r="K51" i="18" s="1"/>
  <c r="O51" i="18" s="1"/>
  <c r="AT6" i="14"/>
  <c r="AU6" i="14" s="1"/>
  <c r="G28" i="14"/>
  <c r="M28" i="14" s="1"/>
  <c r="G18" i="14"/>
  <c r="M18" i="14" s="1"/>
  <c r="AT4" i="14"/>
  <c r="AU4" i="14" s="1"/>
  <c r="AT10" i="14"/>
  <c r="AU10" i="14" s="1"/>
  <c r="AT13" i="14"/>
  <c r="AU13" i="14" s="1"/>
  <c r="AT16" i="14"/>
  <c r="AU16" i="14" s="1"/>
  <c r="AT22" i="14"/>
  <c r="AU22" i="14" s="1"/>
  <c r="AT25" i="14"/>
  <c r="AU25" i="14" s="1"/>
  <c r="G17" i="14"/>
  <c r="K17" i="14" s="1"/>
  <c r="I17" i="14"/>
  <c r="AT9" i="14"/>
  <c r="AU9" i="14" s="1"/>
  <c r="AT12" i="14"/>
  <c r="AU12" i="14" s="1"/>
  <c r="G3" i="14"/>
  <c r="K3" i="14" s="1"/>
  <c r="N7" i="14"/>
  <c r="AT26" i="14"/>
  <c r="AU26" i="14" s="1"/>
  <c r="G15" i="14"/>
  <c r="K15" i="14" s="1"/>
  <c r="AT14" i="14"/>
  <c r="AU14" i="14" s="1"/>
  <c r="AT17" i="14"/>
  <c r="AU17" i="14" s="1"/>
  <c r="N15" i="14"/>
  <c r="AT37" i="14"/>
  <c r="AU37" i="14" s="1"/>
  <c r="G10" i="14"/>
  <c r="M10" i="14" s="1"/>
  <c r="G6" i="14"/>
  <c r="M6" i="14" s="1"/>
  <c r="I6" i="14"/>
  <c r="AT28" i="14"/>
  <c r="AU28" i="14" s="1"/>
  <c r="G16" i="14"/>
  <c r="M16" i="14" s="1"/>
  <c r="G24" i="14"/>
  <c r="K24" i="14" s="1"/>
  <c r="AT29" i="14"/>
  <c r="AU29" i="14" s="1"/>
  <c r="O47" i="14"/>
  <c r="W47" i="14" s="1"/>
  <c r="K60" i="18" s="1"/>
  <c r="O60" i="18" s="1"/>
  <c r="I10" i="14"/>
  <c r="G25" i="14"/>
  <c r="K25" i="14" s="1"/>
  <c r="L42" i="14"/>
  <c r="N11" i="14"/>
  <c r="G7" i="14"/>
  <c r="K7" i="14" s="1"/>
  <c r="U35" i="12"/>
  <c r="X35" i="14" s="1"/>
  <c r="Y35" i="14" s="1"/>
  <c r="U47" i="12"/>
  <c r="C51" i="18" s="1"/>
  <c r="S51" i="18" s="1"/>
  <c r="AJ19" i="12"/>
  <c r="AB18" i="12"/>
  <c r="AJ18" i="12" s="1"/>
  <c r="AJ21" i="12"/>
  <c r="U10" i="12"/>
  <c r="X10" i="14" s="1"/>
  <c r="Y10" i="14" s="1"/>
  <c r="U41" i="12"/>
  <c r="X41" i="14" s="1"/>
  <c r="Y41" i="14" s="1"/>
  <c r="J42" i="12"/>
  <c r="U42" i="12" s="1"/>
  <c r="C15" i="18" s="1"/>
  <c r="S15" i="18" s="1"/>
  <c r="AB3" i="12"/>
  <c r="AJ3" i="12" s="1"/>
  <c r="I27" i="14"/>
  <c r="AJ27" i="12"/>
  <c r="U14" i="12"/>
  <c r="X14" i="14" s="1"/>
  <c r="Y14" i="14" s="1"/>
  <c r="U15" i="12"/>
  <c r="X15" i="14" s="1"/>
  <c r="Y15" i="14" s="1"/>
  <c r="AJ17" i="12"/>
  <c r="K43" i="14"/>
  <c r="AB6" i="12"/>
  <c r="AJ6" i="12" s="1"/>
  <c r="AB10" i="12"/>
  <c r="AJ10" i="12" s="1"/>
  <c r="U19" i="12"/>
  <c r="X19" i="14" s="1"/>
  <c r="Y19" i="14" s="1"/>
  <c r="U20" i="12"/>
  <c r="X20" i="14" s="1"/>
  <c r="Y20" i="14" s="1"/>
  <c r="AB22" i="12"/>
  <c r="AJ22" i="12" s="1"/>
  <c r="AD25" i="12"/>
  <c r="AJ25" i="12" s="1"/>
  <c r="U13" i="12"/>
  <c r="X13" i="14" s="1"/>
  <c r="Y13" i="14" s="1"/>
  <c r="AB16" i="12"/>
  <c r="AJ16" i="12" s="1"/>
  <c r="G30" i="14"/>
  <c r="K30" i="14" s="1"/>
  <c r="I22" i="14"/>
  <c r="I23" i="14"/>
  <c r="U8" i="12"/>
  <c r="X8" i="14" s="1"/>
  <c r="Y8" i="14" s="1"/>
  <c r="U24" i="12"/>
  <c r="X24" i="14" s="1"/>
  <c r="Y24" i="14" s="1"/>
  <c r="U30" i="12"/>
  <c r="X30" i="14" s="1"/>
  <c r="U29" i="12"/>
  <c r="X29" i="14" s="1"/>
  <c r="U26" i="12"/>
  <c r="X26" i="14" s="1"/>
  <c r="Y26" i="14" s="1"/>
  <c r="U27" i="12"/>
  <c r="X27" i="14" s="1"/>
  <c r="G5" i="14"/>
  <c r="K5" i="14" s="1"/>
  <c r="G13" i="14"/>
  <c r="M13" i="14" s="1"/>
  <c r="G27" i="14"/>
  <c r="M27" i="14" s="1"/>
  <c r="U28" i="12"/>
  <c r="X28" i="14" s="1"/>
  <c r="U18" i="12"/>
  <c r="X18" i="14" s="1"/>
  <c r="Y18" i="14" s="1"/>
  <c r="G23" i="14"/>
  <c r="M23" i="14" s="1"/>
  <c r="AD13" i="12"/>
  <c r="AJ13" i="12" s="1"/>
  <c r="AB4" i="12"/>
  <c r="AJ4" i="12" s="1"/>
  <c r="I5" i="14"/>
  <c r="AB7" i="12"/>
  <c r="AJ7" i="12" s="1"/>
  <c r="G22" i="14"/>
  <c r="M22" i="14" s="1"/>
  <c r="N27" i="14"/>
  <c r="AB23" i="12"/>
  <c r="AJ23" i="12" s="1"/>
  <c r="G9" i="14"/>
  <c r="M9" i="14" s="1"/>
  <c r="I13" i="14"/>
  <c r="U6" i="12"/>
  <c r="X6" i="14" s="1"/>
  <c r="Y6" i="14" s="1"/>
  <c r="AB8" i="12"/>
  <c r="AJ8" i="12" s="1"/>
  <c r="AB24" i="12"/>
  <c r="AJ24" i="12" s="1"/>
  <c r="U12" i="12"/>
  <c r="X12" i="14" s="1"/>
  <c r="Y12" i="14" s="1"/>
  <c r="T43" i="12"/>
  <c r="AJ15" i="12"/>
  <c r="AD28" i="12"/>
  <c r="AJ28" i="12" s="1"/>
  <c r="U7" i="12"/>
  <c r="X7" i="14" s="1"/>
  <c r="Y7" i="14" s="1"/>
  <c r="AK42" i="14"/>
  <c r="AU42" i="14" s="1"/>
  <c r="G15" i="18" s="1"/>
  <c r="AB20" i="12"/>
  <c r="AJ20" i="12" s="1"/>
  <c r="V28" i="14"/>
  <c r="AB9" i="12"/>
  <c r="AJ9" i="12" s="1"/>
  <c r="U9" i="12"/>
  <c r="X9" i="14" s="1"/>
  <c r="Y9" i="14" s="1"/>
  <c r="AJ5" i="12"/>
  <c r="AJ12" i="12"/>
  <c r="AB11" i="12"/>
  <c r="AJ11" i="12" s="1"/>
  <c r="U36" i="12"/>
  <c r="X36" i="14" s="1"/>
  <c r="Y36" i="14" s="1"/>
  <c r="G4" i="14"/>
  <c r="K4" i="14" s="1"/>
  <c r="G8" i="14"/>
  <c r="K8" i="14" s="1"/>
  <c r="K28" i="14"/>
  <c r="AJ14" i="12"/>
  <c r="AB30" i="12"/>
  <c r="AI30" i="12" s="1"/>
  <c r="U3" i="12"/>
  <c r="X3" i="14" s="1"/>
  <c r="Y3" i="14" s="1"/>
  <c r="AB29" i="12"/>
  <c r="AI29" i="12" s="1"/>
  <c r="AJ29" i="12" s="1"/>
  <c r="G12" i="14"/>
  <c r="M12" i="14" s="1"/>
  <c r="U43" i="12"/>
  <c r="C25" i="18" s="1"/>
  <c r="T44" i="12"/>
  <c r="U44" i="12" s="1"/>
  <c r="U46" i="12"/>
  <c r="C42" i="18" s="1"/>
  <c r="S42" i="18" s="1"/>
  <c r="G11" i="14"/>
  <c r="M11" i="14" s="1"/>
  <c r="K18" i="14"/>
  <c r="U45" i="12"/>
  <c r="C33" i="18" s="1"/>
  <c r="S33" i="18" s="1"/>
  <c r="M3" i="14"/>
  <c r="W3" i="14" s="1"/>
  <c r="I12" i="14"/>
  <c r="M20" i="14"/>
  <c r="K20" i="14"/>
  <c r="W20" i="14" s="1"/>
  <c r="G41" i="14"/>
  <c r="L41" i="14" s="1"/>
  <c r="N9" i="14"/>
  <c r="N29" i="14"/>
  <c r="AB41" i="14"/>
  <c r="AF41" i="14" s="1"/>
  <c r="AK41" i="14" s="1"/>
  <c r="M14" i="14"/>
  <c r="W14" i="14" s="1"/>
  <c r="G29" i="14"/>
  <c r="M29" i="14" s="1"/>
  <c r="I26" i="14"/>
  <c r="G19" i="14"/>
  <c r="K19" i="14" s="1"/>
  <c r="I19" i="14"/>
  <c r="G26" i="14"/>
  <c r="K26" i="14" s="1"/>
  <c r="I18" i="14"/>
  <c r="N19" i="14"/>
  <c r="N26" i="14"/>
  <c r="I29" i="14"/>
  <c r="N25" i="14"/>
  <c r="AG3" i="20"/>
  <c r="CF54" i="22"/>
  <c r="CF75" i="22"/>
  <c r="CF117" i="22"/>
  <c r="CF138" i="22" s="1"/>
  <c r="CF68" i="22"/>
  <c r="CF47" i="22"/>
  <c r="CF110" i="22"/>
  <c r="CF131" i="22" s="1"/>
  <c r="CF70" i="22"/>
  <c r="CF49" i="22"/>
  <c r="CF112" i="22"/>
  <c r="CF133" i="22" s="1"/>
  <c r="CF64" i="22"/>
  <c r="CF43" i="22"/>
  <c r="CF106" i="22"/>
  <c r="CF127" i="22" s="1"/>
  <c r="CF56" i="22"/>
  <c r="CF77" i="22"/>
  <c r="CF119" i="22"/>
  <c r="CF140" i="22" s="1"/>
  <c r="CF53" i="22"/>
  <c r="CF74" i="22"/>
  <c r="CF116" i="22"/>
  <c r="CF137" i="22" s="1"/>
  <c r="CF51" i="22"/>
  <c r="CF114" i="22"/>
  <c r="CF135" i="22" s="1"/>
  <c r="CF72" i="22"/>
  <c r="CC10" i="6"/>
  <c r="CF48" i="22"/>
  <c r="CF69" i="22"/>
  <c r="CF111" i="22"/>
  <c r="CF132" i="22" s="1"/>
  <c r="CF62" i="22"/>
  <c r="CF41" i="22"/>
  <c r="CF104" i="22"/>
  <c r="CF125" i="22" s="1"/>
  <c r="CF78" i="22"/>
  <c r="CF120" i="22"/>
  <c r="CF141" i="22" s="1"/>
  <c r="CF57" i="22"/>
  <c r="CF55" i="22"/>
  <c r="CF76" i="22"/>
  <c r="CF118" i="22"/>
  <c r="CF139" i="22" s="1"/>
  <c r="CF58" i="22"/>
  <c r="CF79" i="22"/>
  <c r="CF121" i="22"/>
  <c r="CF142" i="22" s="1"/>
  <c r="CF44" i="22"/>
  <c r="CF65" i="22"/>
  <c r="CF107" i="22"/>
  <c r="CF128" i="22" s="1"/>
  <c r="CF50" i="22"/>
  <c r="CF71" i="22"/>
  <c r="CF113" i="22"/>
  <c r="CF134" i="22" s="1"/>
  <c r="CF66" i="22"/>
  <c r="CF108" i="22"/>
  <c r="CF129" i="22" s="1"/>
  <c r="CF45" i="22"/>
  <c r="CH14" i="22"/>
  <c r="CG40" i="22"/>
  <c r="CG61" i="22"/>
  <c r="CG85" i="22"/>
  <c r="CG90" i="22"/>
  <c r="CG95" i="22"/>
  <c r="CG100" i="22"/>
  <c r="CG88" i="22"/>
  <c r="CG83" i="22"/>
  <c r="CG93" i="22"/>
  <c r="CG98" i="22"/>
  <c r="CG84" i="22"/>
  <c r="CG82" i="22"/>
  <c r="CG87" i="22"/>
  <c r="CG92" i="22"/>
  <c r="CG97" i="22"/>
  <c r="CG124" i="22"/>
  <c r="CG89" i="22"/>
  <c r="CG91" i="22"/>
  <c r="CG103" i="22"/>
  <c r="CG86" i="22"/>
  <c r="CG96" i="22"/>
  <c r="CG99" i="22"/>
  <c r="CG94" i="22"/>
  <c r="BZ10" i="6"/>
  <c r="CG10" i="6"/>
  <c r="CL13" i="6"/>
  <c r="BY10" i="6"/>
  <c r="S7" i="18"/>
  <c r="S10" i="18" s="1"/>
  <c r="S14" i="18" s="1"/>
  <c r="CM10" i="6"/>
  <c r="CN11" i="6" s="1"/>
  <c r="CN12" i="6" s="1"/>
  <c r="CN13" i="6" s="1"/>
  <c r="R26" i="6"/>
  <c r="R40" i="6" s="1"/>
  <c r="R47" i="6" s="1"/>
  <c r="R56" i="6" s="1"/>
  <c r="CS10" i="6"/>
  <c r="CT11" i="6" s="1"/>
  <c r="CB10" i="6"/>
  <c r="CE10" i="6"/>
  <c r="CJ10" i="6"/>
  <c r="CK11" i="6" s="1"/>
  <c r="CK12" i="6" s="1"/>
  <c r="CK13" i="6" s="1"/>
  <c r="R31" i="6"/>
  <c r="CS11" i="6"/>
  <c r="R44" i="6"/>
  <c r="R53" i="6" s="1"/>
  <c r="R62" i="6" s="1"/>
  <c r="CO10" i="6"/>
  <c r="CP11" i="6" s="1"/>
  <c r="CP12" i="6" s="1"/>
  <c r="CP13" i="6" s="1"/>
  <c r="CW10" i="6"/>
  <c r="CX11" i="6" s="1"/>
  <c r="CV11" i="6"/>
  <c r="CX10" i="6"/>
  <c r="CY11" i="6" s="1"/>
  <c r="CT13" i="6"/>
  <c r="S44" i="6"/>
  <c r="S53" i="6" s="1"/>
  <c r="S62" i="6" s="1"/>
  <c r="T30" i="6"/>
  <c r="Q42" i="6"/>
  <c r="Q50" i="6" s="1"/>
  <c r="Q59" i="6" s="1"/>
  <c r="R28" i="6"/>
  <c r="Z37" i="6"/>
  <c r="AC33" i="6"/>
  <c r="S26" i="6"/>
  <c r="CW11" i="6"/>
  <c r="CV13" i="6"/>
  <c r="X38" i="6"/>
  <c r="T35" i="6"/>
  <c r="BH2" i="20"/>
  <c r="CK2" i="20"/>
  <c r="CF2" i="20"/>
  <c r="BM2" i="20"/>
  <c r="CD2" i="20"/>
  <c r="BD2" i="20"/>
  <c r="CH2" i="20"/>
  <c r="AN3" i="20"/>
  <c r="AQ3" i="20"/>
  <c r="CG3" i="20"/>
  <c r="CD3" i="20"/>
  <c r="CJ3" i="20"/>
  <c r="CJ2" i="20"/>
  <c r="CE2" i="20"/>
  <c r="CK3" i="20"/>
  <c r="CC2" i="20"/>
  <c r="CI2" i="20"/>
  <c r="CA2" i="20"/>
  <c r="BJ2" i="20"/>
  <c r="CE3" i="20"/>
  <c r="CG2" i="20"/>
  <c r="CB2" i="20"/>
  <c r="BJ3" i="20"/>
  <c r="BG2" i="20"/>
  <c r="BN2" i="20"/>
  <c r="N35" i="18"/>
  <c r="E34" i="19" s="1"/>
  <c r="BH3" i="20"/>
  <c r="CB3" i="20"/>
  <c r="CA3" i="20"/>
  <c r="CC3" i="20"/>
  <c r="R44" i="18"/>
  <c r="F43" i="19" s="1"/>
  <c r="J53" i="18"/>
  <c r="R62" i="18"/>
  <c r="H43" i="19" s="1"/>
  <c r="BL3" i="20"/>
  <c r="BE3" i="20"/>
  <c r="BI2" i="20"/>
  <c r="J35" i="18"/>
  <c r="E25" i="19" s="1"/>
  <c r="BK3" i="20"/>
  <c r="J44" i="18"/>
  <c r="F25" i="19" s="1"/>
  <c r="F44" i="18"/>
  <c r="F16" i="19" s="1"/>
  <c r="F62" i="18"/>
  <c r="H16" i="19" s="1"/>
  <c r="BN3" i="20"/>
  <c r="BF3" i="20"/>
  <c r="BK2" i="20"/>
  <c r="AL3" i="20"/>
  <c r="AJ3" i="20"/>
  <c r="AP3" i="20"/>
  <c r="AI3" i="20"/>
  <c r="AO3" i="20"/>
  <c r="CF3" i="20"/>
  <c r="BM3" i="20"/>
  <c r="BD3" i="20"/>
  <c r="BL2" i="20"/>
  <c r="BF2" i="20"/>
  <c r="AM3" i="20"/>
  <c r="AK3" i="20"/>
  <c r="AH3" i="20"/>
  <c r="N26" i="18"/>
  <c r="D34" i="19" s="1"/>
  <c r="CH3" i="20"/>
  <c r="BE2" i="20"/>
  <c r="BI3" i="20"/>
  <c r="N53" i="18"/>
  <c r="G34" i="19" s="1"/>
  <c r="CI3" i="20"/>
  <c r="BG3" i="20"/>
  <c r="F17" i="18"/>
  <c r="C16" i="19" s="1"/>
  <c r="C17" i="19" s="1"/>
  <c r="B26" i="18"/>
  <c r="D7" i="19" s="1"/>
  <c r="R17" i="18"/>
  <c r="C43" i="19" s="1"/>
  <c r="C44" i="19" s="1"/>
  <c r="J17" i="18"/>
  <c r="J19" i="18" s="1"/>
  <c r="D22" i="19" s="1"/>
  <c r="F26" i="18"/>
  <c r="D16" i="19" s="1"/>
  <c r="N17" i="18"/>
  <c r="C34" i="19" s="1"/>
  <c r="C35" i="19" s="1"/>
  <c r="J26" i="18"/>
  <c r="D25" i="19" s="1"/>
  <c r="B17" i="18"/>
  <c r="B19" i="18" s="1"/>
  <c r="B23" i="18" s="1"/>
  <c r="R26" i="18"/>
  <c r="D43" i="19" s="1"/>
  <c r="B35" i="18"/>
  <c r="E7" i="19" s="1"/>
  <c r="B44" i="18"/>
  <c r="F7" i="19" s="1"/>
  <c r="F53" i="18"/>
  <c r="G16" i="19" s="1"/>
  <c r="R35" i="18"/>
  <c r="E43" i="19" s="1"/>
  <c r="F35" i="18"/>
  <c r="E16" i="19" s="1"/>
  <c r="N44" i="18"/>
  <c r="F34" i="19" s="1"/>
  <c r="B62" i="18"/>
  <c r="H7" i="19" s="1"/>
  <c r="J62" i="18"/>
  <c r="H25" i="19" s="1"/>
  <c r="N62" i="18"/>
  <c r="H34" i="19" s="1"/>
  <c r="B53" i="18"/>
  <c r="G7" i="19" s="1"/>
  <c r="R53" i="18"/>
  <c r="G43" i="19" s="1"/>
  <c r="K48" i="14"/>
  <c r="L48" i="14"/>
  <c r="O48" i="14"/>
  <c r="AF48" i="14"/>
  <c r="O45" i="14"/>
  <c r="K45" i="14"/>
  <c r="L45" i="14"/>
  <c r="AI45" i="14"/>
  <c r="AU45" i="14" s="1"/>
  <c r="G42" i="18" s="1"/>
  <c r="K44" i="14"/>
  <c r="O44" i="14"/>
  <c r="O43" i="14"/>
  <c r="L43" i="14"/>
  <c r="AI47" i="14"/>
  <c r="AU47" i="14" s="1"/>
  <c r="G60" i="18" s="1"/>
  <c r="AT35" i="14"/>
  <c r="AU35" i="14" s="1"/>
  <c r="G21" i="14"/>
  <c r="M21" i="14" s="1"/>
  <c r="L44" i="14"/>
  <c r="AF43" i="14"/>
  <c r="AI43" i="14" s="1"/>
  <c r="I24" i="14"/>
  <c r="AI46" i="14"/>
  <c r="AU46" i="14" s="1"/>
  <c r="G51" i="18" s="1"/>
  <c r="M42" i="14"/>
  <c r="N24" i="14"/>
  <c r="O42" i="14"/>
  <c r="I21" i="14"/>
  <c r="DC91" i="22" l="1"/>
  <c r="DD49" i="22"/>
  <c r="DD91" i="22" s="1"/>
  <c r="DC93" i="22"/>
  <c r="DD51" i="22"/>
  <c r="DD93" i="22" s="1"/>
  <c r="DC98" i="22"/>
  <c r="DD56" i="22"/>
  <c r="DD98" i="22" s="1"/>
  <c r="DC84" i="22"/>
  <c r="DD42" i="22"/>
  <c r="DD84" i="22" s="1"/>
  <c r="DC46" i="22"/>
  <c r="DB88" i="22"/>
  <c r="DB27" i="6"/>
  <c r="DC27" i="6" s="1"/>
  <c r="DD27" i="6" s="1"/>
  <c r="DC43" i="22"/>
  <c r="DB85" i="22"/>
  <c r="DC100" i="22"/>
  <c r="DD58" i="22"/>
  <c r="DD100" i="22" s="1"/>
  <c r="DC53" i="22"/>
  <c r="DB95" i="22"/>
  <c r="DC97" i="22"/>
  <c r="DD55" i="22"/>
  <c r="DD97" i="22" s="1"/>
  <c r="DC83" i="22"/>
  <c r="DD41" i="22"/>
  <c r="DD83" i="22" s="1"/>
  <c r="DC89" i="22"/>
  <c r="DD47" i="22"/>
  <c r="DD89" i="22" s="1"/>
  <c r="M25" i="14"/>
  <c r="K13" i="14"/>
  <c r="M15" i="14"/>
  <c r="W15" i="14" s="1"/>
  <c r="M17" i="14"/>
  <c r="W17" i="14" s="1"/>
  <c r="K10" i="14"/>
  <c r="W10" i="14" s="1"/>
  <c r="M7" i="14"/>
  <c r="W7" i="14" s="1"/>
  <c r="M5" i="14"/>
  <c r="W5" i="14" s="1"/>
  <c r="K22" i="14"/>
  <c r="W22" i="14" s="1"/>
  <c r="W42" i="14"/>
  <c r="K15" i="18" s="1"/>
  <c r="O15" i="18" s="1"/>
  <c r="K16" i="14"/>
  <c r="W16" i="14"/>
  <c r="K9" i="14"/>
  <c r="W9" i="14" s="1"/>
  <c r="K6" i="14"/>
  <c r="W6" i="14" s="1"/>
  <c r="M24" i="14"/>
  <c r="W24" i="14" s="1"/>
  <c r="V30" i="14"/>
  <c r="W48" i="14"/>
  <c r="K69" i="18" s="1"/>
  <c r="O69" i="18" s="1"/>
  <c r="X42" i="14"/>
  <c r="Y42" i="14" s="1"/>
  <c r="W13" i="14"/>
  <c r="S19" i="18"/>
  <c r="S23" i="18" s="1"/>
  <c r="K12" i="14"/>
  <c r="W12" i="14" s="1"/>
  <c r="M4" i="14"/>
  <c r="W4" i="14" s="1"/>
  <c r="K23" i="14"/>
  <c r="W23" i="14" s="1"/>
  <c r="W45" i="14"/>
  <c r="K42" i="18" s="1"/>
  <c r="O42" i="18" s="1"/>
  <c r="W18" i="14"/>
  <c r="K27" i="14"/>
  <c r="W27" i="14" s="1"/>
  <c r="M30" i="14"/>
  <c r="M8" i="14"/>
  <c r="W8" i="14" s="1"/>
  <c r="AJ30" i="12"/>
  <c r="AS41" i="14"/>
  <c r="AU41" i="14" s="1"/>
  <c r="G7" i="18" s="1"/>
  <c r="G10" i="18" s="1"/>
  <c r="G14" i="18" s="1"/>
  <c r="G19" i="18" s="1"/>
  <c r="G23" i="18" s="1"/>
  <c r="W28" i="14"/>
  <c r="C24" i="18"/>
  <c r="S24" i="18" s="1"/>
  <c r="C16" i="18"/>
  <c r="C19" i="18" s="1"/>
  <c r="V41" i="14"/>
  <c r="M26" i="14"/>
  <c r="W26" i="14" s="1"/>
  <c r="K11" i="14"/>
  <c r="W11" i="14" s="1"/>
  <c r="O41" i="14"/>
  <c r="V29" i="14"/>
  <c r="K29" i="14"/>
  <c r="M41" i="14"/>
  <c r="K21" i="14"/>
  <c r="W21" i="14" s="1"/>
  <c r="W25" i="14"/>
  <c r="W44" i="14"/>
  <c r="K33" i="18" s="1"/>
  <c r="O33" i="18" s="1"/>
  <c r="W43" i="14"/>
  <c r="K24" i="18" s="1"/>
  <c r="O24" i="18" s="1"/>
  <c r="M19" i="14"/>
  <c r="W19" i="14" s="1"/>
  <c r="J78" i="18"/>
  <c r="CI14" i="22"/>
  <c r="CH40" i="22"/>
  <c r="CH61" i="22"/>
  <c r="CH85" i="22"/>
  <c r="CH90" i="22"/>
  <c r="CH95" i="22"/>
  <c r="CH100" i="22"/>
  <c r="CH88" i="22"/>
  <c r="CH83" i="22"/>
  <c r="CH93" i="22"/>
  <c r="CH86" i="22"/>
  <c r="CH91" i="22"/>
  <c r="CH84" i="22"/>
  <c r="CH89" i="22"/>
  <c r="CH94" i="22"/>
  <c r="CH96" i="22"/>
  <c r="CH97" i="22"/>
  <c r="CH87" i="22"/>
  <c r="CH98" i="22"/>
  <c r="CH124" i="22"/>
  <c r="CH82" i="22"/>
  <c r="CH92" i="22"/>
  <c r="CH103" i="22"/>
  <c r="CH99" i="22"/>
  <c r="CG54" i="22"/>
  <c r="CG75" i="22"/>
  <c r="CG117" i="22"/>
  <c r="CG138" i="22" s="1"/>
  <c r="CG44" i="22"/>
  <c r="CG65" i="22"/>
  <c r="CG107" i="22"/>
  <c r="CG128" i="22" s="1"/>
  <c r="CG70" i="22"/>
  <c r="CG49" i="22"/>
  <c r="CG112" i="22"/>
  <c r="CG133" i="22" s="1"/>
  <c r="CG58" i="22"/>
  <c r="CG79" i="22"/>
  <c r="CG121" i="22"/>
  <c r="CG142" i="22" s="1"/>
  <c r="CG66" i="22"/>
  <c r="CG45" i="22"/>
  <c r="CG108" i="22"/>
  <c r="CG129" i="22" s="1"/>
  <c r="CG42" i="22"/>
  <c r="CG63" i="22"/>
  <c r="CG105" i="22"/>
  <c r="CG126" i="22" s="1"/>
  <c r="CG56" i="22"/>
  <c r="CG77" i="22"/>
  <c r="CG119" i="22"/>
  <c r="CG140" i="22" s="1"/>
  <c r="CG46" i="22"/>
  <c r="CG67" i="22"/>
  <c r="CG109" i="22"/>
  <c r="CG130" i="22" s="1"/>
  <c r="CG68" i="22"/>
  <c r="CG47" i="22"/>
  <c r="CG110" i="22"/>
  <c r="CG131" i="22" s="1"/>
  <c r="CG53" i="22"/>
  <c r="CG74" i="22"/>
  <c r="CG116" i="22"/>
  <c r="CG137" i="22" s="1"/>
  <c r="CG57" i="22"/>
  <c r="CG78" i="22"/>
  <c r="CG120" i="22"/>
  <c r="CG141" i="22" s="1"/>
  <c r="CG72" i="22"/>
  <c r="CG51" i="22"/>
  <c r="CG114" i="22"/>
  <c r="CG135" i="22" s="1"/>
  <c r="CG48" i="22"/>
  <c r="CG69" i="22"/>
  <c r="CG111" i="22"/>
  <c r="CG132" i="22" s="1"/>
  <c r="CG52" i="22"/>
  <c r="CG73" i="22"/>
  <c r="CG115" i="22"/>
  <c r="CG136" i="22" s="1"/>
  <c r="CG62" i="22"/>
  <c r="CG41" i="22"/>
  <c r="CG104" i="22"/>
  <c r="CG125" i="22" s="1"/>
  <c r="CC11" i="6"/>
  <c r="CC12" i="6" s="1"/>
  <c r="CC13" i="6" s="1"/>
  <c r="CG55" i="22"/>
  <c r="CG76" i="22"/>
  <c r="CG118" i="22"/>
  <c r="CG139" i="22" s="1"/>
  <c r="CG64" i="22"/>
  <c r="CG43" i="22"/>
  <c r="CG106" i="22"/>
  <c r="CG127" i="22" s="1"/>
  <c r="CG50" i="22"/>
  <c r="CG71" i="22"/>
  <c r="CG113" i="22"/>
  <c r="CG134" i="22" s="1"/>
  <c r="CZ41" i="6"/>
  <c r="B28" i="18"/>
  <c r="E4" i="19" s="1"/>
  <c r="E8" i="19" s="1"/>
  <c r="F18" i="18"/>
  <c r="F19" i="18" s="1"/>
  <c r="D13" i="19" s="1"/>
  <c r="D17" i="19" s="1"/>
  <c r="CI11" i="6"/>
  <c r="CI12" i="6" s="1"/>
  <c r="CI13" i="6" s="1"/>
  <c r="CM13" i="6"/>
  <c r="CX13" i="6"/>
  <c r="CS13" i="6"/>
  <c r="CJ13" i="6"/>
  <c r="S31" i="6"/>
  <c r="R45" i="6"/>
  <c r="R54" i="6" s="1"/>
  <c r="R63" i="6" s="1"/>
  <c r="CW13" i="6"/>
  <c r="CO13" i="6"/>
  <c r="S28" i="6"/>
  <c r="R42" i="6"/>
  <c r="R50" i="6" s="1"/>
  <c r="R59" i="6" s="1"/>
  <c r="U30" i="6"/>
  <c r="T44" i="6"/>
  <c r="T53" i="6" s="1"/>
  <c r="T62" i="6" s="1"/>
  <c r="AA37" i="6"/>
  <c r="S40" i="6"/>
  <c r="S47" i="6" s="1"/>
  <c r="S56" i="6" s="1"/>
  <c r="T26" i="6"/>
  <c r="AD33" i="6"/>
  <c r="Y38" i="6"/>
  <c r="U35" i="6"/>
  <c r="D26" i="19"/>
  <c r="R19" i="18"/>
  <c r="R23" i="18" s="1"/>
  <c r="B18" i="18"/>
  <c r="D5" i="19" s="1"/>
  <c r="J18" i="18"/>
  <c r="G25" i="19"/>
  <c r="D4" i="19"/>
  <c r="D8" i="19" s="1"/>
  <c r="N19" i="18"/>
  <c r="N18" i="18" s="1"/>
  <c r="C7" i="19"/>
  <c r="C8" i="19" s="1"/>
  <c r="C25" i="19"/>
  <c r="C26" i="19" s="1"/>
  <c r="D23" i="19"/>
  <c r="J23" i="18"/>
  <c r="J28" i="18" s="1"/>
  <c r="J27" i="18" s="1"/>
  <c r="AI48" i="14"/>
  <c r="AU48" i="14" s="1"/>
  <c r="G69" i="18" s="1"/>
  <c r="AS43" i="14"/>
  <c r="AU43" i="14" s="1"/>
  <c r="G24" i="18" s="1"/>
  <c r="DD41" i="6" l="1"/>
  <c r="DE27" i="6"/>
  <c r="DC88" i="22"/>
  <c r="DD46" i="22"/>
  <c r="DD88" i="22" s="1"/>
  <c r="DC95" i="22"/>
  <c r="DD53" i="22"/>
  <c r="DD95" i="22" s="1"/>
  <c r="DC85" i="22"/>
  <c r="DD43" i="22"/>
  <c r="DD85" i="22" s="1"/>
  <c r="W30" i="14"/>
  <c r="W41" i="14"/>
  <c r="K7" i="18" s="1"/>
  <c r="O7" i="18" s="1"/>
  <c r="O10" i="18" s="1"/>
  <c r="O14" i="18" s="1"/>
  <c r="O19" i="18" s="1"/>
  <c r="O23" i="18" s="1"/>
  <c r="CT4" i="6"/>
  <c r="W29" i="14"/>
  <c r="CP3" i="22"/>
  <c r="C23" i="18"/>
  <c r="C28" i="18" s="1"/>
  <c r="CQ3" i="22" s="1"/>
  <c r="CQ22" i="22" s="1"/>
  <c r="CQ106" i="22" s="1"/>
  <c r="CQ127" i="22" s="1"/>
  <c r="B32" i="18"/>
  <c r="B37" i="18" s="1"/>
  <c r="B36" i="18" s="1"/>
  <c r="F5" i="19" s="1"/>
  <c r="B27" i="18"/>
  <c r="E5" i="19" s="1"/>
  <c r="CH58" i="22"/>
  <c r="CH121" i="22"/>
  <c r="CH142" i="22" s="1"/>
  <c r="CH79" i="22"/>
  <c r="CH72" i="22"/>
  <c r="CH51" i="22"/>
  <c r="CH114" i="22"/>
  <c r="CH135" i="22" s="1"/>
  <c r="CH53" i="22"/>
  <c r="CH116" i="22"/>
  <c r="CH137" i="22" s="1"/>
  <c r="CH74" i="22"/>
  <c r="CH55" i="22"/>
  <c r="CH118" i="22"/>
  <c r="CH139" i="22" s="1"/>
  <c r="CH76" i="22"/>
  <c r="CH48" i="22"/>
  <c r="CH69" i="22"/>
  <c r="CH111" i="22"/>
  <c r="CH132" i="22" s="1"/>
  <c r="CH64" i="22"/>
  <c r="CH43" i="22"/>
  <c r="CH106" i="22"/>
  <c r="CH127" i="22" s="1"/>
  <c r="CH46" i="22"/>
  <c r="CH67" i="22"/>
  <c r="CH109" i="22"/>
  <c r="CH130" i="22" s="1"/>
  <c r="CH70" i="22"/>
  <c r="CH49" i="22"/>
  <c r="CH112" i="22"/>
  <c r="CH133" i="22" s="1"/>
  <c r="CH50" i="22"/>
  <c r="CH71" i="22"/>
  <c r="CH113" i="22"/>
  <c r="CH134" i="22" s="1"/>
  <c r="CH56" i="22"/>
  <c r="CH119" i="22"/>
  <c r="CH140" i="22" s="1"/>
  <c r="CH77" i="22"/>
  <c r="CH54" i="22"/>
  <c r="CH117" i="22"/>
  <c r="CH138" i="22" s="1"/>
  <c r="CH75" i="22"/>
  <c r="CH57" i="22"/>
  <c r="CH120" i="22"/>
  <c r="CH141" i="22" s="1"/>
  <c r="CH78" i="22"/>
  <c r="CH44" i="22"/>
  <c r="CH65" i="22"/>
  <c r="CH107" i="22"/>
  <c r="CH128" i="22" s="1"/>
  <c r="CH62" i="22"/>
  <c r="CH41" i="22"/>
  <c r="CH104" i="22"/>
  <c r="CH125" i="22" s="1"/>
  <c r="CH66" i="22"/>
  <c r="CH45" i="22"/>
  <c r="CH108" i="22"/>
  <c r="CH129" i="22" s="1"/>
  <c r="CH52" i="22"/>
  <c r="CH73" i="22"/>
  <c r="CH115" i="22"/>
  <c r="CH136" i="22" s="1"/>
  <c r="CH68" i="22"/>
  <c r="CH47" i="22"/>
  <c r="CH110" i="22"/>
  <c r="CH131" i="22" s="1"/>
  <c r="CH42" i="22"/>
  <c r="CH63" i="22"/>
  <c r="CH105" i="22"/>
  <c r="CH126" i="22" s="1"/>
  <c r="CJ14" i="22"/>
  <c r="CI40" i="22"/>
  <c r="CI82" i="22"/>
  <c r="CI87" i="22"/>
  <c r="CI92" i="22"/>
  <c r="CI97" i="22"/>
  <c r="CI85" i="22"/>
  <c r="CI90" i="22"/>
  <c r="CI95" i="22"/>
  <c r="CI61" i="22"/>
  <c r="CI88" i="22"/>
  <c r="CI86" i="22"/>
  <c r="CI84" i="22"/>
  <c r="CI89" i="22"/>
  <c r="CI94" i="22"/>
  <c r="CI99" i="22"/>
  <c r="CI96" i="22"/>
  <c r="CI93" i="22"/>
  <c r="CI83" i="22"/>
  <c r="CI98" i="22"/>
  <c r="CI124" i="22"/>
  <c r="CI100" i="22"/>
  <c r="CI91" i="22"/>
  <c r="CI103" i="22"/>
  <c r="DA41" i="6"/>
  <c r="D14" i="19"/>
  <c r="F23" i="18"/>
  <c r="F27" i="18" s="1"/>
  <c r="F28" i="18" s="1"/>
  <c r="E14" i="19" s="1"/>
  <c r="D40" i="19"/>
  <c r="D44" i="19" s="1"/>
  <c r="D41" i="19"/>
  <c r="R18" i="18"/>
  <c r="CT23" i="6"/>
  <c r="CT18" i="6"/>
  <c r="CT48" i="6" s="1"/>
  <c r="CT57" i="6" s="1"/>
  <c r="CT17" i="6"/>
  <c r="S45" i="6"/>
  <c r="S54" i="6" s="1"/>
  <c r="S63" i="6" s="1"/>
  <c r="T31" i="6"/>
  <c r="AE33" i="6"/>
  <c r="T40" i="6"/>
  <c r="T47" i="6" s="1"/>
  <c r="T56" i="6" s="1"/>
  <c r="U26" i="6"/>
  <c r="AB37" i="6"/>
  <c r="T28" i="6"/>
  <c r="S42" i="6"/>
  <c r="S50" i="6" s="1"/>
  <c r="S59" i="6" s="1"/>
  <c r="V30" i="6"/>
  <c r="U44" i="6"/>
  <c r="U53" i="6" s="1"/>
  <c r="U62" i="6" s="1"/>
  <c r="V35" i="6"/>
  <c r="Z38" i="6"/>
  <c r="E23" i="19"/>
  <c r="E22" i="19"/>
  <c r="E26" i="19" s="1"/>
  <c r="J32" i="18"/>
  <c r="J37" i="18" s="1"/>
  <c r="N23" i="18"/>
  <c r="N28" i="18" s="1"/>
  <c r="E31" i="19" s="1"/>
  <c r="E35" i="19" s="1"/>
  <c r="D31" i="19"/>
  <c r="D35" i="19" s="1"/>
  <c r="D32" i="19"/>
  <c r="S28" i="18"/>
  <c r="S32" i="18" s="1"/>
  <c r="R28" i="18"/>
  <c r="DE41" i="6" l="1"/>
  <c r="DF27" i="6"/>
  <c r="B41" i="18"/>
  <c r="B46" i="18" s="1"/>
  <c r="B50" i="18" s="1"/>
  <c r="B55" i="18" s="1"/>
  <c r="K10" i="18"/>
  <c r="K14" i="18" s="1"/>
  <c r="K19" i="18" s="1"/>
  <c r="CQ37" i="22"/>
  <c r="CQ121" i="22" s="1"/>
  <c r="CQ142" i="22" s="1"/>
  <c r="CQ29" i="22"/>
  <c r="CQ113" i="22" s="1"/>
  <c r="CQ134" i="22" s="1"/>
  <c r="CQ24" i="22"/>
  <c r="CQ108" i="22" s="1"/>
  <c r="CQ129" i="22" s="1"/>
  <c r="CQ34" i="22"/>
  <c r="CQ118" i="22" s="1"/>
  <c r="CQ139" i="22" s="1"/>
  <c r="CQ6" i="22"/>
  <c r="CQ31" i="22" s="1"/>
  <c r="CQ115" i="22" s="1"/>
  <c r="CQ136" i="22" s="1"/>
  <c r="CQ28" i="22"/>
  <c r="CQ112" i="22" s="1"/>
  <c r="CQ133" i="22" s="1"/>
  <c r="CQ20" i="22"/>
  <c r="CQ104" i="22" s="1"/>
  <c r="CQ125" i="22" s="1"/>
  <c r="CQ35" i="22"/>
  <c r="CQ119" i="22" s="1"/>
  <c r="CQ140" i="22" s="1"/>
  <c r="CQ32" i="22"/>
  <c r="CQ116" i="22" s="1"/>
  <c r="CQ137" i="22" s="1"/>
  <c r="CQ36" i="22"/>
  <c r="CQ120" i="22" s="1"/>
  <c r="CQ141" i="22" s="1"/>
  <c r="CQ27" i="22"/>
  <c r="CQ111" i="22" s="1"/>
  <c r="CQ132" i="22" s="1"/>
  <c r="CQ26" i="22"/>
  <c r="CQ110" i="22" s="1"/>
  <c r="CQ131" i="22" s="1"/>
  <c r="C32" i="18"/>
  <c r="C37" i="18" s="1"/>
  <c r="CR3" i="22" s="1"/>
  <c r="CR26" i="22" s="1"/>
  <c r="CR110" i="22" s="1"/>
  <c r="CR131" i="22" s="1"/>
  <c r="CQ19" i="22"/>
  <c r="CQ23" i="22"/>
  <c r="CQ107" i="22" s="1"/>
  <c r="CQ128" i="22" s="1"/>
  <c r="CQ30" i="22"/>
  <c r="CQ114" i="22" s="1"/>
  <c r="CQ135" i="22" s="1"/>
  <c r="CP36" i="22"/>
  <c r="CP120" i="22" s="1"/>
  <c r="CP141" i="22" s="1"/>
  <c r="CP23" i="22"/>
  <c r="CP107" i="22" s="1"/>
  <c r="CP128" i="22" s="1"/>
  <c r="CP29" i="22"/>
  <c r="CP113" i="22" s="1"/>
  <c r="CP134" i="22" s="1"/>
  <c r="CP35" i="22"/>
  <c r="CP119" i="22" s="1"/>
  <c r="CP140" i="22" s="1"/>
  <c r="CP37" i="22"/>
  <c r="CP121" i="22" s="1"/>
  <c r="CP142" i="22" s="1"/>
  <c r="CP19" i="22"/>
  <c r="CP28" i="22"/>
  <c r="CP112" i="22" s="1"/>
  <c r="CP133" i="22" s="1"/>
  <c r="CP26" i="22"/>
  <c r="CP110" i="22" s="1"/>
  <c r="CP131" i="22" s="1"/>
  <c r="CP6" i="22"/>
  <c r="CP30" i="22"/>
  <c r="CP114" i="22" s="1"/>
  <c r="CP135" i="22" s="1"/>
  <c r="CP34" i="22"/>
  <c r="CP118" i="22" s="1"/>
  <c r="CP139" i="22" s="1"/>
  <c r="CP33" i="22"/>
  <c r="CP117" i="22" s="1"/>
  <c r="CP138" i="22" s="1"/>
  <c r="CP27" i="22"/>
  <c r="CP111" i="22" s="1"/>
  <c r="CP132" i="22" s="1"/>
  <c r="CP24" i="22"/>
  <c r="CP108" i="22" s="1"/>
  <c r="CP129" i="22" s="1"/>
  <c r="CP22" i="22"/>
  <c r="CP106" i="22" s="1"/>
  <c r="CP127" i="22" s="1"/>
  <c r="CP32" i="22"/>
  <c r="CP116" i="22" s="1"/>
  <c r="CP137" i="22" s="1"/>
  <c r="CP20" i="22"/>
  <c r="CP104" i="22" s="1"/>
  <c r="CP125" i="22" s="1"/>
  <c r="CQ33" i="22"/>
  <c r="CQ117" i="22" s="1"/>
  <c r="CQ138" i="22" s="1"/>
  <c r="F4" i="19"/>
  <c r="F8" i="19" s="1"/>
  <c r="O28" i="18"/>
  <c r="O32" i="18" s="1"/>
  <c r="G28" i="18"/>
  <c r="G32" i="18" s="1"/>
  <c r="F32" i="18"/>
  <c r="F36" i="18" s="1"/>
  <c r="F37" i="18" s="1"/>
  <c r="F14" i="19" s="1"/>
  <c r="E13" i="19"/>
  <c r="E17" i="19" s="1"/>
  <c r="DB41" i="6"/>
  <c r="DC41" i="6"/>
  <c r="CI72" i="22"/>
  <c r="CI51" i="22"/>
  <c r="CI114" i="22"/>
  <c r="CI135" i="22" s="1"/>
  <c r="CI78" i="22"/>
  <c r="CI57" i="22"/>
  <c r="CI120" i="22"/>
  <c r="CI141" i="22" s="1"/>
  <c r="CI52" i="22"/>
  <c r="CI73" i="22"/>
  <c r="CI115" i="22"/>
  <c r="CI136" i="22" s="1"/>
  <c r="CI76" i="22"/>
  <c r="CI55" i="22"/>
  <c r="CI118" i="22"/>
  <c r="CI139" i="22" s="1"/>
  <c r="CI50" i="22"/>
  <c r="CI71" i="22"/>
  <c r="CI113" i="22"/>
  <c r="CI134" i="22" s="1"/>
  <c r="CI42" i="22"/>
  <c r="CI63" i="22"/>
  <c r="CI105" i="22"/>
  <c r="CI126" i="22" s="1"/>
  <c r="CI46" i="22"/>
  <c r="CI67" i="22"/>
  <c r="CI109" i="22"/>
  <c r="CI130" i="22" s="1"/>
  <c r="CI54" i="22"/>
  <c r="CI75" i="22"/>
  <c r="CI117" i="22"/>
  <c r="CI138" i="22" s="1"/>
  <c r="CI66" i="22"/>
  <c r="CI45" i="22"/>
  <c r="CI108" i="22"/>
  <c r="CI129" i="22" s="1"/>
  <c r="CI68" i="22"/>
  <c r="CI47" i="22"/>
  <c r="CI110" i="22"/>
  <c r="CI131" i="22" s="1"/>
  <c r="CJ82" i="22"/>
  <c r="CJ87" i="22"/>
  <c r="CJ92" i="22"/>
  <c r="CJ97" i="22"/>
  <c r="CJ40" i="22"/>
  <c r="CJ85" i="22"/>
  <c r="CJ90" i="22"/>
  <c r="CJ95" i="22"/>
  <c r="CJ83" i="22"/>
  <c r="CJ86" i="22"/>
  <c r="CJ91" i="22"/>
  <c r="CJ96" i="22"/>
  <c r="CJ84" i="22"/>
  <c r="CJ89" i="22"/>
  <c r="CK14" i="22"/>
  <c r="CJ99" i="22"/>
  <c r="CJ93" i="22"/>
  <c r="CJ98" i="22"/>
  <c r="CJ124" i="22"/>
  <c r="CJ61" i="22"/>
  <c r="CJ100" i="22"/>
  <c r="CJ94" i="22"/>
  <c r="CJ103" i="22"/>
  <c r="CJ88" i="22"/>
  <c r="CI44" i="22"/>
  <c r="CI65" i="22"/>
  <c r="CI107" i="22"/>
  <c r="CI128" i="22" s="1"/>
  <c r="CI70" i="22"/>
  <c r="CI49" i="22"/>
  <c r="CI112" i="22"/>
  <c r="CI133" i="22" s="1"/>
  <c r="CI58" i="22"/>
  <c r="CI79" i="22"/>
  <c r="CI121" i="22"/>
  <c r="CI142" i="22" s="1"/>
  <c r="CI74" i="22"/>
  <c r="CI53" i="22"/>
  <c r="CI116" i="22"/>
  <c r="CI137" i="22" s="1"/>
  <c r="CI56" i="22"/>
  <c r="CI77" i="22"/>
  <c r="CI119" i="22"/>
  <c r="CI140" i="22" s="1"/>
  <c r="CI48" i="22"/>
  <c r="CI69" i="22"/>
  <c r="CI111" i="22"/>
  <c r="CI132" i="22" s="1"/>
  <c r="CI62" i="22"/>
  <c r="CI41" i="22"/>
  <c r="CI104" i="22"/>
  <c r="CI125" i="22" s="1"/>
  <c r="CI64" i="22"/>
  <c r="CI43" i="22"/>
  <c r="CI106" i="22"/>
  <c r="CI127" i="22" s="1"/>
  <c r="E32" i="19"/>
  <c r="U31" i="6"/>
  <c r="T45" i="6"/>
  <c r="T54" i="6" s="1"/>
  <c r="T63" i="6" s="1"/>
  <c r="W30" i="6"/>
  <c r="V44" i="6"/>
  <c r="V53" i="6" s="1"/>
  <c r="V62" i="6" s="1"/>
  <c r="AC37" i="6"/>
  <c r="U28" i="6"/>
  <c r="T42" i="6"/>
  <c r="T50" i="6" s="1"/>
  <c r="T59" i="6" s="1"/>
  <c r="AA38" i="6"/>
  <c r="U40" i="6"/>
  <c r="U47" i="6" s="1"/>
  <c r="U56" i="6" s="1"/>
  <c r="V26" i="6"/>
  <c r="W35" i="6"/>
  <c r="AF33" i="6"/>
  <c r="N32" i="18"/>
  <c r="N37" i="18" s="1"/>
  <c r="F31" i="19" s="1"/>
  <c r="F35" i="19" s="1"/>
  <c r="N27" i="18"/>
  <c r="J36" i="18"/>
  <c r="F22" i="19"/>
  <c r="F26" i="19" s="1"/>
  <c r="F23" i="19"/>
  <c r="J41" i="18"/>
  <c r="J46" i="18" s="1"/>
  <c r="G4" i="19"/>
  <c r="G8" i="19" s="1"/>
  <c r="B45" i="18"/>
  <c r="G5" i="19" s="1"/>
  <c r="E40" i="19"/>
  <c r="E44" i="19" s="1"/>
  <c r="E41" i="19"/>
  <c r="R32" i="18"/>
  <c r="R37" i="18" s="1"/>
  <c r="R27" i="18"/>
  <c r="CQ21" i="22" l="1"/>
  <c r="CQ105" i="22" s="1"/>
  <c r="CQ126" i="22" s="1"/>
  <c r="CQ25" i="22"/>
  <c r="CQ109" i="22" s="1"/>
  <c r="CQ130" i="22" s="1"/>
  <c r="DF41" i="6"/>
  <c r="DG27" i="6"/>
  <c r="CT3" i="6"/>
  <c r="K23" i="18"/>
  <c r="K28" i="18" s="1"/>
  <c r="CR33" i="22"/>
  <c r="CR117" i="22" s="1"/>
  <c r="CR138" i="22" s="1"/>
  <c r="C41" i="18"/>
  <c r="C46" i="18" s="1"/>
  <c r="CS3" i="22" s="1"/>
  <c r="CS35" i="22" s="1"/>
  <c r="CS119" i="22" s="1"/>
  <c r="CS140" i="22" s="1"/>
  <c r="CR28" i="22"/>
  <c r="CR112" i="22" s="1"/>
  <c r="CR133" i="22" s="1"/>
  <c r="CP31" i="22"/>
  <c r="CP115" i="22" s="1"/>
  <c r="CP136" i="22" s="1"/>
  <c r="CP21" i="22"/>
  <c r="CP105" i="22" s="1"/>
  <c r="CP126" i="22" s="1"/>
  <c r="CP25" i="22"/>
  <c r="CP109" i="22" s="1"/>
  <c r="CP130" i="22" s="1"/>
  <c r="CR24" i="22"/>
  <c r="CR108" i="22" s="1"/>
  <c r="CR129" i="22" s="1"/>
  <c r="CR20" i="22"/>
  <c r="CR104" i="22" s="1"/>
  <c r="CR125" i="22" s="1"/>
  <c r="CR29" i="22"/>
  <c r="CR113" i="22" s="1"/>
  <c r="CR134" i="22" s="1"/>
  <c r="CR34" i="22"/>
  <c r="CR118" i="22" s="1"/>
  <c r="CR139" i="22" s="1"/>
  <c r="CR6" i="22"/>
  <c r="CR31" i="22" s="1"/>
  <c r="CR115" i="22" s="1"/>
  <c r="CR136" i="22" s="1"/>
  <c r="CR37" i="22"/>
  <c r="CR121" i="22" s="1"/>
  <c r="CR142" i="22" s="1"/>
  <c r="G37" i="18"/>
  <c r="CV4" i="6" s="1"/>
  <c r="CV18" i="6" s="1"/>
  <c r="CV48" i="6" s="1"/>
  <c r="CV57" i="6" s="1"/>
  <c r="CR36" i="22"/>
  <c r="CR120" i="22" s="1"/>
  <c r="CR141" i="22" s="1"/>
  <c r="CU4" i="6"/>
  <c r="CU18" i="6" s="1"/>
  <c r="CU48" i="6" s="1"/>
  <c r="CU57" i="6" s="1"/>
  <c r="CR32" i="22"/>
  <c r="CR116" i="22" s="1"/>
  <c r="CR137" i="22" s="1"/>
  <c r="CR27" i="22"/>
  <c r="CR111" i="22" s="1"/>
  <c r="CR132" i="22" s="1"/>
  <c r="CR23" i="22"/>
  <c r="CR107" i="22" s="1"/>
  <c r="CR128" i="22" s="1"/>
  <c r="CR19" i="22"/>
  <c r="CR35" i="22"/>
  <c r="CR119" i="22" s="1"/>
  <c r="CR140" i="22" s="1"/>
  <c r="CR30" i="22"/>
  <c r="CR114" i="22" s="1"/>
  <c r="CR135" i="22" s="1"/>
  <c r="CR22" i="22"/>
  <c r="CR106" i="22" s="1"/>
  <c r="CR127" i="22" s="1"/>
  <c r="F13" i="19"/>
  <c r="F17" i="19" s="1"/>
  <c r="F41" i="18"/>
  <c r="F45" i="18" s="1"/>
  <c r="F46" i="18" s="1"/>
  <c r="G13" i="19" s="1"/>
  <c r="G17" i="19" s="1"/>
  <c r="CJ56" i="22"/>
  <c r="CJ77" i="22"/>
  <c r="CJ119" i="22"/>
  <c r="CJ140" i="22" s="1"/>
  <c r="CJ46" i="22"/>
  <c r="CJ67" i="22"/>
  <c r="CJ109" i="22"/>
  <c r="CJ130" i="22" s="1"/>
  <c r="CJ70" i="22"/>
  <c r="CJ49" i="22"/>
  <c r="CJ112" i="22"/>
  <c r="CJ133" i="22" s="1"/>
  <c r="CJ72" i="22"/>
  <c r="CJ51" i="22"/>
  <c r="CJ114" i="22"/>
  <c r="CJ135" i="22" s="1"/>
  <c r="CJ76" i="22"/>
  <c r="CJ55" i="22"/>
  <c r="CJ118" i="22"/>
  <c r="CJ139" i="22" s="1"/>
  <c r="CJ66" i="22"/>
  <c r="CJ45" i="22"/>
  <c r="CJ108" i="22"/>
  <c r="CJ129" i="22" s="1"/>
  <c r="CJ52" i="22"/>
  <c r="CJ73" i="22"/>
  <c r="CJ115" i="22"/>
  <c r="CJ136" i="22" s="1"/>
  <c r="CJ64" i="22"/>
  <c r="CJ43" i="22"/>
  <c r="CJ106" i="22"/>
  <c r="CJ127" i="22" s="1"/>
  <c r="CJ58" i="22"/>
  <c r="CJ79" i="22"/>
  <c r="CJ121" i="22"/>
  <c r="CJ142" i="22" s="1"/>
  <c r="CJ78" i="22"/>
  <c r="CJ57" i="22"/>
  <c r="CJ120" i="22"/>
  <c r="CJ141" i="22" s="1"/>
  <c r="CK61" i="22"/>
  <c r="CL14" i="22"/>
  <c r="CK99" i="22"/>
  <c r="CK82" i="22"/>
  <c r="CK87" i="22"/>
  <c r="CK92" i="22"/>
  <c r="CK97" i="22"/>
  <c r="CK40" i="22"/>
  <c r="CK85" i="22"/>
  <c r="CK90" i="22"/>
  <c r="CK95" i="22"/>
  <c r="CK88" i="22"/>
  <c r="CK83" i="22"/>
  <c r="CK86" i="22"/>
  <c r="CK91" i="22"/>
  <c r="CK96" i="22"/>
  <c r="CK94" i="22"/>
  <c r="CK103" i="22"/>
  <c r="CK89" i="22"/>
  <c r="CK93" i="22"/>
  <c r="CK98" i="22"/>
  <c r="CK124" i="22"/>
  <c r="CK84" i="22"/>
  <c r="CK100" i="22"/>
  <c r="CJ68" i="22"/>
  <c r="CJ47" i="22"/>
  <c r="CJ110" i="22"/>
  <c r="CJ131" i="22" s="1"/>
  <c r="CJ42" i="22"/>
  <c r="CJ63" i="22"/>
  <c r="CJ105" i="22"/>
  <c r="CJ126" i="22" s="1"/>
  <c r="CJ54" i="22"/>
  <c r="CJ75" i="22"/>
  <c r="CJ117" i="22"/>
  <c r="CJ138" i="22" s="1"/>
  <c r="CJ44" i="22"/>
  <c r="CJ65" i="22"/>
  <c r="CJ107" i="22"/>
  <c r="CJ128" i="22" s="1"/>
  <c r="CJ50" i="22"/>
  <c r="CJ71" i="22"/>
  <c r="CJ113" i="22"/>
  <c r="CJ134" i="22" s="1"/>
  <c r="CJ62" i="22"/>
  <c r="CJ41" i="22"/>
  <c r="CJ104" i="22"/>
  <c r="CJ125" i="22" s="1"/>
  <c r="CJ74" i="22"/>
  <c r="CJ53" i="22"/>
  <c r="CJ116" i="22"/>
  <c r="CJ137" i="22" s="1"/>
  <c r="CJ48" i="22"/>
  <c r="CJ69" i="22"/>
  <c r="CJ111" i="22"/>
  <c r="CJ132" i="22" s="1"/>
  <c r="N41" i="18"/>
  <c r="N46" i="18" s="1"/>
  <c r="N45" i="18" s="1"/>
  <c r="N36" i="18"/>
  <c r="O37" i="18"/>
  <c r="O41" i="18" s="1"/>
  <c r="V31" i="6"/>
  <c r="U45" i="6"/>
  <c r="U54" i="6" s="1"/>
  <c r="U63" i="6" s="1"/>
  <c r="AD37" i="6"/>
  <c r="W26" i="6"/>
  <c r="V40" i="6"/>
  <c r="V47" i="6" s="1"/>
  <c r="V56" i="6" s="1"/>
  <c r="AB38" i="6"/>
  <c r="AG33" i="6"/>
  <c r="V28" i="6"/>
  <c r="U42" i="6"/>
  <c r="U50" i="6" s="1"/>
  <c r="U59" i="6" s="1"/>
  <c r="W44" i="6"/>
  <c r="W53" i="6" s="1"/>
  <c r="W62" i="6" s="1"/>
  <c r="X30" i="6"/>
  <c r="X35" i="6"/>
  <c r="F32" i="19"/>
  <c r="J50" i="18"/>
  <c r="J55" i="18" s="1"/>
  <c r="J45" i="18"/>
  <c r="G23" i="19" s="1"/>
  <c r="G22" i="19"/>
  <c r="G26" i="19" s="1"/>
  <c r="S37" i="18"/>
  <c r="S41" i="18" s="1"/>
  <c r="B54" i="18"/>
  <c r="H5" i="19" s="1"/>
  <c r="B59" i="18"/>
  <c r="B64" i="18" s="1"/>
  <c r="B68" i="18" s="1"/>
  <c r="B73" i="18" s="1"/>
  <c r="J4" i="19" s="1"/>
  <c r="H4" i="19"/>
  <c r="H8" i="19" s="1"/>
  <c r="G14" i="19"/>
  <c r="R36" i="18"/>
  <c r="F41" i="19"/>
  <c r="F40" i="19"/>
  <c r="F44" i="19" s="1"/>
  <c r="R41" i="18"/>
  <c r="R46" i="18" s="1"/>
  <c r="DG41" i="6" l="1"/>
  <c r="DH27" i="6"/>
  <c r="CS31" i="22"/>
  <c r="CS115" i="22" s="1"/>
  <c r="CS136" i="22" s="1"/>
  <c r="CS30" i="22"/>
  <c r="CS114" i="22" s="1"/>
  <c r="CS135" i="22" s="1"/>
  <c r="CS22" i="22"/>
  <c r="CS106" i="22" s="1"/>
  <c r="CS127" i="22" s="1"/>
  <c r="C50" i="18"/>
  <c r="C55" i="18" s="1"/>
  <c r="CT3" i="22" s="1"/>
  <c r="CT20" i="22" s="1"/>
  <c r="CT104" i="22" s="1"/>
  <c r="CT125" i="22" s="1"/>
  <c r="CS26" i="22"/>
  <c r="CS110" i="22" s="1"/>
  <c r="CS131" i="22" s="1"/>
  <c r="CS6" i="22"/>
  <c r="CS25" i="22" s="1"/>
  <c r="CS109" i="22" s="1"/>
  <c r="CS130" i="22" s="1"/>
  <c r="CS37" i="22"/>
  <c r="CS121" i="22" s="1"/>
  <c r="CS142" i="22" s="1"/>
  <c r="CS29" i="22"/>
  <c r="CS113" i="22" s="1"/>
  <c r="CS134" i="22" s="1"/>
  <c r="CS33" i="22"/>
  <c r="CS117" i="22" s="1"/>
  <c r="CS138" i="22" s="1"/>
  <c r="CS28" i="22"/>
  <c r="CS112" i="22" s="1"/>
  <c r="CS133" i="22" s="1"/>
  <c r="CS32" i="22"/>
  <c r="CS116" i="22" s="1"/>
  <c r="CS137" i="22" s="1"/>
  <c r="K32" i="18"/>
  <c r="K37" i="18" s="1"/>
  <c r="CU3" i="6"/>
  <c r="CS27" i="22"/>
  <c r="CS111" i="22" s="1"/>
  <c r="CS132" i="22" s="1"/>
  <c r="CT5" i="6"/>
  <c r="CT22" i="6" s="1"/>
  <c r="CT19" i="6"/>
  <c r="CT24" i="6"/>
  <c r="CT21" i="6"/>
  <c r="CS36" i="22"/>
  <c r="CS120" i="22" s="1"/>
  <c r="CS141" i="22" s="1"/>
  <c r="CS23" i="22"/>
  <c r="CS107" i="22" s="1"/>
  <c r="CS128" i="22" s="1"/>
  <c r="CS24" i="22"/>
  <c r="CS108" i="22" s="1"/>
  <c r="CS129" i="22" s="1"/>
  <c r="CS19" i="22"/>
  <c r="CS20" i="22"/>
  <c r="CS104" i="22" s="1"/>
  <c r="CS125" i="22" s="1"/>
  <c r="CS34" i="22"/>
  <c r="CS118" i="22" s="1"/>
  <c r="CS139" i="22" s="1"/>
  <c r="CR21" i="22"/>
  <c r="CR105" i="22" s="1"/>
  <c r="CR126" i="22" s="1"/>
  <c r="CR25" i="22"/>
  <c r="CR109" i="22" s="1"/>
  <c r="CR130" i="22" s="1"/>
  <c r="F50" i="18"/>
  <c r="F54" i="18" s="1"/>
  <c r="F55" i="18" s="1"/>
  <c r="F59" i="18" s="1"/>
  <c r="F63" i="18" s="1"/>
  <c r="F64" i="18" s="1"/>
  <c r="F68" i="18" s="1"/>
  <c r="G41" i="18"/>
  <c r="G46" i="18" s="1"/>
  <c r="O46" i="18"/>
  <c r="O50" i="18" s="1"/>
  <c r="CU17" i="6"/>
  <c r="CU23" i="6"/>
  <c r="G32" i="19"/>
  <c r="G31" i="19"/>
  <c r="G35" i="19" s="1"/>
  <c r="N50" i="18"/>
  <c r="N55" i="18" s="1"/>
  <c r="N59" i="18" s="1"/>
  <c r="N64" i="18" s="1"/>
  <c r="N68" i="18" s="1"/>
  <c r="N73" i="18" s="1"/>
  <c r="CK45" i="22"/>
  <c r="CK66" i="22"/>
  <c r="CK108" i="22"/>
  <c r="CK129" i="22" s="1"/>
  <c r="CL61" i="22"/>
  <c r="CM14" i="22"/>
  <c r="CL40" i="22"/>
  <c r="CL84" i="22"/>
  <c r="CL89" i="22"/>
  <c r="CL94" i="22"/>
  <c r="CL99" i="22"/>
  <c r="CL82" i="22"/>
  <c r="CL87" i="22"/>
  <c r="CL92" i="22"/>
  <c r="CL97" i="22"/>
  <c r="CL83" i="22"/>
  <c r="CL93" i="22"/>
  <c r="CL86" i="22"/>
  <c r="CL91" i="22"/>
  <c r="CL90" i="22"/>
  <c r="CL95" i="22"/>
  <c r="CL103" i="22"/>
  <c r="CL96" i="22"/>
  <c r="CL85" i="22"/>
  <c r="CL98" i="22"/>
  <c r="CL124" i="22"/>
  <c r="CL88" i="22"/>
  <c r="CL100" i="22"/>
  <c r="CK79" i="22"/>
  <c r="CK58" i="22"/>
  <c r="CK121" i="22"/>
  <c r="CK142" i="22" s="1"/>
  <c r="CK50" i="22"/>
  <c r="CK71" i="22"/>
  <c r="CK113" i="22"/>
  <c r="CK134" i="22" s="1"/>
  <c r="CK63" i="22"/>
  <c r="CK42" i="22"/>
  <c r="CK105" i="22"/>
  <c r="CK126" i="22" s="1"/>
  <c r="CK53" i="22"/>
  <c r="CK74" i="22"/>
  <c r="CK116" i="22"/>
  <c r="CK137" i="22" s="1"/>
  <c r="CK57" i="22"/>
  <c r="CK78" i="22"/>
  <c r="CK120" i="22"/>
  <c r="CK141" i="22" s="1"/>
  <c r="CK56" i="22"/>
  <c r="CK77" i="22"/>
  <c r="CK119" i="22"/>
  <c r="CK140" i="22" s="1"/>
  <c r="CK43" i="22"/>
  <c r="CK64" i="22"/>
  <c r="CK106" i="22"/>
  <c r="CK127" i="22" s="1"/>
  <c r="CK73" i="22"/>
  <c r="CK115" i="22"/>
  <c r="CK136" i="22" s="1"/>
  <c r="CK52" i="22"/>
  <c r="CK67" i="22"/>
  <c r="CK46" i="22"/>
  <c r="CK109" i="22"/>
  <c r="CK130" i="22" s="1"/>
  <c r="CK51" i="22"/>
  <c r="CK72" i="22"/>
  <c r="CK114" i="22"/>
  <c r="CK135" i="22" s="1"/>
  <c r="CK75" i="22"/>
  <c r="CK54" i="22"/>
  <c r="CK117" i="22"/>
  <c r="CK138" i="22" s="1"/>
  <c r="CK49" i="22"/>
  <c r="CK70" i="22"/>
  <c r="CK112" i="22"/>
  <c r="CK133" i="22" s="1"/>
  <c r="CK44" i="22"/>
  <c r="CK65" i="22"/>
  <c r="CK107" i="22"/>
  <c r="CK128" i="22" s="1"/>
  <c r="CK41" i="22"/>
  <c r="CK62" i="22"/>
  <c r="CK104" i="22"/>
  <c r="CK125" i="22" s="1"/>
  <c r="CK69" i="22"/>
  <c r="CK48" i="22"/>
  <c r="CK111" i="22"/>
  <c r="CK132" i="22" s="1"/>
  <c r="CK47" i="22"/>
  <c r="CK68" i="22"/>
  <c r="CK110" i="22"/>
  <c r="CK131" i="22" s="1"/>
  <c r="CK55" i="22"/>
  <c r="CK76" i="22"/>
  <c r="CK118" i="22"/>
  <c r="CK139" i="22" s="1"/>
  <c r="B77" i="18"/>
  <c r="B82" i="18" s="1"/>
  <c r="B86" i="18" s="1"/>
  <c r="B72" i="18"/>
  <c r="J5" i="19" s="1"/>
  <c r="W31" i="6"/>
  <c r="V45" i="6"/>
  <c r="V54" i="6" s="1"/>
  <c r="V63" i="6" s="1"/>
  <c r="W28" i="6"/>
  <c r="V42" i="6"/>
  <c r="V50" i="6" s="1"/>
  <c r="V59" i="6" s="1"/>
  <c r="AC38" i="6"/>
  <c r="W40" i="6"/>
  <c r="W47" i="6" s="1"/>
  <c r="W56" i="6" s="1"/>
  <c r="X26" i="6"/>
  <c r="AH33" i="6"/>
  <c r="Y35" i="6"/>
  <c r="AE37" i="6"/>
  <c r="Y30" i="6"/>
  <c r="X44" i="6"/>
  <c r="X53" i="6" s="1"/>
  <c r="X62" i="6" s="1"/>
  <c r="H22" i="19"/>
  <c r="H26" i="19" s="1"/>
  <c r="J59" i="18"/>
  <c r="J64" i="18" s="1"/>
  <c r="J68" i="18" s="1"/>
  <c r="J73" i="18" s="1"/>
  <c r="J54" i="18"/>
  <c r="H23" i="19" s="1"/>
  <c r="I4" i="19"/>
  <c r="B63" i="18"/>
  <c r="I5" i="19" s="1"/>
  <c r="R50" i="18"/>
  <c r="R55" i="18" s="1"/>
  <c r="R45" i="18"/>
  <c r="G40" i="19"/>
  <c r="G44" i="19" s="1"/>
  <c r="G41" i="19"/>
  <c r="S46" i="18"/>
  <c r="S50" i="18" s="1"/>
  <c r="CV17" i="6"/>
  <c r="CV23" i="6"/>
  <c r="DH41" i="6" l="1"/>
  <c r="DI27" i="6"/>
  <c r="C59" i="18"/>
  <c r="C64" i="18" s="1"/>
  <c r="CU3" i="22" s="1"/>
  <c r="CU30" i="22" s="1"/>
  <c r="CU114" i="22" s="1"/>
  <c r="CU135" i="22" s="1"/>
  <c r="CS21" i="22"/>
  <c r="CS105" i="22" s="1"/>
  <c r="CS126" i="22" s="1"/>
  <c r="H14" i="19"/>
  <c r="H13" i="19"/>
  <c r="H17" i="19" s="1"/>
  <c r="CT36" i="22"/>
  <c r="CT120" i="22" s="1"/>
  <c r="CT141" i="22" s="1"/>
  <c r="CT32" i="22"/>
  <c r="CT116" i="22" s="1"/>
  <c r="CT137" i="22" s="1"/>
  <c r="CT31" i="22"/>
  <c r="CT115" i="22" s="1"/>
  <c r="CT136" i="22" s="1"/>
  <c r="CT26" i="22"/>
  <c r="CT110" i="22" s="1"/>
  <c r="CT131" i="22" s="1"/>
  <c r="CT34" i="22"/>
  <c r="CT118" i="22" s="1"/>
  <c r="CT139" i="22" s="1"/>
  <c r="CT30" i="22"/>
  <c r="CT114" i="22" s="1"/>
  <c r="CT135" i="22" s="1"/>
  <c r="CT22" i="22"/>
  <c r="CT106" i="22" s="1"/>
  <c r="CT127" i="22" s="1"/>
  <c r="CT29" i="22"/>
  <c r="CT113" i="22" s="1"/>
  <c r="CT134" i="22" s="1"/>
  <c r="CT37" i="22"/>
  <c r="CT121" i="22" s="1"/>
  <c r="CT142" i="22" s="1"/>
  <c r="CT6" i="22"/>
  <c r="CT21" i="22" s="1"/>
  <c r="CT105" i="22" s="1"/>
  <c r="CT126" i="22" s="1"/>
  <c r="CT27" i="22"/>
  <c r="CT111" i="22" s="1"/>
  <c r="CT132" i="22" s="1"/>
  <c r="CT19" i="22"/>
  <c r="CT33" i="22"/>
  <c r="CT117" i="22" s="1"/>
  <c r="CT138" i="22" s="1"/>
  <c r="CT23" i="22"/>
  <c r="CT107" i="22" s="1"/>
  <c r="CT128" i="22" s="1"/>
  <c r="CT28" i="22"/>
  <c r="CT112" i="22" s="1"/>
  <c r="CT133" i="22" s="1"/>
  <c r="CT24" i="22"/>
  <c r="CT108" i="22" s="1"/>
  <c r="CT129" i="22" s="1"/>
  <c r="CT35" i="22"/>
  <c r="CT119" i="22" s="1"/>
  <c r="CT140" i="22" s="1"/>
  <c r="CT20" i="6"/>
  <c r="CW4" i="6"/>
  <c r="CW18" i="6" s="1"/>
  <c r="CW48" i="6" s="1"/>
  <c r="CW57" i="6" s="1"/>
  <c r="G50" i="18"/>
  <c r="G55" i="18" s="1"/>
  <c r="CX4" i="6" s="1"/>
  <c r="CX18" i="6" s="1"/>
  <c r="CX48" i="6" s="1"/>
  <c r="CX57" i="6" s="1"/>
  <c r="CU5" i="6"/>
  <c r="CU22" i="6" s="1"/>
  <c r="CU21" i="6"/>
  <c r="CU19" i="6"/>
  <c r="CU24" i="6"/>
  <c r="K41" i="18"/>
  <c r="K46" i="18" s="1"/>
  <c r="CV3" i="6"/>
  <c r="O55" i="18"/>
  <c r="O59" i="18" s="1"/>
  <c r="O64" i="18" s="1"/>
  <c r="O68" i="18" s="1"/>
  <c r="O73" i="18" s="1"/>
  <c r="O77" i="18" s="1"/>
  <c r="H31" i="19"/>
  <c r="H35" i="19" s="1"/>
  <c r="N54" i="18"/>
  <c r="H32" i="19"/>
  <c r="CL52" i="22"/>
  <c r="CL73" i="22"/>
  <c r="CL115" i="22"/>
  <c r="CL136" i="22" s="1"/>
  <c r="CL56" i="22"/>
  <c r="CL77" i="22"/>
  <c r="CL119" i="22"/>
  <c r="CL140" i="22" s="1"/>
  <c r="CL57" i="22"/>
  <c r="CL78" i="22"/>
  <c r="CL120" i="22"/>
  <c r="CL141" i="22" s="1"/>
  <c r="CL53" i="22"/>
  <c r="CL74" i="22"/>
  <c r="CL116" i="22"/>
  <c r="CL137" i="22" s="1"/>
  <c r="CL51" i="22"/>
  <c r="CL72" i="22"/>
  <c r="CL114" i="22"/>
  <c r="CL135" i="22" s="1"/>
  <c r="CL43" i="22"/>
  <c r="CL64" i="22"/>
  <c r="CL106" i="22"/>
  <c r="CL127" i="22" s="1"/>
  <c r="CL63" i="22"/>
  <c r="CL42" i="22"/>
  <c r="CL105" i="22"/>
  <c r="CL126" i="22" s="1"/>
  <c r="CL49" i="22"/>
  <c r="CL70" i="22"/>
  <c r="CL112" i="22"/>
  <c r="CL133" i="22" s="1"/>
  <c r="CL58" i="22"/>
  <c r="CL79" i="22"/>
  <c r="CL121" i="22"/>
  <c r="CL142" i="22" s="1"/>
  <c r="CL69" i="22"/>
  <c r="CL48" i="22"/>
  <c r="CL111" i="22"/>
  <c r="CL132" i="22" s="1"/>
  <c r="CL65" i="22"/>
  <c r="CL44" i="22"/>
  <c r="CL107" i="22"/>
  <c r="CL128" i="22" s="1"/>
  <c r="CL67" i="22"/>
  <c r="CL46" i="22"/>
  <c r="CL109" i="22"/>
  <c r="CL130" i="22" s="1"/>
  <c r="CL55" i="22"/>
  <c r="CL76" i="22"/>
  <c r="CL118" i="22"/>
  <c r="CL139" i="22" s="1"/>
  <c r="CL45" i="22"/>
  <c r="CL66" i="22"/>
  <c r="CL108" i="22"/>
  <c r="CL129" i="22" s="1"/>
  <c r="CL75" i="22"/>
  <c r="CL54" i="22"/>
  <c r="CL117" i="22"/>
  <c r="CL138" i="22" s="1"/>
  <c r="CL47" i="22"/>
  <c r="CL68" i="22"/>
  <c r="CL110" i="22"/>
  <c r="CL131" i="22" s="1"/>
  <c r="CL41" i="22"/>
  <c r="CL62" i="22"/>
  <c r="CL104" i="22"/>
  <c r="CL125" i="22" s="1"/>
  <c r="CL113" i="22"/>
  <c r="CL134" i="22" s="1"/>
  <c r="CL71" i="22"/>
  <c r="CL50" i="22"/>
  <c r="B91" i="18"/>
  <c r="B81" i="18"/>
  <c r="K5" i="19" s="1"/>
  <c r="K4" i="19"/>
  <c r="F72" i="18"/>
  <c r="F73" i="18" s="1"/>
  <c r="N77" i="18"/>
  <c r="N72" i="18"/>
  <c r="J32" i="19"/>
  <c r="J31" i="19"/>
  <c r="J77" i="18"/>
  <c r="J72" i="18"/>
  <c r="J23" i="19" s="1"/>
  <c r="J22" i="19"/>
  <c r="X31" i="6"/>
  <c r="W45" i="6"/>
  <c r="W54" i="6" s="1"/>
  <c r="W63" i="6" s="1"/>
  <c r="Z30" i="6"/>
  <c r="Y44" i="6"/>
  <c r="Y53" i="6" s="1"/>
  <c r="Y62" i="6" s="1"/>
  <c r="Y26" i="6"/>
  <c r="X40" i="6"/>
  <c r="X47" i="6" s="1"/>
  <c r="X56" i="6" s="1"/>
  <c r="AF37" i="6"/>
  <c r="AD38" i="6"/>
  <c r="AI33" i="6"/>
  <c r="Z35" i="6"/>
  <c r="X28" i="6"/>
  <c r="W42" i="6"/>
  <c r="W50" i="6" s="1"/>
  <c r="W59" i="6" s="1"/>
  <c r="I22" i="19"/>
  <c r="J63" i="18"/>
  <c r="I23" i="19" s="1"/>
  <c r="S55" i="18"/>
  <c r="S59" i="18" s="1"/>
  <c r="I8" i="19"/>
  <c r="R59" i="18"/>
  <c r="R64" i="18" s="1"/>
  <c r="R68" i="18" s="1"/>
  <c r="R73" i="18" s="1"/>
  <c r="R54" i="18"/>
  <c r="H41" i="19"/>
  <c r="H40" i="19"/>
  <c r="H44" i="19" s="1"/>
  <c r="N63" i="18"/>
  <c r="I32" i="19"/>
  <c r="I31" i="19"/>
  <c r="I14" i="19"/>
  <c r="I13" i="19"/>
  <c r="DI41" i="6" l="1"/>
  <c r="DJ27" i="6"/>
  <c r="DJ41" i="6" s="1"/>
  <c r="C68" i="18"/>
  <c r="C73" i="18" s="1"/>
  <c r="CV3" i="22" s="1"/>
  <c r="CV23" i="22" s="1"/>
  <c r="CV107" i="22" s="1"/>
  <c r="CV128" i="22" s="1"/>
  <c r="CU32" i="22"/>
  <c r="CU116" i="22" s="1"/>
  <c r="CU137" i="22" s="1"/>
  <c r="CU34" i="22"/>
  <c r="CU118" i="22" s="1"/>
  <c r="CU139" i="22" s="1"/>
  <c r="CU36" i="22"/>
  <c r="CU120" i="22" s="1"/>
  <c r="CU141" i="22" s="1"/>
  <c r="CU26" i="22"/>
  <c r="CU110" i="22" s="1"/>
  <c r="CU131" i="22" s="1"/>
  <c r="CU22" i="22"/>
  <c r="CU106" i="22" s="1"/>
  <c r="CU127" i="22" s="1"/>
  <c r="CU29" i="22"/>
  <c r="CU113" i="22" s="1"/>
  <c r="CU134" i="22" s="1"/>
  <c r="CU37" i="22"/>
  <c r="CU121" i="22" s="1"/>
  <c r="CU142" i="22" s="1"/>
  <c r="CU33" i="22"/>
  <c r="CU117" i="22" s="1"/>
  <c r="CU138" i="22" s="1"/>
  <c r="CU20" i="22"/>
  <c r="CU104" i="22" s="1"/>
  <c r="CU125" i="22" s="1"/>
  <c r="CU6" i="22"/>
  <c r="CU21" i="22" s="1"/>
  <c r="CU105" i="22" s="1"/>
  <c r="CU126" i="22" s="1"/>
  <c r="CU28" i="22"/>
  <c r="CU112" i="22" s="1"/>
  <c r="CU133" i="22" s="1"/>
  <c r="CW23" i="6"/>
  <c r="CU24" i="22"/>
  <c r="CU108" i="22" s="1"/>
  <c r="CU129" i="22" s="1"/>
  <c r="CU27" i="22"/>
  <c r="CU111" i="22" s="1"/>
  <c r="CU132" i="22" s="1"/>
  <c r="CU23" i="22"/>
  <c r="CU107" i="22" s="1"/>
  <c r="CU128" i="22" s="1"/>
  <c r="CU31" i="22"/>
  <c r="CU115" i="22" s="1"/>
  <c r="CU136" i="22" s="1"/>
  <c r="CU19" i="22"/>
  <c r="CU35" i="22"/>
  <c r="CU119" i="22" s="1"/>
  <c r="CU140" i="22" s="1"/>
  <c r="G59" i="18"/>
  <c r="G64" i="18" s="1"/>
  <c r="G68" i="18" s="1"/>
  <c r="G73" i="18" s="1"/>
  <c r="G77" i="18" s="1"/>
  <c r="CW17" i="6"/>
  <c r="CU20" i="6"/>
  <c r="CT25" i="22"/>
  <c r="CT109" i="22" s="1"/>
  <c r="CT130" i="22" s="1"/>
  <c r="CW3" i="6"/>
  <c r="K50" i="18"/>
  <c r="K55" i="18" s="1"/>
  <c r="CV21" i="6"/>
  <c r="CV24" i="6"/>
  <c r="CV5" i="6"/>
  <c r="CV19" i="6"/>
  <c r="B90" i="18"/>
  <c r="B95" i="18"/>
  <c r="R77" i="18"/>
  <c r="R72" i="18"/>
  <c r="J40" i="19"/>
  <c r="J41" i="19"/>
  <c r="O82" i="18"/>
  <c r="O86" i="18" s="1"/>
  <c r="N82" i="18"/>
  <c r="N86" i="18" s="1"/>
  <c r="J82" i="18"/>
  <c r="J86" i="18" s="1"/>
  <c r="F77" i="18"/>
  <c r="J13" i="19"/>
  <c r="J14" i="19"/>
  <c r="X45" i="6"/>
  <c r="X54" i="6" s="1"/>
  <c r="X63" i="6" s="1"/>
  <c r="Y31" i="6"/>
  <c r="AE38" i="6"/>
  <c r="AG37" i="6"/>
  <c r="AA35" i="6"/>
  <c r="Z26" i="6"/>
  <c r="Y40" i="6"/>
  <c r="Y47" i="6" s="1"/>
  <c r="Y56" i="6" s="1"/>
  <c r="Y28" i="6"/>
  <c r="X42" i="6"/>
  <c r="X50" i="6" s="1"/>
  <c r="X59" i="6" s="1"/>
  <c r="AA30" i="6"/>
  <c r="Z44" i="6"/>
  <c r="Z53" i="6" s="1"/>
  <c r="Z62" i="6" s="1"/>
  <c r="AJ33" i="6"/>
  <c r="I26" i="19"/>
  <c r="J8" i="19"/>
  <c r="I17" i="19"/>
  <c r="I35" i="19"/>
  <c r="I41" i="19"/>
  <c r="I40" i="19"/>
  <c r="R63" i="18"/>
  <c r="S64" i="18"/>
  <c r="S68" i="18" s="1"/>
  <c r="S73" i="18" s="1"/>
  <c r="S77" i="18" s="1"/>
  <c r="CX23" i="6"/>
  <c r="CX17" i="6"/>
  <c r="CV30" i="22" l="1"/>
  <c r="CV114" i="22" s="1"/>
  <c r="CV135" i="22" s="1"/>
  <c r="CV32" i="22"/>
  <c r="CV116" i="22" s="1"/>
  <c r="CV137" i="22" s="1"/>
  <c r="CV20" i="22"/>
  <c r="CV104" i="22" s="1"/>
  <c r="CV125" i="22" s="1"/>
  <c r="CV31" i="22"/>
  <c r="CV115" i="22" s="1"/>
  <c r="CV136" i="22" s="1"/>
  <c r="CV26" i="22"/>
  <c r="CV110" i="22" s="1"/>
  <c r="CV131" i="22" s="1"/>
  <c r="CV37" i="22"/>
  <c r="CV121" i="22" s="1"/>
  <c r="CV142" i="22" s="1"/>
  <c r="CV29" i="22"/>
  <c r="CV113" i="22" s="1"/>
  <c r="CV134" i="22" s="1"/>
  <c r="CV24" i="22"/>
  <c r="CV108" i="22" s="1"/>
  <c r="CV129" i="22" s="1"/>
  <c r="CV6" i="22"/>
  <c r="CV25" i="22" s="1"/>
  <c r="CV109" i="22" s="1"/>
  <c r="CV130" i="22" s="1"/>
  <c r="CV19" i="22"/>
  <c r="CV36" i="22"/>
  <c r="CV120" i="22" s="1"/>
  <c r="CV141" i="22" s="1"/>
  <c r="CV33" i="22"/>
  <c r="CV117" i="22" s="1"/>
  <c r="CV138" i="22" s="1"/>
  <c r="CV27" i="22"/>
  <c r="CV111" i="22" s="1"/>
  <c r="CV132" i="22" s="1"/>
  <c r="CV22" i="22"/>
  <c r="CV106" i="22" s="1"/>
  <c r="CV127" i="22" s="1"/>
  <c r="C77" i="18"/>
  <c r="CV35" i="22"/>
  <c r="CV119" i="22" s="1"/>
  <c r="CV140" i="22" s="1"/>
  <c r="CV34" i="22"/>
  <c r="CV118" i="22" s="1"/>
  <c r="CV139" i="22" s="1"/>
  <c r="CV28" i="22"/>
  <c r="CV112" i="22" s="1"/>
  <c r="CV133" i="22" s="1"/>
  <c r="CU25" i="22"/>
  <c r="CU109" i="22" s="1"/>
  <c r="CU130" i="22" s="1"/>
  <c r="CY4" i="6"/>
  <c r="CY23" i="6" s="1"/>
  <c r="CZ4" i="6"/>
  <c r="CZ18" i="6" s="1"/>
  <c r="CZ48" i="6" s="1"/>
  <c r="CZ57" i="6" s="1"/>
  <c r="CV22" i="6"/>
  <c r="CV20" i="6"/>
  <c r="K59" i="18"/>
  <c r="K64" i="18" s="1"/>
  <c r="CX3" i="6"/>
  <c r="CW21" i="6"/>
  <c r="CW5" i="6"/>
  <c r="CW20" i="6" s="1"/>
  <c r="CW19" i="6"/>
  <c r="CW24" i="6"/>
  <c r="B100" i="18"/>
  <c r="L4" i="19"/>
  <c r="L5" i="19"/>
  <c r="O91" i="18"/>
  <c r="O95" i="18" s="1"/>
  <c r="N91" i="18"/>
  <c r="J91" i="18"/>
  <c r="N81" i="18"/>
  <c r="K32" i="19" s="1"/>
  <c r="K31" i="19"/>
  <c r="J81" i="18"/>
  <c r="K23" i="19" s="1"/>
  <c r="K22" i="19"/>
  <c r="G82" i="18"/>
  <c r="F81" i="18"/>
  <c r="F82" i="18" s="1"/>
  <c r="F86" i="18" s="1"/>
  <c r="S82" i="18"/>
  <c r="S86" i="18" s="1"/>
  <c r="R82" i="18"/>
  <c r="R86" i="18" s="1"/>
  <c r="Y45" i="6"/>
  <c r="Y54" i="6" s="1"/>
  <c r="Y63" i="6" s="1"/>
  <c r="Z31" i="6"/>
  <c r="AH37" i="6"/>
  <c r="Z28" i="6"/>
  <c r="Y42" i="6"/>
  <c r="Y50" i="6" s="1"/>
  <c r="Y59" i="6" s="1"/>
  <c r="AB35" i="6"/>
  <c r="AB30" i="6"/>
  <c r="AA44" i="6"/>
  <c r="AA53" i="6" s="1"/>
  <c r="AA62" i="6" s="1"/>
  <c r="AK33" i="6"/>
  <c r="AF38" i="6"/>
  <c r="AA26" i="6"/>
  <c r="Z40" i="6"/>
  <c r="Z47" i="6" s="1"/>
  <c r="Z56" i="6" s="1"/>
  <c r="J26" i="19"/>
  <c r="K8" i="19"/>
  <c r="J35" i="19"/>
  <c r="J17" i="19"/>
  <c r="I44" i="19"/>
  <c r="CV21" i="22" l="1"/>
  <c r="CV105" i="22" s="1"/>
  <c r="CV126" i="22" s="1"/>
  <c r="CZ17" i="6"/>
  <c r="CY17" i="6"/>
  <c r="CY18" i="6"/>
  <c r="CY48" i="6" s="1"/>
  <c r="CY57" i="6" s="1"/>
  <c r="CZ23" i="6"/>
  <c r="CW22" i="6"/>
  <c r="CX5" i="6"/>
  <c r="CX22" i="6" s="1"/>
  <c r="CX21" i="6"/>
  <c r="CX24" i="6"/>
  <c r="CX19" i="6"/>
  <c r="K68" i="18"/>
  <c r="K73" i="18" s="1"/>
  <c r="CY3" i="6"/>
  <c r="B99" i="18"/>
  <c r="B104" i="18"/>
  <c r="J90" i="18"/>
  <c r="L23" i="19" s="1"/>
  <c r="J95" i="18"/>
  <c r="L22" i="19"/>
  <c r="N90" i="18"/>
  <c r="N95" i="18"/>
  <c r="F90" i="18"/>
  <c r="S91" i="18"/>
  <c r="S95" i="18" s="1"/>
  <c r="R91" i="18"/>
  <c r="G86" i="18"/>
  <c r="G91" i="18" s="1"/>
  <c r="DA4" i="6"/>
  <c r="R81" i="18"/>
  <c r="K41" i="19"/>
  <c r="K40" i="19"/>
  <c r="K14" i="19"/>
  <c r="K13" i="19"/>
  <c r="K17" i="19" s="1"/>
  <c r="AA31" i="6"/>
  <c r="Z45" i="6"/>
  <c r="Z54" i="6" s="1"/>
  <c r="Z63" i="6" s="1"/>
  <c r="AG38" i="6"/>
  <c r="AL33" i="6"/>
  <c r="AC35" i="6"/>
  <c r="AA28" i="6"/>
  <c r="Z42" i="6"/>
  <c r="Z50" i="6" s="1"/>
  <c r="Z59" i="6" s="1"/>
  <c r="AA40" i="6"/>
  <c r="AA47" i="6" s="1"/>
  <c r="AA56" i="6" s="1"/>
  <c r="AB26" i="6"/>
  <c r="AC30" i="6"/>
  <c r="AB44" i="6"/>
  <c r="AB53" i="6" s="1"/>
  <c r="AB62" i="6" s="1"/>
  <c r="AI37" i="6"/>
  <c r="L8" i="19"/>
  <c r="K26" i="19"/>
  <c r="K35" i="19"/>
  <c r="J44" i="19"/>
  <c r="CX20" i="6" l="1"/>
  <c r="CY19" i="6"/>
  <c r="CY21" i="6"/>
  <c r="CY5" i="6"/>
  <c r="CY24" i="6"/>
  <c r="K77" i="18"/>
  <c r="K82" i="18" s="1"/>
  <c r="CZ3" i="6"/>
  <c r="B109" i="18"/>
  <c r="M4" i="19"/>
  <c r="M8" i="19" s="1"/>
  <c r="M5" i="19"/>
  <c r="O100" i="18"/>
  <c r="O104" i="18" s="1"/>
  <c r="N100" i="18"/>
  <c r="L31" i="19"/>
  <c r="L35" i="19" s="1"/>
  <c r="L32" i="19"/>
  <c r="G95" i="18"/>
  <c r="DB4" i="6"/>
  <c r="J100" i="18"/>
  <c r="R90" i="18"/>
  <c r="L41" i="19" s="1"/>
  <c r="R95" i="18"/>
  <c r="F91" i="18"/>
  <c r="F95" i="18" s="1"/>
  <c r="L13" i="19"/>
  <c r="L17" i="19" s="1"/>
  <c r="L14" i="19"/>
  <c r="DA23" i="6"/>
  <c r="DA18" i="6"/>
  <c r="DA48" i="6" s="1"/>
  <c r="DA57" i="6" s="1"/>
  <c r="DA17" i="6"/>
  <c r="AB31" i="6"/>
  <c r="AA45" i="6"/>
  <c r="AA54" i="6" s="1"/>
  <c r="AA63" i="6" s="1"/>
  <c r="AB28" i="6"/>
  <c r="AA42" i="6"/>
  <c r="AA50" i="6" s="1"/>
  <c r="AA59" i="6" s="1"/>
  <c r="AJ37" i="6"/>
  <c r="AD35" i="6"/>
  <c r="AD30" i="6"/>
  <c r="AC44" i="6"/>
  <c r="AC53" i="6" s="1"/>
  <c r="AC62" i="6" s="1"/>
  <c r="AM33" i="6"/>
  <c r="AH38" i="6"/>
  <c r="AC26" i="6"/>
  <c r="AB40" i="6"/>
  <c r="AB47" i="6" s="1"/>
  <c r="AB56" i="6" s="1"/>
  <c r="L26" i="19"/>
  <c r="K44" i="19"/>
  <c r="CZ5" i="6" l="1"/>
  <c r="CZ22" i="6" s="1"/>
  <c r="CZ19" i="6"/>
  <c r="CZ24" i="6"/>
  <c r="CZ21" i="6"/>
  <c r="DA3" i="6"/>
  <c r="K86" i="18"/>
  <c r="K91" i="18" s="1"/>
  <c r="CY22" i="6"/>
  <c r="CY20" i="6"/>
  <c r="B108" i="18"/>
  <c r="N5" i="19" s="1"/>
  <c r="B113" i="18"/>
  <c r="J104" i="18"/>
  <c r="J109" i="18" s="1"/>
  <c r="J113" i="18" s="1"/>
  <c r="N99" i="18"/>
  <c r="M31" i="19"/>
  <c r="N104" i="18"/>
  <c r="G100" i="18"/>
  <c r="F99" i="18"/>
  <c r="L40" i="19"/>
  <c r="DB18" i="6"/>
  <c r="DB48" i="6" s="1"/>
  <c r="DB57" i="6" s="1"/>
  <c r="DB23" i="6"/>
  <c r="DB17" i="6"/>
  <c r="J99" i="18"/>
  <c r="M22" i="19"/>
  <c r="M26" i="19" s="1"/>
  <c r="S100" i="18"/>
  <c r="S104" i="18" s="1"/>
  <c r="R100" i="18"/>
  <c r="AC31" i="6"/>
  <c r="AB45" i="6"/>
  <c r="AB54" i="6" s="1"/>
  <c r="AB63" i="6" s="1"/>
  <c r="AE35" i="6"/>
  <c r="AN33" i="6"/>
  <c r="AE30" i="6"/>
  <c r="AD44" i="6"/>
  <c r="AD53" i="6" s="1"/>
  <c r="AD62" i="6" s="1"/>
  <c r="AD26" i="6"/>
  <c r="AC40" i="6"/>
  <c r="AC47" i="6" s="1"/>
  <c r="AC56" i="6" s="1"/>
  <c r="AK37" i="6"/>
  <c r="AI38" i="6"/>
  <c r="AC28" i="6"/>
  <c r="AB42" i="6"/>
  <c r="AB50" i="6" s="1"/>
  <c r="AB59" i="6" s="1"/>
  <c r="CZ20" i="6" l="1"/>
  <c r="N4" i="19"/>
  <c r="N8" i="19" s="1"/>
  <c r="DB3" i="6"/>
  <c r="K95" i="18"/>
  <c r="K100" i="18" s="1"/>
  <c r="DA19" i="6"/>
  <c r="DA24" i="6"/>
  <c r="DA5" i="6"/>
  <c r="DA21" i="6"/>
  <c r="B118" i="18"/>
  <c r="M35" i="19"/>
  <c r="J118" i="18"/>
  <c r="M32" i="19"/>
  <c r="M14" i="19"/>
  <c r="M23" i="19"/>
  <c r="DC4" i="6"/>
  <c r="DC18" i="6" s="1"/>
  <c r="G104" i="18"/>
  <c r="O109" i="18"/>
  <c r="O113" i="18" s="1"/>
  <c r="N109" i="18"/>
  <c r="N113" i="18" s="1"/>
  <c r="R99" i="18"/>
  <c r="M41" i="19" s="1"/>
  <c r="R104" i="18"/>
  <c r="M40" i="19"/>
  <c r="J108" i="18"/>
  <c r="N23" i="19" s="1"/>
  <c r="N22" i="19"/>
  <c r="N26" i="19" s="1"/>
  <c r="L44" i="19"/>
  <c r="F100" i="18"/>
  <c r="AD31" i="6"/>
  <c r="AC45" i="6"/>
  <c r="AC54" i="6" s="1"/>
  <c r="AC63" i="6" s="1"/>
  <c r="AF30" i="6"/>
  <c r="AE44" i="6"/>
  <c r="AE53" i="6" s="1"/>
  <c r="AE62" i="6" s="1"/>
  <c r="AL37" i="6"/>
  <c r="AE26" i="6"/>
  <c r="AD40" i="6"/>
  <c r="AD47" i="6" s="1"/>
  <c r="AD56" i="6" s="1"/>
  <c r="AO33" i="6"/>
  <c r="AD28" i="6"/>
  <c r="AC42" i="6"/>
  <c r="AC50" i="6" s="1"/>
  <c r="AC59" i="6" s="1"/>
  <c r="AJ38" i="6"/>
  <c r="AF35" i="6"/>
  <c r="J117" i="18" l="1"/>
  <c r="J122" i="18"/>
  <c r="B117" i="18"/>
  <c r="B122" i="18"/>
  <c r="DC23" i="6"/>
  <c r="DA20" i="6"/>
  <c r="DA22" i="6"/>
  <c r="DC3" i="6"/>
  <c r="K104" i="18"/>
  <c r="K109" i="18" s="1"/>
  <c r="DB21" i="6"/>
  <c r="DB19" i="6"/>
  <c r="DB24" i="6"/>
  <c r="DB5" i="6"/>
  <c r="DC17" i="6"/>
  <c r="O118" i="18"/>
  <c r="O122" i="18" s="1"/>
  <c r="N118" i="18"/>
  <c r="N122" i="18" s="1"/>
  <c r="M44" i="19"/>
  <c r="S109" i="18"/>
  <c r="S113" i="18" s="1"/>
  <c r="R109" i="18"/>
  <c r="R113" i="18" s="1"/>
  <c r="N108" i="18"/>
  <c r="N32" i="19" s="1"/>
  <c r="N31" i="19"/>
  <c r="F104" i="18"/>
  <c r="M13" i="19"/>
  <c r="M17" i="19" s="1"/>
  <c r="DC48" i="6"/>
  <c r="DC57" i="6" s="1"/>
  <c r="AE31" i="6"/>
  <c r="AD45" i="6"/>
  <c r="AD54" i="6" s="1"/>
  <c r="AD63" i="6" s="1"/>
  <c r="AE28" i="6"/>
  <c r="AD42" i="6"/>
  <c r="AD50" i="6" s="1"/>
  <c r="AD59" i="6" s="1"/>
  <c r="AM37" i="6"/>
  <c r="AG35" i="6"/>
  <c r="AP33" i="6"/>
  <c r="AF26" i="6"/>
  <c r="AE40" i="6"/>
  <c r="AE47" i="6" s="1"/>
  <c r="AE56" i="6" s="1"/>
  <c r="AK38" i="6"/>
  <c r="AG30" i="6"/>
  <c r="AF44" i="6"/>
  <c r="AF53" i="6" s="1"/>
  <c r="AF62" i="6" s="1"/>
  <c r="O4" i="19" l="1"/>
  <c r="O5" i="19"/>
  <c r="O22" i="19"/>
  <c r="O23" i="19"/>
  <c r="B127" i="18"/>
  <c r="O127" i="18"/>
  <c r="O131" i="18" s="1"/>
  <c r="N127" i="18"/>
  <c r="N131" i="18" s="1"/>
  <c r="N136" i="18" s="1"/>
  <c r="J127" i="18"/>
  <c r="DB22" i="6"/>
  <c r="DB20" i="6"/>
  <c r="DC5" i="6"/>
  <c r="DC22" i="6" s="1"/>
  <c r="DC21" i="6"/>
  <c r="DC19" i="6"/>
  <c r="DC24" i="6"/>
  <c r="DD3" i="6"/>
  <c r="K113" i="18"/>
  <c r="K118" i="18" s="1"/>
  <c r="N117" i="18"/>
  <c r="O32" i="19" s="1"/>
  <c r="O31" i="19"/>
  <c r="S118" i="18"/>
  <c r="S122" i="18" s="1"/>
  <c r="R118" i="18"/>
  <c r="R122" i="18" s="1"/>
  <c r="G109" i="18"/>
  <c r="F108" i="18"/>
  <c r="N14" i="19" s="1"/>
  <c r="R108" i="18"/>
  <c r="N41" i="19" s="1"/>
  <c r="N40" i="19"/>
  <c r="N35" i="19"/>
  <c r="AF31" i="6"/>
  <c r="AE45" i="6"/>
  <c r="AE54" i="6" s="1"/>
  <c r="AE63" i="6" s="1"/>
  <c r="AH35" i="6"/>
  <c r="AQ33" i="6"/>
  <c r="AG26" i="6"/>
  <c r="AF40" i="6"/>
  <c r="AF47" i="6" s="1"/>
  <c r="AF56" i="6" s="1"/>
  <c r="AN37" i="6"/>
  <c r="AH30" i="6"/>
  <c r="AG44" i="6"/>
  <c r="AG53" i="6" s="1"/>
  <c r="AG62" i="6" s="1"/>
  <c r="AL38" i="6"/>
  <c r="AF28" i="6"/>
  <c r="AE42" i="6"/>
  <c r="AE50" i="6" s="1"/>
  <c r="AE59" i="6" s="1"/>
  <c r="O136" i="18" l="1"/>
  <c r="O140" i="18" s="1"/>
  <c r="N140" i="18"/>
  <c r="N135" i="18"/>
  <c r="Q32" i="19" s="1"/>
  <c r="Q31" i="19"/>
  <c r="B126" i="18"/>
  <c r="P5" i="19" s="1"/>
  <c r="B131" i="18"/>
  <c r="B136" i="18" s="1"/>
  <c r="J126" i="18"/>
  <c r="P23" i="19" s="1"/>
  <c r="J131" i="18"/>
  <c r="J136" i="18" s="1"/>
  <c r="P4" i="19"/>
  <c r="O8" i="19"/>
  <c r="N126" i="18"/>
  <c r="P32" i="19" s="1"/>
  <c r="P31" i="19"/>
  <c r="DC20" i="6"/>
  <c r="DE3" i="6"/>
  <c r="DE5" i="6" s="1"/>
  <c r="K122" i="18"/>
  <c r="K127" i="18" s="1"/>
  <c r="K131" i="18" s="1"/>
  <c r="S127" i="18"/>
  <c r="S131" i="18" s="1"/>
  <c r="R127" i="18"/>
  <c r="R131" i="18" s="1"/>
  <c r="R136" i="18" s="1"/>
  <c r="R140" i="18" s="1"/>
  <c r="DD19" i="6"/>
  <c r="DD21" i="6"/>
  <c r="DD5" i="6"/>
  <c r="DD20" i="6" s="1"/>
  <c r="DD24" i="6"/>
  <c r="R117" i="18"/>
  <c r="O41" i="19" s="1"/>
  <c r="O40" i="19"/>
  <c r="DD4" i="6"/>
  <c r="DD18" i="6" s="1"/>
  <c r="DD48" i="6" s="1"/>
  <c r="DD57" i="6" s="1"/>
  <c r="G113" i="18"/>
  <c r="N44" i="19"/>
  <c r="N13" i="19"/>
  <c r="F109" i="18"/>
  <c r="F113" i="18" s="1"/>
  <c r="O35" i="19"/>
  <c r="AG31" i="6"/>
  <c r="AF45" i="6"/>
  <c r="AF54" i="6" s="1"/>
  <c r="AF63" i="6" s="1"/>
  <c r="AI30" i="6"/>
  <c r="AH44" i="6"/>
  <c r="AH53" i="6" s="1"/>
  <c r="AH62" i="6" s="1"/>
  <c r="AO37" i="6"/>
  <c r="AH26" i="6"/>
  <c r="AG40" i="6"/>
  <c r="AG47" i="6" s="1"/>
  <c r="AG56" i="6" s="1"/>
  <c r="AG28" i="6"/>
  <c r="AF42" i="6"/>
  <c r="AF50" i="6" s="1"/>
  <c r="AF59" i="6" s="1"/>
  <c r="AR33" i="6"/>
  <c r="AM38" i="6"/>
  <c r="AI35" i="6"/>
  <c r="K136" i="18" l="1"/>
  <c r="DG3" i="6" s="1"/>
  <c r="P22" i="19"/>
  <c r="S136" i="18"/>
  <c r="S140" i="18" s="1"/>
  <c r="S145" i="18" s="1"/>
  <c r="S149" i="18" s="1"/>
  <c r="B135" i="18"/>
  <c r="B140" i="18"/>
  <c r="J135" i="18"/>
  <c r="J140" i="18"/>
  <c r="R145" i="18"/>
  <c r="R40" i="19" s="1"/>
  <c r="P26" i="19"/>
  <c r="O145" i="18"/>
  <c r="O149" i="18" s="1"/>
  <c r="N145" i="18"/>
  <c r="N149" i="18" s="1"/>
  <c r="DE21" i="6"/>
  <c r="DE19" i="6"/>
  <c r="Q40" i="19"/>
  <c r="R135" i="18"/>
  <c r="Q41" i="19" s="1"/>
  <c r="P8" i="19"/>
  <c r="DF3" i="6"/>
  <c r="DF5" i="6" s="1"/>
  <c r="DF22" i="6" s="1"/>
  <c r="DE24" i="6"/>
  <c r="R126" i="18"/>
  <c r="P41" i="19" s="1"/>
  <c r="P40" i="19"/>
  <c r="O26" i="19"/>
  <c r="DD17" i="6"/>
  <c r="DD23" i="6"/>
  <c r="DE22" i="6"/>
  <c r="DD22" i="6"/>
  <c r="DE20" i="6"/>
  <c r="G118" i="18"/>
  <c r="F117" i="18"/>
  <c r="O14" i="19" s="1"/>
  <c r="N17" i="19"/>
  <c r="P35" i="19"/>
  <c r="O44" i="19"/>
  <c r="AH31" i="6"/>
  <c r="AG45" i="6"/>
  <c r="AG54" i="6" s="1"/>
  <c r="AG63" i="6" s="1"/>
  <c r="AS33" i="6"/>
  <c r="AH28" i="6"/>
  <c r="AG42" i="6"/>
  <c r="AG50" i="6" s="1"/>
  <c r="AG59" i="6" s="1"/>
  <c r="AI26" i="6"/>
  <c r="AH40" i="6"/>
  <c r="AH47" i="6" s="1"/>
  <c r="AH56" i="6" s="1"/>
  <c r="AJ35" i="6"/>
  <c r="AP37" i="6"/>
  <c r="AN38" i="6"/>
  <c r="AJ30" i="6"/>
  <c r="AI44" i="6"/>
  <c r="AI53" i="6" s="1"/>
  <c r="AI62" i="6" s="1"/>
  <c r="K140" i="18" l="1"/>
  <c r="O154" i="18"/>
  <c r="O158" i="18" s="1"/>
  <c r="N154" i="18"/>
  <c r="S31" i="19" s="1"/>
  <c r="Q22" i="19"/>
  <c r="Q26" i="19" s="1"/>
  <c r="Q23" i="19"/>
  <c r="R144" i="18"/>
  <c r="R41" i="19" s="1"/>
  <c r="R149" i="18"/>
  <c r="DF19" i="6"/>
  <c r="N144" i="18"/>
  <c r="R32" i="19" s="1"/>
  <c r="R31" i="19"/>
  <c r="R35" i="19" s="1"/>
  <c r="K145" i="18"/>
  <c r="J145" i="18"/>
  <c r="B145" i="18"/>
  <c r="Q4" i="19"/>
  <c r="Q5" i="19"/>
  <c r="DF24" i="6"/>
  <c r="DF20" i="6"/>
  <c r="DF21" i="6"/>
  <c r="DG21" i="6"/>
  <c r="DG5" i="6"/>
  <c r="DG22" i="6" s="1"/>
  <c r="DG24" i="6"/>
  <c r="DG19" i="6"/>
  <c r="DE4" i="6"/>
  <c r="DE17" i="6" s="1"/>
  <c r="G122" i="18"/>
  <c r="F118" i="18"/>
  <c r="F122" i="18" s="1"/>
  <c r="O13" i="19"/>
  <c r="O17" i="19" s="1"/>
  <c r="P44" i="19"/>
  <c r="Q35" i="19"/>
  <c r="AI31" i="6"/>
  <c r="AH45" i="6"/>
  <c r="AH54" i="6" s="1"/>
  <c r="AH63" i="6" s="1"/>
  <c r="AQ37" i="6"/>
  <c r="AK35" i="6"/>
  <c r="AJ26" i="6"/>
  <c r="AI40" i="6"/>
  <c r="AI47" i="6" s="1"/>
  <c r="AI56" i="6" s="1"/>
  <c r="AK30" i="6"/>
  <c r="AJ44" i="6"/>
  <c r="AJ53" i="6" s="1"/>
  <c r="AJ62" i="6" s="1"/>
  <c r="AI28" i="6"/>
  <c r="AH42" i="6"/>
  <c r="AH50" i="6" s="1"/>
  <c r="AH59" i="6" s="1"/>
  <c r="AO38" i="6"/>
  <c r="AT33" i="6"/>
  <c r="DE23" i="6" l="1"/>
  <c r="N153" i="18"/>
  <c r="S32" i="19" s="1"/>
  <c r="N158" i="18"/>
  <c r="B144" i="18"/>
  <c r="B149" i="18"/>
  <c r="J144" i="18"/>
  <c r="R23" i="19" s="1"/>
  <c r="J149" i="18"/>
  <c r="DH3" i="6"/>
  <c r="DH21" i="6" s="1"/>
  <c r="K149" i="18"/>
  <c r="S154" i="18"/>
  <c r="S158" i="18" s="1"/>
  <c r="R154" i="18"/>
  <c r="S40" i="19" s="1"/>
  <c r="Q8" i="19"/>
  <c r="DG20" i="6"/>
  <c r="DE18" i="6"/>
  <c r="DE48" i="6" s="1"/>
  <c r="DE57" i="6" s="1"/>
  <c r="G127" i="18"/>
  <c r="G131" i="18" s="1"/>
  <c r="F126" i="18"/>
  <c r="P14" i="19" s="1"/>
  <c r="Q44" i="19"/>
  <c r="AJ31" i="6"/>
  <c r="AI45" i="6"/>
  <c r="AI54" i="6" s="1"/>
  <c r="AI63" i="6" s="1"/>
  <c r="AJ28" i="6"/>
  <c r="AI42" i="6"/>
  <c r="AI50" i="6" s="1"/>
  <c r="AI59" i="6" s="1"/>
  <c r="AL30" i="6"/>
  <c r="AK44" i="6"/>
  <c r="AK53" i="6" s="1"/>
  <c r="AK62" i="6" s="1"/>
  <c r="AK26" i="6"/>
  <c r="AJ40" i="6"/>
  <c r="AJ47" i="6" s="1"/>
  <c r="AJ56" i="6" s="1"/>
  <c r="AL35" i="6"/>
  <c r="AU33" i="6"/>
  <c r="AP38" i="6"/>
  <c r="AR37" i="6"/>
  <c r="DH19" i="6" l="1"/>
  <c r="DH24" i="6"/>
  <c r="R5" i="19"/>
  <c r="R4" i="19"/>
  <c r="R153" i="18"/>
  <c r="S41" i="19" s="1"/>
  <c r="R158" i="18"/>
  <c r="R22" i="19"/>
  <c r="R26" i="19" s="1"/>
  <c r="DH5" i="6"/>
  <c r="DH22" i="6" s="1"/>
  <c r="O163" i="18"/>
  <c r="O167" i="18" s="1"/>
  <c r="N163" i="18"/>
  <c r="T31" i="19" s="1"/>
  <c r="B154" i="18"/>
  <c r="K154" i="18"/>
  <c r="J154" i="18"/>
  <c r="DF4" i="6"/>
  <c r="DF17" i="6" s="1"/>
  <c r="F127" i="18"/>
  <c r="F131" i="18" s="1"/>
  <c r="P13" i="19"/>
  <c r="R44" i="19"/>
  <c r="S35" i="19"/>
  <c r="AJ45" i="6"/>
  <c r="AJ54" i="6" s="1"/>
  <c r="AJ63" i="6" s="1"/>
  <c r="AK31" i="6"/>
  <c r="AV33" i="6"/>
  <c r="AM35" i="6"/>
  <c r="AS37" i="6"/>
  <c r="AL26" i="6"/>
  <c r="AK40" i="6"/>
  <c r="AK47" i="6" s="1"/>
  <c r="AK56" i="6" s="1"/>
  <c r="AM30" i="6"/>
  <c r="AL44" i="6"/>
  <c r="AL53" i="6" s="1"/>
  <c r="AL62" i="6" s="1"/>
  <c r="AQ38" i="6"/>
  <c r="AK28" i="6"/>
  <c r="AJ42" i="6"/>
  <c r="AJ50" i="6" s="1"/>
  <c r="AJ59" i="6" s="1"/>
  <c r="N162" i="18" l="1"/>
  <c r="T32" i="19" s="1"/>
  <c r="N167" i="18"/>
  <c r="DH20" i="6"/>
  <c r="R8" i="19"/>
  <c r="B153" i="18"/>
  <c r="B158" i="18"/>
  <c r="J153" i="18"/>
  <c r="J158" i="18"/>
  <c r="DI3" i="6"/>
  <c r="DI5" i="6" s="1"/>
  <c r="K158" i="18"/>
  <c r="S163" i="18"/>
  <c r="S167" i="18" s="1"/>
  <c r="R163" i="18"/>
  <c r="T40" i="19" s="1"/>
  <c r="DF18" i="6"/>
  <c r="DF48" i="6" s="1"/>
  <c r="DF57" i="6" s="1"/>
  <c r="DF23" i="6"/>
  <c r="G136" i="18"/>
  <c r="F135" i="18"/>
  <c r="Q14" i="19" s="1"/>
  <c r="P17" i="19"/>
  <c r="S44" i="19"/>
  <c r="T35" i="19"/>
  <c r="U31" i="19"/>
  <c r="U32" i="19"/>
  <c r="AK45" i="6"/>
  <c r="AK54" i="6" s="1"/>
  <c r="AK63" i="6" s="1"/>
  <c r="AL31" i="6"/>
  <c r="AN30" i="6"/>
  <c r="AM44" i="6"/>
  <c r="AM53" i="6" s="1"/>
  <c r="AM62" i="6" s="1"/>
  <c r="AM26" i="6"/>
  <c r="AL40" i="6"/>
  <c r="AL47" i="6" s="1"/>
  <c r="AL56" i="6" s="1"/>
  <c r="AT37" i="6"/>
  <c r="AL28" i="6"/>
  <c r="AK42" i="6"/>
  <c r="AK50" i="6" s="1"/>
  <c r="AK59" i="6" s="1"/>
  <c r="AN35" i="6"/>
  <c r="AR38" i="6"/>
  <c r="AW33" i="6"/>
  <c r="O172" i="18" l="1"/>
  <c r="N172" i="18"/>
  <c r="N171" i="18" s="1"/>
  <c r="R162" i="18"/>
  <c r="T41" i="19" s="1"/>
  <c r="R167" i="18"/>
  <c r="DI24" i="6"/>
  <c r="S23" i="19"/>
  <c r="S22" i="19"/>
  <c r="S4" i="19"/>
  <c r="S8" i="19" s="1"/>
  <c r="S5" i="19"/>
  <c r="DI19" i="6"/>
  <c r="DI21" i="6"/>
  <c r="S26" i="19"/>
  <c r="B163" i="18"/>
  <c r="K163" i="18"/>
  <c r="J163" i="18"/>
  <c r="DI20" i="6"/>
  <c r="DI22" i="6"/>
  <c r="G140" i="18"/>
  <c r="DG4" i="6"/>
  <c r="F136" i="18"/>
  <c r="F140" i="18" s="1"/>
  <c r="F144" i="18" s="1"/>
  <c r="Q13" i="19"/>
  <c r="T44" i="19"/>
  <c r="U41" i="19"/>
  <c r="U40" i="19"/>
  <c r="V32" i="19"/>
  <c r="V31" i="19"/>
  <c r="U35" i="19"/>
  <c r="AM31" i="6"/>
  <c r="AL45" i="6"/>
  <c r="AL54" i="6" s="1"/>
  <c r="AL63" i="6" s="1"/>
  <c r="AO35" i="6"/>
  <c r="AM28" i="6"/>
  <c r="AL42" i="6"/>
  <c r="AL50" i="6" s="1"/>
  <c r="AL59" i="6" s="1"/>
  <c r="AU37" i="6"/>
  <c r="AX33" i="6"/>
  <c r="AN26" i="6"/>
  <c r="AM40" i="6"/>
  <c r="AM47" i="6" s="1"/>
  <c r="AM56" i="6" s="1"/>
  <c r="AS38" i="6"/>
  <c r="AO30" i="6"/>
  <c r="AN44" i="6"/>
  <c r="AN53" i="6" s="1"/>
  <c r="AN62" i="6" s="1"/>
  <c r="B162" i="18" l="1"/>
  <c r="B167" i="18"/>
  <c r="S172" i="18"/>
  <c r="R172" i="18"/>
  <c r="R171" i="18" s="1"/>
  <c r="DJ3" i="6"/>
  <c r="DJ19" i="6" s="1"/>
  <c r="K167" i="18"/>
  <c r="J162" i="18"/>
  <c r="J167" i="18"/>
  <c r="C21" i="5"/>
  <c r="R14" i="19"/>
  <c r="R13" i="19"/>
  <c r="F145" i="18"/>
  <c r="F149" i="18" s="1"/>
  <c r="DG18" i="6"/>
  <c r="DG48" i="6" s="1"/>
  <c r="DG57" i="6" s="1"/>
  <c r="DG23" i="6"/>
  <c r="DG17" i="6"/>
  <c r="G145" i="18"/>
  <c r="Q17" i="19"/>
  <c r="V40" i="19"/>
  <c r="U44" i="19"/>
  <c r="V41" i="19"/>
  <c r="W32" i="19"/>
  <c r="W31" i="19"/>
  <c r="V35" i="19"/>
  <c r="AN31" i="6"/>
  <c r="AM45" i="6"/>
  <c r="AM54" i="6" s="1"/>
  <c r="AM63" i="6" s="1"/>
  <c r="AO26" i="6"/>
  <c r="AN40" i="6"/>
  <c r="AN47" i="6" s="1"/>
  <c r="AN56" i="6" s="1"/>
  <c r="AV37" i="6"/>
  <c r="AN28" i="6"/>
  <c r="AM42" i="6"/>
  <c r="AM50" i="6" s="1"/>
  <c r="AM59" i="6" s="1"/>
  <c r="AY33" i="6"/>
  <c r="AP30" i="6"/>
  <c r="AO44" i="6"/>
  <c r="AO53" i="6" s="1"/>
  <c r="AO62" i="6" s="1"/>
  <c r="AT38" i="6"/>
  <c r="AP35" i="6"/>
  <c r="T23" i="19" l="1"/>
  <c r="T22" i="19"/>
  <c r="T5" i="19"/>
  <c r="T4" i="19"/>
  <c r="U5" i="19" s="1"/>
  <c r="DJ24" i="6"/>
  <c r="B172" i="18"/>
  <c r="B171" i="18" s="1"/>
  <c r="DJ5" i="6"/>
  <c r="DJ22" i="6" s="1"/>
  <c r="DJ21" i="6"/>
  <c r="K172" i="18"/>
  <c r="J172" i="18"/>
  <c r="J171" i="18" s="1"/>
  <c r="T8" i="19"/>
  <c r="C23" i="5"/>
  <c r="G149" i="18"/>
  <c r="G154" i="18" s="1"/>
  <c r="DH4" i="6"/>
  <c r="F153" i="18"/>
  <c r="R17" i="19"/>
  <c r="W40" i="19"/>
  <c r="W41" i="19"/>
  <c r="V44" i="19"/>
  <c r="X32" i="19"/>
  <c r="W35" i="19"/>
  <c r="X31" i="19"/>
  <c r="X35" i="19" s="1"/>
  <c r="AN45" i="6"/>
  <c r="AN54" i="6" s="1"/>
  <c r="AN63" i="6" s="1"/>
  <c r="AO31" i="6"/>
  <c r="AQ30" i="6"/>
  <c r="AP44" i="6"/>
  <c r="AP53" i="6" s="1"/>
  <c r="AP62" i="6" s="1"/>
  <c r="AZ33" i="6"/>
  <c r="AO28" i="6"/>
  <c r="AN42" i="6"/>
  <c r="AN50" i="6" s="1"/>
  <c r="AN59" i="6" s="1"/>
  <c r="AW37" i="6"/>
  <c r="AQ35" i="6"/>
  <c r="AU38" i="6"/>
  <c r="AP26" i="6"/>
  <c r="AO40" i="6"/>
  <c r="AO47" i="6" s="1"/>
  <c r="AO56" i="6" s="1"/>
  <c r="DJ20" i="6" l="1"/>
  <c r="U4" i="19"/>
  <c r="U23" i="19"/>
  <c r="U22" i="19"/>
  <c r="T26" i="19"/>
  <c r="S14" i="19"/>
  <c r="S13" i="19"/>
  <c r="V4" i="19"/>
  <c r="U8" i="19"/>
  <c r="V5" i="19"/>
  <c r="DI4" i="6"/>
  <c r="G158" i="18"/>
  <c r="F154" i="18"/>
  <c r="F158" i="18" s="1"/>
  <c r="DH17" i="6"/>
  <c r="DH23" i="6"/>
  <c r="DH18" i="6"/>
  <c r="DH48" i="6" s="1"/>
  <c r="DH57" i="6" s="1"/>
  <c r="S17" i="19"/>
  <c r="W44" i="19"/>
  <c r="X40" i="19"/>
  <c r="X44" i="19" s="1"/>
  <c r="X41" i="19"/>
  <c r="AP31" i="6"/>
  <c r="AO45" i="6"/>
  <c r="AO54" i="6" s="1"/>
  <c r="AO63" i="6" s="1"/>
  <c r="AR35" i="6"/>
  <c r="AX37" i="6"/>
  <c r="AP28" i="6"/>
  <c r="AO42" i="6"/>
  <c r="AO50" i="6" s="1"/>
  <c r="AO59" i="6" s="1"/>
  <c r="BA33" i="6"/>
  <c r="AQ26" i="6"/>
  <c r="AP40" i="6"/>
  <c r="AP47" i="6" s="1"/>
  <c r="AP56" i="6" s="1"/>
  <c r="AV38" i="6"/>
  <c r="AR30" i="6"/>
  <c r="AQ44" i="6"/>
  <c r="AQ53" i="6" s="1"/>
  <c r="AQ62" i="6" s="1"/>
  <c r="U26" i="19" l="1"/>
  <c r="V23" i="19"/>
  <c r="V22" i="19"/>
  <c r="W4" i="19"/>
  <c r="V8" i="19"/>
  <c r="W5" i="19"/>
  <c r="G163" i="18"/>
  <c r="F162" i="18"/>
  <c r="DI18" i="6"/>
  <c r="DI48" i="6" s="1"/>
  <c r="DI57" i="6" s="1"/>
  <c r="DI23" i="6"/>
  <c r="DI17" i="6"/>
  <c r="AQ31" i="6"/>
  <c r="AP45" i="6"/>
  <c r="AP54" i="6" s="1"/>
  <c r="AP63" i="6" s="1"/>
  <c r="AR26" i="6"/>
  <c r="AQ40" i="6"/>
  <c r="AQ47" i="6" s="1"/>
  <c r="AQ56" i="6" s="1"/>
  <c r="BB33" i="6"/>
  <c r="AQ28" i="6"/>
  <c r="AP42" i="6"/>
  <c r="AP50" i="6" s="1"/>
  <c r="AP59" i="6" s="1"/>
  <c r="AY37" i="6"/>
  <c r="AS30" i="6"/>
  <c r="AR44" i="6"/>
  <c r="AR53" i="6" s="1"/>
  <c r="AR62" i="6" s="1"/>
  <c r="AW38" i="6"/>
  <c r="AS35" i="6"/>
  <c r="T14" i="19" l="1"/>
  <c r="T13" i="19"/>
  <c r="W23" i="19"/>
  <c r="W22" i="19"/>
  <c r="V26" i="19"/>
  <c r="DJ4" i="6"/>
  <c r="G167" i="18"/>
  <c r="F163" i="18"/>
  <c r="F167" i="18" s="1"/>
  <c r="DJ18" i="6"/>
  <c r="DJ48" i="6" s="1"/>
  <c r="DJ57" i="6" s="1"/>
  <c r="D11" i="5" s="1"/>
  <c r="DJ23" i="6"/>
  <c r="DJ17" i="6"/>
  <c r="C22" i="5"/>
  <c r="X4" i="19"/>
  <c r="X8" i="19" s="1"/>
  <c r="W8" i="19"/>
  <c r="X5" i="19"/>
  <c r="AR31" i="6"/>
  <c r="AQ45" i="6"/>
  <c r="AQ54" i="6" s="1"/>
  <c r="AQ63" i="6" s="1"/>
  <c r="AT30" i="6"/>
  <c r="AS44" i="6"/>
  <c r="AS53" i="6" s="1"/>
  <c r="AS62" i="6" s="1"/>
  <c r="AZ37" i="6"/>
  <c r="AR28" i="6"/>
  <c r="AQ42" i="6"/>
  <c r="AQ50" i="6" s="1"/>
  <c r="AQ59" i="6" s="1"/>
  <c r="BC33" i="6"/>
  <c r="AT35" i="6"/>
  <c r="AS26" i="6"/>
  <c r="AR40" i="6"/>
  <c r="AR47" i="6" s="1"/>
  <c r="AR56" i="6" s="1"/>
  <c r="AX38" i="6"/>
  <c r="X23" i="19" l="1"/>
  <c r="W26" i="19"/>
  <c r="X22" i="19"/>
  <c r="X26" i="19" s="1"/>
  <c r="G172" i="18"/>
  <c r="F171" i="18"/>
  <c r="F172" i="18" s="1"/>
  <c r="T17" i="19"/>
  <c r="U13" i="19"/>
  <c r="U14" i="19"/>
  <c r="AS31" i="6"/>
  <c r="AR45" i="6"/>
  <c r="AR54" i="6" s="1"/>
  <c r="AR63" i="6" s="1"/>
  <c r="AT26" i="6"/>
  <c r="AS40" i="6"/>
  <c r="AS47" i="6" s="1"/>
  <c r="AS56" i="6" s="1"/>
  <c r="AU35" i="6"/>
  <c r="BD33" i="6"/>
  <c r="BA37" i="6"/>
  <c r="AS28" i="6"/>
  <c r="AR42" i="6"/>
  <c r="AR50" i="6" s="1"/>
  <c r="AR59" i="6" s="1"/>
  <c r="AY38" i="6"/>
  <c r="AU30" i="6"/>
  <c r="AT44" i="6"/>
  <c r="AT53" i="6" s="1"/>
  <c r="AT62" i="6" s="1"/>
  <c r="V13" i="19" l="1"/>
  <c r="V14" i="19"/>
  <c r="U17" i="19"/>
  <c r="AT31" i="6"/>
  <c r="AS45" i="6"/>
  <c r="AS54" i="6" s="1"/>
  <c r="AS63" i="6" s="1"/>
  <c r="AT28" i="6"/>
  <c r="AS42" i="6"/>
  <c r="AS50" i="6" s="1"/>
  <c r="AS59" i="6" s="1"/>
  <c r="BB37" i="6"/>
  <c r="BE33" i="6"/>
  <c r="AV30" i="6"/>
  <c r="AU44" i="6"/>
  <c r="AU53" i="6" s="1"/>
  <c r="AU62" i="6" s="1"/>
  <c r="AV35" i="6"/>
  <c r="AZ38" i="6"/>
  <c r="AU26" i="6"/>
  <c r="AT40" i="6"/>
  <c r="AT47" i="6" s="1"/>
  <c r="AT56" i="6" s="1"/>
  <c r="W14" i="19" l="1"/>
  <c r="W13" i="19"/>
  <c r="V17" i="19"/>
  <c r="AU31" i="6"/>
  <c r="AT45" i="6"/>
  <c r="AT54" i="6" s="1"/>
  <c r="AT63" i="6" s="1"/>
  <c r="AW35" i="6"/>
  <c r="AW30" i="6"/>
  <c r="AV44" i="6"/>
  <c r="AV53" i="6" s="1"/>
  <c r="AV62" i="6" s="1"/>
  <c r="BF33" i="6"/>
  <c r="BC37" i="6"/>
  <c r="AV26" i="6"/>
  <c r="AU40" i="6"/>
  <c r="AU47" i="6" s="1"/>
  <c r="AU56" i="6" s="1"/>
  <c r="BA38" i="6"/>
  <c r="AU28" i="6"/>
  <c r="AT42" i="6"/>
  <c r="AT50" i="6" s="1"/>
  <c r="AT59" i="6" s="1"/>
  <c r="X14" i="19" l="1"/>
  <c r="W17" i="19"/>
  <c r="X13" i="19"/>
  <c r="X17" i="19" s="1"/>
  <c r="AV31" i="6"/>
  <c r="AU45" i="6"/>
  <c r="AU54" i="6" s="1"/>
  <c r="AU63" i="6" s="1"/>
  <c r="AW26" i="6"/>
  <c r="AV40" i="6"/>
  <c r="AV47" i="6" s="1"/>
  <c r="AV56" i="6" s="1"/>
  <c r="BD37" i="6"/>
  <c r="BG33" i="6"/>
  <c r="AV28" i="6"/>
  <c r="AU42" i="6"/>
  <c r="AU50" i="6" s="1"/>
  <c r="AU59" i="6" s="1"/>
  <c r="AX30" i="6"/>
  <c r="AW44" i="6"/>
  <c r="AW53" i="6" s="1"/>
  <c r="AW62" i="6" s="1"/>
  <c r="AX35" i="6"/>
  <c r="BB38" i="6"/>
  <c r="AW31" i="6" l="1"/>
  <c r="AV45" i="6"/>
  <c r="AV54" i="6" s="1"/>
  <c r="AV63" i="6" s="1"/>
  <c r="AY30" i="6"/>
  <c r="AX44" i="6"/>
  <c r="AX53" i="6" s="1"/>
  <c r="AX62" i="6" s="1"/>
  <c r="AW28" i="6"/>
  <c r="AV42" i="6"/>
  <c r="AV50" i="6" s="1"/>
  <c r="AV59" i="6" s="1"/>
  <c r="BH33" i="6"/>
  <c r="BE37" i="6"/>
  <c r="BC38" i="6"/>
  <c r="AX26" i="6"/>
  <c r="AW40" i="6"/>
  <c r="AW47" i="6" s="1"/>
  <c r="AW56" i="6" s="1"/>
  <c r="AY35" i="6"/>
  <c r="AX31" i="6" l="1"/>
  <c r="AW45" i="6"/>
  <c r="AW54" i="6" s="1"/>
  <c r="AW63" i="6" s="1"/>
  <c r="AY26" i="6"/>
  <c r="AX40" i="6"/>
  <c r="AX47" i="6" s="1"/>
  <c r="AX56" i="6" s="1"/>
  <c r="BD38" i="6"/>
  <c r="BF37" i="6"/>
  <c r="BI33" i="6"/>
  <c r="AX28" i="6"/>
  <c r="AW42" i="6"/>
  <c r="AW50" i="6" s="1"/>
  <c r="AW59" i="6" s="1"/>
  <c r="AZ35" i="6"/>
  <c r="AZ30" i="6"/>
  <c r="AY44" i="6"/>
  <c r="AY53" i="6" s="1"/>
  <c r="AY62" i="6" s="1"/>
  <c r="AY31" i="6" l="1"/>
  <c r="AX45" i="6"/>
  <c r="AX54" i="6" s="1"/>
  <c r="AX63" i="6" s="1"/>
  <c r="BA30" i="6"/>
  <c r="AZ44" i="6"/>
  <c r="AZ53" i="6" s="1"/>
  <c r="AZ62" i="6" s="1"/>
  <c r="BE38" i="6"/>
  <c r="BJ33" i="6"/>
  <c r="BG37" i="6"/>
  <c r="BA35" i="6"/>
  <c r="AY28" i="6"/>
  <c r="AX42" i="6"/>
  <c r="AX50" i="6" s="1"/>
  <c r="AX59" i="6" s="1"/>
  <c r="AZ26" i="6"/>
  <c r="AY40" i="6"/>
  <c r="AY47" i="6" s="1"/>
  <c r="AY56" i="6" s="1"/>
  <c r="AZ31" i="6" l="1"/>
  <c r="AY45" i="6"/>
  <c r="AY54" i="6" s="1"/>
  <c r="AY63" i="6" s="1"/>
  <c r="BH37" i="6"/>
  <c r="BK33" i="6"/>
  <c r="BA26" i="6"/>
  <c r="AZ40" i="6"/>
  <c r="AZ47" i="6" s="1"/>
  <c r="AZ56" i="6" s="1"/>
  <c r="BB35" i="6"/>
  <c r="BF38" i="6"/>
  <c r="BB30" i="6"/>
  <c r="BA44" i="6"/>
  <c r="BA53" i="6" s="1"/>
  <c r="BA62" i="6" s="1"/>
  <c r="AZ28" i="6"/>
  <c r="AY42" i="6"/>
  <c r="AY50" i="6" s="1"/>
  <c r="AY59" i="6" s="1"/>
  <c r="BA31" i="6" l="1"/>
  <c r="AZ45" i="6"/>
  <c r="AZ54" i="6" s="1"/>
  <c r="AZ63" i="6" s="1"/>
  <c r="BC30" i="6"/>
  <c r="BB44" i="6"/>
  <c r="BB53" i="6" s="1"/>
  <c r="BB62" i="6" s="1"/>
  <c r="BG38" i="6"/>
  <c r="BC35" i="6"/>
  <c r="BB26" i="6"/>
  <c r="BA40" i="6"/>
  <c r="BA47" i="6" s="1"/>
  <c r="BA56" i="6" s="1"/>
  <c r="BL33" i="6"/>
  <c r="BA28" i="6"/>
  <c r="AZ42" i="6"/>
  <c r="AZ50" i="6" s="1"/>
  <c r="AZ59" i="6" s="1"/>
  <c r="BI37" i="6"/>
  <c r="BB31" i="6" l="1"/>
  <c r="BA45" i="6"/>
  <c r="BA54" i="6" s="1"/>
  <c r="BA63" i="6" s="1"/>
  <c r="BM33" i="6"/>
  <c r="BC26" i="6"/>
  <c r="BB40" i="6"/>
  <c r="BB47" i="6" s="1"/>
  <c r="BB56" i="6" s="1"/>
  <c r="BD35" i="6"/>
  <c r="BJ37" i="6"/>
  <c r="BH38" i="6"/>
  <c r="BB28" i="6"/>
  <c r="BA42" i="6"/>
  <c r="BA50" i="6" s="1"/>
  <c r="BA59" i="6" s="1"/>
  <c r="BD30" i="6"/>
  <c r="BC44" i="6"/>
  <c r="BC53" i="6" s="1"/>
  <c r="BC62" i="6" s="1"/>
  <c r="BC31" i="6" l="1"/>
  <c r="BB45" i="6"/>
  <c r="BB54" i="6" s="1"/>
  <c r="BB63" i="6" s="1"/>
  <c r="BI38" i="6"/>
  <c r="BK37" i="6"/>
  <c r="BE35" i="6"/>
  <c r="BD26" i="6"/>
  <c r="BC40" i="6"/>
  <c r="BC47" i="6" s="1"/>
  <c r="BC56" i="6" s="1"/>
  <c r="BE30" i="6"/>
  <c r="BD44" i="6"/>
  <c r="BD53" i="6" s="1"/>
  <c r="BD62" i="6" s="1"/>
  <c r="BN33" i="6"/>
  <c r="BC28" i="6"/>
  <c r="BB42" i="6"/>
  <c r="BB50" i="6" s="1"/>
  <c r="BB59" i="6" s="1"/>
  <c r="BD31" i="6" l="1"/>
  <c r="BC45" i="6"/>
  <c r="BC54" i="6" s="1"/>
  <c r="BC63" i="6" s="1"/>
  <c r="BF30" i="6"/>
  <c r="BE44" i="6"/>
  <c r="BE53" i="6" s="1"/>
  <c r="BE62" i="6" s="1"/>
  <c r="BE26" i="6"/>
  <c r="BD40" i="6"/>
  <c r="BD47" i="6" s="1"/>
  <c r="BD56" i="6" s="1"/>
  <c r="BF35" i="6"/>
  <c r="BD28" i="6"/>
  <c r="BC42" i="6"/>
  <c r="BC50" i="6" s="1"/>
  <c r="BC59" i="6" s="1"/>
  <c r="BL37" i="6"/>
  <c r="BJ38" i="6"/>
  <c r="BO33" i="6"/>
  <c r="BE31" i="6" l="1"/>
  <c r="BD45" i="6"/>
  <c r="BD54" i="6" s="1"/>
  <c r="BD63" i="6" s="1"/>
  <c r="BE28" i="6"/>
  <c r="BD42" i="6"/>
  <c r="BD50" i="6" s="1"/>
  <c r="BD59" i="6" s="1"/>
  <c r="BM37" i="6"/>
  <c r="BG35" i="6"/>
  <c r="BF26" i="6"/>
  <c r="BE40" i="6"/>
  <c r="BE47" i="6" s="1"/>
  <c r="BE56" i="6" s="1"/>
  <c r="BP33" i="6"/>
  <c r="BG30" i="6"/>
  <c r="BF44" i="6"/>
  <c r="BF53" i="6" s="1"/>
  <c r="BF62" i="6" s="1"/>
  <c r="BK38" i="6"/>
  <c r="BF31" i="6" l="1"/>
  <c r="BE45" i="6"/>
  <c r="BE54" i="6" s="1"/>
  <c r="BE63" i="6" s="1"/>
  <c r="BH30" i="6"/>
  <c r="BG44" i="6"/>
  <c r="BG53" i="6" s="1"/>
  <c r="BG62" i="6" s="1"/>
  <c r="BQ33" i="6"/>
  <c r="BH35" i="6"/>
  <c r="BG26" i="6"/>
  <c r="BF40" i="6"/>
  <c r="BF47" i="6" s="1"/>
  <c r="BF56" i="6" s="1"/>
  <c r="BN37" i="6"/>
  <c r="BL38" i="6"/>
  <c r="BF28" i="6"/>
  <c r="BE42" i="6"/>
  <c r="BE50" i="6" s="1"/>
  <c r="BE59" i="6" s="1"/>
  <c r="BG31" i="6" l="1"/>
  <c r="BF45" i="6"/>
  <c r="BF54" i="6" s="1"/>
  <c r="BF63" i="6" s="1"/>
  <c r="BO37" i="6"/>
  <c r="BH26" i="6"/>
  <c r="BG40" i="6"/>
  <c r="BG47" i="6" s="1"/>
  <c r="BG56" i="6" s="1"/>
  <c r="BR33" i="6"/>
  <c r="BI35" i="6"/>
  <c r="BG28" i="6"/>
  <c r="BF42" i="6"/>
  <c r="BF50" i="6" s="1"/>
  <c r="BF59" i="6" s="1"/>
  <c r="BM38" i="6"/>
  <c r="BI30" i="6"/>
  <c r="BH44" i="6"/>
  <c r="BH53" i="6" s="1"/>
  <c r="BH62" i="6" s="1"/>
  <c r="BH31" i="6" l="1"/>
  <c r="BG45" i="6"/>
  <c r="BG54" i="6" s="1"/>
  <c r="BG63" i="6" s="1"/>
  <c r="BH28" i="6"/>
  <c r="BG42" i="6"/>
  <c r="BG50" i="6" s="1"/>
  <c r="BG59" i="6" s="1"/>
  <c r="BS33" i="6"/>
  <c r="BJ30" i="6"/>
  <c r="BI44" i="6"/>
  <c r="BI53" i="6" s="1"/>
  <c r="BI62" i="6" s="1"/>
  <c r="BI26" i="6"/>
  <c r="BH40" i="6"/>
  <c r="BH47" i="6" s="1"/>
  <c r="BH56" i="6" s="1"/>
  <c r="BJ35" i="6"/>
  <c r="BN38" i="6"/>
  <c r="BP37" i="6"/>
  <c r="BI31" i="6" l="1"/>
  <c r="BH45" i="6"/>
  <c r="BH54" i="6" s="1"/>
  <c r="BH63" i="6" s="1"/>
  <c r="BK35" i="6"/>
  <c r="BK30" i="6"/>
  <c r="BJ44" i="6"/>
  <c r="BJ53" i="6" s="1"/>
  <c r="BJ62" i="6" s="1"/>
  <c r="BO38" i="6"/>
  <c r="BJ26" i="6"/>
  <c r="BI40" i="6"/>
  <c r="BI47" i="6" s="1"/>
  <c r="BI56" i="6" s="1"/>
  <c r="BT33" i="6"/>
  <c r="BQ37" i="6"/>
  <c r="BI28" i="6"/>
  <c r="BH42" i="6"/>
  <c r="BH50" i="6" s="1"/>
  <c r="BH59" i="6" s="1"/>
  <c r="BJ31" i="6" l="1"/>
  <c r="BI45" i="6"/>
  <c r="BI54" i="6" s="1"/>
  <c r="BI63" i="6" s="1"/>
  <c r="BU33" i="6"/>
  <c r="BJ28" i="6"/>
  <c r="BI42" i="6"/>
  <c r="BI50" i="6" s="1"/>
  <c r="BI59" i="6" s="1"/>
  <c r="BL30" i="6"/>
  <c r="BK44" i="6"/>
  <c r="BK53" i="6" s="1"/>
  <c r="BK62" i="6" s="1"/>
  <c r="BP38" i="6"/>
  <c r="BK26" i="6"/>
  <c r="BJ40" i="6"/>
  <c r="BJ47" i="6" s="1"/>
  <c r="BJ56" i="6" s="1"/>
  <c r="BR37" i="6"/>
  <c r="BL35" i="6"/>
  <c r="BJ45" i="6" l="1"/>
  <c r="BJ54" i="6" s="1"/>
  <c r="BJ63" i="6" s="1"/>
  <c r="BK31" i="6"/>
  <c r="BL26" i="6"/>
  <c r="BK40" i="6"/>
  <c r="BK47" i="6" s="1"/>
  <c r="BK56" i="6" s="1"/>
  <c r="BQ38" i="6"/>
  <c r="BM30" i="6"/>
  <c r="BL44" i="6"/>
  <c r="BL53" i="6" s="1"/>
  <c r="BL62" i="6" s="1"/>
  <c r="BM35" i="6"/>
  <c r="BK28" i="6"/>
  <c r="BJ42" i="6"/>
  <c r="BJ50" i="6" s="1"/>
  <c r="BJ59" i="6" s="1"/>
  <c r="BS37" i="6"/>
  <c r="BV33" i="6"/>
  <c r="BL31" i="6" l="1"/>
  <c r="BK45" i="6"/>
  <c r="BK54" i="6" s="1"/>
  <c r="BK63" i="6" s="1"/>
  <c r="BL28" i="6"/>
  <c r="BK42" i="6"/>
  <c r="BK50" i="6" s="1"/>
  <c r="BK59" i="6" s="1"/>
  <c r="BN35" i="6"/>
  <c r="BN30" i="6"/>
  <c r="BM44" i="6"/>
  <c r="BM53" i="6" s="1"/>
  <c r="BM62" i="6" s="1"/>
  <c r="BW33" i="6"/>
  <c r="BR38" i="6"/>
  <c r="BT37" i="6"/>
  <c r="BM26" i="6"/>
  <c r="BL40" i="6"/>
  <c r="BL47" i="6" s="1"/>
  <c r="BL56" i="6" s="1"/>
  <c r="BM31" i="6" l="1"/>
  <c r="BL45" i="6"/>
  <c r="BL54" i="6" s="1"/>
  <c r="BL63" i="6" s="1"/>
  <c r="BS38" i="6"/>
  <c r="BX33" i="6"/>
  <c r="BO30" i="6"/>
  <c r="BN44" i="6"/>
  <c r="BN53" i="6" s="1"/>
  <c r="BN62" i="6" s="1"/>
  <c r="BO35" i="6"/>
  <c r="BN26" i="6"/>
  <c r="BM40" i="6"/>
  <c r="BM47" i="6" s="1"/>
  <c r="BM56" i="6" s="1"/>
  <c r="BU37" i="6"/>
  <c r="BM28" i="6"/>
  <c r="BL42" i="6"/>
  <c r="BL50" i="6" s="1"/>
  <c r="BL59" i="6" s="1"/>
  <c r="BN31" i="6" l="1"/>
  <c r="BM45" i="6"/>
  <c r="BM54" i="6" s="1"/>
  <c r="BM63" i="6" s="1"/>
  <c r="BO26" i="6"/>
  <c r="BN40" i="6"/>
  <c r="BN47" i="6" s="1"/>
  <c r="BN56" i="6" s="1"/>
  <c r="BP35" i="6"/>
  <c r="BP30" i="6"/>
  <c r="BO44" i="6"/>
  <c r="BO53" i="6" s="1"/>
  <c r="BO62" i="6" s="1"/>
  <c r="BY33" i="6"/>
  <c r="BN28" i="6"/>
  <c r="BM42" i="6"/>
  <c r="BM50" i="6" s="1"/>
  <c r="BM59" i="6" s="1"/>
  <c r="BV37" i="6"/>
  <c r="BT38" i="6"/>
  <c r="BO31" i="6" l="1"/>
  <c r="BN45" i="6"/>
  <c r="BN54" i="6" s="1"/>
  <c r="BN63" i="6" s="1"/>
  <c r="BO28" i="6"/>
  <c r="BN42" i="6"/>
  <c r="BN50" i="6" s="1"/>
  <c r="BN59" i="6" s="1"/>
  <c r="BZ33" i="6"/>
  <c r="BQ30" i="6"/>
  <c r="BP44" i="6"/>
  <c r="BP53" i="6" s="1"/>
  <c r="BP62" i="6" s="1"/>
  <c r="BU38" i="6"/>
  <c r="BQ35" i="6"/>
  <c r="BW37" i="6"/>
  <c r="BP26" i="6"/>
  <c r="BO40" i="6"/>
  <c r="BO47" i="6" s="1"/>
  <c r="BO56" i="6" s="1"/>
  <c r="BP31" i="6" l="1"/>
  <c r="BO45" i="6"/>
  <c r="BO54" i="6" s="1"/>
  <c r="BO63" i="6" s="1"/>
  <c r="BR30" i="6"/>
  <c r="BQ44" i="6"/>
  <c r="BQ53" i="6" s="1"/>
  <c r="BQ62" i="6" s="1"/>
  <c r="BQ26" i="6"/>
  <c r="BP40" i="6"/>
  <c r="BP47" i="6" s="1"/>
  <c r="BP56" i="6" s="1"/>
  <c r="BR35" i="6"/>
  <c r="BV38" i="6"/>
  <c r="CA33" i="6"/>
  <c r="BX37" i="6"/>
  <c r="BP28" i="6"/>
  <c r="BO42" i="6"/>
  <c r="BO50" i="6" s="1"/>
  <c r="BO59" i="6" s="1"/>
  <c r="BQ31" i="6" l="1"/>
  <c r="BP45" i="6"/>
  <c r="BP54" i="6" s="1"/>
  <c r="BP63" i="6" s="1"/>
  <c r="CB33" i="6"/>
  <c r="BW38" i="6"/>
  <c r="BS35" i="6"/>
  <c r="BR26" i="6"/>
  <c r="BQ40" i="6"/>
  <c r="BQ47" i="6" s="1"/>
  <c r="BQ56" i="6" s="1"/>
  <c r="BQ28" i="6"/>
  <c r="BP42" i="6"/>
  <c r="BP50" i="6" s="1"/>
  <c r="BP59" i="6" s="1"/>
  <c r="BY37" i="6"/>
  <c r="BS30" i="6"/>
  <c r="BR44" i="6"/>
  <c r="BR53" i="6" s="1"/>
  <c r="BR62" i="6" s="1"/>
  <c r="BR31" i="6" l="1"/>
  <c r="BQ45" i="6"/>
  <c r="BQ54" i="6" s="1"/>
  <c r="BQ63" i="6" s="1"/>
  <c r="BR28" i="6"/>
  <c r="BQ42" i="6"/>
  <c r="BQ50" i="6" s="1"/>
  <c r="BQ59" i="6" s="1"/>
  <c r="BS26" i="6"/>
  <c r="BR40" i="6"/>
  <c r="BR47" i="6" s="1"/>
  <c r="BR56" i="6" s="1"/>
  <c r="BT35" i="6"/>
  <c r="BX38" i="6"/>
  <c r="BT30" i="6"/>
  <c r="BS44" i="6"/>
  <c r="BS53" i="6" s="1"/>
  <c r="BS62" i="6" s="1"/>
  <c r="BZ37" i="6"/>
  <c r="CC33" i="6"/>
  <c r="BS31" i="6" l="1"/>
  <c r="BR45" i="6"/>
  <c r="BR54" i="6" s="1"/>
  <c r="BR63" i="6" s="1"/>
  <c r="BU30" i="6"/>
  <c r="BT44" i="6"/>
  <c r="BT53" i="6" s="1"/>
  <c r="BT62" i="6" s="1"/>
  <c r="BY38" i="6"/>
  <c r="BU35" i="6"/>
  <c r="BT26" i="6"/>
  <c r="BS40" i="6"/>
  <c r="BS47" i="6" s="1"/>
  <c r="BS56" i="6" s="1"/>
  <c r="CD33" i="6"/>
  <c r="BS28" i="6"/>
  <c r="BR42" i="6"/>
  <c r="BR50" i="6" s="1"/>
  <c r="BR59" i="6" s="1"/>
  <c r="CA37" i="6"/>
  <c r="BT31" i="6" l="1"/>
  <c r="BS45" i="6"/>
  <c r="BS54" i="6" s="1"/>
  <c r="BS63" i="6" s="1"/>
  <c r="BT28" i="6"/>
  <c r="BS42" i="6"/>
  <c r="BS50" i="6" s="1"/>
  <c r="BS59" i="6" s="1"/>
  <c r="CE33" i="6"/>
  <c r="BU26" i="6"/>
  <c r="BT40" i="6"/>
  <c r="BT47" i="6" s="1"/>
  <c r="BT56" i="6" s="1"/>
  <c r="BV35" i="6"/>
  <c r="BZ38" i="6"/>
  <c r="CB37" i="6"/>
  <c r="BV30" i="6"/>
  <c r="BU44" i="6"/>
  <c r="BU53" i="6" s="1"/>
  <c r="BU62" i="6" s="1"/>
  <c r="BU31" i="6" l="1"/>
  <c r="BT45" i="6"/>
  <c r="BT54" i="6" s="1"/>
  <c r="BT63" i="6" s="1"/>
  <c r="CA38" i="6"/>
  <c r="BW35" i="6"/>
  <c r="BV26" i="6"/>
  <c r="BU40" i="6"/>
  <c r="BU47" i="6" s="1"/>
  <c r="BU56" i="6" s="1"/>
  <c r="BW30" i="6"/>
  <c r="BV44" i="6"/>
  <c r="BV53" i="6" s="1"/>
  <c r="BV62" i="6" s="1"/>
  <c r="CF33" i="6"/>
  <c r="CC37" i="6"/>
  <c r="BU28" i="6"/>
  <c r="BT42" i="6"/>
  <c r="BT50" i="6" s="1"/>
  <c r="BT59" i="6" s="1"/>
  <c r="BV31" i="6" l="1"/>
  <c r="BU45" i="6"/>
  <c r="BU54" i="6" s="1"/>
  <c r="BU63" i="6" s="1"/>
  <c r="BW26" i="6"/>
  <c r="BV40" i="6"/>
  <c r="BV47" i="6" s="1"/>
  <c r="BV56" i="6" s="1"/>
  <c r="BX35" i="6"/>
  <c r="BX30" i="6"/>
  <c r="BW44" i="6"/>
  <c r="BW53" i="6" s="1"/>
  <c r="BW62" i="6" s="1"/>
  <c r="BV28" i="6"/>
  <c r="BU42" i="6"/>
  <c r="BU50" i="6" s="1"/>
  <c r="BU59" i="6" s="1"/>
  <c r="CB38" i="6"/>
  <c r="CD37" i="6"/>
  <c r="CG33" i="6"/>
  <c r="BW31" i="6" l="1"/>
  <c r="BV45" i="6"/>
  <c r="BV54" i="6" s="1"/>
  <c r="BV63" i="6" s="1"/>
  <c r="BW28" i="6"/>
  <c r="BV42" i="6"/>
  <c r="BV50" i="6" s="1"/>
  <c r="BV59" i="6" s="1"/>
  <c r="BY35" i="6"/>
  <c r="CE37" i="6"/>
  <c r="CC38" i="6"/>
  <c r="BY30" i="6"/>
  <c r="BX44" i="6"/>
  <c r="BX53" i="6" s="1"/>
  <c r="BX62" i="6" s="1"/>
  <c r="CH33" i="6"/>
  <c r="BX26" i="6"/>
  <c r="BW40" i="6"/>
  <c r="BW47" i="6" s="1"/>
  <c r="BW56" i="6" s="1"/>
  <c r="BX31" i="6" l="1"/>
  <c r="BW45" i="6"/>
  <c r="BW54" i="6" s="1"/>
  <c r="BW63" i="6" s="1"/>
  <c r="CD38" i="6"/>
  <c r="CF37" i="6"/>
  <c r="BZ30" i="6"/>
  <c r="BY44" i="6"/>
  <c r="BY53" i="6" s="1"/>
  <c r="BY62" i="6" s="1"/>
  <c r="BY26" i="6"/>
  <c r="BX40" i="6"/>
  <c r="BX47" i="6" s="1"/>
  <c r="BX56" i="6" s="1"/>
  <c r="BZ35" i="6"/>
  <c r="CI33" i="6"/>
  <c r="BX28" i="6"/>
  <c r="BW42" i="6"/>
  <c r="BW50" i="6" s="1"/>
  <c r="BW59" i="6" s="1"/>
  <c r="BX45" i="6" l="1"/>
  <c r="BX54" i="6" s="1"/>
  <c r="BX63" i="6" s="1"/>
  <c r="BY31" i="6"/>
  <c r="CA35" i="6"/>
  <c r="BZ26" i="6"/>
  <c r="BY40" i="6"/>
  <c r="BY47" i="6" s="1"/>
  <c r="BY56" i="6" s="1"/>
  <c r="BY28" i="6"/>
  <c r="BX42" i="6"/>
  <c r="BX50" i="6" s="1"/>
  <c r="BX59" i="6" s="1"/>
  <c r="CE38" i="6"/>
  <c r="CA30" i="6"/>
  <c r="BZ44" i="6"/>
  <c r="BZ53" i="6" s="1"/>
  <c r="BZ62" i="6" s="1"/>
  <c r="CG37" i="6"/>
  <c r="CJ33" i="6"/>
  <c r="BY45" i="6" l="1"/>
  <c r="BY54" i="6" s="1"/>
  <c r="BY63" i="6" s="1"/>
  <c r="BZ31" i="6"/>
  <c r="CB30" i="6"/>
  <c r="CA44" i="6"/>
  <c r="CA53" i="6" s="1"/>
  <c r="CA62" i="6" s="1"/>
  <c r="BZ28" i="6"/>
  <c r="BY42" i="6"/>
  <c r="BY50" i="6" s="1"/>
  <c r="BY59" i="6" s="1"/>
  <c r="CH37" i="6"/>
  <c r="CF38" i="6"/>
  <c r="CA26" i="6"/>
  <c r="BZ40" i="6"/>
  <c r="BZ47" i="6" s="1"/>
  <c r="BZ56" i="6" s="1"/>
  <c r="CK33" i="6"/>
  <c r="CB35" i="6"/>
  <c r="CA31" i="6" l="1"/>
  <c r="BZ45" i="6"/>
  <c r="BZ54" i="6" s="1"/>
  <c r="BZ63" i="6" s="1"/>
  <c r="CA28" i="6"/>
  <c r="BZ42" i="6"/>
  <c r="BZ50" i="6" s="1"/>
  <c r="BZ59" i="6" s="1"/>
  <c r="CB26" i="6"/>
  <c r="CA40" i="6"/>
  <c r="CA47" i="6" s="1"/>
  <c r="CA56" i="6" s="1"/>
  <c r="CG38" i="6"/>
  <c r="CL33" i="6"/>
  <c r="CI37" i="6"/>
  <c r="CC35" i="6"/>
  <c r="CC30" i="6"/>
  <c r="CB44" i="6"/>
  <c r="CB53" i="6" s="1"/>
  <c r="CB62" i="6" s="1"/>
  <c r="CB31" i="6" l="1"/>
  <c r="CA45" i="6"/>
  <c r="CA54" i="6" s="1"/>
  <c r="CA63" i="6" s="1"/>
  <c r="CM33" i="6"/>
  <c r="CH38" i="6"/>
  <c r="CD30" i="6"/>
  <c r="CC44" i="6"/>
  <c r="CC53" i="6" s="1"/>
  <c r="CC62" i="6" s="1"/>
  <c r="CJ37" i="6"/>
  <c r="CC26" i="6"/>
  <c r="CB40" i="6"/>
  <c r="CB47" i="6" s="1"/>
  <c r="CB56" i="6" s="1"/>
  <c r="CD35" i="6"/>
  <c r="CB28" i="6"/>
  <c r="CA42" i="6"/>
  <c r="CA50" i="6" s="1"/>
  <c r="CA59" i="6" s="1"/>
  <c r="CC31" i="6" l="1"/>
  <c r="CB45" i="6"/>
  <c r="CB54" i="6" s="1"/>
  <c r="CB63" i="6" s="1"/>
  <c r="CD26" i="6"/>
  <c r="CC40" i="6"/>
  <c r="CC47" i="6" s="1"/>
  <c r="CC56" i="6" s="1"/>
  <c r="CK37" i="6"/>
  <c r="CE30" i="6"/>
  <c r="CD44" i="6"/>
  <c r="CD53" i="6" s="1"/>
  <c r="CD62" i="6" s="1"/>
  <c r="CC28" i="6"/>
  <c r="CB42" i="6"/>
  <c r="CB50" i="6" s="1"/>
  <c r="CB59" i="6" s="1"/>
  <c r="CI38" i="6"/>
  <c r="CE35" i="6"/>
  <c r="CN33" i="6"/>
  <c r="CC45" i="6" l="1"/>
  <c r="CC54" i="6" s="1"/>
  <c r="CC63" i="6" s="1"/>
  <c r="CD31" i="6"/>
  <c r="CJ38" i="6"/>
  <c r="CF30" i="6"/>
  <c r="CE44" i="6"/>
  <c r="CE53" i="6" s="1"/>
  <c r="CE62" i="6" s="1"/>
  <c r="CO33" i="6"/>
  <c r="CD28" i="6"/>
  <c r="CC42" i="6"/>
  <c r="CC50" i="6" s="1"/>
  <c r="CC59" i="6" s="1"/>
  <c r="CL37" i="6"/>
  <c r="CF35" i="6"/>
  <c r="CE26" i="6"/>
  <c r="CD40" i="6"/>
  <c r="CD47" i="6" s="1"/>
  <c r="CD56" i="6" s="1"/>
  <c r="CD45" i="6" l="1"/>
  <c r="CD54" i="6" s="1"/>
  <c r="CD63" i="6" s="1"/>
  <c r="CE31" i="6"/>
  <c r="CE28" i="6"/>
  <c r="CD42" i="6"/>
  <c r="CD50" i="6" s="1"/>
  <c r="CD59" i="6" s="1"/>
  <c r="CM37" i="6"/>
  <c r="CF26" i="6"/>
  <c r="CE40" i="6"/>
  <c r="CE47" i="6" s="1"/>
  <c r="CE56" i="6" s="1"/>
  <c r="CP33" i="6"/>
  <c r="CG30" i="6"/>
  <c r="CF44" i="6"/>
  <c r="CF53" i="6" s="1"/>
  <c r="CF62" i="6" s="1"/>
  <c r="CG35" i="6"/>
  <c r="CK38" i="6"/>
  <c r="CF31" i="6" l="1"/>
  <c r="CE45" i="6"/>
  <c r="CE54" i="6" s="1"/>
  <c r="CE63" i="6" s="1"/>
  <c r="CH30" i="6"/>
  <c r="CG44" i="6"/>
  <c r="CG53" i="6" s="1"/>
  <c r="CG62" i="6" s="1"/>
  <c r="CQ33" i="6"/>
  <c r="CG26" i="6"/>
  <c r="CF40" i="6"/>
  <c r="CF47" i="6" s="1"/>
  <c r="CF56" i="6" s="1"/>
  <c r="CL38" i="6"/>
  <c r="CN37" i="6"/>
  <c r="CH35" i="6"/>
  <c r="CF28" i="6"/>
  <c r="CE42" i="6"/>
  <c r="CE50" i="6" s="1"/>
  <c r="CE59" i="6" s="1"/>
  <c r="CF45" i="6" l="1"/>
  <c r="CF54" i="6" s="1"/>
  <c r="CF63" i="6" s="1"/>
  <c r="CG31" i="6"/>
  <c r="CH26" i="6"/>
  <c r="CG40" i="6"/>
  <c r="CG47" i="6" s="1"/>
  <c r="CG56" i="6" s="1"/>
  <c r="CG28" i="6"/>
  <c r="CF42" i="6"/>
  <c r="CF50" i="6" s="1"/>
  <c r="CF59" i="6" s="1"/>
  <c r="CS33" i="6"/>
  <c r="CM38" i="6"/>
  <c r="CO37" i="6"/>
  <c r="CI35" i="6"/>
  <c r="CI30" i="6"/>
  <c r="CH44" i="6"/>
  <c r="CH53" i="6" s="1"/>
  <c r="CH62" i="6" s="1"/>
  <c r="CH31" i="6" l="1"/>
  <c r="CG45" i="6"/>
  <c r="CG54" i="6" s="1"/>
  <c r="CG63" i="6" s="1"/>
  <c r="CJ30" i="6"/>
  <c r="CI44" i="6"/>
  <c r="CI53" i="6" s="1"/>
  <c r="CI62" i="6" s="1"/>
  <c r="CP37" i="6"/>
  <c r="CN38" i="6"/>
  <c r="CJ35" i="6"/>
  <c r="CT33" i="6"/>
  <c r="CH28" i="6"/>
  <c r="CG42" i="6"/>
  <c r="CG50" i="6" s="1"/>
  <c r="CG59" i="6" s="1"/>
  <c r="CI26" i="6"/>
  <c r="CH40" i="6"/>
  <c r="CH47" i="6" s="1"/>
  <c r="CH56" i="6" s="1"/>
  <c r="CH45" i="6" l="1"/>
  <c r="CH54" i="6" s="1"/>
  <c r="CH63" i="6" s="1"/>
  <c r="CI31" i="6"/>
  <c r="CU33" i="6"/>
  <c r="CQ37" i="6"/>
  <c r="CK35" i="6"/>
  <c r="CO38" i="6"/>
  <c r="CJ26" i="6"/>
  <c r="CI40" i="6"/>
  <c r="CI47" i="6" s="1"/>
  <c r="CI56" i="6" s="1"/>
  <c r="CI28" i="6"/>
  <c r="CH42" i="6"/>
  <c r="CH50" i="6" s="1"/>
  <c r="CH59" i="6" s="1"/>
  <c r="CK30" i="6"/>
  <c r="CJ44" i="6"/>
  <c r="CJ53" i="6" s="1"/>
  <c r="CJ62" i="6" s="1"/>
  <c r="CJ31" i="6" l="1"/>
  <c r="CI45" i="6"/>
  <c r="CI54" i="6" s="1"/>
  <c r="CI63" i="6" s="1"/>
  <c r="CP38" i="6"/>
  <c r="CK26" i="6"/>
  <c r="CJ40" i="6"/>
  <c r="CJ47" i="6" s="1"/>
  <c r="CJ56" i="6" s="1"/>
  <c r="CL35" i="6"/>
  <c r="CL30" i="6"/>
  <c r="CK44" i="6"/>
  <c r="CK53" i="6" s="1"/>
  <c r="CK62" i="6" s="1"/>
  <c r="CS37" i="6"/>
  <c r="CJ28" i="6"/>
  <c r="CI42" i="6"/>
  <c r="CI50" i="6" s="1"/>
  <c r="CI59" i="6" s="1"/>
  <c r="CV33" i="6"/>
  <c r="CJ45" i="6" l="1"/>
  <c r="CJ54" i="6" s="1"/>
  <c r="CJ63" i="6" s="1"/>
  <c r="CK31" i="6"/>
  <c r="CT37" i="6"/>
  <c r="CL26" i="6"/>
  <c r="CK40" i="6"/>
  <c r="CK47" i="6" s="1"/>
  <c r="CK56" i="6" s="1"/>
  <c r="CM35" i="6"/>
  <c r="CW33" i="6"/>
  <c r="CM30" i="6"/>
  <c r="CL44" i="6"/>
  <c r="CL53" i="6" s="1"/>
  <c r="CL62" i="6" s="1"/>
  <c r="CK28" i="6"/>
  <c r="CJ42" i="6"/>
  <c r="CJ50" i="6" s="1"/>
  <c r="CJ59" i="6" s="1"/>
  <c r="CQ38" i="6"/>
  <c r="CK45" i="6" l="1"/>
  <c r="CK54" i="6" s="1"/>
  <c r="CK63" i="6" s="1"/>
  <c r="CL31" i="6"/>
  <c r="CX33" i="6"/>
  <c r="CN30" i="6"/>
  <c r="CM44" i="6"/>
  <c r="CM53" i="6" s="1"/>
  <c r="CM62" i="6" s="1"/>
  <c r="CM26" i="6"/>
  <c r="CL40" i="6"/>
  <c r="CL47" i="6" s="1"/>
  <c r="CL56" i="6" s="1"/>
  <c r="CN35" i="6"/>
  <c r="CS38" i="6"/>
  <c r="CL28" i="6"/>
  <c r="CK42" i="6"/>
  <c r="CK50" i="6" s="1"/>
  <c r="CK59" i="6" s="1"/>
  <c r="CU37" i="6"/>
  <c r="CL45" i="6" l="1"/>
  <c r="CL54" i="6" s="1"/>
  <c r="CL63" i="6" s="1"/>
  <c r="CM31" i="6"/>
  <c r="CO35" i="6"/>
  <c r="CO30" i="6"/>
  <c r="CN44" i="6"/>
  <c r="CN53" i="6" s="1"/>
  <c r="CN62" i="6" s="1"/>
  <c r="CV37" i="6"/>
  <c r="CN26" i="6"/>
  <c r="CM40" i="6"/>
  <c r="CM47" i="6" s="1"/>
  <c r="CM56" i="6" s="1"/>
  <c r="CT38" i="6"/>
  <c r="CY33" i="6"/>
  <c r="CM28" i="6"/>
  <c r="CL42" i="6"/>
  <c r="CL50" i="6" s="1"/>
  <c r="CL59" i="6" s="1"/>
  <c r="CM45" i="6" l="1"/>
  <c r="CM54" i="6" s="1"/>
  <c r="CM63" i="6" s="1"/>
  <c r="CN31" i="6"/>
  <c r="CO26" i="6"/>
  <c r="CN40" i="6"/>
  <c r="CN47" i="6" s="1"/>
  <c r="CN56" i="6" s="1"/>
  <c r="CW37" i="6"/>
  <c r="CU38" i="6"/>
  <c r="CP30" i="6"/>
  <c r="CO44" i="6"/>
  <c r="CO53" i="6" s="1"/>
  <c r="CO62" i="6" s="1"/>
  <c r="CN28" i="6"/>
  <c r="CM42" i="6"/>
  <c r="CM50" i="6" s="1"/>
  <c r="CM59" i="6" s="1"/>
  <c r="CP35" i="6"/>
  <c r="CO31" i="6" l="1"/>
  <c r="CN45" i="6"/>
  <c r="CN54" i="6" s="1"/>
  <c r="CN63" i="6" s="1"/>
  <c r="CO28" i="6"/>
  <c r="CN42" i="6"/>
  <c r="CN50" i="6" s="1"/>
  <c r="CN59" i="6" s="1"/>
  <c r="CV38" i="6"/>
  <c r="CQ30" i="6"/>
  <c r="CP44" i="6"/>
  <c r="CP53" i="6" s="1"/>
  <c r="CP62" i="6" s="1"/>
  <c r="CX37" i="6"/>
  <c r="CQ35" i="6"/>
  <c r="CP26" i="6"/>
  <c r="CO40" i="6"/>
  <c r="CO47" i="6" s="1"/>
  <c r="CO56" i="6" s="1"/>
  <c r="CP31" i="6" l="1"/>
  <c r="CO45" i="6"/>
  <c r="CO54" i="6" s="1"/>
  <c r="CO63" i="6" s="1"/>
  <c r="CS35" i="6"/>
  <c r="CS30" i="6"/>
  <c r="CQ44" i="6"/>
  <c r="CQ53" i="6" s="1"/>
  <c r="CQ62" i="6" s="1"/>
  <c r="CP28" i="6"/>
  <c r="CO42" i="6"/>
  <c r="CO50" i="6" s="1"/>
  <c r="CO59" i="6" s="1"/>
  <c r="CY37" i="6"/>
  <c r="CW38" i="6"/>
  <c r="CQ26" i="6"/>
  <c r="CP40" i="6"/>
  <c r="CP47" i="6" s="1"/>
  <c r="CP56" i="6" s="1"/>
  <c r="CP45" i="6" l="1"/>
  <c r="CP54" i="6" s="1"/>
  <c r="CP63" i="6" s="1"/>
  <c r="CQ31" i="6"/>
  <c r="CS26" i="6"/>
  <c r="CQ40" i="6"/>
  <c r="CQ47" i="6" s="1"/>
  <c r="CQ56" i="6" s="1"/>
  <c r="CX38" i="6"/>
  <c r="CQ28" i="6"/>
  <c r="CP42" i="6"/>
  <c r="CT30" i="6"/>
  <c r="CS44" i="6"/>
  <c r="CS53" i="6" s="1"/>
  <c r="CS62" i="6" s="1"/>
  <c r="CS36" i="6"/>
  <c r="CT35" i="6"/>
  <c r="CQ45" i="6" l="1"/>
  <c r="CQ54" i="6" s="1"/>
  <c r="CQ63" i="6" s="1"/>
  <c r="CS31" i="6"/>
  <c r="CY38" i="6"/>
  <c r="CZ38" i="6" s="1"/>
  <c r="CP50" i="6"/>
  <c r="CP59" i="6" s="1"/>
  <c r="CP49" i="6"/>
  <c r="CP58" i="6" s="1"/>
  <c r="CT36" i="6"/>
  <c r="CU30" i="6"/>
  <c r="CT44" i="6"/>
  <c r="CT53" i="6" s="1"/>
  <c r="CT62" i="6" s="1"/>
  <c r="CS28" i="6"/>
  <c r="CQ42" i="6"/>
  <c r="CT26" i="6"/>
  <c r="CS40" i="6"/>
  <c r="CS47" i="6" s="1"/>
  <c r="CS56" i="6" s="1"/>
  <c r="CS45" i="6" l="1"/>
  <c r="CS54" i="6" s="1"/>
  <c r="CS63" i="6" s="1"/>
  <c r="CT31" i="6"/>
  <c r="CS29" i="6"/>
  <c r="CT28" i="6"/>
  <c r="CS42" i="6"/>
  <c r="CU26" i="6"/>
  <c r="CT40" i="6"/>
  <c r="CT47" i="6" s="1"/>
  <c r="CT56" i="6" s="1"/>
  <c r="CV30" i="6"/>
  <c r="CU44" i="6"/>
  <c r="CU53" i="6" s="1"/>
  <c r="CU62" i="6" s="1"/>
  <c r="CV35" i="6"/>
  <c r="CU36" i="6"/>
  <c r="CQ49" i="6"/>
  <c r="CQ58" i="6" s="1"/>
  <c r="CQ50" i="6"/>
  <c r="CQ59" i="6" s="1"/>
  <c r="CU31" i="6" l="1"/>
  <c r="CT45" i="6"/>
  <c r="CT54" i="6" s="1"/>
  <c r="CT63" i="6" s="1"/>
  <c r="CW35" i="6"/>
  <c r="CV36" i="6"/>
  <c r="CW30" i="6"/>
  <c r="CV44" i="6"/>
  <c r="CV53" i="6" s="1"/>
  <c r="CV62" i="6" s="1"/>
  <c r="CV26" i="6"/>
  <c r="CU40" i="6"/>
  <c r="CU47" i="6" s="1"/>
  <c r="CU56" i="6" s="1"/>
  <c r="CS49" i="6"/>
  <c r="CS58" i="6" s="1"/>
  <c r="CS50" i="6"/>
  <c r="CS59" i="6" s="1"/>
  <c r="CU28" i="6"/>
  <c r="CT42" i="6"/>
  <c r="CT29" i="6"/>
  <c r="CS43" i="6"/>
  <c r="CU45" i="6" l="1"/>
  <c r="CU54" i="6" s="1"/>
  <c r="CU63" i="6" s="1"/>
  <c r="CV31" i="6"/>
  <c r="CX30" i="6"/>
  <c r="CW44" i="6"/>
  <c r="CW53" i="6" s="1"/>
  <c r="CW62" i="6" s="1"/>
  <c r="CW26" i="6"/>
  <c r="CV40" i="6"/>
  <c r="CV47" i="6" s="1"/>
  <c r="CV56" i="6" s="1"/>
  <c r="CS51" i="6"/>
  <c r="CS60" i="6" s="1"/>
  <c r="CS52" i="6"/>
  <c r="CS61" i="6" s="1"/>
  <c r="CU29" i="6"/>
  <c r="CT43" i="6"/>
  <c r="CV28" i="6"/>
  <c r="CU42" i="6"/>
  <c r="CT49" i="6"/>
  <c r="CT58" i="6" s="1"/>
  <c r="CT50" i="6"/>
  <c r="CT59" i="6" s="1"/>
  <c r="CX35" i="6"/>
  <c r="CW36" i="6"/>
  <c r="CV45" i="6" l="1"/>
  <c r="CV54" i="6" s="1"/>
  <c r="CV63" i="6" s="1"/>
  <c r="CW31" i="6"/>
  <c r="CU49" i="6"/>
  <c r="CU58" i="6" s="1"/>
  <c r="CU50" i="6"/>
  <c r="CU59" i="6" s="1"/>
  <c r="CW28" i="6"/>
  <c r="CV42" i="6"/>
  <c r="CT51" i="6"/>
  <c r="CT60" i="6" s="1"/>
  <c r="CT52" i="6"/>
  <c r="CT61" i="6" s="1"/>
  <c r="CV29" i="6"/>
  <c r="CU43" i="6"/>
  <c r="CY35" i="6"/>
  <c r="CX36" i="6"/>
  <c r="CX26" i="6"/>
  <c r="CW40" i="6"/>
  <c r="CW47" i="6" s="1"/>
  <c r="CW56" i="6" s="1"/>
  <c r="CY30" i="6"/>
  <c r="CZ30" i="6" s="1"/>
  <c r="DA30" i="6" s="1"/>
  <c r="DB30" i="6" s="1"/>
  <c r="DC30" i="6" s="1"/>
  <c r="DD30" i="6" s="1"/>
  <c r="CX44" i="6"/>
  <c r="CX53" i="6" s="1"/>
  <c r="CX62" i="6" s="1"/>
  <c r="DD44" i="6" l="1"/>
  <c r="DD53" i="6" s="1"/>
  <c r="DD62" i="6" s="1"/>
  <c r="DE30" i="6"/>
  <c r="CX31" i="6"/>
  <c r="CW45" i="6"/>
  <c r="CW54" i="6" s="1"/>
  <c r="CW63" i="6" s="1"/>
  <c r="CZ35" i="6"/>
  <c r="CZ36" i="6" s="1"/>
  <c r="CY36" i="6"/>
  <c r="CU51" i="6"/>
  <c r="CU60" i="6" s="1"/>
  <c r="CU52" i="6"/>
  <c r="CU61" i="6" s="1"/>
  <c r="CV49" i="6"/>
  <c r="CV58" i="6" s="1"/>
  <c r="CV50" i="6"/>
  <c r="CV59" i="6" s="1"/>
  <c r="CW29" i="6"/>
  <c r="CV43" i="6"/>
  <c r="CX28" i="6"/>
  <c r="CW42" i="6"/>
  <c r="CY44" i="6"/>
  <c r="CY53" i="6" s="1"/>
  <c r="CY62" i="6" s="1"/>
  <c r="CY26" i="6"/>
  <c r="CZ26" i="6" s="1"/>
  <c r="DA26" i="6" s="1"/>
  <c r="DB26" i="6" s="1"/>
  <c r="CX40" i="6"/>
  <c r="CX47" i="6" s="1"/>
  <c r="CX56" i="6" s="1"/>
  <c r="DC26" i="6" l="1"/>
  <c r="DB40" i="6"/>
  <c r="DE44" i="6"/>
  <c r="DE53" i="6" s="1"/>
  <c r="DE62" i="6" s="1"/>
  <c r="DF30" i="6"/>
  <c r="CZ44" i="6"/>
  <c r="CZ53" i="6" s="1"/>
  <c r="CZ62" i="6" s="1"/>
  <c r="CX45" i="6"/>
  <c r="CX54" i="6" s="1"/>
  <c r="CX63" i="6" s="1"/>
  <c r="CY31" i="6"/>
  <c r="CZ31" i="6" s="1"/>
  <c r="DA31" i="6" s="1"/>
  <c r="DB31" i="6" s="1"/>
  <c r="DC31" i="6" s="1"/>
  <c r="DD31" i="6" s="1"/>
  <c r="CW49" i="6"/>
  <c r="CW58" i="6" s="1"/>
  <c r="CW50" i="6"/>
  <c r="CW59" i="6" s="1"/>
  <c r="CY28" i="6"/>
  <c r="CZ28" i="6" s="1"/>
  <c r="DA28" i="6" s="1"/>
  <c r="DB28" i="6" s="1"/>
  <c r="DC28" i="6" s="1"/>
  <c r="DD28" i="6" s="1"/>
  <c r="CX42" i="6"/>
  <c r="CX29" i="6"/>
  <c r="CW43" i="6"/>
  <c r="CV52" i="6"/>
  <c r="CV61" i="6" s="1"/>
  <c r="CV51" i="6"/>
  <c r="CV60" i="6" s="1"/>
  <c r="CY40" i="6"/>
  <c r="CY47" i="6" s="1"/>
  <c r="CY56" i="6" s="1"/>
  <c r="DD42" i="6" l="1"/>
  <c r="DE28" i="6"/>
  <c r="DD45" i="6"/>
  <c r="DD54" i="6" s="1"/>
  <c r="DD63" i="6" s="1"/>
  <c r="DE31" i="6"/>
  <c r="DF44" i="6"/>
  <c r="DF53" i="6" s="1"/>
  <c r="DF62" i="6" s="1"/>
  <c r="DG30" i="6"/>
  <c r="DC40" i="6"/>
  <c r="DD26" i="6"/>
  <c r="DA42" i="6"/>
  <c r="CZ40" i="6"/>
  <c r="CZ47" i="6" s="1"/>
  <c r="CZ56" i="6" s="1"/>
  <c r="DA44" i="6"/>
  <c r="DA53" i="6" s="1"/>
  <c r="DA62" i="6" s="1"/>
  <c r="CY45" i="6"/>
  <c r="CY54" i="6" s="1"/>
  <c r="CY63" i="6" s="1"/>
  <c r="CW51" i="6"/>
  <c r="CW60" i="6" s="1"/>
  <c r="CW52" i="6"/>
  <c r="CW61" i="6" s="1"/>
  <c r="CX43" i="6"/>
  <c r="CY29" i="6"/>
  <c r="CZ29" i="6" s="1"/>
  <c r="DA29" i="6" s="1"/>
  <c r="DB29" i="6" s="1"/>
  <c r="DC29" i="6" s="1"/>
  <c r="DD29" i="6" s="1"/>
  <c r="CX49" i="6"/>
  <c r="CX58" i="6" s="1"/>
  <c r="CX50" i="6"/>
  <c r="CX59" i="6" s="1"/>
  <c r="CY42" i="6"/>
  <c r="CZ42" i="6"/>
  <c r="DG44" i="6" l="1"/>
  <c r="DG53" i="6" s="1"/>
  <c r="DG62" i="6" s="1"/>
  <c r="DH30" i="6"/>
  <c r="DD43" i="6"/>
  <c r="DE29" i="6"/>
  <c r="DF28" i="6"/>
  <c r="DE42" i="6"/>
  <c r="DD40" i="6"/>
  <c r="DD47" i="6" s="1"/>
  <c r="DD56" i="6" s="1"/>
  <c r="DE26" i="6"/>
  <c r="DE45" i="6"/>
  <c r="DE54" i="6" s="1"/>
  <c r="DE63" i="6" s="1"/>
  <c r="DF31" i="6"/>
  <c r="DD50" i="6"/>
  <c r="DD59" i="6" s="1"/>
  <c r="DD49" i="6"/>
  <c r="DD58" i="6" s="1"/>
  <c r="DB44" i="6"/>
  <c r="DB53" i="6" s="1"/>
  <c r="DB62" i="6" s="1"/>
  <c r="DC44" i="6"/>
  <c r="DC53" i="6" s="1"/>
  <c r="DC62" i="6" s="1"/>
  <c r="DB42" i="6"/>
  <c r="DB49" i="6" s="1"/>
  <c r="DB58" i="6" s="1"/>
  <c r="DC42" i="6"/>
  <c r="CZ45" i="6"/>
  <c r="CZ54" i="6" s="1"/>
  <c r="CZ63" i="6" s="1"/>
  <c r="DA40" i="6"/>
  <c r="DA47" i="6" s="1"/>
  <c r="DA56" i="6" s="1"/>
  <c r="DA50" i="6"/>
  <c r="DA59" i="6" s="1"/>
  <c r="DA49" i="6"/>
  <c r="DA58" i="6" s="1"/>
  <c r="DB50" i="6"/>
  <c r="DB59" i="6" s="1"/>
  <c r="CY43" i="6"/>
  <c r="CY49" i="6"/>
  <c r="CY58" i="6" s="1"/>
  <c r="CY50" i="6"/>
  <c r="CY59" i="6" s="1"/>
  <c r="CX51" i="6"/>
  <c r="CX60" i="6" s="1"/>
  <c r="CX52" i="6"/>
  <c r="CX61" i="6" s="1"/>
  <c r="CZ49" i="6"/>
  <c r="CZ58" i="6" s="1"/>
  <c r="CZ50" i="6"/>
  <c r="CZ59" i="6" s="1"/>
  <c r="DH44" i="6" l="1"/>
  <c r="DH53" i="6" s="1"/>
  <c r="DH62" i="6" s="1"/>
  <c r="DI30" i="6"/>
  <c r="DE49" i="6"/>
  <c r="DE58" i="6" s="1"/>
  <c r="DE50" i="6"/>
  <c r="DE59" i="6" s="1"/>
  <c r="DF45" i="6"/>
  <c r="DF54" i="6" s="1"/>
  <c r="DF63" i="6" s="1"/>
  <c r="DG31" i="6"/>
  <c r="DF42" i="6"/>
  <c r="DG28" i="6"/>
  <c r="DF26" i="6"/>
  <c r="DE40" i="6"/>
  <c r="DE47" i="6" s="1"/>
  <c r="DE56" i="6" s="1"/>
  <c r="DE43" i="6"/>
  <c r="DF29" i="6"/>
  <c r="DD51" i="6"/>
  <c r="DD60" i="6" s="1"/>
  <c r="DD52" i="6"/>
  <c r="DD61" i="6" s="1"/>
  <c r="DC49" i="6"/>
  <c r="DC58" i="6" s="1"/>
  <c r="DC50" i="6"/>
  <c r="DC59" i="6" s="1"/>
  <c r="DB47" i="6"/>
  <c r="DB56" i="6" s="1"/>
  <c r="DC47" i="6"/>
  <c r="DC56" i="6" s="1"/>
  <c r="DA45" i="6"/>
  <c r="DA54" i="6" s="1"/>
  <c r="DA63" i="6" s="1"/>
  <c r="CZ43" i="6"/>
  <c r="CZ52" i="6" s="1"/>
  <c r="CZ61" i="6" s="1"/>
  <c r="CY52" i="6"/>
  <c r="CY61" i="6" s="1"/>
  <c r="CY51" i="6"/>
  <c r="CY60" i="6" s="1"/>
  <c r="C82" i="18"/>
  <c r="CW3" i="22" s="1"/>
  <c r="DI44" i="6" l="1"/>
  <c r="DI53" i="6" s="1"/>
  <c r="DI62" i="6" s="1"/>
  <c r="DJ30" i="6"/>
  <c r="DJ44" i="6" s="1"/>
  <c r="DJ53" i="6" s="1"/>
  <c r="DJ62" i="6" s="1"/>
  <c r="D16" i="5" s="1"/>
  <c r="DE52" i="6"/>
  <c r="DE61" i="6" s="1"/>
  <c r="DE51" i="6"/>
  <c r="DE60" i="6" s="1"/>
  <c r="DG42" i="6"/>
  <c r="DH28" i="6"/>
  <c r="DF40" i="6"/>
  <c r="DF47" i="6" s="1"/>
  <c r="DF56" i="6" s="1"/>
  <c r="DG26" i="6"/>
  <c r="DF50" i="6"/>
  <c r="DF59" i="6" s="1"/>
  <c r="DF49" i="6"/>
  <c r="DF58" i="6" s="1"/>
  <c r="DG45" i="6"/>
  <c r="DG54" i="6" s="1"/>
  <c r="DG63" i="6" s="1"/>
  <c r="DH31" i="6"/>
  <c r="DF43" i="6"/>
  <c r="DG29" i="6"/>
  <c r="CZ51" i="6"/>
  <c r="CZ60" i="6" s="1"/>
  <c r="DB45" i="6"/>
  <c r="DB54" i="6" s="1"/>
  <c r="DB63" i="6" s="1"/>
  <c r="DC45" i="6"/>
  <c r="DC54" i="6" s="1"/>
  <c r="DC63" i="6" s="1"/>
  <c r="CW36" i="22"/>
  <c r="CW120" i="22" s="1"/>
  <c r="CW141" i="22" s="1"/>
  <c r="CW26" i="22"/>
  <c r="CW110" i="22" s="1"/>
  <c r="CW131" i="22" s="1"/>
  <c r="CW29" i="22"/>
  <c r="CW113" i="22" s="1"/>
  <c r="CW134" i="22" s="1"/>
  <c r="CW31" i="22"/>
  <c r="CW115" i="22" s="1"/>
  <c r="CW136" i="22" s="1"/>
  <c r="CW24" i="22"/>
  <c r="CW108" i="22" s="1"/>
  <c r="CW129" i="22" s="1"/>
  <c r="CW34" i="22"/>
  <c r="CW118" i="22" s="1"/>
  <c r="CW139" i="22" s="1"/>
  <c r="CW19" i="22"/>
  <c r="CW37" i="22"/>
  <c r="CW121" i="22" s="1"/>
  <c r="CW142" i="22" s="1"/>
  <c r="CW32" i="22"/>
  <c r="CW116" i="22" s="1"/>
  <c r="CW137" i="22" s="1"/>
  <c r="CW22" i="22"/>
  <c r="CW106" i="22" s="1"/>
  <c r="CW127" i="22" s="1"/>
  <c r="CW20" i="22"/>
  <c r="CW104" i="22" s="1"/>
  <c r="CW35" i="22"/>
  <c r="CW119" i="22" s="1"/>
  <c r="CW140" i="22" s="1"/>
  <c r="CW23" i="22"/>
  <c r="CW107" i="22" s="1"/>
  <c r="CW128" i="22" s="1"/>
  <c r="CW6" i="22"/>
  <c r="CW28" i="22"/>
  <c r="CW112" i="22" s="1"/>
  <c r="CW133" i="22" s="1"/>
  <c r="CW33" i="22"/>
  <c r="CW117" i="22" s="1"/>
  <c r="CW138" i="22" s="1"/>
  <c r="CW30" i="22"/>
  <c r="CW114" i="22" s="1"/>
  <c r="CW135" i="22" s="1"/>
  <c r="CW27" i="22"/>
  <c r="CW111" i="22" s="1"/>
  <c r="CW132" i="22" s="1"/>
  <c r="DA43" i="6"/>
  <c r="C86" i="18"/>
  <c r="C91" i="18" s="1"/>
  <c r="C95" i="18" s="1"/>
  <c r="C100" i="18" s="1"/>
  <c r="DH42" i="6" l="1"/>
  <c r="DI28" i="6"/>
  <c r="DH45" i="6"/>
  <c r="DH54" i="6" s="1"/>
  <c r="DH63" i="6" s="1"/>
  <c r="DI31" i="6"/>
  <c r="DG40" i="6"/>
  <c r="DG47" i="6" s="1"/>
  <c r="DG56" i="6" s="1"/>
  <c r="DH26" i="6"/>
  <c r="DH49" i="6"/>
  <c r="DH58" i="6" s="1"/>
  <c r="DH50" i="6"/>
  <c r="DH59" i="6" s="1"/>
  <c r="DF52" i="6"/>
  <c r="DF61" i="6" s="1"/>
  <c r="DF51" i="6"/>
  <c r="DF60" i="6" s="1"/>
  <c r="DG49" i="6"/>
  <c r="DG58" i="6" s="1"/>
  <c r="DG50" i="6"/>
  <c r="DG59" i="6" s="1"/>
  <c r="DG43" i="6"/>
  <c r="DH29" i="6"/>
  <c r="CY3" i="22"/>
  <c r="CY20" i="22" s="1"/>
  <c r="CY104" i="22" s="1"/>
  <c r="C104" i="18"/>
  <c r="C109" i="18" s="1"/>
  <c r="CW125" i="22"/>
  <c r="DB43" i="6"/>
  <c r="DC43" i="6"/>
  <c r="CX3" i="22"/>
  <c r="CX28" i="22" s="1"/>
  <c r="CX112" i="22" s="1"/>
  <c r="CX133" i="22" s="1"/>
  <c r="CW25" i="22"/>
  <c r="CW109" i="22" s="1"/>
  <c r="CW130" i="22" s="1"/>
  <c r="CW21" i="22"/>
  <c r="CW105" i="22" s="1"/>
  <c r="CW126" i="22" s="1"/>
  <c r="DA51" i="6"/>
  <c r="DA60" i="6" s="1"/>
  <c r="DA52" i="6"/>
  <c r="DA61" i="6" s="1"/>
  <c r="DB51" i="6"/>
  <c r="DB60" i="6" s="1"/>
  <c r="DB52" i="6"/>
  <c r="DB61" i="6" s="1"/>
  <c r="DH40" i="6" l="1"/>
  <c r="DH47" i="6" s="1"/>
  <c r="DH56" i="6" s="1"/>
  <c r="DI26" i="6"/>
  <c r="DH43" i="6"/>
  <c r="DH52" i="6" s="1"/>
  <c r="DH61" i="6" s="1"/>
  <c r="DI29" i="6"/>
  <c r="DI45" i="6"/>
  <c r="DI54" i="6" s="1"/>
  <c r="DI63" i="6" s="1"/>
  <c r="DJ31" i="6"/>
  <c r="DJ45" i="6" s="1"/>
  <c r="DJ54" i="6" s="1"/>
  <c r="DJ63" i="6" s="1"/>
  <c r="D17" i="5" s="1"/>
  <c r="DI42" i="6"/>
  <c r="DJ28" i="6"/>
  <c r="DJ42" i="6" s="1"/>
  <c r="DG52" i="6"/>
  <c r="DG61" i="6" s="1"/>
  <c r="DG51" i="6"/>
  <c r="DG60" i="6" s="1"/>
  <c r="CY36" i="22"/>
  <c r="CY120" i="22" s="1"/>
  <c r="CZ3" i="22"/>
  <c r="CZ27" i="22" s="1"/>
  <c r="CZ111" i="22" s="1"/>
  <c r="CZ132" i="22" s="1"/>
  <c r="C113" i="18"/>
  <c r="C118" i="18" s="1"/>
  <c r="CX36" i="22"/>
  <c r="CX120" i="22" s="1"/>
  <c r="CX141" i="22" s="1"/>
  <c r="CX32" i="22"/>
  <c r="CX116" i="22" s="1"/>
  <c r="CX137" i="22" s="1"/>
  <c r="CX27" i="22"/>
  <c r="CX111" i="22" s="1"/>
  <c r="CX132" i="22" s="1"/>
  <c r="CX23" i="22"/>
  <c r="CX107" i="22" s="1"/>
  <c r="CX128" i="22" s="1"/>
  <c r="CX19" i="22"/>
  <c r="CX6" i="22"/>
  <c r="CX21" i="22" s="1"/>
  <c r="CX105" i="22" s="1"/>
  <c r="CX126" i="22" s="1"/>
  <c r="CX33" i="22"/>
  <c r="CX117" i="22" s="1"/>
  <c r="CX138" i="22" s="1"/>
  <c r="CX22" i="22"/>
  <c r="CX106" i="22" s="1"/>
  <c r="CX127" i="22" s="1"/>
  <c r="CX35" i="22"/>
  <c r="CX119" i="22" s="1"/>
  <c r="CX140" i="22" s="1"/>
  <c r="CX31" i="22"/>
  <c r="CX115" i="22" s="1"/>
  <c r="CX136" i="22" s="1"/>
  <c r="CX30" i="22"/>
  <c r="CX114" i="22" s="1"/>
  <c r="CX135" i="22" s="1"/>
  <c r="CX26" i="22"/>
  <c r="CX110" i="22" s="1"/>
  <c r="CX131" i="22" s="1"/>
  <c r="CX29" i="22"/>
  <c r="CX113" i="22" s="1"/>
  <c r="CX134" i="22" s="1"/>
  <c r="CX20" i="22"/>
  <c r="CX104" i="22" s="1"/>
  <c r="CX37" i="22"/>
  <c r="CX121" i="22" s="1"/>
  <c r="CX142" i="22" s="1"/>
  <c r="CX34" i="22"/>
  <c r="CX118" i="22" s="1"/>
  <c r="CX139" i="22" s="1"/>
  <c r="CX24" i="22"/>
  <c r="CX108" i="22" s="1"/>
  <c r="CX129" i="22" s="1"/>
  <c r="DC51" i="6"/>
  <c r="DC60" i="6" s="1"/>
  <c r="DC52" i="6"/>
  <c r="DC61" i="6" s="1"/>
  <c r="CY19" i="22"/>
  <c r="CY35" i="22"/>
  <c r="CY119" i="22" s="1"/>
  <c r="CY32" i="22"/>
  <c r="CY116" i="22" s="1"/>
  <c r="CY26" i="22"/>
  <c r="CY110" i="22" s="1"/>
  <c r="CY33" i="22"/>
  <c r="CY117" i="22" s="1"/>
  <c r="CY28" i="22"/>
  <c r="CY112" i="22" s="1"/>
  <c r="CY133" i="22" s="1"/>
  <c r="CY37" i="22"/>
  <c r="CY121" i="22" s="1"/>
  <c r="CY142" i="22" s="1"/>
  <c r="CY34" i="22"/>
  <c r="CY118" i="22" s="1"/>
  <c r="CY139" i="22" s="1"/>
  <c r="CY23" i="22"/>
  <c r="CY107" i="22" s="1"/>
  <c r="CY6" i="22"/>
  <c r="CY27" i="22"/>
  <c r="CY111" i="22" s="1"/>
  <c r="CY29" i="22"/>
  <c r="CY113" i="22" s="1"/>
  <c r="CY134" i="22" s="1"/>
  <c r="CY24" i="22"/>
  <c r="CY108" i="22" s="1"/>
  <c r="CY129" i="22" s="1"/>
  <c r="CY31" i="22"/>
  <c r="CY115" i="22" s="1"/>
  <c r="CY136" i="22" s="1"/>
  <c r="CY30" i="22"/>
  <c r="CY114" i="22" s="1"/>
  <c r="CY22" i="22"/>
  <c r="CY106" i="22" s="1"/>
  <c r="CZ32" i="22" l="1"/>
  <c r="CZ116" i="22" s="1"/>
  <c r="CZ137" i="22" s="1"/>
  <c r="CZ23" i="22"/>
  <c r="CZ107" i="22" s="1"/>
  <c r="CZ128" i="22" s="1"/>
  <c r="CZ34" i="22"/>
  <c r="CZ118" i="22" s="1"/>
  <c r="CZ139" i="22" s="1"/>
  <c r="DJ49" i="6"/>
  <c r="DJ58" i="6" s="1"/>
  <c r="D12" i="5" s="1"/>
  <c r="DJ50" i="6"/>
  <c r="DJ59" i="6" s="1"/>
  <c r="D13" i="5" s="1"/>
  <c r="DI43" i="6"/>
  <c r="DJ29" i="6"/>
  <c r="DJ43" i="6" s="1"/>
  <c r="DI49" i="6"/>
  <c r="DI58" i="6" s="1"/>
  <c r="DI50" i="6"/>
  <c r="DI59" i="6" s="1"/>
  <c r="DI40" i="6"/>
  <c r="DI47" i="6" s="1"/>
  <c r="DI56" i="6" s="1"/>
  <c r="DJ26" i="6"/>
  <c r="DJ40" i="6" s="1"/>
  <c r="DJ47" i="6" s="1"/>
  <c r="DJ56" i="6" s="1"/>
  <c r="D10" i="5"/>
  <c r="DH51" i="6"/>
  <c r="DH60" i="6" s="1"/>
  <c r="CZ35" i="22"/>
  <c r="CZ119" i="22" s="1"/>
  <c r="CZ140" i="22" s="1"/>
  <c r="CZ22" i="22"/>
  <c r="CZ106" i="22" s="1"/>
  <c r="CZ127" i="22" s="1"/>
  <c r="CZ24" i="22"/>
  <c r="CZ108" i="22" s="1"/>
  <c r="CZ129" i="22" s="1"/>
  <c r="CZ31" i="22"/>
  <c r="CZ115" i="22" s="1"/>
  <c r="CZ136" i="22" s="1"/>
  <c r="CZ29" i="22"/>
  <c r="CZ113" i="22" s="1"/>
  <c r="CZ134" i="22" s="1"/>
  <c r="CZ28" i="22"/>
  <c r="CZ112" i="22" s="1"/>
  <c r="CZ133" i="22" s="1"/>
  <c r="CZ20" i="22"/>
  <c r="CZ104" i="22" s="1"/>
  <c r="CZ125" i="22" s="1"/>
  <c r="CZ6" i="22"/>
  <c r="CZ21" i="22" s="1"/>
  <c r="CZ105" i="22" s="1"/>
  <c r="CZ126" i="22" s="1"/>
  <c r="CZ37" i="22"/>
  <c r="CZ121" i="22" s="1"/>
  <c r="CZ142" i="22" s="1"/>
  <c r="CZ33" i="22"/>
  <c r="CZ117" i="22" s="1"/>
  <c r="CZ138" i="22" s="1"/>
  <c r="CZ26" i="22"/>
  <c r="CZ110" i="22" s="1"/>
  <c r="CZ131" i="22" s="1"/>
  <c r="CZ19" i="22"/>
  <c r="CZ30" i="22"/>
  <c r="CZ114" i="22" s="1"/>
  <c r="CZ135" i="22" s="1"/>
  <c r="CZ36" i="22"/>
  <c r="CZ120" i="22" s="1"/>
  <c r="CZ141" i="22" s="1"/>
  <c r="DA3" i="22"/>
  <c r="DA35" i="22" s="1"/>
  <c r="DA119" i="22" s="1"/>
  <c r="DA140" i="22" s="1"/>
  <c r="C122" i="18"/>
  <c r="C127" i="18" s="1"/>
  <c r="C131" i="18" s="1"/>
  <c r="C136" i="18" s="1"/>
  <c r="CX25" i="22"/>
  <c r="CX109" i="22" s="1"/>
  <c r="CX130" i="22" s="1"/>
  <c r="CX125" i="22"/>
  <c r="CY137" i="22"/>
  <c r="CY140" i="22"/>
  <c r="CY138" i="22"/>
  <c r="CY131" i="22"/>
  <c r="CY21" i="22"/>
  <c r="CY105" i="22" s="1"/>
  <c r="CY126" i="22" s="1"/>
  <c r="CY25" i="22"/>
  <c r="CY109" i="22" s="1"/>
  <c r="CY130" i="22" s="1"/>
  <c r="CY127" i="22"/>
  <c r="CY135" i="22"/>
  <c r="CY125" i="22"/>
  <c r="CY128" i="22"/>
  <c r="CY132" i="22"/>
  <c r="CY141" i="22"/>
  <c r="DJ51" i="6" l="1"/>
  <c r="DJ60" i="6" s="1"/>
  <c r="D14" i="5" s="1"/>
  <c r="DJ52" i="6"/>
  <c r="DJ61" i="6" s="1"/>
  <c r="D15" i="5" s="1"/>
  <c r="DI51" i="6"/>
  <c r="DI60" i="6" s="1"/>
  <c r="DI52" i="6"/>
  <c r="DI61" i="6" s="1"/>
  <c r="CZ25" i="22"/>
  <c r="CZ109" i="22" s="1"/>
  <c r="CZ130" i="22" s="1"/>
  <c r="DA20" i="22"/>
  <c r="DA104" i="22" s="1"/>
  <c r="DA125" i="22" s="1"/>
  <c r="DA30" i="22"/>
  <c r="DA114" i="22" s="1"/>
  <c r="DA135" i="22" s="1"/>
  <c r="DA36" i="22"/>
  <c r="DA120" i="22" s="1"/>
  <c r="DA141" i="22" s="1"/>
  <c r="DA6" i="22"/>
  <c r="DA25" i="22" s="1"/>
  <c r="DA109" i="22" s="1"/>
  <c r="DA130" i="22" s="1"/>
  <c r="DC3" i="22"/>
  <c r="C140" i="18"/>
  <c r="C145" i="18" s="1"/>
  <c r="DA32" i="22"/>
  <c r="DA116" i="22" s="1"/>
  <c r="DA137" i="22" s="1"/>
  <c r="DA28" i="22"/>
  <c r="DA112" i="22" s="1"/>
  <c r="DA133" i="22" s="1"/>
  <c r="DA34" i="22"/>
  <c r="DA118" i="22" s="1"/>
  <c r="DA139" i="22" s="1"/>
  <c r="DA31" i="22"/>
  <c r="DA115" i="22" s="1"/>
  <c r="DA136" i="22" s="1"/>
  <c r="DA22" i="22"/>
  <c r="DA106" i="22" s="1"/>
  <c r="DA127" i="22" s="1"/>
  <c r="DA33" i="22"/>
  <c r="DA117" i="22" s="1"/>
  <c r="DA138" i="22" s="1"/>
  <c r="DA37" i="22"/>
  <c r="DA121" i="22" s="1"/>
  <c r="DA142" i="22" s="1"/>
  <c r="DA29" i="22"/>
  <c r="DA113" i="22" s="1"/>
  <c r="DA134" i="22" s="1"/>
  <c r="DA23" i="22"/>
  <c r="DA107" i="22" s="1"/>
  <c r="DA128" i="22" s="1"/>
  <c r="DA24" i="22"/>
  <c r="DA108" i="22" s="1"/>
  <c r="DA129" i="22" s="1"/>
  <c r="DA19" i="22"/>
  <c r="DA26" i="22"/>
  <c r="DA110" i="22" s="1"/>
  <c r="DA131" i="22" s="1"/>
  <c r="DA27" i="22"/>
  <c r="DA111" i="22" s="1"/>
  <c r="DA132" i="22" s="1"/>
  <c r="DB3" i="22"/>
  <c r="DB30" i="22" s="1"/>
  <c r="DB114" i="22" s="1"/>
  <c r="DA21" i="22" l="1"/>
  <c r="DA105" i="22" s="1"/>
  <c r="DA126" i="22" s="1"/>
  <c r="DD3" i="22"/>
  <c r="DD36" i="22" s="1"/>
  <c r="DD120" i="22" s="1"/>
  <c r="DD141" i="22" s="1"/>
  <c r="C149" i="18"/>
  <c r="C154" i="18" s="1"/>
  <c r="DD20" i="22"/>
  <c r="DD104" i="22" s="1"/>
  <c r="DD125" i="22" s="1"/>
  <c r="DD30" i="22"/>
  <c r="DD114" i="22" s="1"/>
  <c r="DD135" i="22" s="1"/>
  <c r="DD37" i="22"/>
  <c r="DD121" i="22" s="1"/>
  <c r="DD142" i="22" s="1"/>
  <c r="DD32" i="22"/>
  <c r="DD116" i="22" s="1"/>
  <c r="DD137" i="22" s="1"/>
  <c r="DD23" i="22"/>
  <c r="DD107" i="22" s="1"/>
  <c r="DD128" i="22" s="1"/>
  <c r="DD24" i="22"/>
  <c r="DD108" i="22" s="1"/>
  <c r="DD129" i="22" s="1"/>
  <c r="DD31" i="22"/>
  <c r="DD115" i="22" s="1"/>
  <c r="DD136" i="22" s="1"/>
  <c r="DD27" i="22"/>
  <c r="DD111" i="22" s="1"/>
  <c r="DD132" i="22" s="1"/>
  <c r="DD33" i="22"/>
  <c r="DD117" i="22" s="1"/>
  <c r="DD138" i="22" s="1"/>
  <c r="DB36" i="22"/>
  <c r="DB120" i="22" s="1"/>
  <c r="DB141" i="22" s="1"/>
  <c r="DB6" i="22"/>
  <c r="DB21" i="22" s="1"/>
  <c r="DB105" i="22" s="1"/>
  <c r="DB126" i="22" s="1"/>
  <c r="DB20" i="22"/>
  <c r="DB104" i="22" s="1"/>
  <c r="DB125" i="22" s="1"/>
  <c r="DB27" i="22"/>
  <c r="DB111" i="22" s="1"/>
  <c r="DB132" i="22" s="1"/>
  <c r="DB34" i="22"/>
  <c r="DB118" i="22" s="1"/>
  <c r="DB139" i="22" s="1"/>
  <c r="DB24" i="22"/>
  <c r="DB108" i="22" s="1"/>
  <c r="DB129" i="22" s="1"/>
  <c r="DB33" i="22"/>
  <c r="DB117" i="22" s="1"/>
  <c r="DB138" i="22" s="1"/>
  <c r="DB29" i="22"/>
  <c r="DB113" i="22" s="1"/>
  <c r="DB134" i="22" s="1"/>
  <c r="DB19" i="22"/>
  <c r="DB26" i="22"/>
  <c r="DB110" i="22" s="1"/>
  <c r="DB131" i="22" s="1"/>
  <c r="DB31" i="22"/>
  <c r="DB115" i="22" s="1"/>
  <c r="DB136" i="22" s="1"/>
  <c r="DB23" i="22"/>
  <c r="DB107" i="22" s="1"/>
  <c r="DB128" i="22" s="1"/>
  <c r="DB28" i="22"/>
  <c r="DB112" i="22" s="1"/>
  <c r="DB133" i="22" s="1"/>
  <c r="DB32" i="22"/>
  <c r="DB116" i="22" s="1"/>
  <c r="DB137" i="22" s="1"/>
  <c r="DB37" i="22"/>
  <c r="DB121" i="22" s="1"/>
  <c r="DB142" i="22" s="1"/>
  <c r="DB35" i="22"/>
  <c r="DB119" i="22" s="1"/>
  <c r="DB140" i="22" s="1"/>
  <c r="DB22" i="22"/>
  <c r="DB106" i="22" s="1"/>
  <c r="DB127" i="22" s="1"/>
  <c r="DC36" i="22"/>
  <c r="DC120" i="22" s="1"/>
  <c r="DC141" i="22" s="1"/>
  <c r="DC31" i="22"/>
  <c r="DC115" i="22" s="1"/>
  <c r="DC136" i="22" s="1"/>
  <c r="DC37" i="22"/>
  <c r="DC121" i="22" s="1"/>
  <c r="DC32" i="22"/>
  <c r="DC116" i="22" s="1"/>
  <c r="DC30" i="22"/>
  <c r="DC114" i="22" s="1"/>
  <c r="DC135" i="22" s="1"/>
  <c r="DC29" i="22"/>
  <c r="DC113" i="22" s="1"/>
  <c r="DC26" i="22"/>
  <c r="DC110" i="22" s="1"/>
  <c r="DC27" i="22"/>
  <c r="DC111" i="22" s="1"/>
  <c r="DC22" i="22"/>
  <c r="DC106" i="22" s="1"/>
  <c r="DC28" i="22"/>
  <c r="DC112" i="22" s="1"/>
  <c r="DC23" i="22"/>
  <c r="DC107" i="22" s="1"/>
  <c r="DC128" i="22" s="1"/>
  <c r="DC6" i="22"/>
  <c r="DC19" i="22"/>
  <c r="DC35" i="22"/>
  <c r="DC119" i="22" s="1"/>
  <c r="DC140" i="22" s="1"/>
  <c r="DC34" i="22"/>
  <c r="DC118" i="22" s="1"/>
  <c r="DC20" i="22"/>
  <c r="DC33" i="22"/>
  <c r="DC117" i="22" s="1"/>
  <c r="DC24" i="22"/>
  <c r="DC108" i="22" s="1"/>
  <c r="DB135" i="22"/>
  <c r="DD19" i="22" l="1"/>
  <c r="DD29" i="22"/>
  <c r="DD113" i="22" s="1"/>
  <c r="DD134" i="22" s="1"/>
  <c r="DD22" i="22"/>
  <c r="DD106" i="22" s="1"/>
  <c r="DD127" i="22" s="1"/>
  <c r="DD35" i="22"/>
  <c r="DD119" i="22" s="1"/>
  <c r="DD140" i="22" s="1"/>
  <c r="DD6" i="22"/>
  <c r="DD25" i="22" s="1"/>
  <c r="DD109" i="22" s="1"/>
  <c r="DD130" i="22" s="1"/>
  <c r="DD34" i="22"/>
  <c r="DD118" i="22" s="1"/>
  <c r="DD139" i="22" s="1"/>
  <c r="DD28" i="22"/>
  <c r="DD112" i="22" s="1"/>
  <c r="DD133" i="22" s="1"/>
  <c r="DE3" i="22"/>
  <c r="DE30" i="22" s="1"/>
  <c r="DE114" i="22" s="1"/>
  <c r="DE135" i="22" s="1"/>
  <c r="C158" i="18"/>
  <c r="C163" i="18" s="1"/>
  <c r="DD26" i="22"/>
  <c r="DD110" i="22" s="1"/>
  <c r="DD131" i="22" s="1"/>
  <c r="DB25" i="22"/>
  <c r="DB109" i="22" s="1"/>
  <c r="DB130" i="22" s="1"/>
  <c r="DC104" i="22"/>
  <c r="DC125" i="22" s="1"/>
  <c r="DC139" i="22"/>
  <c r="DC25" i="22"/>
  <c r="DC109" i="22" s="1"/>
  <c r="DC130" i="22" s="1"/>
  <c r="DC21" i="22"/>
  <c r="DC105" i="22" s="1"/>
  <c r="DC126" i="22" s="1"/>
  <c r="DC133" i="22"/>
  <c r="DC127" i="22"/>
  <c r="DC132" i="22"/>
  <c r="DC131" i="22"/>
  <c r="DC134" i="22"/>
  <c r="DC137" i="22"/>
  <c r="DC142" i="22"/>
  <c r="DC129" i="22"/>
  <c r="DC138" i="22"/>
  <c r="DD21" i="22" l="1"/>
  <c r="DD105" i="22" s="1"/>
  <c r="DD126" i="22" s="1"/>
  <c r="DF3" i="22"/>
  <c r="DF34" i="22" s="1"/>
  <c r="DF118" i="22" s="1"/>
  <c r="DF139" i="22" s="1"/>
  <c r="C167" i="18"/>
  <c r="C172" i="18" s="1"/>
  <c r="DG3" i="22" s="1"/>
  <c r="C36" i="3" s="1"/>
  <c r="DF36" i="22"/>
  <c r="DF120" i="22" s="1"/>
  <c r="DF141" i="22" s="1"/>
  <c r="DF26" i="22"/>
  <c r="DF110" i="22" s="1"/>
  <c r="DF131" i="22" s="1"/>
  <c r="DF37" i="22"/>
  <c r="DF121" i="22" s="1"/>
  <c r="DF142" i="22" s="1"/>
  <c r="DF19" i="22"/>
  <c r="DF22" i="22"/>
  <c r="DF106" i="22" s="1"/>
  <c r="DF127" i="22" s="1"/>
  <c r="DF23" i="22"/>
  <c r="DF107" i="22" s="1"/>
  <c r="DF128" i="22" s="1"/>
  <c r="DF20" i="22"/>
  <c r="DF104" i="22" s="1"/>
  <c r="DF125" i="22" s="1"/>
  <c r="DF6" i="22"/>
  <c r="DF31" i="22"/>
  <c r="DF115" i="22" s="1"/>
  <c r="DF136" i="22" s="1"/>
  <c r="DF30" i="22"/>
  <c r="DF114" i="22" s="1"/>
  <c r="DF135" i="22" s="1"/>
  <c r="DF33" i="22"/>
  <c r="DF117" i="22" s="1"/>
  <c r="DF138" i="22" s="1"/>
  <c r="DF29" i="22"/>
  <c r="DF113" i="22" s="1"/>
  <c r="DF134" i="22" s="1"/>
  <c r="DF27" i="22"/>
  <c r="DF111" i="22" s="1"/>
  <c r="DF132" i="22" s="1"/>
  <c r="DE31" i="22"/>
  <c r="DE115" i="22" s="1"/>
  <c r="DE136" i="22" s="1"/>
  <c r="DE6" i="22"/>
  <c r="DE24" i="22"/>
  <c r="DE108" i="22" s="1"/>
  <c r="DE129" i="22" s="1"/>
  <c r="DE32" i="22"/>
  <c r="DE116" i="22" s="1"/>
  <c r="DE20" i="22"/>
  <c r="DE104" i="22" s="1"/>
  <c r="DE125" i="22" s="1"/>
  <c r="DE37" i="22"/>
  <c r="DE121" i="22" s="1"/>
  <c r="DE29" i="22"/>
  <c r="DE113" i="22" s="1"/>
  <c r="DE134" i="22" s="1"/>
  <c r="DE19" i="22"/>
  <c r="DE36" i="22"/>
  <c r="DE120" i="22" s="1"/>
  <c r="DE23" i="22"/>
  <c r="DE107" i="22" s="1"/>
  <c r="DE26" i="22"/>
  <c r="DE110" i="22" s="1"/>
  <c r="DE33" i="22"/>
  <c r="DE117" i="22" s="1"/>
  <c r="DE22" i="22"/>
  <c r="DE106" i="22" s="1"/>
  <c r="DE127" i="22" s="1"/>
  <c r="DE28" i="22"/>
  <c r="DE112" i="22" s="1"/>
  <c r="DE34" i="22"/>
  <c r="DE118" i="22" s="1"/>
  <c r="DE35" i="22"/>
  <c r="DE119" i="22" s="1"/>
  <c r="DE27" i="22"/>
  <c r="DE111" i="22" s="1"/>
  <c r="DE132" i="22" s="1"/>
  <c r="DG37" i="22" l="1"/>
  <c r="DG121" i="22" s="1"/>
  <c r="DG142" i="22" s="1"/>
  <c r="DG35" i="22"/>
  <c r="DG119" i="22" s="1"/>
  <c r="DG140" i="22" s="1"/>
  <c r="DG29" i="22"/>
  <c r="DG113" i="22" s="1"/>
  <c r="DG134" i="22" s="1"/>
  <c r="DG36" i="22"/>
  <c r="DG120" i="22" s="1"/>
  <c r="DG141" i="22" s="1"/>
  <c r="DG23" i="22"/>
  <c r="DG107" i="22" s="1"/>
  <c r="DG128" i="22" s="1"/>
  <c r="DG30" i="22"/>
  <c r="DG114" i="22" s="1"/>
  <c r="DG22" i="22"/>
  <c r="DG106" i="22" s="1"/>
  <c r="DG127" i="22" s="1"/>
  <c r="DG34" i="22"/>
  <c r="DG118" i="22" s="1"/>
  <c r="DG139" i="22" s="1"/>
  <c r="DG26" i="22"/>
  <c r="DG110" i="22" s="1"/>
  <c r="DG131" i="22" s="1"/>
  <c r="DG24" i="22"/>
  <c r="DG108" i="22" s="1"/>
  <c r="DG129" i="22" s="1"/>
  <c r="DG19" i="22"/>
  <c r="DG31" i="22"/>
  <c r="DG115" i="22" s="1"/>
  <c r="DG136" i="22" s="1"/>
  <c r="DG27" i="22"/>
  <c r="DG111" i="22" s="1"/>
  <c r="DG20" i="22"/>
  <c r="DG104" i="22" s="1"/>
  <c r="DG125" i="22" s="1"/>
  <c r="DG6" i="22"/>
  <c r="C38" i="3" s="1"/>
  <c r="DG32" i="22"/>
  <c r="DG116" i="22" s="1"/>
  <c r="DG137" i="22" s="1"/>
  <c r="DG33" i="22"/>
  <c r="DG117" i="22" s="1"/>
  <c r="DG138" i="22" s="1"/>
  <c r="DG28" i="22"/>
  <c r="DG112" i="22" s="1"/>
  <c r="DG133" i="22" s="1"/>
  <c r="DF24" i="22"/>
  <c r="DF108" i="22" s="1"/>
  <c r="DF32" i="22"/>
  <c r="DF116" i="22" s="1"/>
  <c r="DF137" i="22" s="1"/>
  <c r="DF28" i="22"/>
  <c r="DF112" i="22" s="1"/>
  <c r="DF133" i="22" s="1"/>
  <c r="DF35" i="22"/>
  <c r="DF119" i="22" s="1"/>
  <c r="DF140" i="22" s="1"/>
  <c r="DF21" i="22"/>
  <c r="DF105" i="22" s="1"/>
  <c r="DF126" i="22" s="1"/>
  <c r="DF25" i="22"/>
  <c r="DF109" i="22" s="1"/>
  <c r="DF130" i="22" s="1"/>
  <c r="D12" i="3"/>
  <c r="D19" i="3"/>
  <c r="DE21" i="22"/>
  <c r="DE105" i="22" s="1"/>
  <c r="DE126" i="22" s="1"/>
  <c r="DE131" i="22"/>
  <c r="D16" i="3"/>
  <c r="DE128" i="22"/>
  <c r="D13" i="3"/>
  <c r="DE141" i="22"/>
  <c r="D26" i="3"/>
  <c r="DE142" i="22"/>
  <c r="D27" i="3"/>
  <c r="DE140" i="22"/>
  <c r="D25" i="3"/>
  <c r="DE137" i="22"/>
  <c r="DE139" i="22"/>
  <c r="D24" i="3"/>
  <c r="DE133" i="22"/>
  <c r="D18" i="3"/>
  <c r="DE25" i="22"/>
  <c r="DE109" i="22" s="1"/>
  <c r="DE130" i="22" s="1"/>
  <c r="DE138" i="22"/>
  <c r="D23" i="3"/>
  <c r="D11" i="3" l="1"/>
  <c r="D10" i="3"/>
  <c r="D22" i="3"/>
  <c r="DG25" i="22"/>
  <c r="DG109" i="22" s="1"/>
  <c r="DG130" i="22" s="1"/>
  <c r="DG21" i="22"/>
  <c r="DG105" i="22" s="1"/>
  <c r="DG126" i="22" s="1"/>
  <c r="DG135" i="22"/>
  <c r="D21" i="3"/>
  <c r="D20" i="3"/>
  <c r="DG132" i="22"/>
  <c r="D17" i="3"/>
  <c r="DF129" i="22"/>
  <c r="D15" i="3"/>
  <c r="D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Arambarri</author>
    <author>Juan Garcia</author>
  </authors>
  <commentList>
    <comment ref="P39" authorId="0" shapeId="0" xr:uid="{FE87839D-9AE4-49D4-8215-87E8141E0F2D}">
      <text>
        <r>
          <rPr>
            <b/>
            <sz val="9"/>
            <color indexed="81"/>
            <rFont val="Tahoma"/>
            <family val="2"/>
          </rPr>
          <t>Se carga todo colorante por no poder ajustar el ZAML por material</t>
        </r>
      </text>
    </comment>
    <comment ref="J126" authorId="1" shapeId="0" xr:uid="{C7ACBE30-EE91-4416-8936-308A4B76264B}">
      <text>
        <r>
          <rPr>
            <b/>
            <sz val="9"/>
            <color indexed="81"/>
            <rFont val="Tahoma"/>
            <family val="2"/>
          </rPr>
          <t>Juan Garcia:</t>
        </r>
        <r>
          <rPr>
            <sz val="9"/>
            <color indexed="81"/>
            <rFont val="Tahoma"/>
            <family val="2"/>
          </rPr>
          <t xml:space="preserve">
este va a la lista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de Luis</author>
  </authors>
  <commentList>
    <comment ref="AH16" authorId="0" shapeId="0" xr:uid="{B0EF9E26-8C3A-49D4-8F05-B61EEE159830}">
      <text>
        <r>
          <rPr>
            <sz val="9"/>
            <color indexed="81"/>
            <rFont val="Tahoma"/>
            <family val="2"/>
          </rPr>
          <t xml:space="preserve">BNA consultado 28/11/2019
</t>
        </r>
      </text>
    </comment>
    <comment ref="AI16" authorId="0" shapeId="0" xr:uid="{26F6FB4D-BF8E-4160-A992-A49606F2F2F2}">
      <text>
        <r>
          <rPr>
            <sz val="9"/>
            <color indexed="81"/>
            <rFont val="Tahoma"/>
            <family val="2"/>
          </rPr>
          <t xml:space="preserve">BNA consultado 06/01/2020
</t>
        </r>
      </text>
    </comment>
    <comment ref="AJ16" authorId="0" shapeId="0" xr:uid="{FD843811-469B-4679-A296-D839A501327F}">
      <text>
        <r>
          <rPr>
            <sz val="9"/>
            <color indexed="81"/>
            <rFont val="Tahoma"/>
            <family val="2"/>
          </rPr>
          <t xml:space="preserve">BNA consultado 31/01/2020
</t>
        </r>
      </text>
    </comment>
    <comment ref="AK16" authorId="0" shapeId="0" xr:uid="{BC4225C9-0840-4CA4-9770-8ABA1E385C96}">
      <text>
        <r>
          <rPr>
            <sz val="9"/>
            <color indexed="81"/>
            <rFont val="Tahoma"/>
            <family val="2"/>
          </rPr>
          <t xml:space="preserve">BNA consultado 28/02/2020
</t>
        </r>
      </text>
    </comment>
    <comment ref="AL16" authorId="0" shapeId="0" xr:uid="{A296ED2C-A81A-40D2-9F4C-B1AB3D16A44B}">
      <text>
        <r>
          <rPr>
            <sz val="9"/>
            <color indexed="81"/>
            <rFont val="Tahoma"/>
            <family val="2"/>
          </rPr>
          <t xml:space="preserve">BNA consultado 27/03/2020
</t>
        </r>
      </text>
    </comment>
    <comment ref="AM16" authorId="0" shapeId="0" xr:uid="{C0B9A6A3-A53C-4A5E-B0A7-3DA5973213EE}">
      <text>
        <r>
          <rPr>
            <sz val="9"/>
            <color indexed="81"/>
            <rFont val="Tahoma"/>
            <family val="2"/>
          </rPr>
          <t>TC BNA 30/04/2020</t>
        </r>
      </text>
    </comment>
    <comment ref="AN16" authorId="0" shapeId="0" xr:uid="{CBD5DF3B-F1FD-4ED7-9BD0-4FF26526FBD1}">
      <text>
        <r>
          <rPr>
            <sz val="9"/>
            <color indexed="81"/>
            <rFont val="Tahoma"/>
            <family val="2"/>
          </rPr>
          <t>TC BNA 29/05/2020</t>
        </r>
      </text>
    </comment>
    <comment ref="AO16" authorId="0" shapeId="0" xr:uid="{003A4DB9-9700-4C86-A9B9-BD1A07EB4995}">
      <text>
        <r>
          <rPr>
            <sz val="9"/>
            <color indexed="81"/>
            <rFont val="Tahoma"/>
            <family val="2"/>
          </rPr>
          <t>TC BNA 30/06/2020</t>
        </r>
      </text>
    </comment>
    <comment ref="AP16" authorId="0" shapeId="0" xr:uid="{C98956F1-1A24-4A75-8BF2-E8828E8A2749}">
      <text>
        <r>
          <rPr>
            <sz val="9"/>
            <color indexed="81"/>
            <rFont val="Tahoma"/>
            <family val="2"/>
          </rPr>
          <t>TC BNA 31/07/2020</t>
        </r>
      </text>
    </comment>
    <comment ref="AQ16" authorId="0" shapeId="0" xr:uid="{AE29D485-6F8B-461E-85E9-C7D92FA367C6}">
      <text>
        <r>
          <rPr>
            <sz val="9"/>
            <color indexed="81"/>
            <rFont val="Tahoma"/>
            <family val="2"/>
          </rPr>
          <t>TC BNA 31/08/2020</t>
        </r>
      </text>
    </comment>
    <comment ref="AR16" authorId="0" shapeId="0" xr:uid="{873116AB-30E5-4595-B176-AE7C346951D3}">
      <text>
        <r>
          <rPr>
            <sz val="9"/>
            <color indexed="81"/>
            <rFont val="Tahoma"/>
            <family val="2"/>
          </rPr>
          <t>TC BNA 30/09/2020</t>
        </r>
      </text>
    </comment>
    <comment ref="AS16" authorId="0" shapeId="0" xr:uid="{240C7268-4CA1-4BCE-B41D-8A58B67432C6}">
      <text>
        <r>
          <rPr>
            <sz val="9"/>
            <color indexed="81"/>
            <rFont val="Tahoma"/>
            <family val="2"/>
          </rPr>
          <t>TC BNA 30/10/2020</t>
        </r>
      </text>
    </comment>
    <comment ref="AT16" authorId="0" shapeId="0" xr:uid="{8C2E1326-66C2-4697-A981-8A0B79D30EF1}">
      <text>
        <r>
          <rPr>
            <sz val="9"/>
            <color indexed="81"/>
            <rFont val="Tahoma"/>
            <family val="2"/>
          </rPr>
          <t>TC BNA 30/11/2020</t>
        </r>
      </text>
    </comment>
    <comment ref="AU16" authorId="0" shapeId="0" xr:uid="{7CEE18F5-7120-42DB-882C-8015AF1B6FCA}">
      <text>
        <r>
          <rPr>
            <sz val="9"/>
            <color indexed="81"/>
            <rFont val="Tahoma"/>
            <family val="2"/>
          </rPr>
          <t>TC BNA 30/12/2020</t>
        </r>
      </text>
    </comment>
    <comment ref="AV16" authorId="0" shapeId="0" xr:uid="{80F8A78B-4402-4131-9BE0-0BB219AC9FEF}">
      <text>
        <r>
          <rPr>
            <sz val="9"/>
            <color indexed="81"/>
            <rFont val="Tahoma"/>
            <family val="2"/>
          </rPr>
          <t>TC BNA 29/01/2021</t>
        </r>
      </text>
    </comment>
    <comment ref="AW16" authorId="0" shapeId="0" xr:uid="{29D901E8-DB87-46BE-B0E3-24E2CF17FC03}">
      <text>
        <r>
          <rPr>
            <sz val="9"/>
            <color indexed="81"/>
            <rFont val="Tahoma"/>
            <family val="2"/>
          </rPr>
          <t>TC BNA 26/02/2021</t>
        </r>
      </text>
    </comment>
    <comment ref="AX16" authorId="0" shapeId="0" xr:uid="{9B773EF1-99FE-4A96-96D7-9DE6BB88E4C0}">
      <text>
        <r>
          <rPr>
            <sz val="9"/>
            <color indexed="81"/>
            <rFont val="Tahoma"/>
            <family val="2"/>
          </rPr>
          <t>TC BNA 31/03/2021</t>
        </r>
      </text>
    </comment>
    <comment ref="AY16" authorId="0" shapeId="0" xr:uid="{38BF07D2-C423-4F6C-B4D2-D2289FC2AAD8}">
      <text>
        <r>
          <rPr>
            <sz val="9"/>
            <color indexed="81"/>
            <rFont val="Tahoma"/>
            <family val="2"/>
          </rPr>
          <t>TC BNA 31/04/2021</t>
        </r>
      </text>
    </comment>
    <comment ref="AZ16" authorId="0" shapeId="0" xr:uid="{AFB5701F-7C36-431B-B161-103FABD889CF}">
      <text>
        <r>
          <rPr>
            <sz val="9"/>
            <color indexed="81"/>
            <rFont val="Tahoma"/>
            <family val="2"/>
          </rPr>
          <t>TC BNA 31/05/2021</t>
        </r>
      </text>
    </comment>
    <comment ref="BA16" authorId="0" shapeId="0" xr:uid="{36F7B6D2-A3D6-4FCA-9C62-E3977F41C715}">
      <text>
        <r>
          <rPr>
            <sz val="9"/>
            <color indexed="81"/>
            <rFont val="Tahoma"/>
            <family val="2"/>
          </rPr>
          <t>TC BNA 30/06/2021</t>
        </r>
      </text>
    </comment>
    <comment ref="BB16" authorId="0" shapeId="0" xr:uid="{4A82C9E8-0691-4E35-BA01-F1E0E61F5F3E}">
      <text>
        <r>
          <rPr>
            <sz val="9"/>
            <color indexed="81"/>
            <rFont val="Tahoma"/>
            <family val="2"/>
          </rPr>
          <t>TC BNA 30/07/2021</t>
        </r>
      </text>
    </comment>
    <comment ref="BC16" authorId="0" shapeId="0" xr:uid="{1BFEBBE0-47FC-4078-A176-6383A805F57D}">
      <text>
        <r>
          <rPr>
            <sz val="9"/>
            <color indexed="81"/>
            <rFont val="Tahoma"/>
            <family val="2"/>
          </rPr>
          <t>TC BNA 31/08/2021</t>
        </r>
      </text>
    </comment>
    <comment ref="BD16" authorId="0" shapeId="0" xr:uid="{1A568380-9230-4B6F-B3B9-6C3ADE326B5E}">
      <text>
        <r>
          <rPr>
            <sz val="9"/>
            <color indexed="81"/>
            <rFont val="Tahoma"/>
            <family val="2"/>
          </rPr>
          <t>TC BNA 30/09/2021</t>
        </r>
      </text>
    </comment>
    <comment ref="BE16" authorId="0" shapeId="0" xr:uid="{CD870CF9-77D7-474B-9CA2-6B855304F443}">
      <text>
        <r>
          <rPr>
            <sz val="9"/>
            <color indexed="81"/>
            <rFont val="Tahoma"/>
            <family val="2"/>
          </rPr>
          <t>TC BNA 29/10/2021</t>
        </r>
      </text>
    </comment>
    <comment ref="BF16" authorId="0" shapeId="0" xr:uid="{37B5A63B-F781-4A0B-98F1-BCBC61ED4FCC}">
      <text>
        <r>
          <rPr>
            <sz val="9"/>
            <color indexed="81"/>
            <rFont val="Tahoma"/>
            <family val="2"/>
          </rPr>
          <t>TC BNA 30/11/2021</t>
        </r>
      </text>
    </comment>
    <comment ref="BG16" authorId="0" shapeId="0" xr:uid="{32E8D0BA-3CB0-45D2-84EA-7355A84B1542}">
      <text>
        <r>
          <rPr>
            <sz val="9"/>
            <color indexed="81"/>
            <rFont val="Tahoma"/>
            <family val="2"/>
          </rPr>
          <t>TC BNA 30/12/2021</t>
        </r>
      </text>
    </comment>
    <comment ref="BH16" authorId="0" shapeId="0" xr:uid="{CE883E5A-905E-4FD9-AE5A-C3CE77A6636F}">
      <text>
        <r>
          <rPr>
            <sz val="9"/>
            <color indexed="81"/>
            <rFont val="Tahoma"/>
            <family val="2"/>
          </rPr>
          <t>TC BNA 31/01/2022</t>
        </r>
      </text>
    </comment>
    <comment ref="BI16" authorId="0" shapeId="0" xr:uid="{A85F43C8-DFEE-4977-896A-EF2109934DDF}">
      <text>
        <r>
          <rPr>
            <sz val="9"/>
            <color indexed="81"/>
            <rFont val="Tahoma"/>
            <family val="2"/>
          </rPr>
          <t>TC BNA 25/02/2022</t>
        </r>
      </text>
    </comment>
    <comment ref="BJ16" authorId="0" shapeId="0" xr:uid="{1C211A31-EAFE-436A-81B1-7D3EA51AEC0F}">
      <text>
        <r>
          <rPr>
            <sz val="9"/>
            <color indexed="81"/>
            <rFont val="Tahoma"/>
            <family val="2"/>
          </rPr>
          <t>TC BNA 30/03/2022</t>
        </r>
      </text>
    </comment>
    <comment ref="BK16" authorId="0" shapeId="0" xr:uid="{608FDE76-B90D-47E7-8262-1B9C84E2858F}">
      <text>
        <r>
          <rPr>
            <sz val="9"/>
            <color indexed="81"/>
            <rFont val="Tahoma"/>
            <family val="2"/>
          </rPr>
          <t>TC BNA 03/05/2022</t>
        </r>
      </text>
    </comment>
    <comment ref="BL16" authorId="0" shapeId="0" xr:uid="{A6857FEE-A5F1-4E39-BA4C-8B77DE89F214}">
      <text>
        <r>
          <rPr>
            <sz val="9"/>
            <color indexed="81"/>
            <rFont val="Tahoma"/>
            <family val="2"/>
          </rPr>
          <t>TC BNA 31/05/2022</t>
        </r>
      </text>
    </comment>
    <comment ref="BM16" authorId="0" shapeId="0" xr:uid="{B355C9C5-56F5-43E5-AC00-2A50EA751A4E}">
      <text>
        <r>
          <rPr>
            <sz val="9"/>
            <color indexed="81"/>
            <rFont val="Tahoma"/>
            <family val="2"/>
          </rPr>
          <t>TC BNA 01/07/2022</t>
        </r>
      </text>
    </comment>
    <comment ref="BN16" authorId="0" shapeId="0" xr:uid="{A05863AC-6DA7-42DB-BB90-7F3313D58687}">
      <text>
        <r>
          <rPr>
            <sz val="9"/>
            <color indexed="81"/>
            <rFont val="Tahoma"/>
            <family val="2"/>
          </rPr>
          <t>TC BNA 03/08/2022</t>
        </r>
      </text>
    </comment>
    <comment ref="BO16" authorId="0" shapeId="0" xr:uid="{35F63247-3692-4E98-B5E9-7067264E6B25}">
      <text>
        <r>
          <rPr>
            <sz val="9"/>
            <color indexed="81"/>
            <rFont val="Tahoma"/>
            <family val="2"/>
          </rPr>
          <t>TC BNA 08/09/2022</t>
        </r>
      </text>
    </comment>
    <comment ref="BP16" authorId="0" shapeId="0" xr:uid="{597516F9-0380-4A84-89F3-6DEAEEE57FFE}">
      <text>
        <r>
          <rPr>
            <sz val="9"/>
            <color indexed="81"/>
            <rFont val="Tahoma"/>
            <family val="2"/>
          </rPr>
          <t>TC BNA 11/10/2022</t>
        </r>
      </text>
    </comment>
    <comment ref="BQ16" authorId="0" shapeId="0" xr:uid="{701DCCB4-11BC-41D2-85E9-45EEEA771302}">
      <text>
        <r>
          <rPr>
            <sz val="9"/>
            <color indexed="81"/>
            <rFont val="Tahoma"/>
            <family val="2"/>
          </rPr>
          <t>TC BNA 1/11/2022</t>
        </r>
      </text>
    </comment>
    <comment ref="BR16" authorId="0" shapeId="0" xr:uid="{696CE20B-A026-4CD2-A01A-4BF6594031EE}">
      <text>
        <r>
          <rPr>
            <sz val="9"/>
            <color indexed="81"/>
            <rFont val="Tahoma"/>
            <family val="2"/>
          </rPr>
          <t>TC BNA 30/11/2022</t>
        </r>
      </text>
    </comment>
    <comment ref="BT16" authorId="0" shapeId="0" xr:uid="{264005B9-362F-40D9-B29B-A8EF43A9EEC2}">
      <text>
        <r>
          <rPr>
            <sz val="9"/>
            <color indexed="81"/>
            <rFont val="Tahoma"/>
            <family val="2"/>
          </rPr>
          <t>TC BNA 27/12/2022</t>
        </r>
      </text>
    </comment>
    <comment ref="BU16" authorId="0" shapeId="0" xr:uid="{845BC948-5FC6-40F3-B75D-785DE01F36BF}">
      <text>
        <r>
          <rPr>
            <sz val="9"/>
            <color indexed="81"/>
            <rFont val="Tahoma"/>
            <family val="2"/>
          </rPr>
          <t xml:space="preserve">TC BNA 3/02/2023
</t>
        </r>
      </text>
    </comment>
    <comment ref="BV16" authorId="0" shapeId="0" xr:uid="{52A72B66-EB4C-4BCD-B834-47891F2F6FC7}">
      <text>
        <r>
          <rPr>
            <sz val="9"/>
            <color indexed="81"/>
            <rFont val="Tahoma"/>
            <family val="2"/>
          </rPr>
          <t xml:space="preserve">TC BNA 1/03/2023
</t>
        </r>
      </text>
    </comment>
    <comment ref="BW16" authorId="0" shapeId="0" xr:uid="{C2C38D8F-EF61-4E4B-9F33-63EF594A55A7}">
      <text>
        <r>
          <rPr>
            <sz val="9"/>
            <color indexed="81"/>
            <rFont val="Tahoma"/>
            <family val="2"/>
          </rPr>
          <t xml:space="preserve">TC BNA 5/04/2023
</t>
        </r>
      </text>
    </comment>
    <comment ref="BX16" authorId="0" shapeId="0" xr:uid="{7C9FBB2E-151E-47DB-8AF2-F08C06D5E900}">
      <text>
        <r>
          <rPr>
            <sz val="9"/>
            <color indexed="81"/>
            <rFont val="Tahoma"/>
            <family val="2"/>
          </rPr>
          <t xml:space="preserve">TC BNA 4/05/2023
</t>
        </r>
      </text>
    </comment>
    <comment ref="BY16" authorId="0" shapeId="0" xr:uid="{2FB5E9DA-6B9B-4388-A5AB-5BA27B0D260A}">
      <text>
        <r>
          <rPr>
            <sz val="9"/>
            <color indexed="81"/>
            <rFont val="Tahoma"/>
            <family val="2"/>
          </rPr>
          <t xml:space="preserve">TC BNA 1/06/2023
</t>
        </r>
      </text>
    </comment>
    <comment ref="BZ16" authorId="0" shapeId="0" xr:uid="{CF5F8E47-8702-4F61-8978-CD2E067D42CB}">
      <text>
        <r>
          <rPr>
            <sz val="9"/>
            <color indexed="81"/>
            <rFont val="Tahoma"/>
            <family val="2"/>
          </rPr>
          <t xml:space="preserve">TC BNA 3/07/2023
</t>
        </r>
      </text>
    </comment>
    <comment ref="CA16" authorId="0" shapeId="0" xr:uid="{1B89AE6D-3242-49EE-AA8C-00276FBC64EB}">
      <text>
        <r>
          <rPr>
            <sz val="9"/>
            <color indexed="81"/>
            <rFont val="Tahoma"/>
            <family val="2"/>
          </rPr>
          <t xml:space="preserve">TC BNA 01/08/2023
</t>
        </r>
      </text>
    </comment>
    <comment ref="CB16" authorId="0" shapeId="0" xr:uid="{B1F6B3BC-0A69-44BB-9DC4-A3877A9AC36C}">
      <text>
        <r>
          <rPr>
            <sz val="9"/>
            <color indexed="81"/>
            <rFont val="Tahoma"/>
            <family val="2"/>
          </rPr>
          <t xml:space="preserve">TC BNA 01/09/2023
</t>
        </r>
      </text>
    </comment>
    <comment ref="CC16" authorId="0" shapeId="0" xr:uid="{4CFA56F0-96BE-4995-A53E-6C03166ECCBB}">
      <text>
        <r>
          <rPr>
            <sz val="9"/>
            <color indexed="81"/>
            <rFont val="Tahoma"/>
            <family val="2"/>
          </rPr>
          <t xml:space="preserve">TC BNA 01/10/2023
</t>
        </r>
      </text>
    </comment>
    <comment ref="CD16" authorId="0" shapeId="0" xr:uid="{9A11F6D0-77E3-4E16-B9C4-7AAD0CCC8185}">
      <text>
        <r>
          <rPr>
            <sz val="9"/>
            <color indexed="81"/>
            <rFont val="Tahoma"/>
            <family val="2"/>
          </rPr>
          <t xml:space="preserve">TC BNA 07/11/2023
</t>
        </r>
      </text>
    </comment>
    <comment ref="CE16" authorId="0" shapeId="0" xr:uid="{BEDCB548-1739-4EC1-AE17-48A7AB1D1B44}">
      <text>
        <r>
          <rPr>
            <sz val="9"/>
            <color indexed="81"/>
            <rFont val="Tahoma"/>
            <family val="2"/>
          </rPr>
          <t xml:space="preserve">TC BNA 01/12/2023
</t>
        </r>
      </text>
    </comment>
    <comment ref="CF16" authorId="0" shapeId="0" xr:uid="{EDFF36D4-3432-4461-9318-52D072475132}">
      <text>
        <r>
          <rPr>
            <sz val="9"/>
            <color indexed="81"/>
            <rFont val="Tahoma"/>
            <family val="2"/>
          </rPr>
          <t xml:space="preserve">TC BNA 28/12/2023
</t>
        </r>
      </text>
    </comment>
    <comment ref="CG16" authorId="0" shapeId="0" xr:uid="{A78A6FD9-108C-4074-A91F-21FA3B5375E4}">
      <text>
        <r>
          <rPr>
            <sz val="9"/>
            <color indexed="81"/>
            <rFont val="Tahoma"/>
            <family val="2"/>
          </rPr>
          <t xml:space="preserve">TC BNA 28/12/2023
</t>
        </r>
      </text>
    </comment>
    <comment ref="CH16" authorId="0" shapeId="0" xr:uid="{A00FE3B1-7F8A-4A57-A98D-A39E1A5CEB0D}">
      <text>
        <r>
          <rPr>
            <sz val="9"/>
            <color indexed="81"/>
            <rFont val="Tahoma"/>
            <family val="2"/>
          </rPr>
          <t xml:space="preserve">TC BNA 12/03/2024
</t>
        </r>
      </text>
    </comment>
    <comment ref="CI16" authorId="0" shapeId="0" xr:uid="{FC2756E8-A0B7-4DF8-813D-6FB40BC94C41}">
      <text>
        <r>
          <rPr>
            <sz val="9"/>
            <color indexed="81"/>
            <rFont val="Tahoma"/>
            <family val="2"/>
          </rPr>
          <t xml:space="preserve">TC BNA 27/03/2024
</t>
        </r>
      </text>
    </comment>
    <comment ref="CJ16" authorId="0" shapeId="0" xr:uid="{DBCCEB60-C480-4C9B-87D2-B570EA5209E0}">
      <text>
        <r>
          <rPr>
            <sz val="9"/>
            <color indexed="81"/>
            <rFont val="Tahoma"/>
            <family val="2"/>
          </rPr>
          <t xml:space="preserve">TC BNA 24/05/2024
</t>
        </r>
      </text>
    </comment>
    <comment ref="CK16" authorId="0" shapeId="0" xr:uid="{1577B7AD-D3F7-47F9-8D3F-DA87DE6069E7}">
      <text>
        <r>
          <rPr>
            <sz val="9"/>
            <color indexed="81"/>
            <rFont val="Tahoma"/>
            <family val="2"/>
          </rPr>
          <t xml:space="preserve">TC BNA 19/06/2024
</t>
        </r>
      </text>
    </comment>
    <comment ref="CL16" authorId="0" shapeId="0" xr:uid="{E9EAB3A1-822A-4937-82BD-DEB9E45F2184}">
      <text>
        <r>
          <rPr>
            <sz val="9"/>
            <color indexed="81"/>
            <rFont val="Tahoma"/>
            <family val="2"/>
          </rPr>
          <t xml:space="preserve">TC BNA 19/06/2024
</t>
        </r>
      </text>
    </comment>
    <comment ref="CM16" authorId="0" shapeId="0" xr:uid="{C0887144-8451-465D-9C03-0C67AB275DB4}">
      <text>
        <r>
          <rPr>
            <sz val="9"/>
            <color indexed="81"/>
            <rFont val="Tahoma"/>
            <family val="2"/>
          </rPr>
          <t xml:space="preserve">TC BNA 26/07/2024
</t>
        </r>
      </text>
    </comment>
    <comment ref="CO16" authorId="0" shapeId="0" xr:uid="{043EBECD-5739-4D86-AA16-0B180335EC90}">
      <text>
        <r>
          <rPr>
            <sz val="9"/>
            <color indexed="81"/>
            <rFont val="Tahoma"/>
            <family val="2"/>
          </rPr>
          <t xml:space="preserve">30/08/2024
</t>
        </r>
      </text>
    </comment>
    <comment ref="CP16" authorId="0" shapeId="0" xr:uid="{A279D2A3-B297-45E8-960B-9BFCB01A514A}">
      <text>
        <r>
          <rPr>
            <sz val="9"/>
            <color indexed="81"/>
            <rFont val="Tahoma"/>
            <family val="2"/>
          </rPr>
          <t xml:space="preserve">08/10/2024
</t>
        </r>
      </text>
    </comment>
    <comment ref="CQ16" authorId="0" shapeId="0" xr:uid="{17DBBC88-97CE-46C0-9391-97C5BD0E4A01}">
      <text>
        <r>
          <rPr>
            <sz val="9"/>
            <color indexed="81"/>
            <rFont val="Tahoma"/>
            <family val="2"/>
          </rPr>
          <t xml:space="preserve">11/11/2024
</t>
        </r>
      </text>
    </comment>
    <comment ref="CR16" authorId="0" shapeId="0" xr:uid="{795F920D-9944-40DB-9CCC-18DB8F3EB9BD}">
      <text>
        <r>
          <rPr>
            <sz val="9"/>
            <color indexed="81"/>
            <rFont val="Tahoma"/>
            <family val="2"/>
          </rPr>
          <t xml:space="preserve">04/12/2024
</t>
        </r>
      </text>
    </comment>
    <comment ref="CS16" authorId="0" shapeId="0" xr:uid="{4810F609-7E49-41C4-9F6B-7FEB2D429623}">
      <text>
        <r>
          <rPr>
            <sz val="9"/>
            <color indexed="81"/>
            <rFont val="Tahoma"/>
            <family val="2"/>
          </rPr>
          <t xml:space="preserve">06/01/2025
</t>
        </r>
      </text>
    </comment>
    <comment ref="CT16" authorId="0" shapeId="0" xr:uid="{7564CCD1-383F-4E46-BBC5-568A86A5AF90}">
      <text>
        <r>
          <rPr>
            <sz val="9"/>
            <color indexed="81"/>
            <rFont val="Tahoma"/>
            <family val="2"/>
          </rPr>
          <t xml:space="preserve">06/02/2025
</t>
        </r>
      </text>
    </comment>
    <comment ref="CU16" authorId="0" shapeId="0" xr:uid="{1C0C7973-14F7-4EEC-BB52-4307DD654F94}">
      <text>
        <r>
          <rPr>
            <sz val="9"/>
            <color indexed="81"/>
            <rFont val="Tahoma"/>
            <family val="2"/>
          </rPr>
          <t xml:space="preserve">06/03/2025
</t>
        </r>
      </text>
    </comment>
    <comment ref="CV16" authorId="0" shapeId="0" xr:uid="{5AB0335F-1F2A-4E0D-86A7-3777A4799F67}">
      <text>
        <r>
          <rPr>
            <sz val="9"/>
            <color indexed="81"/>
            <rFont val="Tahoma"/>
            <family val="2"/>
          </rPr>
          <t xml:space="preserve">07/04/2025
</t>
        </r>
      </text>
    </comment>
    <comment ref="CW16" authorId="0" shapeId="0" xr:uid="{D30809BC-83FE-4D6D-A1BE-173CAF323C9B}">
      <text>
        <r>
          <rPr>
            <sz val="9"/>
            <color indexed="81"/>
            <rFont val="Tahoma"/>
            <family val="2"/>
          </rPr>
          <t xml:space="preserve">30/04/2025
</t>
        </r>
      </text>
    </comment>
    <comment ref="CX16" authorId="0" shapeId="0" xr:uid="{4F0A22D2-EA9E-4D12-A5C5-A35549F12272}">
      <text>
        <r>
          <rPr>
            <sz val="9"/>
            <color indexed="81"/>
            <rFont val="Tahoma"/>
            <family val="2"/>
          </rPr>
          <t xml:space="preserve">30/05/2025
</t>
        </r>
      </text>
    </comment>
    <comment ref="CY16" authorId="0" shapeId="0" xr:uid="{33161047-36E1-4095-848B-E802A7337663}">
      <text>
        <r>
          <rPr>
            <sz val="9"/>
            <color indexed="81"/>
            <rFont val="Tahoma"/>
            <family val="2"/>
          </rPr>
          <t xml:space="preserve">30/06/2025
</t>
        </r>
      </text>
    </comment>
    <comment ref="CZ16" authorId="0" shapeId="0" xr:uid="{4F223283-30B4-4636-96AA-6EB39EF8600E}">
      <text>
        <r>
          <rPr>
            <sz val="9"/>
            <color indexed="81"/>
            <rFont val="Tahoma"/>
            <family val="2"/>
          </rPr>
          <t xml:space="preserve">31/07/2025
</t>
        </r>
      </text>
    </comment>
    <comment ref="DA16" authorId="0" shapeId="0" xr:uid="{729AABCE-8B27-4659-961F-F025099C0734}">
      <text>
        <r>
          <rPr>
            <sz val="9"/>
            <color indexed="81"/>
            <rFont val="Tahoma"/>
            <family val="2"/>
          </rPr>
          <t xml:space="preserve">29/08/2025
</t>
        </r>
      </text>
    </comment>
    <comment ref="DB16" authorId="0" shapeId="0" xr:uid="{2C5A66D6-E8E9-4C37-8F5B-438ABB8AF019}">
      <text>
        <r>
          <rPr>
            <sz val="9"/>
            <color indexed="81"/>
            <rFont val="Tahoma"/>
            <family val="2"/>
          </rPr>
          <t xml:space="preserve">TC Avg Septiembre
</t>
        </r>
      </text>
    </comment>
    <comment ref="DC16" authorId="0" shapeId="0" xr:uid="{F89B3707-E789-4CB2-A996-9487D825927C}">
      <text>
        <r>
          <rPr>
            <sz val="9"/>
            <color indexed="81"/>
            <rFont val="Tahoma"/>
            <family val="2"/>
          </rPr>
          <t xml:space="preserve">TC Avg Octubre
</t>
        </r>
      </text>
    </comment>
    <comment ref="DD16" authorId="0" shapeId="0" xr:uid="{9E86900F-0213-430C-B9B4-F6A631953F85}">
      <text>
        <r>
          <rPr>
            <sz val="9"/>
            <color indexed="81"/>
            <rFont val="Tahoma"/>
            <family val="2"/>
          </rPr>
          <t xml:space="preserve">TC Avg Noviembre
</t>
        </r>
      </text>
    </comment>
    <comment ref="DE16" authorId="0" shapeId="0" xr:uid="{9C6A8539-AFC0-4863-ABEB-C585197946BF}">
      <text>
        <r>
          <rPr>
            <sz val="9"/>
            <color indexed="81"/>
            <rFont val="Tahoma"/>
            <family val="2"/>
          </rPr>
          <t xml:space="preserve">TC Avg Diciembre
</t>
        </r>
      </text>
    </comment>
    <comment ref="DF16" authorId="0" shapeId="0" xr:uid="{8E43FF4F-E5D0-4863-86C5-39A2D314CF26}">
      <text>
        <r>
          <rPr>
            <sz val="9"/>
            <color indexed="81"/>
            <rFont val="Tahoma"/>
            <family val="2"/>
          </rPr>
          <t xml:space="preserve">TC Avg Enero 2026
</t>
        </r>
      </text>
    </comment>
    <comment ref="DG16" authorId="0" shapeId="0" xr:uid="{5B512B7B-D171-4D8E-AEF5-EE9915F8DBD3}">
      <text>
        <r>
          <rPr>
            <sz val="9"/>
            <color indexed="81"/>
            <rFont val="Tahoma"/>
            <family val="2"/>
          </rPr>
          <t xml:space="preserve">TC Avg Febrero 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TomasJ Hartkopf .Manpower</author>
  </authors>
  <commentList>
    <comment ref="F2" authorId="0" shapeId="0" xr:uid="{73B8461F-6E52-4264-A3C2-0C2104022C80}">
      <text>
        <r>
          <rPr>
            <b/>
            <sz val="9"/>
            <color indexed="81"/>
            <rFont val="Tahoma"/>
            <family val="2"/>
          </rPr>
          <t>TomasJ Hartkopf .Manpower:</t>
        </r>
        <r>
          <rPr>
            <sz val="9"/>
            <color indexed="81"/>
            <rFont val="Tahoma"/>
            <family val="2"/>
          </rPr>
          <t xml:space="preserve">
Tasa SOFR</t>
        </r>
      </text>
    </comment>
  </commentList>
</comments>
</file>

<file path=xl/sharedStrings.xml><?xml version="1.0" encoding="utf-8"?>
<sst xmlns="http://schemas.openxmlformats.org/spreadsheetml/2006/main" count="39628" uniqueCount="4534">
  <si>
    <t>LISTA DE PRECIOS PF CSD AB INBEV</t>
  </si>
  <si>
    <t xml:space="preserve"> </t>
  </si>
  <si>
    <t>Type</t>
  </si>
  <si>
    <t>Preform Weight (gr)</t>
  </si>
  <si>
    <t>AR$/ 000</t>
  </si>
  <si>
    <t>SS 500</t>
  </si>
  <si>
    <t>SS 500 - 19.5G PCR 100%</t>
  </si>
  <si>
    <t>SS 500 - 25G PCR 100%</t>
  </si>
  <si>
    <t>MS 1500</t>
  </si>
  <si>
    <t>MS 2000/2250</t>
  </si>
  <si>
    <t>MS 2000/2250 20% PCR</t>
  </si>
  <si>
    <t>MS 3000</t>
  </si>
  <si>
    <t>19.5 PQS (U03)</t>
  </si>
  <si>
    <t>37.2 PQS (U03)</t>
  </si>
  <si>
    <t>44 PQS (U03)</t>
  </si>
  <si>
    <t>46.6 PQS (U03)</t>
  </si>
  <si>
    <t>52 PQS (U03)</t>
  </si>
  <si>
    <t>54.7 PQS (U03)</t>
  </si>
  <si>
    <t>62 PQS (U03)</t>
  </si>
  <si>
    <t>Valor Resina Virgen Dak</t>
  </si>
  <si>
    <t>Valor Resina PQS</t>
  </si>
  <si>
    <t xml:space="preserve">Valor Resina PCR </t>
  </si>
  <si>
    <t>PRICING LIST PF HS AB INBEV</t>
  </si>
  <si>
    <t>300 ML</t>
  </si>
  <si>
    <t>30.4 Virgen</t>
  </si>
  <si>
    <t>30.4 30% PCR</t>
  </si>
  <si>
    <t>340 ML</t>
  </si>
  <si>
    <t xml:space="preserve"> 34 Virgen</t>
  </si>
  <si>
    <t>34 30% PCR</t>
  </si>
  <si>
    <t>750 ML</t>
  </si>
  <si>
    <t>1250 ML</t>
  </si>
  <si>
    <t>Valor Resina Virgen Amcor</t>
  </si>
  <si>
    <t>Valor Resina Virgen Ushuaia</t>
  </si>
  <si>
    <t>Valor Resina PCR</t>
  </si>
  <si>
    <t>Month</t>
  </si>
  <si>
    <t>Resin Virgen Price</t>
  </si>
  <si>
    <t>Nylon price</t>
  </si>
  <si>
    <t>PQS Price</t>
  </si>
  <si>
    <t xml:space="preserve">Resin PCR Vinisa Price </t>
  </si>
  <si>
    <t>Scrap %</t>
  </si>
  <si>
    <t>Tax</t>
  </si>
  <si>
    <t>IPC C.A.B.A./ Nuevo contrato IPC INDEC</t>
  </si>
  <si>
    <t>IPP Caucho</t>
  </si>
  <si>
    <t xml:space="preserve">Monthly Inflation </t>
  </si>
  <si>
    <t>Annual Inflation</t>
  </si>
  <si>
    <t>Efficiency %</t>
  </si>
  <si>
    <t>Accumulated Inflation</t>
  </si>
  <si>
    <t>FX Rate</t>
  </si>
  <si>
    <t>Wgt</t>
  </si>
  <si>
    <t>AR$</t>
  </si>
  <si>
    <t>Resina</t>
  </si>
  <si>
    <t>SS 250</t>
  </si>
  <si>
    <t>MO; Energía; Packaging; Others (ARS)</t>
  </si>
  <si>
    <t>Conversión (USD)</t>
  </si>
  <si>
    <t>Total Conversión ARS</t>
  </si>
  <si>
    <t>Total ARS</t>
  </si>
  <si>
    <t>Total USD</t>
  </si>
  <si>
    <t>Resin Price Amcor</t>
  </si>
  <si>
    <t>Resin Price Vinisa</t>
  </si>
  <si>
    <t>Resin PCR Amcor Price</t>
  </si>
  <si>
    <t>Monthly inflation</t>
  </si>
  <si>
    <t>Efficiency Gain Inf. %</t>
  </si>
  <si>
    <t xml:space="preserve">Efficiency Gain % </t>
  </si>
  <si>
    <t>% Ajuste Semestral</t>
  </si>
  <si>
    <t>Estructura de Costos (.000)</t>
  </si>
  <si>
    <t>Resina (USD)</t>
  </si>
  <si>
    <t>30% PCR</t>
  </si>
  <si>
    <t>Conversion (USD)</t>
  </si>
  <si>
    <t>Total conversion (USD)</t>
  </si>
  <si>
    <t>Total (USD)</t>
  </si>
  <si>
    <t>Virgen</t>
  </si>
  <si>
    <t>Total (ARS)</t>
  </si>
  <si>
    <t xml:space="preserve">CSD Vinisa Ponderado </t>
  </si>
  <si>
    <t>HF Vinisa Ponderado</t>
  </si>
  <si>
    <t>HF Amcor Ponderado</t>
  </si>
  <si>
    <t>PCR Amcor Ponderado - HF</t>
  </si>
  <si>
    <t>PCR Vinisa Ponderado - CSD</t>
  </si>
  <si>
    <t>Año</t>
  </si>
  <si>
    <t>Mes</t>
  </si>
  <si>
    <t>Saldo Inicio de 01-08-2024</t>
  </si>
  <si>
    <t>Ingreso Resina mes 0</t>
  </si>
  <si>
    <t>Ingreso Resina mes 1</t>
  </si>
  <si>
    <t xml:space="preserve">Ventas Real </t>
  </si>
  <si>
    <t>Stock Final</t>
  </si>
  <si>
    <t>Ingreso Resina mes</t>
  </si>
  <si>
    <t>Saldo inicial</t>
  </si>
  <si>
    <t>Stock Inicial</t>
  </si>
  <si>
    <t>Pedido Resina (Sin OC)</t>
  </si>
  <si>
    <t>Ventas</t>
  </si>
  <si>
    <t>DOH (Resina + Preformas)</t>
  </si>
  <si>
    <t>PCR Amcor Ponderado</t>
  </si>
  <si>
    <t>PCR Vinisa Ponderado</t>
  </si>
  <si>
    <t>VIRGEN</t>
  </si>
  <si>
    <t>RECICLADA</t>
  </si>
  <si>
    <t>HOTFILL</t>
  </si>
  <si>
    <t>PILAR</t>
  </si>
  <si>
    <t>USH</t>
  </si>
  <si>
    <t>Plant</t>
  </si>
  <si>
    <t>Customer</t>
  </si>
  <si>
    <t>Name</t>
  </si>
  <si>
    <t>Material</t>
  </si>
  <si>
    <t>Peso</t>
  </si>
  <si>
    <t>Color</t>
  </si>
  <si>
    <t>Cabelma</t>
  </si>
  <si>
    <t>Dosificación</t>
  </si>
  <si>
    <t>CERVECERIA Y MALTERIA</t>
  </si>
  <si>
    <t>CL1</t>
  </si>
  <si>
    <t>A16</t>
  </si>
  <si>
    <t>V03</t>
  </si>
  <si>
    <t>VCC</t>
  </si>
  <si>
    <t>H03</t>
  </si>
  <si>
    <t>Z01</t>
  </si>
  <si>
    <t>Reciclada</t>
  </si>
  <si>
    <t>A16G20</t>
  </si>
  <si>
    <t>A16Z20</t>
  </si>
  <si>
    <t>N01</t>
  </si>
  <si>
    <t>A16Z10</t>
  </si>
  <si>
    <t>CERVECERIA Y MALTERIA.</t>
  </si>
  <si>
    <t>A13</t>
  </si>
  <si>
    <t>A13G40</t>
  </si>
  <si>
    <t>A13Z30</t>
  </si>
  <si>
    <t>H04</t>
  </si>
  <si>
    <t>A13Z40</t>
  </si>
  <si>
    <t>P,1.0LB,42.5G,CL1,P1881,579236,O,N01</t>
  </si>
  <si>
    <t>P,0.5L,30G,CL1,38/41,576209,O*,A13</t>
  </si>
  <si>
    <t>Pedido</t>
  </si>
  <si>
    <t>Pos. Ped.</t>
  </si>
  <si>
    <t>Entrega</t>
  </si>
  <si>
    <t>Pos. Ent.</t>
  </si>
  <si>
    <t>Resp. Pago</t>
  </si>
  <si>
    <t>Cliente</t>
  </si>
  <si>
    <t>Nombre</t>
  </si>
  <si>
    <t>Dest. Mcia</t>
  </si>
  <si>
    <t>Resp.</t>
  </si>
  <si>
    <t>Nombre responsable</t>
  </si>
  <si>
    <t>Remito</t>
  </si>
  <si>
    <t>Pedido creado por</t>
  </si>
  <si>
    <t>Entrega creada por</t>
  </si>
  <si>
    <t xml:space="preserve"> Material</t>
  </si>
  <si>
    <t>Descripcion mat.</t>
  </si>
  <si>
    <t>Centro</t>
  </si>
  <si>
    <t>Num. Alm.</t>
  </si>
  <si>
    <t>Descr. Num. Alm.</t>
  </si>
  <si>
    <t>Almacen</t>
  </si>
  <si>
    <t>Pto. Exp.</t>
  </si>
  <si>
    <t>Descr. Pto. Expedicion</t>
  </si>
  <si>
    <t>Nro. Pedido del cliente</t>
  </si>
  <si>
    <t>ID ext. de entrega</t>
  </si>
  <si>
    <t>Bloqueo de entrega</t>
  </si>
  <si>
    <t>Pro Forma</t>
  </si>
  <si>
    <t>Factura</t>
  </si>
  <si>
    <t>Factura Legal</t>
  </si>
  <si>
    <t>Codigo Preforma</t>
  </si>
  <si>
    <t>Tipo de Pedido</t>
  </si>
  <si>
    <t>Pedido creado el</t>
  </si>
  <si>
    <t>Fecha de reparto</t>
  </si>
  <si>
    <t>Fecha ent/ real</t>
  </si>
  <si>
    <t>Cantidad pedida</t>
  </si>
  <si>
    <t>Pallets</t>
  </si>
  <si>
    <t>Cantidad entregada</t>
  </si>
  <si>
    <t>Cantidad Rechazada</t>
  </si>
  <si>
    <t>Cantidad Pendiente</t>
  </si>
  <si>
    <t>Semana</t>
  </si>
  <si>
    <t>Período</t>
  </si>
  <si>
    <t>Scrap</t>
  </si>
  <si>
    <t>Virgen + Scrap</t>
  </si>
  <si>
    <t>PCR</t>
  </si>
  <si>
    <t>PCR + SCRAP</t>
  </si>
  <si>
    <t>HOTFILL + SCRAP</t>
  </si>
  <si>
    <t>Jose Cucurell</t>
  </si>
  <si>
    <t>0011R00051406</t>
  </si>
  <si>
    <t>BARBESIA</t>
  </si>
  <si>
    <t>DARROCHA</t>
  </si>
  <si>
    <t>P,1.0LA,37.2G,CL1,P1881,787869,O,A16</t>
  </si>
  <si>
    <t>A57</t>
  </si>
  <si>
    <t>Zarcam   P.T</t>
  </si>
  <si>
    <t>FP07</t>
  </si>
  <si>
    <t>A057</t>
  </si>
  <si>
    <t>Ushuaia -Zarcam PT</t>
  </si>
  <si>
    <t>-</t>
  </si>
  <si>
    <t/>
  </si>
  <si>
    <t>0102A00001341</t>
  </si>
  <si>
    <t>C</t>
  </si>
  <si>
    <t>0009R00048887</t>
  </si>
  <si>
    <t>FERNANEM</t>
  </si>
  <si>
    <t>P,0.5L,30G,CL1,38/41,396206,O,A13</t>
  </si>
  <si>
    <t>A17</t>
  </si>
  <si>
    <t>A017</t>
  </si>
  <si>
    <t>Pilar - Zarcam</t>
  </si>
  <si>
    <t>0101A00004741</t>
  </si>
  <si>
    <t>0011R00051403</t>
  </si>
  <si>
    <t>P,1.5L,46.6G,CL1,P1881,788427,O,A16</t>
  </si>
  <si>
    <t>0102A00001344</t>
  </si>
  <si>
    <t>0011R00051412</t>
  </si>
  <si>
    <t>0102A00001353</t>
  </si>
  <si>
    <t>0011R00051392</t>
  </si>
  <si>
    <t>P,0.5LC,19.5G,CL1,P1881,787867,O,A16</t>
  </si>
  <si>
    <t>0102A00001343</t>
  </si>
  <si>
    <t>0022R00000323</t>
  </si>
  <si>
    <t>SAEZRODO</t>
  </si>
  <si>
    <t>A55</t>
  </si>
  <si>
    <t>Oro Negro (Caba)</t>
  </si>
  <si>
    <t>FP05</t>
  </si>
  <si>
    <t>A055</t>
  </si>
  <si>
    <t>0102A00001359</t>
  </si>
  <si>
    <t>P,2.0L,54.7G,CL1,P1881,789227,O,A16</t>
  </si>
  <si>
    <t>0011R00051395</t>
  </si>
  <si>
    <t>0009R00048917</t>
  </si>
  <si>
    <t>0009R00048907</t>
  </si>
  <si>
    <t>0009R00048908</t>
  </si>
  <si>
    <t>0011R00051419</t>
  </si>
  <si>
    <t>0022R00000324</t>
  </si>
  <si>
    <t>0102A00001340</t>
  </si>
  <si>
    <t>0022R00000325</t>
  </si>
  <si>
    <t>0102A00001351</t>
  </si>
  <si>
    <t>P,1.5L,46.6G,CL1,P1881,789228,O,A16</t>
  </si>
  <si>
    <t>0022R00000321</t>
  </si>
  <si>
    <t>0102A00001339</t>
  </si>
  <si>
    <t>0011R00051366</t>
  </si>
  <si>
    <t>P,2.0L,52G,CL1,PCO33,PB039,O,A16</t>
  </si>
  <si>
    <t>0102A00001349</t>
  </si>
  <si>
    <t>0022R00000322</t>
  </si>
  <si>
    <t>0102A00001361</t>
  </si>
  <si>
    <t>0011R00051371</t>
  </si>
  <si>
    <t>0009R00048843</t>
  </si>
  <si>
    <t>0009R00048860</t>
  </si>
  <si>
    <t>0016R00002279</t>
  </si>
  <si>
    <t>BERTINAJ</t>
  </si>
  <si>
    <t>A58</t>
  </si>
  <si>
    <t>CDMZA-Tte Andreu</t>
  </si>
  <si>
    <t>FP08</t>
  </si>
  <si>
    <t>A058</t>
  </si>
  <si>
    <t>Ushuaia – Depósito Andreu</t>
  </si>
  <si>
    <t>0102A00001357</t>
  </si>
  <si>
    <t>0011R00051373</t>
  </si>
  <si>
    <t>0009R00048869</t>
  </si>
  <si>
    <t>0009R00048958</t>
  </si>
  <si>
    <t>P,0.5L,25G,CL1,PCO33,451891,O,A16</t>
  </si>
  <si>
    <t>0101A00004739</t>
  </si>
  <si>
    <t>0011R00051494</t>
  </si>
  <si>
    <t>0102A00001354</t>
  </si>
  <si>
    <t>0009R00048952</t>
  </si>
  <si>
    <t>0101A00004742</t>
  </si>
  <si>
    <t>0011R00051488</t>
  </si>
  <si>
    <t>0102A00001345</t>
  </si>
  <si>
    <t>0011R00051506</t>
  </si>
  <si>
    <t>SAEZDEAM</t>
  </si>
  <si>
    <t>0102A00001364</t>
  </si>
  <si>
    <t>0009R00048974</t>
  </si>
  <si>
    <t>P,0.5L,30G,CL1,38/41,396206,O,H04</t>
  </si>
  <si>
    <t>0011R00051509</t>
  </si>
  <si>
    <t>P,1.0LB,44G,V03,PCO33,130814,O,A16</t>
  </si>
  <si>
    <t>0102A00001366</t>
  </si>
  <si>
    <t>P,1.0LB,44G,CL1,PCO33,130814,O,A16</t>
  </si>
  <si>
    <t>0011R00051510</t>
  </si>
  <si>
    <t>0102A00001367</t>
  </si>
  <si>
    <t>0009R00048970</t>
  </si>
  <si>
    <t>0101A00004745</t>
  </si>
  <si>
    <t>0009R00048973</t>
  </si>
  <si>
    <t>P,0.5L,34G,CL1,38/41,395205,O,A13</t>
  </si>
  <si>
    <t>0101A00004746</t>
  </si>
  <si>
    <t>0009R00048933</t>
  </si>
  <si>
    <t>0011R00051454</t>
  </si>
  <si>
    <t>0011R00051434</t>
  </si>
  <si>
    <t>0011R00051435</t>
  </si>
  <si>
    <t>JAIMEJUA</t>
  </si>
  <si>
    <t>0011R00051438</t>
  </si>
  <si>
    <t>0016R00002282</t>
  </si>
  <si>
    <t>0011R00051456</t>
  </si>
  <si>
    <t>0011R00051468</t>
  </si>
  <si>
    <t>0009R00048946</t>
  </si>
  <si>
    <t>0022R00000309</t>
  </si>
  <si>
    <t>0011R00051250</t>
  </si>
  <si>
    <t>0011R00051254</t>
  </si>
  <si>
    <t>0102A00001347</t>
  </si>
  <si>
    <t>0011R00051255</t>
  </si>
  <si>
    <t>P,2.0LA,62G,CL1,PCO33,262461,O,A16</t>
  </si>
  <si>
    <t>0102A00001356</t>
  </si>
  <si>
    <t>0009R00048770</t>
  </si>
  <si>
    <t>0011R00051240</t>
  </si>
  <si>
    <t>0022R00000308</t>
  </si>
  <si>
    <t>0102A00001337</t>
  </si>
  <si>
    <t>P,1.0LA,37.2G,V03,P1881,787869,O,A16</t>
  </si>
  <si>
    <t>0011R00051242</t>
  </si>
  <si>
    <t>0009R00048763</t>
  </si>
  <si>
    <t>P,2.0L,52G,CL1,38/41,395205,O,A13</t>
  </si>
  <si>
    <t>0101A00004740</t>
  </si>
  <si>
    <t>0011R00051243</t>
  </si>
  <si>
    <t>0022R00000311</t>
  </si>
  <si>
    <t>0011R00051272</t>
  </si>
  <si>
    <t>0102A00001355</t>
  </si>
  <si>
    <t>0009R00048789</t>
  </si>
  <si>
    <t>0011R00051273</t>
  </si>
  <si>
    <t>0022R00000313</t>
  </si>
  <si>
    <t>0009R00048792</t>
  </si>
  <si>
    <t>0022R00000312</t>
  </si>
  <si>
    <t>0102A00001338</t>
  </si>
  <si>
    <t>0011R00051257</t>
  </si>
  <si>
    <t>0022R00000310</t>
  </si>
  <si>
    <t>0011R00051260</t>
  </si>
  <si>
    <t>0102A00001362</t>
  </si>
  <si>
    <t>0011R00051261</t>
  </si>
  <si>
    <t>0102A00001360</t>
  </si>
  <si>
    <t>0011R00051262</t>
  </si>
  <si>
    <t>0011R00051265</t>
  </si>
  <si>
    <t>0011R00051267</t>
  </si>
  <si>
    <t>0011R00051268</t>
  </si>
  <si>
    <t>P,0.5LC,19.5G,VCC,P1881,787867,O,A16</t>
  </si>
  <si>
    <t>0102A00001342</t>
  </si>
  <si>
    <t>0011R00051214</t>
  </si>
  <si>
    <t>0011R00051215</t>
  </si>
  <si>
    <t>0009R00048726</t>
  </si>
  <si>
    <t>0011R00051208</t>
  </si>
  <si>
    <t>0022R00000305</t>
  </si>
  <si>
    <t>0009R00048727</t>
  </si>
  <si>
    <t>0022R00000307</t>
  </si>
  <si>
    <t>0011R00051236</t>
  </si>
  <si>
    <t>0102A00001348</t>
  </si>
  <si>
    <t>0009R00048758</t>
  </si>
  <si>
    <t>0011R00051237</t>
  </si>
  <si>
    <t>0009R00048752</t>
  </si>
  <si>
    <t>0011R00051232</t>
  </si>
  <si>
    <t>0011R00051220</t>
  </si>
  <si>
    <t>0009R00048746</t>
  </si>
  <si>
    <t>0022R00000306</t>
  </si>
  <si>
    <t>0011R00051327</t>
  </si>
  <si>
    <t>0102A00001352</t>
  </si>
  <si>
    <t>0011R00051328</t>
  </si>
  <si>
    <t>VILLALBJ</t>
  </si>
  <si>
    <t>P,1.0LA,37.2G,VCC,P1881,787869,O,A16</t>
  </si>
  <si>
    <t>0102A00001358</t>
  </si>
  <si>
    <t>0022R00000319</t>
  </si>
  <si>
    <t>0022R00000318</t>
  </si>
  <si>
    <t>0009R00048826</t>
  </si>
  <si>
    <t>0009R00048853</t>
  </si>
  <si>
    <t>0011R00051345</t>
  </si>
  <si>
    <t>0011R00051356</t>
  </si>
  <si>
    <t>0022R00000320</t>
  </si>
  <si>
    <t>0102A00001350</t>
  </si>
  <si>
    <t>0011R00051338</t>
  </si>
  <si>
    <t>0022R00000315</t>
  </si>
  <si>
    <t>0011R00051300</t>
  </si>
  <si>
    <t>0022R00000316</t>
  </si>
  <si>
    <t>0022R00000317</t>
  </si>
  <si>
    <t>0009R00048802</t>
  </si>
  <si>
    <t>0011R00051295</t>
  </si>
  <si>
    <t>P,1.5L,46.6G,V03,P1881,789228,O,A16</t>
  </si>
  <si>
    <t>0102A00001346</t>
  </si>
  <si>
    <t>0022R00000314</t>
  </si>
  <si>
    <t>0009R00048813</t>
  </si>
  <si>
    <t>0011R00051709</t>
  </si>
  <si>
    <t>0102A00001454</t>
  </si>
  <si>
    <t>0022R00000358</t>
  </si>
  <si>
    <t>0102A00001453</t>
  </si>
  <si>
    <t>0009R00049137</t>
  </si>
  <si>
    <t>0101A00004782</t>
  </si>
  <si>
    <t>0022R00000357</t>
  </si>
  <si>
    <t>0102A00001455</t>
  </si>
  <si>
    <t>0011R00051726</t>
  </si>
  <si>
    <t>0102A00001459</t>
  </si>
  <si>
    <t>0009R00049144</t>
  </si>
  <si>
    <t>0101A00004787</t>
  </si>
  <si>
    <t>0011R00051728</t>
  </si>
  <si>
    <t>0011R00051737</t>
  </si>
  <si>
    <t>0102A00001466</t>
  </si>
  <si>
    <t>0011R00051668</t>
  </si>
  <si>
    <t>0102A00001436</t>
  </si>
  <si>
    <t>0011R00051656</t>
  </si>
  <si>
    <t>0102A00001424</t>
  </si>
  <si>
    <t>0009R00049101</t>
  </si>
  <si>
    <t>0101A00004772</t>
  </si>
  <si>
    <t>0022R00000355</t>
  </si>
  <si>
    <t>0102A00001434</t>
  </si>
  <si>
    <t>0011R00051686</t>
  </si>
  <si>
    <t>0102A00001445</t>
  </si>
  <si>
    <t>0011R00051691</t>
  </si>
  <si>
    <t>0102A00001447</t>
  </si>
  <si>
    <t>0009R00049131</t>
  </si>
  <si>
    <t>0101A00004778</t>
  </si>
  <si>
    <t>0011R00051693</t>
  </si>
  <si>
    <t>0102A00001448</t>
  </si>
  <si>
    <t>0011R00051674</t>
  </si>
  <si>
    <t>0102A00001435</t>
  </si>
  <si>
    <t>0011R00051677</t>
  </si>
  <si>
    <t>0102A00001444</t>
  </si>
  <si>
    <t>0011R00051678</t>
  </si>
  <si>
    <t>0102A00001442</t>
  </si>
  <si>
    <t>0022R00000356</t>
  </si>
  <si>
    <t>0102A00001443</t>
  </si>
  <si>
    <t>0009R00049118</t>
  </si>
  <si>
    <t>0101A00004776</t>
  </si>
  <si>
    <t>0009R00049148</t>
  </si>
  <si>
    <t>0101A00004788</t>
  </si>
  <si>
    <t>0011R00051789</t>
  </si>
  <si>
    <t>0102A00001498</t>
  </si>
  <si>
    <t>0009R00049198</t>
  </si>
  <si>
    <t>P,0.5L,30G,CL1,38/41,396206,O,A13Z30</t>
  </si>
  <si>
    <t>0101A00004808</t>
  </si>
  <si>
    <t>0011R00051795</t>
  </si>
  <si>
    <t>0102A00001502</t>
  </si>
  <si>
    <t>0022R00000362</t>
  </si>
  <si>
    <t>0102A00001484</t>
  </si>
  <si>
    <t>0011R00051775</t>
  </si>
  <si>
    <t>0102A00001490</t>
  </si>
  <si>
    <t>0011R00051776</t>
  </si>
  <si>
    <t>0102A00001492</t>
  </si>
  <si>
    <t>0011R00051782</t>
  </si>
  <si>
    <t>0102A00001489</t>
  </si>
  <si>
    <t>0011R00051806</t>
  </si>
  <si>
    <t>0102A00001507</t>
  </si>
  <si>
    <t>0009R00049200</t>
  </si>
  <si>
    <t>0022R00000363</t>
  </si>
  <si>
    <t>0102A00001501</t>
  </si>
  <si>
    <t>0022R00000364</t>
  </si>
  <si>
    <t>0102A00001503</t>
  </si>
  <si>
    <t>0011R00051805</t>
  </si>
  <si>
    <t>0102A00001506</t>
  </si>
  <si>
    <t>0022R00000365</t>
  </si>
  <si>
    <t>0102A00001500</t>
  </si>
  <si>
    <t>0011R00051774</t>
  </si>
  <si>
    <t>0022R00000359</t>
  </si>
  <si>
    <t>0102A00001471</t>
  </si>
  <si>
    <t>0022R00000360</t>
  </si>
  <si>
    <t>0102A00001470</t>
  </si>
  <si>
    <t>0011R00051745</t>
  </si>
  <si>
    <t>0102A00001464</t>
  </si>
  <si>
    <t>0011R00051746</t>
  </si>
  <si>
    <t>0102A00001462</t>
  </si>
  <si>
    <t>0016R00002311</t>
  </si>
  <si>
    <t>0102A00001472</t>
  </si>
  <si>
    <t>0009R00049168</t>
  </si>
  <si>
    <t>0101A00004794</t>
  </si>
  <si>
    <t>0011R00051760</t>
  </si>
  <si>
    <t>0102A00001475</t>
  </si>
  <si>
    <t>0022R00000361</t>
  </si>
  <si>
    <t>0102A00001476</t>
  </si>
  <si>
    <t>0011R00051763</t>
  </si>
  <si>
    <t>0102A00001474</t>
  </si>
  <si>
    <t>0009R00049178</t>
  </si>
  <si>
    <t>0101A00004806</t>
  </si>
  <si>
    <t>0009R00049179</t>
  </si>
  <si>
    <t>0011R00051566</t>
  </si>
  <si>
    <t>0102A00001391</t>
  </si>
  <si>
    <t>0006R00001070</t>
  </si>
  <si>
    <t>A18</t>
  </si>
  <si>
    <t>T.P P.T</t>
  </si>
  <si>
    <t>A018</t>
  </si>
  <si>
    <t>Pilar – Depósito Andreu</t>
  </si>
  <si>
    <t>0101A00004759</t>
  </si>
  <si>
    <t>0016R00002294</t>
  </si>
  <si>
    <t>0102A00001402</t>
  </si>
  <si>
    <t>0022R00000336</t>
  </si>
  <si>
    <t>0102A00001392</t>
  </si>
  <si>
    <t>0011R00051552</t>
  </si>
  <si>
    <t>0102A00001401</t>
  </si>
  <si>
    <t>0011R00051559</t>
  </si>
  <si>
    <t>0102A00001393</t>
  </si>
  <si>
    <t>0022R00000341</t>
  </si>
  <si>
    <t>0102A00001407</t>
  </si>
  <si>
    <t>0011R00051575</t>
  </si>
  <si>
    <t>P,1.5L,44.8G,CL1,38/41,716887,O,A13</t>
  </si>
  <si>
    <t>0102A00001404</t>
  </si>
  <si>
    <t>0022R00000342</t>
  </si>
  <si>
    <t>0102A00001400</t>
  </si>
  <si>
    <t>0011R00051578</t>
  </si>
  <si>
    <t>0102A00001399</t>
  </si>
  <si>
    <t>0011R00051561</t>
  </si>
  <si>
    <t>0022R00000338</t>
  </si>
  <si>
    <t>0022R00000340</t>
  </si>
  <si>
    <t>0009R00048993</t>
  </si>
  <si>
    <t>0101A00004765</t>
  </si>
  <si>
    <t>0011R00051528</t>
  </si>
  <si>
    <t>0102A00001396</t>
  </si>
  <si>
    <t>0011R00051530</t>
  </si>
  <si>
    <t>0102A00001397</t>
  </si>
  <si>
    <t>0011R00051517</t>
  </si>
  <si>
    <t>0022R00000327</t>
  </si>
  <si>
    <t>0102A00001409</t>
  </si>
  <si>
    <t>0011R00051520</t>
  </si>
  <si>
    <t>0102A00001389</t>
  </si>
  <si>
    <t>0009R00048984</t>
  </si>
  <si>
    <t>0011R00051541</t>
  </si>
  <si>
    <t>0102A00001390</t>
  </si>
  <si>
    <t>0009R00049004</t>
  </si>
  <si>
    <t>0009R00049005</t>
  </si>
  <si>
    <t>0022R00000333</t>
  </si>
  <si>
    <t>0011R00051547</t>
  </si>
  <si>
    <t>0022R00000329</t>
  </si>
  <si>
    <t>0102A00001408</t>
  </si>
  <si>
    <t>0009R00049001</t>
  </si>
  <si>
    <t>0101A00004760</t>
  </si>
  <si>
    <t>0011R00051531</t>
  </si>
  <si>
    <t>0022R00000331</t>
  </si>
  <si>
    <t>0102A00001406</t>
  </si>
  <si>
    <t>0011R00051629</t>
  </si>
  <si>
    <t>0102A00001413</t>
  </si>
  <si>
    <t>0022R00000351</t>
  </si>
  <si>
    <t>0102A00001416</t>
  </si>
  <si>
    <t>0022R00000352</t>
  </si>
  <si>
    <t>0102A00001415</t>
  </si>
  <si>
    <t>0011R00051634</t>
  </si>
  <si>
    <t>0102A00001417</t>
  </si>
  <si>
    <t>0011R00051624</t>
  </si>
  <si>
    <t>0102A00001412</t>
  </si>
  <si>
    <t>0011R00051625</t>
  </si>
  <si>
    <t>0009R00049076</t>
  </si>
  <si>
    <t>0101A00004762</t>
  </si>
  <si>
    <t>0022R00000350</t>
  </si>
  <si>
    <t>0102A00001411</t>
  </si>
  <si>
    <t>0011R00051645</t>
  </si>
  <si>
    <t>0102A00001426</t>
  </si>
  <si>
    <t>0022R00000353</t>
  </si>
  <si>
    <t>0102A00001425</t>
  </si>
  <si>
    <t>0009R00049097</t>
  </si>
  <si>
    <t>0101A00004768</t>
  </si>
  <si>
    <t>0009R00049088</t>
  </si>
  <si>
    <t>0101A00004766</t>
  </si>
  <si>
    <t>0011R00051595</t>
  </si>
  <si>
    <t>0102A00001403</t>
  </si>
  <si>
    <t>0006R00001072</t>
  </si>
  <si>
    <t>0011R00051584</t>
  </si>
  <si>
    <t>0022R00000343</t>
  </si>
  <si>
    <t>0022R00000344</t>
  </si>
  <si>
    <t>0011R00051585</t>
  </si>
  <si>
    <t>0102A00001394</t>
  </si>
  <si>
    <t>0011R00051587</t>
  </si>
  <si>
    <t>0102A00001398</t>
  </si>
  <si>
    <t>0022R00000345</t>
  </si>
  <si>
    <t>0011R00051592</t>
  </si>
  <si>
    <t>0011R00051593</t>
  </si>
  <si>
    <t>0022R00000346</t>
  </si>
  <si>
    <t>0022R00000348</t>
  </si>
  <si>
    <t>0011R00051619</t>
  </si>
  <si>
    <t>0102A00001405</t>
  </si>
  <si>
    <t>0011R00051616</t>
  </si>
  <si>
    <t>0102A00001395</t>
  </si>
  <si>
    <t>0009R00049065</t>
  </si>
  <si>
    <t>0101A00004761</t>
  </si>
  <si>
    <t>0011R00052022</t>
  </si>
  <si>
    <t>0102A00001586</t>
  </si>
  <si>
    <t>0011R00052023</t>
  </si>
  <si>
    <t>P,1.5L,46.6G,CL1,P1881,789228,O,A16G20</t>
  </si>
  <si>
    <t>0011R00052016</t>
  </si>
  <si>
    <t>P,1.5L,46.6G,CL1,P1881,789228,O,A16Z20</t>
  </si>
  <si>
    <t>0102A00001585</t>
  </si>
  <si>
    <t>0011R00052025</t>
  </si>
  <si>
    <t>0102A00001594</t>
  </si>
  <si>
    <t>0022R00000392</t>
  </si>
  <si>
    <t>0102A00001583</t>
  </si>
  <si>
    <t>0016R00002336</t>
  </si>
  <si>
    <t>0102A00001603</t>
  </si>
  <si>
    <t>0009R00049403</t>
  </si>
  <si>
    <t>0101A00004857</t>
  </si>
  <si>
    <t>0022R00000390</t>
  </si>
  <si>
    <t>0102A00001604</t>
  </si>
  <si>
    <t>0011R00052013</t>
  </si>
  <si>
    <t>LEONEAGU</t>
  </si>
  <si>
    <t>0102A00001590</t>
  </si>
  <si>
    <t>0011R00052047</t>
  </si>
  <si>
    <t>0022R00000394</t>
  </si>
  <si>
    <t>0009R00049417</t>
  </si>
  <si>
    <t>0101A00004855</t>
  </si>
  <si>
    <t>0022R00000389</t>
  </si>
  <si>
    <t>0102A00001595</t>
  </si>
  <si>
    <t>0011R00051973</t>
  </si>
  <si>
    <t>0009R00049372</t>
  </si>
  <si>
    <t>0022R00000385</t>
  </si>
  <si>
    <t>0102A00001584</t>
  </si>
  <si>
    <t>0011R00051976</t>
  </si>
  <si>
    <t>0102A00001589</t>
  </si>
  <si>
    <t>0009R00049375</t>
  </si>
  <si>
    <t>0011R00051980</t>
  </si>
  <si>
    <t>0011R00051959</t>
  </si>
  <si>
    <t>0006R00001082</t>
  </si>
  <si>
    <t>0101A00004861</t>
  </si>
  <si>
    <t>0022R00000384</t>
  </si>
  <si>
    <t>0011R00051965</t>
  </si>
  <si>
    <t>0009R00049393</t>
  </si>
  <si>
    <t>0009R00049398</t>
  </si>
  <si>
    <t>0022R00000388</t>
  </si>
  <si>
    <t>0011R00052008</t>
  </si>
  <si>
    <t>0102A00001600</t>
  </si>
  <si>
    <t>0009R00049388</t>
  </si>
  <si>
    <t>0101A00004856</t>
  </si>
  <si>
    <t>0009R00049380</t>
  </si>
  <si>
    <t>0022R00000386</t>
  </si>
  <si>
    <t>0022R00000387</t>
  </si>
  <si>
    <t>0016R00002332</t>
  </si>
  <si>
    <t>0102A00001602</t>
  </si>
  <si>
    <t>0009R00049462</t>
  </si>
  <si>
    <t>0009R00049463</t>
  </si>
  <si>
    <t>P,0.5L,25G,CL1,PCO33,451891,O,Z01</t>
  </si>
  <si>
    <t>0101A00004854</t>
  </si>
  <si>
    <t>0011R00052123</t>
  </si>
  <si>
    <t>0102A00001599</t>
  </si>
  <si>
    <t>0011R00052105</t>
  </si>
  <si>
    <t>0102A00001592</t>
  </si>
  <si>
    <t>0011R00052109</t>
  </si>
  <si>
    <t>0102A00001587</t>
  </si>
  <si>
    <t>0022R00000398</t>
  </si>
  <si>
    <t>0011R00052124</t>
  </si>
  <si>
    <t>0022R00000399</t>
  </si>
  <si>
    <t>0102A00001605</t>
  </si>
  <si>
    <t>0011R00052126</t>
  </si>
  <si>
    <t>0009R00049436</t>
  </si>
  <si>
    <t>0011R00052062</t>
  </si>
  <si>
    <t>0022R00000396</t>
  </si>
  <si>
    <t>0011R00052066</t>
  </si>
  <si>
    <t>0011R00052072</t>
  </si>
  <si>
    <t>0011R00052052</t>
  </si>
  <si>
    <t>0022R00000393</t>
  </si>
  <si>
    <t>0009R00049441</t>
  </si>
  <si>
    <t>0016R00002342</t>
  </si>
  <si>
    <t>0102A00001598</t>
  </si>
  <si>
    <t>0022R00000397</t>
  </si>
  <si>
    <t>0102A00001596</t>
  </si>
  <si>
    <t>0011R00052075</t>
  </si>
  <si>
    <t>0011R00052082</t>
  </si>
  <si>
    <t>0009R00049261</t>
  </si>
  <si>
    <t>0011R00051859</t>
  </si>
  <si>
    <t>0011R00051860</t>
  </si>
  <si>
    <t>0011R00051853</t>
  </si>
  <si>
    <t>0011R00051854</t>
  </si>
  <si>
    <t>0102A00001593</t>
  </si>
  <si>
    <t>0009R00049257</t>
  </si>
  <si>
    <t>0022R00000370</t>
  </si>
  <si>
    <t>0011R00051874</t>
  </si>
  <si>
    <t>0009R00049275</t>
  </si>
  <si>
    <t>0022R00000375</t>
  </si>
  <si>
    <t>0011R00051877</t>
  </si>
  <si>
    <t>0102A00001601</t>
  </si>
  <si>
    <t>0022R00000372</t>
  </si>
  <si>
    <t>0022R00000373</t>
  </si>
  <si>
    <t>0011R00051867</t>
  </si>
  <si>
    <t>0102A00001597</t>
  </si>
  <si>
    <t>0011R00051868</t>
  </si>
  <si>
    <t>0009R00049274</t>
  </si>
  <si>
    <t>0011R00051834</t>
  </si>
  <si>
    <t>0009R00049229</t>
  </si>
  <si>
    <t>0009R00049230</t>
  </si>
  <si>
    <t>0011R00051837</t>
  </si>
  <si>
    <t>0009R00049212</t>
  </si>
  <si>
    <t>0011R00051817</t>
  </si>
  <si>
    <t>0102A00001588</t>
  </si>
  <si>
    <t>0011R00051818</t>
  </si>
  <si>
    <t>0016R00002317</t>
  </si>
  <si>
    <t>0022R00000368</t>
  </si>
  <si>
    <t>0009R00049336</t>
  </si>
  <si>
    <t>0011R00051931</t>
  </si>
  <si>
    <t>0016R00002328</t>
  </si>
  <si>
    <t>0016R00002329</t>
  </si>
  <si>
    <t>0022R00000381</t>
  </si>
  <si>
    <t>0009R00049324</t>
  </si>
  <si>
    <t>0022R00000380</t>
  </si>
  <si>
    <t>0009R00049365</t>
  </si>
  <si>
    <t>0022R00000382</t>
  </si>
  <si>
    <t>0022R00000383</t>
  </si>
  <si>
    <t>0009R00049358</t>
  </si>
  <si>
    <t>0009R00049360</t>
  </si>
  <si>
    <t>0011R00051894</t>
  </si>
  <si>
    <t>0009R00049282</t>
  </si>
  <si>
    <t>0009R00049283</t>
  </si>
  <si>
    <t>0009R00049284</t>
  </si>
  <si>
    <t>0016R00002323</t>
  </si>
  <si>
    <t>0102A00001591</t>
  </si>
  <si>
    <t>0011R00051923</t>
  </si>
  <si>
    <t>0009R00049323</t>
  </si>
  <si>
    <t>0011R00051900</t>
  </si>
  <si>
    <t>0011R00051909</t>
  </si>
  <si>
    <t>0009R00049306</t>
  </si>
  <si>
    <t>0022R00000379</t>
  </si>
  <si>
    <t>0022R00000423</t>
  </si>
  <si>
    <t>P,0.5LC,19.5G,CL1,P1881,787867,O,H03</t>
  </si>
  <si>
    <t>0102A00001668</t>
  </si>
  <si>
    <t>0009R00049654</t>
  </si>
  <si>
    <t>0101A00004900</t>
  </si>
  <si>
    <t>0022R00000422</t>
  </si>
  <si>
    <t>0102A00001655</t>
  </si>
  <si>
    <t>0022R00000425</t>
  </si>
  <si>
    <t>P,1.0LA,37.2G,CL1,P1881,787869,O,H03</t>
  </si>
  <si>
    <t>0102A00001671</t>
  </si>
  <si>
    <t>0011R00052356</t>
  </si>
  <si>
    <t>0102A00001670</t>
  </si>
  <si>
    <t>0011R00052334</t>
  </si>
  <si>
    <t>0102A00001651</t>
  </si>
  <si>
    <t>0022R00000420</t>
  </si>
  <si>
    <t>0102A00001648</t>
  </si>
  <si>
    <t>0011R00052338</t>
  </si>
  <si>
    <t>0102A00001660</t>
  </si>
  <si>
    <t>0022R00000421</t>
  </si>
  <si>
    <t>0102A00001646</t>
  </si>
  <si>
    <t>0011R00052344</t>
  </si>
  <si>
    <t>0102A00001653</t>
  </si>
  <si>
    <t>0009R00049671</t>
  </si>
  <si>
    <t>0011R00052370</t>
  </si>
  <si>
    <t>0022R00000426</t>
  </si>
  <si>
    <t>0102A00001678</t>
  </si>
  <si>
    <t>0022R00000427</t>
  </si>
  <si>
    <t>0102A00001661</t>
  </si>
  <si>
    <t>0011R00052359</t>
  </si>
  <si>
    <t>0102A00001657</t>
  </si>
  <si>
    <t>0009R00049664</t>
  </si>
  <si>
    <t>0022R00000415</t>
  </si>
  <si>
    <t>0102A00001650</t>
  </si>
  <si>
    <t>0022R00000416</t>
  </si>
  <si>
    <t>0009R00049621</t>
  </si>
  <si>
    <t>0011R00052309</t>
  </si>
  <si>
    <t>0102A00001652</t>
  </si>
  <si>
    <t>0011R00052315</t>
  </si>
  <si>
    <t>0102A00001681</t>
  </si>
  <si>
    <t>0022R00000417</t>
  </si>
  <si>
    <t>0009R00049611</t>
  </si>
  <si>
    <t>0022R00000413</t>
  </si>
  <si>
    <t>0011R00052290</t>
  </si>
  <si>
    <t>0102A00001656</t>
  </si>
  <si>
    <t>0011R00052293</t>
  </si>
  <si>
    <t>0022R00000414</t>
  </si>
  <si>
    <t>0009R00049633</t>
  </si>
  <si>
    <t>0022R00000419</t>
  </si>
  <si>
    <t>0102A00001647</t>
  </si>
  <si>
    <t>0009R00049640</t>
  </si>
  <si>
    <t>0011R00052316</t>
  </si>
  <si>
    <t>0011R00052318</t>
  </si>
  <si>
    <t>0102A00001654</t>
  </si>
  <si>
    <t>0022R00000418</t>
  </si>
  <si>
    <t>0011R00052324</t>
  </si>
  <si>
    <t>0009R00049717</t>
  </si>
  <si>
    <t>0101A00004909</t>
  </si>
  <si>
    <t>0011R00052463</t>
  </si>
  <si>
    <t>0102A00001719</t>
  </si>
  <si>
    <t>0011R00052471</t>
  </si>
  <si>
    <t>0102A00001720</t>
  </si>
  <si>
    <t>0011R00052469</t>
  </si>
  <si>
    <t>0102A00001721</t>
  </si>
  <si>
    <t>0022R00000434</t>
  </si>
  <si>
    <t>0102A00001711</t>
  </si>
  <si>
    <t>0009R00049720</t>
  </si>
  <si>
    <t>0101A00004908</t>
  </si>
  <si>
    <t>0011R00052456</t>
  </si>
  <si>
    <t>0102A00001716</t>
  </si>
  <si>
    <t>0022R00000435</t>
  </si>
  <si>
    <t>0102A00001715</t>
  </si>
  <si>
    <t>0011R00052398</t>
  </si>
  <si>
    <t>0102A00001703</t>
  </si>
  <si>
    <t>0009R00049695</t>
  </si>
  <si>
    <t>0101A00004906</t>
  </si>
  <si>
    <t>0009R00049683</t>
  </si>
  <si>
    <t>0009R00049684</t>
  </si>
  <si>
    <t>0101A00004898</t>
  </si>
  <si>
    <t>0011R00052385</t>
  </si>
  <si>
    <t>0102A00001688</t>
  </si>
  <si>
    <t>0022R00000429</t>
  </si>
  <si>
    <t>0102A00001694</t>
  </si>
  <si>
    <t>0011R00052386</t>
  </si>
  <si>
    <t>0102A00001690</t>
  </si>
  <si>
    <t>0022R00000430</t>
  </si>
  <si>
    <t>0102A00001686</t>
  </si>
  <si>
    <t>0011R00052388</t>
  </si>
  <si>
    <t>0102A00001689</t>
  </si>
  <si>
    <t>0011R00052391</t>
  </si>
  <si>
    <t>0102A00001685</t>
  </si>
  <si>
    <t>0022R00000431</t>
  </si>
  <si>
    <t>0102A00001700</t>
  </si>
  <si>
    <t>0011R00052402</t>
  </si>
  <si>
    <t>0022R00000432</t>
  </si>
  <si>
    <t>0102A00001699</t>
  </si>
  <si>
    <t>0011R00052427</t>
  </si>
  <si>
    <t>0102A00001701</t>
  </si>
  <si>
    <t>0011R00052418</t>
  </si>
  <si>
    <t>0102A00001702</t>
  </si>
  <si>
    <t>0011R00052422</t>
  </si>
  <si>
    <t>0009R00049512</t>
  </si>
  <si>
    <t>0022R00000403</t>
  </si>
  <si>
    <t>0011R00052190</t>
  </si>
  <si>
    <t>0011R00052195</t>
  </si>
  <si>
    <t>0011R00052197</t>
  </si>
  <si>
    <t>0022R00000405</t>
  </si>
  <si>
    <t>0011R00052185</t>
  </si>
  <si>
    <t>0011R00052186</t>
  </si>
  <si>
    <t>P,0.5LC,19.5G,CL1,P1881,787867,O,N01</t>
  </si>
  <si>
    <t>0011R00052187</t>
  </si>
  <si>
    <t>0011R00052149</t>
  </si>
  <si>
    <t>0102A00001658</t>
  </si>
  <si>
    <t>0011R00052153</t>
  </si>
  <si>
    <t>0009R00049487</t>
  </si>
  <si>
    <t>0011R00052160</t>
  </si>
  <si>
    <t>0011R00052145</t>
  </si>
  <si>
    <t>0022R00000400</t>
  </si>
  <si>
    <t>0102A00001649</t>
  </si>
  <si>
    <t>0009R00049484</t>
  </si>
  <si>
    <t>0009R00049508</t>
  </si>
  <si>
    <t>0101A00004899</t>
  </si>
  <si>
    <t>0011R00052173</t>
  </si>
  <si>
    <t>0022R00000401</t>
  </si>
  <si>
    <t>0011R00052164</t>
  </si>
  <si>
    <t>0011R00052165</t>
  </si>
  <si>
    <t>0022R00000402</t>
  </si>
  <si>
    <t>0102A00001659</t>
  </si>
  <si>
    <t>0011R00052167</t>
  </si>
  <si>
    <t>0022R00000406</t>
  </si>
  <si>
    <t>0009R00049585</t>
  </si>
  <si>
    <t>0101A00004883</t>
  </si>
  <si>
    <t>0011R00052256</t>
  </si>
  <si>
    <t>0022R00000411</t>
  </si>
  <si>
    <t>0009R00049568</t>
  </si>
  <si>
    <t>0006R00001089</t>
  </si>
  <si>
    <t>0101A00004884</t>
  </si>
  <si>
    <t>0009R00049571</t>
  </si>
  <si>
    <t>0022R00000410</t>
  </si>
  <si>
    <t>0011R00052249</t>
  </si>
  <si>
    <t>0011R00052275</t>
  </si>
  <si>
    <t>0009R00049606</t>
  </si>
  <si>
    <t>0011R00052285</t>
  </si>
  <si>
    <t>0011R00052270</t>
  </si>
  <si>
    <t>0102A00001667</t>
  </si>
  <si>
    <t>0009R00049593</t>
  </si>
  <si>
    <t>0009R00049597</t>
  </si>
  <si>
    <t>0011R00052269</t>
  </si>
  <si>
    <t>0022R00000412</t>
  </si>
  <si>
    <t>P,1.0LA,37.2G,CLD,P1881,787869,O,A16</t>
  </si>
  <si>
    <t>0011R00052219</t>
  </si>
  <si>
    <t>0011R00052222</t>
  </si>
  <si>
    <t>0009R00049544</t>
  </si>
  <si>
    <t>0009R00049526</t>
  </si>
  <si>
    <t>0009R00049533</t>
  </si>
  <si>
    <t>0011R00052209</t>
  </si>
  <si>
    <t>0011R00052210</t>
  </si>
  <si>
    <t>0102A00001662</t>
  </si>
  <si>
    <t>0009R00049538</t>
  </si>
  <si>
    <t>0101A00004882</t>
  </si>
  <si>
    <t>0011R00052213</t>
  </si>
  <si>
    <t>0009R00049560</t>
  </si>
  <si>
    <t>0022R00000407</t>
  </si>
  <si>
    <t>0011R00052229</t>
  </si>
  <si>
    <t>0011R00052230</t>
  </si>
  <si>
    <t>0011R00052231</t>
  </si>
  <si>
    <t>0102A00001663</t>
  </si>
  <si>
    <t>0022R00000408</t>
  </si>
  <si>
    <t>0022R00000409</t>
  </si>
  <si>
    <t>0011R00052236</t>
  </si>
  <si>
    <t>89365217</t>
  </si>
  <si>
    <t>0009R00049909</t>
  </si>
  <si>
    <t>9511047368</t>
  </si>
  <si>
    <t>0101A00004949</t>
  </si>
  <si>
    <t>89365374</t>
  </si>
  <si>
    <t>0022R00000475</t>
  </si>
  <si>
    <t>9521067442</t>
  </si>
  <si>
    <t>0102A00001803</t>
  </si>
  <si>
    <t>89365518</t>
  </si>
  <si>
    <t>0011R00052645</t>
  </si>
  <si>
    <t>9521067441</t>
  </si>
  <si>
    <t>0102A00001802</t>
  </si>
  <si>
    <t>89365532</t>
  </si>
  <si>
    <t>0022R00000476</t>
  </si>
  <si>
    <t>9521067443</t>
  </si>
  <si>
    <t>0102A00001804</t>
  </si>
  <si>
    <t>89364227</t>
  </si>
  <si>
    <t>0009R00049898</t>
  </si>
  <si>
    <t>9511047353</t>
  </si>
  <si>
    <t>0101A00004944</t>
  </si>
  <si>
    <t>89364566</t>
  </si>
  <si>
    <t>0016R00002379</t>
  </si>
  <si>
    <t>9521067431</t>
  </si>
  <si>
    <t>0102A00001796</t>
  </si>
  <si>
    <t>89366762</t>
  </si>
  <si>
    <t>0022R00000477</t>
  </si>
  <si>
    <t>9521067462</t>
  </si>
  <si>
    <t>0102A00001809</t>
  </si>
  <si>
    <t>89367059</t>
  </si>
  <si>
    <t>0011R00052667</t>
  </si>
  <si>
    <t>9521067466</t>
  </si>
  <si>
    <t>0102A00001811</t>
  </si>
  <si>
    <t>89367194</t>
  </si>
  <si>
    <t>0011R00052669</t>
  </si>
  <si>
    <t>9521067465</t>
  </si>
  <si>
    <t>0102A00001810</t>
  </si>
  <si>
    <t>89365555</t>
  </si>
  <si>
    <t>0011R00052648</t>
  </si>
  <si>
    <t>9521067438</t>
  </si>
  <si>
    <t>0102A00001801</t>
  </si>
  <si>
    <t>89365562</t>
  </si>
  <si>
    <t>0011R00052649</t>
  </si>
  <si>
    <t>9521067436</t>
  </si>
  <si>
    <t>0102A00001799</t>
  </si>
  <si>
    <t>89365953</t>
  </si>
  <si>
    <t>0009R00049920</t>
  </si>
  <si>
    <t>9511047367</t>
  </si>
  <si>
    <t>0101A00004948</t>
  </si>
  <si>
    <t>89365954</t>
  </si>
  <si>
    <t>0011R00052651</t>
  </si>
  <si>
    <t>9521067437</t>
  </si>
  <si>
    <t>0102A00001800</t>
  </si>
  <si>
    <t>89366522</t>
  </si>
  <si>
    <t>0009R00049925</t>
  </si>
  <si>
    <t>9511047381</t>
  </si>
  <si>
    <t>0101A00004953</t>
  </si>
  <si>
    <t>89366531</t>
  </si>
  <si>
    <t>0009R00049926</t>
  </si>
  <si>
    <t>9511047380</t>
  </si>
  <si>
    <t>0101A00004952</t>
  </si>
  <si>
    <t>89366534</t>
  </si>
  <si>
    <t>0011R00052659</t>
  </si>
  <si>
    <t>9521067460</t>
  </si>
  <si>
    <t>0102A00001808</t>
  </si>
  <si>
    <t>89362777</t>
  </si>
  <si>
    <t>0011R00052622</t>
  </si>
  <si>
    <t>9521067419</t>
  </si>
  <si>
    <t>0102A00001789</t>
  </si>
  <si>
    <t>89362807</t>
  </si>
  <si>
    <t>0022R00000469</t>
  </si>
  <si>
    <t>9521067420</t>
  </si>
  <si>
    <t>0102A00001790</t>
  </si>
  <si>
    <t>89362971</t>
  </si>
  <si>
    <t>0022R00000470</t>
  </si>
  <si>
    <t>9521067417</t>
  </si>
  <si>
    <t>0102A00001788</t>
  </si>
  <si>
    <t>89363136</t>
  </si>
  <si>
    <t>0009R00049880</t>
  </si>
  <si>
    <t>9511047350</t>
  </si>
  <si>
    <t>0101A00004943</t>
  </si>
  <si>
    <t>89363182</t>
  </si>
  <si>
    <t>0022R00000471</t>
  </si>
  <si>
    <t>89361883</t>
  </si>
  <si>
    <t>0022R00000468</t>
  </si>
  <si>
    <t>9521067393</t>
  </si>
  <si>
    <t>0102A00001776</t>
  </si>
  <si>
    <t>89362217</t>
  </si>
  <si>
    <t>0011R00052613</t>
  </si>
  <si>
    <t>9521067406</t>
  </si>
  <si>
    <t>0102A00001781</t>
  </si>
  <si>
    <t>89363923</t>
  </si>
  <si>
    <t>0011R00052633</t>
  </si>
  <si>
    <t>9521067425</t>
  </si>
  <si>
    <t>0102A00001792</t>
  </si>
  <si>
    <t>89364125</t>
  </si>
  <si>
    <t>0022R00000472</t>
  </si>
  <si>
    <t>9521067427</t>
  </si>
  <si>
    <t>0102A00001793</t>
  </si>
  <si>
    <t>89364223</t>
  </si>
  <si>
    <t>0022R00000473</t>
  </si>
  <si>
    <t>9521067433</t>
  </si>
  <si>
    <t>0102A00001797</t>
  </si>
  <si>
    <t>89363896</t>
  </si>
  <si>
    <t>0011R00052632</t>
  </si>
  <si>
    <t>9521067428</t>
  </si>
  <si>
    <t>0102A00001794</t>
  </si>
  <si>
    <t>89363281</t>
  </si>
  <si>
    <t>0009R00049882</t>
  </si>
  <si>
    <t>9511047349</t>
  </si>
  <si>
    <t>0101A00004942</t>
  </si>
  <si>
    <t>89370874</t>
  </si>
  <si>
    <t>0011R00052728</t>
  </si>
  <si>
    <t>9521067535</t>
  </si>
  <si>
    <t>0102A00001835</t>
  </si>
  <si>
    <t>89370991</t>
  </si>
  <si>
    <t>0011R00052729</t>
  </si>
  <si>
    <t>9521067536</t>
  </si>
  <si>
    <t>0102A00001836</t>
  </si>
  <si>
    <t>89369861</t>
  </si>
  <si>
    <t>0022R00000481</t>
  </si>
  <si>
    <t>9521067522</t>
  </si>
  <si>
    <t>0102A00001833</t>
  </si>
  <si>
    <t>89369886</t>
  </si>
  <si>
    <t>0009R00049966</t>
  </si>
  <si>
    <t>9511047416</t>
  </si>
  <si>
    <t>0101A00004968</t>
  </si>
  <si>
    <t>89370048</t>
  </si>
  <si>
    <t>0022R00000482</t>
  </si>
  <si>
    <t>9521067520</t>
  </si>
  <si>
    <t>0102A00001832</t>
  </si>
  <si>
    <t>89371958</t>
  </si>
  <si>
    <t>0011R00052743</t>
  </si>
  <si>
    <t>9521067559</t>
  </si>
  <si>
    <t>0102A00001848</t>
  </si>
  <si>
    <t>89372082</t>
  </si>
  <si>
    <t>0011R00052744</t>
  </si>
  <si>
    <t>9521067561</t>
  </si>
  <si>
    <t>0102A00001849</t>
  </si>
  <si>
    <t>89371252</t>
  </si>
  <si>
    <t>0011R00052737</t>
  </si>
  <si>
    <t>9521067551</t>
  </si>
  <si>
    <t>0102A00001846</t>
  </si>
  <si>
    <t>89371279</t>
  </si>
  <si>
    <t>0022R00000483</t>
  </si>
  <si>
    <t>9521067550</t>
  </si>
  <si>
    <t>0102A00001845</t>
  </si>
  <si>
    <t>89371374</t>
  </si>
  <si>
    <t>0009R00049980</t>
  </si>
  <si>
    <t>9511047425</t>
  </si>
  <si>
    <t>0101A00004973</t>
  </si>
  <si>
    <t>89371412</t>
  </si>
  <si>
    <t>0011R00052739</t>
  </si>
  <si>
    <t>9521067548</t>
  </si>
  <si>
    <t>0102A00001844</t>
  </si>
  <si>
    <t>89368116</t>
  </si>
  <si>
    <t>0009R00049947</t>
  </si>
  <si>
    <t>9511047388</t>
  </si>
  <si>
    <t>0101A00004956</t>
  </si>
  <si>
    <t>89367863</t>
  </si>
  <si>
    <t>0011R00052682</t>
  </si>
  <si>
    <t>9521067489</t>
  </si>
  <si>
    <t>0102A00001821</t>
  </si>
  <si>
    <t>89367749</t>
  </si>
  <si>
    <t>0022R00000478</t>
  </si>
  <si>
    <t>9521067486</t>
  </si>
  <si>
    <t>0102A00001819</t>
  </si>
  <si>
    <t>89367793</t>
  </si>
  <si>
    <t>0022R00000479</t>
  </si>
  <si>
    <t>9521067497</t>
  </si>
  <si>
    <t>0102A00001825</t>
  </si>
  <si>
    <t>89367816</t>
  </si>
  <si>
    <t>0011R00052680</t>
  </si>
  <si>
    <t>9521067484</t>
  </si>
  <si>
    <t>0102A00001818</t>
  </si>
  <si>
    <t>89368904</t>
  </si>
  <si>
    <t>0009R00049959</t>
  </si>
  <si>
    <t>9511047407</t>
  </si>
  <si>
    <t>0101A00004964</t>
  </si>
  <si>
    <t>89369263</t>
  </si>
  <si>
    <t>0011R00052704</t>
  </si>
  <si>
    <t>9521067502</t>
  </si>
  <si>
    <t>0102A00001827</t>
  </si>
  <si>
    <t>89368845</t>
  </si>
  <si>
    <t>0022R00000480</t>
  </si>
  <si>
    <t>9521067501</t>
  </si>
  <si>
    <t>0102A00001826</t>
  </si>
  <si>
    <t>89351937</t>
  </si>
  <si>
    <t>0011R00052522</t>
  </si>
  <si>
    <t>9521067342</t>
  </si>
  <si>
    <t>0102A00001751</t>
  </si>
  <si>
    <t>89352107</t>
  </si>
  <si>
    <t>0011R00052526</t>
  </si>
  <si>
    <t>9521067335</t>
  </si>
  <si>
    <t>0102A00001744</t>
  </si>
  <si>
    <t>89352296</t>
  </si>
  <si>
    <t>0022R00000447</t>
  </si>
  <si>
    <t>9521067341</t>
  </si>
  <si>
    <t>0102A00001750</t>
  </si>
  <si>
    <t>89351322</t>
  </si>
  <si>
    <t>0022R00000444</t>
  </si>
  <si>
    <t>9521067334</t>
  </si>
  <si>
    <t>0102A00001743</t>
  </si>
  <si>
    <t>89351361</t>
  </si>
  <si>
    <t>0011R00052516</t>
  </si>
  <si>
    <t>9521067329</t>
  </si>
  <si>
    <t>0102A00001738</t>
  </si>
  <si>
    <t>89351364</t>
  </si>
  <si>
    <t>0011R00052517</t>
  </si>
  <si>
    <t>89351366</t>
  </si>
  <si>
    <t>0011R00052518</t>
  </si>
  <si>
    <t>9521067332</t>
  </si>
  <si>
    <t>0102A00001741</t>
  </si>
  <si>
    <t>89351602</t>
  </si>
  <si>
    <t>0022R00000446</t>
  </si>
  <si>
    <t>9521067336</t>
  </si>
  <si>
    <t>0102A00001745</t>
  </si>
  <si>
    <t>89354116</t>
  </si>
  <si>
    <t>0009R00049791</t>
  </si>
  <si>
    <t>9511047298</t>
  </si>
  <si>
    <t>0101A00004918</t>
  </si>
  <si>
    <t>89354117</t>
  </si>
  <si>
    <t>0011R00052540</t>
  </si>
  <si>
    <t>89354405</t>
  </si>
  <si>
    <t>0022R00000452</t>
  </si>
  <si>
    <t>89354458</t>
  </si>
  <si>
    <t>0022R00000453</t>
  </si>
  <si>
    <t>89354743</t>
  </si>
  <si>
    <t>0009R00049795</t>
  </si>
  <si>
    <t>9511047299</t>
  </si>
  <si>
    <t>0101A00004919</t>
  </si>
  <si>
    <t>89354794</t>
  </si>
  <si>
    <t>0022R00000454</t>
  </si>
  <si>
    <t>89353330</t>
  </si>
  <si>
    <t>0011R00052536</t>
  </si>
  <si>
    <t>9521067338</t>
  </si>
  <si>
    <t>0102A00001747</t>
  </si>
  <si>
    <t>89352459</t>
  </si>
  <si>
    <t>0022R00000448</t>
  </si>
  <si>
    <t>9521067330</t>
  </si>
  <si>
    <t>0102A00001739</t>
  </si>
  <si>
    <t>89352523</t>
  </si>
  <si>
    <t>0022R00000449</t>
  </si>
  <si>
    <t>9521067337</t>
  </si>
  <si>
    <t>0102A00001746</t>
  </si>
  <si>
    <t>89352875</t>
  </si>
  <si>
    <t>0022R00000450</t>
  </si>
  <si>
    <t>89353175</t>
  </si>
  <si>
    <t>0011R00052533</t>
  </si>
  <si>
    <t>9521067331</t>
  </si>
  <si>
    <t>0102A00001740</t>
  </si>
  <si>
    <t>89353274</t>
  </si>
  <si>
    <t>0022R00000451</t>
  </si>
  <si>
    <t>89353327</t>
  </si>
  <si>
    <t>0011R00052535</t>
  </si>
  <si>
    <t>9521067340</t>
  </si>
  <si>
    <t>0102A00001749</t>
  </si>
  <si>
    <t>89348510</t>
  </si>
  <si>
    <t>0011R00052495</t>
  </si>
  <si>
    <t>89348851</t>
  </si>
  <si>
    <t>0011R00052496</t>
  </si>
  <si>
    <t>89346831</t>
  </si>
  <si>
    <t>0011R00052479</t>
  </si>
  <si>
    <t>9521067343</t>
  </si>
  <si>
    <t>0102A00001752</t>
  </si>
  <si>
    <t>89346843</t>
  </si>
  <si>
    <t>0011R00052480</t>
  </si>
  <si>
    <t>9521067333</t>
  </si>
  <si>
    <t>0102A00001742</t>
  </si>
  <si>
    <t>89349997</t>
  </si>
  <si>
    <t>0011R00052506</t>
  </si>
  <si>
    <t>89350018</t>
  </si>
  <si>
    <t>0022R00000441</t>
  </si>
  <si>
    <t>89350215</t>
  </si>
  <si>
    <t>0011R00052507</t>
  </si>
  <si>
    <t>89350239</t>
  </si>
  <si>
    <t>0022R00000442</t>
  </si>
  <si>
    <t>89350472</t>
  </si>
  <si>
    <t>0022R00000443</t>
  </si>
  <si>
    <t>9521067328</t>
  </si>
  <si>
    <t>0102A00001737</t>
  </si>
  <si>
    <t>89350479</t>
  </si>
  <si>
    <t>0011R00052509</t>
  </si>
  <si>
    <t>89349560</t>
  </si>
  <si>
    <t>0016R00002368</t>
  </si>
  <si>
    <t>89349673</t>
  </si>
  <si>
    <t>0011R00052504</t>
  </si>
  <si>
    <t>89349677</t>
  </si>
  <si>
    <t>0022R00000440</t>
  </si>
  <si>
    <t>9521067339</t>
  </si>
  <si>
    <t>0102A00001748</t>
  </si>
  <si>
    <t>89349149</t>
  </si>
  <si>
    <t>0011R00052500</t>
  </si>
  <si>
    <t>89349185</t>
  </si>
  <si>
    <t>0022R00000439</t>
  </si>
  <si>
    <t>89349362</t>
  </si>
  <si>
    <t>0011R00052503</t>
  </si>
  <si>
    <t>89349405</t>
  </si>
  <si>
    <t>0009R00049757</t>
  </si>
  <si>
    <t>9511047297</t>
  </si>
  <si>
    <t>0101A00004917</t>
  </si>
  <si>
    <t>89359546</t>
  </si>
  <si>
    <t>0011R00052588</t>
  </si>
  <si>
    <t>9521067363</t>
  </si>
  <si>
    <t>0102A00001759</t>
  </si>
  <si>
    <t>89359638</t>
  </si>
  <si>
    <t>0011R00052589</t>
  </si>
  <si>
    <t>9521067368</t>
  </si>
  <si>
    <t>0102A00001764</t>
  </si>
  <si>
    <t>89359637</t>
  </si>
  <si>
    <t>0009R00049842</t>
  </si>
  <si>
    <t>9511047314</t>
  </si>
  <si>
    <t>0101A00004930</t>
  </si>
  <si>
    <t>89360550</t>
  </si>
  <si>
    <t>0011R00052595</t>
  </si>
  <si>
    <t>9521067362</t>
  </si>
  <si>
    <t>0102A00001758</t>
  </si>
  <si>
    <t>89359094</t>
  </si>
  <si>
    <t>0022R00000462</t>
  </si>
  <si>
    <t>9521067372</t>
  </si>
  <si>
    <t>0102A00001767</t>
  </si>
  <si>
    <t>89359097</t>
  </si>
  <si>
    <t>0009R00049831</t>
  </si>
  <si>
    <t>9511047315</t>
  </si>
  <si>
    <t>0101A00004931</t>
  </si>
  <si>
    <t>89359198</t>
  </si>
  <si>
    <t>0011R00052584</t>
  </si>
  <si>
    <t>9521067364</t>
  </si>
  <si>
    <t>0102A00001760</t>
  </si>
  <si>
    <t>89359241</t>
  </si>
  <si>
    <t>0022R00000463</t>
  </si>
  <si>
    <t>89360657</t>
  </si>
  <si>
    <t>0022R00000464</t>
  </si>
  <si>
    <t>9521067390</t>
  </si>
  <si>
    <t>0102A00001775</t>
  </si>
  <si>
    <t>89361624</t>
  </si>
  <si>
    <t>0022R00000467</t>
  </si>
  <si>
    <t>89361635</t>
  </si>
  <si>
    <t>0009R00049861</t>
  </si>
  <si>
    <t>9511047334</t>
  </si>
  <si>
    <t>0101A00004939</t>
  </si>
  <si>
    <t>89361660</t>
  </si>
  <si>
    <t>0011R00052604</t>
  </si>
  <si>
    <t>9521067394</t>
  </si>
  <si>
    <t>0102A00001777</t>
  </si>
  <si>
    <t>89360855</t>
  </si>
  <si>
    <t>0009R00049850</t>
  </si>
  <si>
    <t>9511047326</t>
  </si>
  <si>
    <t>0101A00004937</t>
  </si>
  <si>
    <t>89361096</t>
  </si>
  <si>
    <t>0009R00049855</t>
  </si>
  <si>
    <t>89361178</t>
  </si>
  <si>
    <t>0022R00000465</t>
  </si>
  <si>
    <t>9521067387</t>
  </si>
  <si>
    <t>0102A00001772</t>
  </si>
  <si>
    <t>89361317</t>
  </si>
  <si>
    <t>0011R00052600</t>
  </si>
  <si>
    <t>9521067388</t>
  </si>
  <si>
    <t>0102A00001773</t>
  </si>
  <si>
    <t>89361318</t>
  </si>
  <si>
    <t>0022R00000466</t>
  </si>
  <si>
    <t>9521067389</t>
  </si>
  <si>
    <t>0102A00001774</t>
  </si>
  <si>
    <t>89356450</t>
  </si>
  <si>
    <t>0011R00052563</t>
  </si>
  <si>
    <t>9521067369</t>
  </si>
  <si>
    <t>0102A00001765</t>
  </si>
  <si>
    <t>89355558</t>
  </si>
  <si>
    <t>0022R00000456</t>
  </si>
  <si>
    <t>89355560</t>
  </si>
  <si>
    <t>0009R00049803</t>
  </si>
  <si>
    <t>89355569</t>
  </si>
  <si>
    <t>0011R00052552</t>
  </si>
  <si>
    <t>9521067366</t>
  </si>
  <si>
    <t>0102A00001762</t>
  </si>
  <si>
    <t>89355641</t>
  </si>
  <si>
    <t>0011R00052554</t>
  </si>
  <si>
    <t>9521067365</t>
  </si>
  <si>
    <t>0102A00001761</t>
  </si>
  <si>
    <t>89356039</t>
  </si>
  <si>
    <t>0011R00052560</t>
  </si>
  <si>
    <t>89354927</t>
  </si>
  <si>
    <t>0016R00002377</t>
  </si>
  <si>
    <t>89355030</t>
  </si>
  <si>
    <t>0022R00000455</t>
  </si>
  <si>
    <t>89355744</t>
  </si>
  <si>
    <t>0011R00052557</t>
  </si>
  <si>
    <t>9521067375</t>
  </si>
  <si>
    <t>0102A00001769</t>
  </si>
  <si>
    <t>89357836</t>
  </si>
  <si>
    <t>0009R00049821</t>
  </si>
  <si>
    <t>89357918</t>
  </si>
  <si>
    <t>0022R00000460</t>
  </si>
  <si>
    <t>89357952</t>
  </si>
  <si>
    <t>0009R00049823</t>
  </si>
  <si>
    <t>89357975</t>
  </si>
  <si>
    <t>0022R00000461</t>
  </si>
  <si>
    <t>9521067367</t>
  </si>
  <si>
    <t>0102A00001763</t>
  </si>
  <si>
    <t>89357996</t>
  </si>
  <si>
    <t>0011R00052576</t>
  </si>
  <si>
    <t>9521067370</t>
  </si>
  <si>
    <t>0102A00001766</t>
  </si>
  <si>
    <t>89358250</t>
  </si>
  <si>
    <t>0011R00052579</t>
  </si>
  <si>
    <t>89356835</t>
  </si>
  <si>
    <t>0022R00000457</t>
  </si>
  <si>
    <t>89356840</t>
  </si>
  <si>
    <t>0009R00049817</t>
  </si>
  <si>
    <t>89356878</t>
  </si>
  <si>
    <t>0022R00000458</t>
  </si>
  <si>
    <t>89356903</t>
  </si>
  <si>
    <t>0011R00052565</t>
  </si>
  <si>
    <t>89357154</t>
  </si>
  <si>
    <t>0011R00052569</t>
  </si>
  <si>
    <t>9521067360</t>
  </si>
  <si>
    <t>0102A00001756</t>
  </si>
  <si>
    <t>89357206</t>
  </si>
  <si>
    <t>0022R00000459</t>
  </si>
  <si>
    <t>89347653</t>
  </si>
  <si>
    <t>0022R00000437</t>
  </si>
  <si>
    <t>89347864</t>
  </si>
  <si>
    <t>0022R00000438</t>
  </si>
  <si>
    <t>89348068</t>
  </si>
  <si>
    <t>0011R00052490</t>
  </si>
  <si>
    <t>89347643</t>
  </si>
  <si>
    <t>0011R00052485</t>
  </si>
  <si>
    <t>89346521</t>
  </si>
  <si>
    <t>0011R00052477</t>
  </si>
  <si>
    <t>89346627</t>
  </si>
  <si>
    <t>0009R00049746</t>
  </si>
  <si>
    <t>89346766</t>
  </si>
  <si>
    <t>0022R00000436</t>
  </si>
  <si>
    <t>89346862</t>
  </si>
  <si>
    <t>0011R00052481</t>
  </si>
  <si>
    <t>89390890</t>
  </si>
  <si>
    <t>0011R00052917</t>
  </si>
  <si>
    <t>9521067737</t>
  </si>
  <si>
    <t>0102A00001924</t>
  </si>
  <si>
    <t>89391511</t>
  </si>
  <si>
    <t>0011R00052925</t>
  </si>
  <si>
    <t>9521067734</t>
  </si>
  <si>
    <t>0102A00001923</t>
  </si>
  <si>
    <t>89390519</t>
  </si>
  <si>
    <t>0011R00052913</t>
  </si>
  <si>
    <t>9521067733</t>
  </si>
  <si>
    <t>0102A00001922</t>
  </si>
  <si>
    <t>89390133</t>
  </si>
  <si>
    <t>0011R00052910</t>
  </si>
  <si>
    <t>9521067719</t>
  </si>
  <si>
    <t>0102A00001913</t>
  </si>
  <si>
    <t>89390032</t>
  </si>
  <si>
    <t>0022R00000512</t>
  </si>
  <si>
    <t>9521067718</t>
  </si>
  <si>
    <t>0102A00001912</t>
  </si>
  <si>
    <t>89392161</t>
  </si>
  <si>
    <t>0022R00000515</t>
  </si>
  <si>
    <t>9521067751</t>
  </si>
  <si>
    <t>0102A00001929</t>
  </si>
  <si>
    <t>89392048</t>
  </si>
  <si>
    <t>0022R00000514</t>
  </si>
  <si>
    <t>9521067752</t>
  </si>
  <si>
    <t>0102A00001930</t>
  </si>
  <si>
    <t>89392038</t>
  </si>
  <si>
    <t>0022R00000513</t>
  </si>
  <si>
    <t>9521067750</t>
  </si>
  <si>
    <t>0102A00001928</t>
  </si>
  <si>
    <t>89389678</t>
  </si>
  <si>
    <t>0022R00000511</t>
  </si>
  <si>
    <t>9521067724</t>
  </si>
  <si>
    <t>0102A00001916</t>
  </si>
  <si>
    <t>89387384</t>
  </si>
  <si>
    <t>0022R00000508</t>
  </si>
  <si>
    <t>9521067729</t>
  </si>
  <si>
    <t>0102A00001919</t>
  </si>
  <si>
    <t>89387042</t>
  </si>
  <si>
    <t>0022R00000507</t>
  </si>
  <si>
    <t>9521067704</t>
  </si>
  <si>
    <t>0102A00001908</t>
  </si>
  <si>
    <t>89387027</t>
  </si>
  <si>
    <t>0011R00052886</t>
  </si>
  <si>
    <t>9521067732</t>
  </si>
  <si>
    <t>0102A00001921</t>
  </si>
  <si>
    <t>89386959</t>
  </si>
  <si>
    <t>0011R00052885</t>
  </si>
  <si>
    <t>9521067702</t>
  </si>
  <si>
    <t>0102A00001906</t>
  </si>
  <si>
    <t>89386915</t>
  </si>
  <si>
    <t>0011R00052883</t>
  </si>
  <si>
    <t>9521067705</t>
  </si>
  <si>
    <t>0102A00001909</t>
  </si>
  <si>
    <t>89386890</t>
  </si>
  <si>
    <t>0022R00000506</t>
  </si>
  <si>
    <t>9521067703</t>
  </si>
  <si>
    <t>0102A00001907</t>
  </si>
  <si>
    <t>89386354</t>
  </si>
  <si>
    <t>0011R00052881</t>
  </si>
  <si>
    <t>9521067686</t>
  </si>
  <si>
    <t>0102A00001896</t>
  </si>
  <si>
    <t>89389566</t>
  </si>
  <si>
    <t>0011R00052907</t>
  </si>
  <si>
    <t>89389397</t>
  </si>
  <si>
    <t>0022R00000510</t>
  </si>
  <si>
    <t>9521067723</t>
  </si>
  <si>
    <t>0102A00001915</t>
  </si>
  <si>
    <t>89388237</t>
  </si>
  <si>
    <t>0022R00000509</t>
  </si>
  <si>
    <t>89388768</t>
  </si>
  <si>
    <t>0011R00052901</t>
  </si>
  <si>
    <t>9521067711</t>
  </si>
  <si>
    <t>0102A00001911</t>
  </si>
  <si>
    <t>89396423</t>
  </si>
  <si>
    <t>0011R00053006</t>
  </si>
  <si>
    <t>P,2.0L,54.7G,CL1,P1881,789227,O,N01</t>
  </si>
  <si>
    <t>9521067845</t>
  </si>
  <si>
    <t>0102A00001961</t>
  </si>
  <si>
    <t>89396194</t>
  </si>
  <si>
    <t>0022R00000522</t>
  </si>
  <si>
    <t>9521067820</t>
  </si>
  <si>
    <t>0102A00001954</t>
  </si>
  <si>
    <t>89395928</t>
  </si>
  <si>
    <t>0011R00052998</t>
  </si>
  <si>
    <t>9521067833</t>
  </si>
  <si>
    <t>0102A00001957</t>
  </si>
  <si>
    <t>89395468</t>
  </si>
  <si>
    <t>0011R00052985</t>
  </si>
  <si>
    <t>9521067796</t>
  </si>
  <si>
    <t>0102A00001947</t>
  </si>
  <si>
    <t>89395097</t>
  </si>
  <si>
    <t>0011R00052984</t>
  </si>
  <si>
    <t>9521067798</t>
  </si>
  <si>
    <t>0102A00001948</t>
  </si>
  <si>
    <t>89394961</t>
  </si>
  <si>
    <t>0022R00000520</t>
  </si>
  <si>
    <t>9521067802</t>
  </si>
  <si>
    <t>0102A00001950</t>
  </si>
  <si>
    <t>89395782</t>
  </si>
  <si>
    <t>0011R00052992</t>
  </si>
  <si>
    <t>9521067835</t>
  </si>
  <si>
    <t>0102A00001958</t>
  </si>
  <si>
    <t>89395765</t>
  </si>
  <si>
    <t>0022R00000521</t>
  </si>
  <si>
    <t>9521067818</t>
  </si>
  <si>
    <t>0102A00001953</t>
  </si>
  <si>
    <t>89395714</t>
  </si>
  <si>
    <t>0009R00050182</t>
  </si>
  <si>
    <t>9511047538</t>
  </si>
  <si>
    <t>0101A00005019</t>
  </si>
  <si>
    <t>89395713</t>
  </si>
  <si>
    <t>0011R00052987</t>
  </si>
  <si>
    <t>9521067822</t>
  </si>
  <si>
    <t>0102A00001955</t>
  </si>
  <si>
    <t>89393895</t>
  </si>
  <si>
    <t>0022R00000518</t>
  </si>
  <si>
    <t>9521067778</t>
  </si>
  <si>
    <t>0102A00001936</t>
  </si>
  <si>
    <t>89393696</t>
  </si>
  <si>
    <t>0022R00000517</t>
  </si>
  <si>
    <t>9521067774</t>
  </si>
  <si>
    <t>0102A00001934</t>
  </si>
  <si>
    <t>89393602</t>
  </si>
  <si>
    <t>0011R00052961</t>
  </si>
  <si>
    <t>9521067779</t>
  </si>
  <si>
    <t>0102A00001937</t>
  </si>
  <si>
    <t>89393153</t>
  </si>
  <si>
    <t>0022R00000516</t>
  </si>
  <si>
    <t>9521067775</t>
  </si>
  <si>
    <t>0102A00001935</t>
  </si>
  <si>
    <t>89393142</t>
  </si>
  <si>
    <t>0011R00052957</t>
  </si>
  <si>
    <t>89394787</t>
  </si>
  <si>
    <t>0022R00000519</t>
  </si>
  <si>
    <t>9521067800</t>
  </si>
  <si>
    <t>0102A00001949</t>
  </si>
  <si>
    <t>89377446</t>
  </si>
  <si>
    <t>0022R00000493</t>
  </si>
  <si>
    <t>9521067641</t>
  </si>
  <si>
    <t>0102A00001867</t>
  </si>
  <si>
    <t>89377369</t>
  </si>
  <si>
    <t>0011R00052789</t>
  </si>
  <si>
    <t>9521067648</t>
  </si>
  <si>
    <t>0102A00001874</t>
  </si>
  <si>
    <t>89377755</t>
  </si>
  <si>
    <t>0011R00052795</t>
  </si>
  <si>
    <t>9521067671</t>
  </si>
  <si>
    <t>0102A00001889</t>
  </si>
  <si>
    <t>89378044</t>
  </si>
  <si>
    <t>0022R00000494</t>
  </si>
  <si>
    <t>89377198</t>
  </si>
  <si>
    <t>0011R00052788</t>
  </si>
  <si>
    <t>9521067649</t>
  </si>
  <si>
    <t>0102A00001875</t>
  </si>
  <si>
    <t>89376322</t>
  </si>
  <si>
    <t>0022R00000492</t>
  </si>
  <si>
    <t>9521067645</t>
  </si>
  <si>
    <t>0102A00001871</t>
  </si>
  <si>
    <t>89376251</t>
  </si>
  <si>
    <t>0011R00052780</t>
  </si>
  <si>
    <t>9521067644</t>
  </si>
  <si>
    <t>0102A00001870</t>
  </si>
  <si>
    <t>89375928</t>
  </si>
  <si>
    <t>0022R00000491</t>
  </si>
  <si>
    <t>89375470</t>
  </si>
  <si>
    <t>0022R00000490</t>
  </si>
  <si>
    <t>89378902</t>
  </si>
  <si>
    <t>0011R00052803</t>
  </si>
  <si>
    <t>89379665</t>
  </si>
  <si>
    <t>0011R00052812</t>
  </si>
  <si>
    <t>89379565</t>
  </si>
  <si>
    <t>0011R00052810</t>
  </si>
  <si>
    <t>9521067647</t>
  </si>
  <si>
    <t>0102A00001873</t>
  </si>
  <si>
    <t>89379513</t>
  </si>
  <si>
    <t>0011R00052808</t>
  </si>
  <si>
    <t>9521067650</t>
  </si>
  <si>
    <t>0102A00001876</t>
  </si>
  <si>
    <t>89373917</t>
  </si>
  <si>
    <t>0011R00052758</t>
  </si>
  <si>
    <t>9521067659</t>
  </si>
  <si>
    <t>0102A00001885</t>
  </si>
  <si>
    <t>89373393</t>
  </si>
  <si>
    <t>0011R00052757</t>
  </si>
  <si>
    <t>9521067642</t>
  </si>
  <si>
    <t>0102A00001868</t>
  </si>
  <si>
    <t>89372932</t>
  </si>
  <si>
    <t>0022R00000485</t>
  </si>
  <si>
    <t>89372740</t>
  </si>
  <si>
    <t>0022R00000484</t>
  </si>
  <si>
    <t>89372286</t>
  </si>
  <si>
    <t>0011R00052749</t>
  </si>
  <si>
    <t>89372282</t>
  </si>
  <si>
    <t>0011R00052748</t>
  </si>
  <si>
    <t>9521067646</t>
  </si>
  <si>
    <t>0102A00001872</t>
  </si>
  <si>
    <t>89375374</t>
  </si>
  <si>
    <t>0022R00000489</t>
  </si>
  <si>
    <t>89374975</t>
  </si>
  <si>
    <t>0022R00000488</t>
  </si>
  <si>
    <t>89374974</t>
  </si>
  <si>
    <t>0016R00002388</t>
  </si>
  <si>
    <t>9521067640</t>
  </si>
  <si>
    <t>0102A00001866</t>
  </si>
  <si>
    <t>89374959</t>
  </si>
  <si>
    <t>0011R00052771</t>
  </si>
  <si>
    <t>9521067643</t>
  </si>
  <si>
    <t>0102A00001869</t>
  </si>
  <si>
    <t>89374352</t>
  </si>
  <si>
    <t>0022R00000487</t>
  </si>
  <si>
    <t>9521067655</t>
  </si>
  <si>
    <t>0102A00001881</t>
  </si>
  <si>
    <t>89374229</t>
  </si>
  <si>
    <t>0011R00052766</t>
  </si>
  <si>
    <t>89374152</t>
  </si>
  <si>
    <t>0022R00000486</t>
  </si>
  <si>
    <t>89383850</t>
  </si>
  <si>
    <t>0009R00050079</t>
  </si>
  <si>
    <t>9511047472</t>
  </si>
  <si>
    <t>0101A00004985</t>
  </si>
  <si>
    <t>89383807</t>
  </si>
  <si>
    <t>0011R00052858</t>
  </si>
  <si>
    <t>9521067673</t>
  </si>
  <si>
    <t>0102A00001891</t>
  </si>
  <si>
    <t>89383744</t>
  </si>
  <si>
    <t>0022R00000500</t>
  </si>
  <si>
    <t>89383620</t>
  </si>
  <si>
    <t>0022R00000499</t>
  </si>
  <si>
    <t>9521067651</t>
  </si>
  <si>
    <t>0102A00001877</t>
  </si>
  <si>
    <t>89383361</t>
  </si>
  <si>
    <t>0022R00000498</t>
  </si>
  <si>
    <t>89382918</t>
  </si>
  <si>
    <t>0009R00050069</t>
  </si>
  <si>
    <t>9511047473</t>
  </si>
  <si>
    <t>0101A00004986</t>
  </si>
  <si>
    <t>89385985</t>
  </si>
  <si>
    <t>0022R00000505</t>
  </si>
  <si>
    <t>9521067694</t>
  </si>
  <si>
    <t>0102A00001900</t>
  </si>
  <si>
    <t>89385886</t>
  </si>
  <si>
    <t>0022R00000504</t>
  </si>
  <si>
    <t>9521067692</t>
  </si>
  <si>
    <t>0102A00001899</t>
  </si>
  <si>
    <t>89385794</t>
  </si>
  <si>
    <t>0022R00000503</t>
  </si>
  <si>
    <t>9521067688</t>
  </si>
  <si>
    <t>0102A00001897</t>
  </si>
  <si>
    <t>89385281</t>
  </si>
  <si>
    <t>0011R00052868</t>
  </si>
  <si>
    <t>9521067678</t>
  </si>
  <si>
    <t>0102A00001893</t>
  </si>
  <si>
    <t>89384957</t>
  </si>
  <si>
    <t>0022R00000502</t>
  </si>
  <si>
    <t>9521067681</t>
  </si>
  <si>
    <t>0102A00001894</t>
  </si>
  <si>
    <t>89384886</t>
  </si>
  <si>
    <t>0011R00052865</t>
  </si>
  <si>
    <t>9521067684</t>
  </si>
  <si>
    <t>0102A00001895</t>
  </si>
  <si>
    <t>89384775</t>
  </si>
  <si>
    <t>0022R00000501</t>
  </si>
  <si>
    <t>9521067677</t>
  </si>
  <si>
    <t>0102A00001892</t>
  </si>
  <si>
    <t>89380617</t>
  </si>
  <si>
    <t>0011R00052824</t>
  </si>
  <si>
    <t>89380279</t>
  </si>
  <si>
    <t>0011R00052820</t>
  </si>
  <si>
    <t>9521067652</t>
  </si>
  <si>
    <t>0102A00001878</t>
  </si>
  <si>
    <t>89380244</t>
  </si>
  <si>
    <t>0011R00052819</t>
  </si>
  <si>
    <t>89380120</t>
  </si>
  <si>
    <t>0022R00000495</t>
  </si>
  <si>
    <t>89380003</t>
  </si>
  <si>
    <t>0011R00052813</t>
  </si>
  <si>
    <t>89382365</t>
  </si>
  <si>
    <t>0011R00052845</t>
  </si>
  <si>
    <t>9521067653</t>
  </si>
  <si>
    <t>0102A00001879</t>
  </si>
  <si>
    <t>89382034</t>
  </si>
  <si>
    <t>0022R00000497</t>
  </si>
  <si>
    <t>89381973</t>
  </si>
  <si>
    <t>0011R00052841</t>
  </si>
  <si>
    <t>9521067654</t>
  </si>
  <si>
    <t>0102A00001880</t>
  </si>
  <si>
    <t>89381737</t>
  </si>
  <si>
    <t>0011R00052839</t>
  </si>
  <si>
    <t>9521067672</t>
  </si>
  <si>
    <t>0102A00001890</t>
  </si>
  <si>
    <t>89381082</t>
  </si>
  <si>
    <t>0011R00052832</t>
  </si>
  <si>
    <t>89381081</t>
  </si>
  <si>
    <t>0022R00000496</t>
  </si>
  <si>
    <t>89391474</t>
  </si>
  <si>
    <t>0009R00050148</t>
  </si>
  <si>
    <t>9511047511</t>
  </si>
  <si>
    <t>0101A00005004</t>
  </si>
  <si>
    <t>89392366</t>
  </si>
  <si>
    <t>0009R00050155</t>
  </si>
  <si>
    <t>9511047517</t>
  </si>
  <si>
    <t>0101A00005009</t>
  </si>
  <si>
    <t>89391591</t>
  </si>
  <si>
    <t>0009R00050149</t>
  </si>
  <si>
    <t>9511047510</t>
  </si>
  <si>
    <t>0101A00005003</t>
  </si>
  <si>
    <t>89386895</t>
  </si>
  <si>
    <t>0009R00050105</t>
  </si>
  <si>
    <t>9511047487</t>
  </si>
  <si>
    <t>0101A00004993</t>
  </si>
  <si>
    <t>89389514</t>
  </si>
  <si>
    <t>0009R00050127</t>
  </si>
  <si>
    <t>9511047499</t>
  </si>
  <si>
    <t>0101A00004998</t>
  </si>
  <si>
    <t>89388094</t>
  </si>
  <si>
    <t>0009R00050120</t>
  </si>
  <si>
    <t>9511047494</t>
  </si>
  <si>
    <t>0101A00004996</t>
  </si>
  <si>
    <t>89388092</t>
  </si>
  <si>
    <t>0009R00050119</t>
  </si>
  <si>
    <t>89395739</t>
  </si>
  <si>
    <t>0009R00050185</t>
  </si>
  <si>
    <t>9511047539</t>
  </si>
  <si>
    <t>0101A00005020</t>
  </si>
  <si>
    <t>89395737</t>
  </si>
  <si>
    <t>0009R00050184</t>
  </si>
  <si>
    <t>89394711</t>
  </si>
  <si>
    <t>0009R00050176</t>
  </si>
  <si>
    <t>9511047529</t>
  </si>
  <si>
    <t>0101A00005017</t>
  </si>
  <si>
    <t>89394523</t>
  </si>
  <si>
    <t>0009R00050174</t>
  </si>
  <si>
    <t>89379231</t>
  </si>
  <si>
    <t>0009R00050041</t>
  </si>
  <si>
    <t>9511047474</t>
  </si>
  <si>
    <t>0101A00004987</t>
  </si>
  <si>
    <t>89372713</t>
  </si>
  <si>
    <t>0009R00049992</t>
  </si>
  <si>
    <t>9511047470</t>
  </si>
  <si>
    <t>0101A00004983</t>
  </si>
  <si>
    <t>89375240</t>
  </si>
  <si>
    <t>0009R00050007</t>
  </si>
  <si>
    <t>89374155</t>
  </si>
  <si>
    <t>0009R00049998</t>
  </si>
  <si>
    <t>89383300</t>
  </si>
  <si>
    <t>0009R00050070</t>
  </si>
  <si>
    <t>9511047471</t>
  </si>
  <si>
    <t>0101A00004984</t>
  </si>
  <si>
    <t>89385695</t>
  </si>
  <si>
    <t>0009R00050097</t>
  </si>
  <si>
    <t>9511047483</t>
  </si>
  <si>
    <t>0101A00004992</t>
  </si>
  <si>
    <t>89384918</t>
  </si>
  <si>
    <t>0009R00050086</t>
  </si>
  <si>
    <t>9511047476</t>
  </si>
  <si>
    <t>0101A00004988</t>
  </si>
  <si>
    <t>89384913</t>
  </si>
  <si>
    <t>0009R00050085</t>
  </si>
  <si>
    <t>89381072</t>
  </si>
  <si>
    <t>0009R00050051</t>
  </si>
  <si>
    <t>89380022</t>
  </si>
  <si>
    <t>0009R00050045</t>
  </si>
  <si>
    <t>89382184</t>
  </si>
  <si>
    <t>0009R00050061</t>
  </si>
  <si>
    <t>89382047</t>
  </si>
  <si>
    <t>0009R00050059</t>
  </si>
  <si>
    <t>89418958</t>
  </si>
  <si>
    <t>0011R00053206</t>
  </si>
  <si>
    <t>9521068028</t>
  </si>
  <si>
    <t>0102A00002018</t>
  </si>
  <si>
    <t>89419009</t>
  </si>
  <si>
    <t>0009R00050355</t>
  </si>
  <si>
    <t>9511047630</t>
  </si>
  <si>
    <t>0101A00005056</t>
  </si>
  <si>
    <t>89420172</t>
  </si>
  <si>
    <t>0009R00050370</t>
  </si>
  <si>
    <t>9511047643</t>
  </si>
  <si>
    <t>0101A00005062</t>
  </si>
  <si>
    <t>89414232</t>
  </si>
  <si>
    <t>0009R00050318</t>
  </si>
  <si>
    <t>9511047621</t>
  </si>
  <si>
    <t>0101A00005052</t>
  </si>
  <si>
    <t>89417493</t>
  </si>
  <si>
    <t>0009R00050339</t>
  </si>
  <si>
    <t>89417562</t>
  </si>
  <si>
    <t>0011R00053187</t>
  </si>
  <si>
    <t>9521067993</t>
  </si>
  <si>
    <t>0102A00001996</t>
  </si>
  <si>
    <t>89415502</t>
  </si>
  <si>
    <t>0011R00053177</t>
  </si>
  <si>
    <t>9521067989</t>
  </si>
  <si>
    <t>0102A00001993</t>
  </si>
  <si>
    <t>89417109</t>
  </si>
  <si>
    <t>0009R00050330</t>
  </si>
  <si>
    <t>89422033</t>
  </si>
  <si>
    <t>0011R00053241</t>
  </si>
  <si>
    <t>9521068080</t>
  </si>
  <si>
    <t>0102A00002036</t>
  </si>
  <si>
    <t>89422042</t>
  </si>
  <si>
    <t>0011R00053242</t>
  </si>
  <si>
    <t>9521068086</t>
  </si>
  <si>
    <t>0102A00002038</t>
  </si>
  <si>
    <t>89422524</t>
  </si>
  <si>
    <t>0009R00050399</t>
  </si>
  <si>
    <t>9511047678</t>
  </si>
  <si>
    <t>0101A00005071</t>
  </si>
  <si>
    <t>89423204</t>
  </si>
  <si>
    <t>0011R00053260</t>
  </si>
  <si>
    <t>9521068105</t>
  </si>
  <si>
    <t>0102A00002044</t>
  </si>
  <si>
    <t>89419806</t>
  </si>
  <si>
    <t>0011R00053217</t>
  </si>
  <si>
    <t>9521068093</t>
  </si>
  <si>
    <t>0102A00002042</t>
  </si>
  <si>
    <t>89420104</t>
  </si>
  <si>
    <t>0009R00050369</t>
  </si>
  <si>
    <t>9511047642</t>
  </si>
  <si>
    <t>0101A00005061</t>
  </si>
  <si>
    <t>89420846</t>
  </si>
  <si>
    <t>0011R00053228</t>
  </si>
  <si>
    <t>9521068072</t>
  </si>
  <si>
    <t>0102A00002034</t>
  </si>
  <si>
    <t>89421815</t>
  </si>
  <si>
    <t>0011R00053235</t>
  </si>
  <si>
    <t>9521068076</t>
  </si>
  <si>
    <t>0102A00002035</t>
  </si>
  <si>
    <t>89404309</t>
  </si>
  <si>
    <t>0011R00053068</t>
  </si>
  <si>
    <t>9521067984</t>
  </si>
  <si>
    <t>0102A00001988</t>
  </si>
  <si>
    <t>89404258</t>
  </si>
  <si>
    <t>0009R00050243</t>
  </si>
  <si>
    <t>9511047618</t>
  </si>
  <si>
    <t>0101A00005049</t>
  </si>
  <si>
    <t>89404257</t>
  </si>
  <si>
    <t>0011R00053067</t>
  </si>
  <si>
    <t>9521068001</t>
  </si>
  <si>
    <t>0102A00002000</t>
  </si>
  <si>
    <t>89404239</t>
  </si>
  <si>
    <t>0011R00053066</t>
  </si>
  <si>
    <t>9521067987</t>
  </si>
  <si>
    <t>0102A00001991</t>
  </si>
  <si>
    <t>89403045</t>
  </si>
  <si>
    <t>0011R00053054</t>
  </si>
  <si>
    <t>9521068014</t>
  </si>
  <si>
    <t>0102A00002010</t>
  </si>
  <si>
    <t>89403468</t>
  </si>
  <si>
    <t>0009R00050236</t>
  </si>
  <si>
    <t>89405812</t>
  </si>
  <si>
    <t>0011R00053084</t>
  </si>
  <si>
    <t>89405813</t>
  </si>
  <si>
    <t>0011R00053085</t>
  </si>
  <si>
    <t>9521068020</t>
  </si>
  <si>
    <t>0102A00002016</t>
  </si>
  <si>
    <t>89407539</t>
  </si>
  <si>
    <t>0011R00053098</t>
  </si>
  <si>
    <t>9521067986</t>
  </si>
  <si>
    <t>0102A00001990</t>
  </si>
  <si>
    <t>89407578</t>
  </si>
  <si>
    <t>0009R00050264</t>
  </si>
  <si>
    <t>89404923</t>
  </si>
  <si>
    <t>0011R00053075</t>
  </si>
  <si>
    <t>89405523</t>
  </si>
  <si>
    <t>0011R00053082</t>
  </si>
  <si>
    <t>9521067988</t>
  </si>
  <si>
    <t>0102A00001992</t>
  </si>
  <si>
    <t>89405524</t>
  </si>
  <si>
    <t>0011R00053083</t>
  </si>
  <si>
    <t>89402579</t>
  </si>
  <si>
    <t>0011R00053052</t>
  </si>
  <si>
    <t>9521067983</t>
  </si>
  <si>
    <t>0102A00001987</t>
  </si>
  <si>
    <t>89400667</t>
  </si>
  <si>
    <t>0011R00053033</t>
  </si>
  <si>
    <t>89400668</t>
  </si>
  <si>
    <t>0011R00053034</t>
  </si>
  <si>
    <t>89399262</t>
  </si>
  <si>
    <t>0009R00050200</t>
  </si>
  <si>
    <t>89399665</t>
  </si>
  <si>
    <t>0011R00053022</t>
  </si>
  <si>
    <t>9521068015</t>
  </si>
  <si>
    <t>0102A00002011</t>
  </si>
  <si>
    <t>89400402</t>
  </si>
  <si>
    <t>0009R00050207</t>
  </si>
  <si>
    <t>89400403</t>
  </si>
  <si>
    <t>0011R00053028</t>
  </si>
  <si>
    <t>89402098</t>
  </si>
  <si>
    <t>0009R00050228</t>
  </si>
  <si>
    <t>9511047617</t>
  </si>
  <si>
    <t>0101A00005048</t>
  </si>
  <si>
    <t>89402100</t>
  </si>
  <si>
    <t>0011R00053043</t>
  </si>
  <si>
    <t>9521067985</t>
  </si>
  <si>
    <t>0102A00001989</t>
  </si>
  <si>
    <t>89402561</t>
  </si>
  <si>
    <t>0011R00053051</t>
  </si>
  <si>
    <t>9521067991</t>
  </si>
  <si>
    <t>0102A00001995</t>
  </si>
  <si>
    <t>89401054</t>
  </si>
  <si>
    <t>0011R00053035</t>
  </si>
  <si>
    <t>89401055</t>
  </si>
  <si>
    <t>0011R00053036</t>
  </si>
  <si>
    <t>89401470</t>
  </si>
  <si>
    <t>0009R00050218</t>
  </si>
  <si>
    <t>89402094</t>
  </si>
  <si>
    <t>0009R00050227</t>
  </si>
  <si>
    <t>89410489</t>
  </si>
  <si>
    <t>0009R00050287</t>
  </si>
  <si>
    <t>9511047619</t>
  </si>
  <si>
    <t>0101A00005050</t>
  </si>
  <si>
    <t>89410491</t>
  </si>
  <si>
    <t>0011R00053130</t>
  </si>
  <si>
    <t>89410710</t>
  </si>
  <si>
    <t>0011R00053131</t>
  </si>
  <si>
    <t>P,1.5L,46.6G,CL1,P1881,579236,O,N01</t>
  </si>
  <si>
    <t>9521068017</t>
  </si>
  <si>
    <t>0102A00002013</t>
  </si>
  <si>
    <t>89410711</t>
  </si>
  <si>
    <t>0009R00050290</t>
  </si>
  <si>
    <t>89413114</t>
  </si>
  <si>
    <t>0011R00053155</t>
  </si>
  <si>
    <t>89412868</t>
  </si>
  <si>
    <t>0009R00050310</t>
  </si>
  <si>
    <t>89412894</t>
  </si>
  <si>
    <t>0009R00050311</t>
  </si>
  <si>
    <t>89411758</t>
  </si>
  <si>
    <t>0009R00050300</t>
  </si>
  <si>
    <t>9511047620</t>
  </si>
  <si>
    <t>0101A00005051</t>
  </si>
  <si>
    <t>89411759</t>
  </si>
  <si>
    <t>0011R00053146</t>
  </si>
  <si>
    <t>89411815</t>
  </si>
  <si>
    <t>0011R00053148</t>
  </si>
  <si>
    <t>9521068018</t>
  </si>
  <si>
    <t>0102A00002014</t>
  </si>
  <si>
    <t>89411986</t>
  </si>
  <si>
    <t>0009R00050302</t>
  </si>
  <si>
    <t>89407949</t>
  </si>
  <si>
    <t>0011R00053106</t>
  </si>
  <si>
    <t>89406740</t>
  </si>
  <si>
    <t>0011R00053092</t>
  </si>
  <si>
    <t>89409954</t>
  </si>
  <si>
    <t>0011R00053118</t>
  </si>
  <si>
    <t>89409955</t>
  </si>
  <si>
    <t>0011R00053119</t>
  </si>
  <si>
    <t>89396767</t>
  </si>
  <si>
    <t>0011R00053015</t>
  </si>
  <si>
    <t>89419596</t>
  </si>
  <si>
    <t>0022R00000547</t>
  </si>
  <si>
    <t>9521068047</t>
  </si>
  <si>
    <t>0102A00002024</t>
  </si>
  <si>
    <t>89418605</t>
  </si>
  <si>
    <t>0022R00000546</t>
  </si>
  <si>
    <t>9521068030</t>
  </si>
  <si>
    <t>0102A00002019</t>
  </si>
  <si>
    <t>89414675</t>
  </si>
  <si>
    <t>0016R00002411</t>
  </si>
  <si>
    <t>9521067982</t>
  </si>
  <si>
    <t>0102A00001986</t>
  </si>
  <si>
    <t>89414685</t>
  </si>
  <si>
    <t>0022R00000542</t>
  </si>
  <si>
    <t>9521068092</t>
  </si>
  <si>
    <t>0102A00002041</t>
  </si>
  <si>
    <t>89414516</t>
  </si>
  <si>
    <t>0022R00000541</t>
  </si>
  <si>
    <t>89417406</t>
  </si>
  <si>
    <t>0022R00000544</t>
  </si>
  <si>
    <t>89417695</t>
  </si>
  <si>
    <t>0022R00000545</t>
  </si>
  <si>
    <t>89417215</t>
  </si>
  <si>
    <t>0022R00000543</t>
  </si>
  <si>
    <t>9521067990</t>
  </si>
  <si>
    <t>0102A00001994</t>
  </si>
  <si>
    <t>89422361</t>
  </si>
  <si>
    <t>0022R00000552</t>
  </si>
  <si>
    <t>9521068089</t>
  </si>
  <si>
    <t>0102A00002040</t>
  </si>
  <si>
    <t>89423330</t>
  </si>
  <si>
    <t>0022R00000554</t>
  </si>
  <si>
    <t>9521068104</t>
  </si>
  <si>
    <t>0102A00002043</t>
  </si>
  <si>
    <t>89423131</t>
  </si>
  <si>
    <t>0022R00000553</t>
  </si>
  <si>
    <t>9521068107</t>
  </si>
  <si>
    <t>0102A00002046</t>
  </si>
  <si>
    <t>89420430</t>
  </si>
  <si>
    <t>0022R00000549</t>
  </si>
  <si>
    <t>9521068048</t>
  </si>
  <si>
    <t>0102A00002025</t>
  </si>
  <si>
    <t>89420783</t>
  </si>
  <si>
    <t>0022R00000550</t>
  </si>
  <si>
    <t>9521068064</t>
  </si>
  <si>
    <t>0102A00002029</t>
  </si>
  <si>
    <t>89420065</t>
  </si>
  <si>
    <t>0022R00000548</t>
  </si>
  <si>
    <t>89420945</t>
  </si>
  <si>
    <t>0022R00000551</t>
  </si>
  <si>
    <t>9521068087</t>
  </si>
  <si>
    <t>0102A00002039</t>
  </si>
  <si>
    <t>89404350</t>
  </si>
  <si>
    <t>0022R00000532</t>
  </si>
  <si>
    <t>89404546</t>
  </si>
  <si>
    <t>0022R00000533</t>
  </si>
  <si>
    <t>89403085</t>
  </si>
  <si>
    <t>0022R00000531</t>
  </si>
  <si>
    <t>89405845</t>
  </si>
  <si>
    <t>0022R00000534</t>
  </si>
  <si>
    <t>89400542</t>
  </si>
  <si>
    <t>0022R00000524</t>
  </si>
  <si>
    <t>89400648</t>
  </si>
  <si>
    <t>0022R00000525</t>
  </si>
  <si>
    <t>89400806</t>
  </si>
  <si>
    <t>0022R00000526</t>
  </si>
  <si>
    <t>9521068016</t>
  </si>
  <si>
    <t>0102A00002012</t>
  </si>
  <si>
    <t>89399395</t>
  </si>
  <si>
    <t>0022R00000523</t>
  </si>
  <si>
    <t>89402148</t>
  </si>
  <si>
    <t>0022R00000530</t>
  </si>
  <si>
    <t>9521067996</t>
  </si>
  <si>
    <t>0102A00001997</t>
  </si>
  <si>
    <t>89402055</t>
  </si>
  <si>
    <t>0022R00000529</t>
  </si>
  <si>
    <t>89401698</t>
  </si>
  <si>
    <t>0022R00000527</t>
  </si>
  <si>
    <t>89401790</t>
  </si>
  <si>
    <t>0022R00000528</t>
  </si>
  <si>
    <t>9521068019</t>
  </si>
  <si>
    <t>0102A00002015</t>
  </si>
  <si>
    <t>89411297</t>
  </si>
  <si>
    <t>0022R00000539</t>
  </si>
  <si>
    <t>9521067999</t>
  </si>
  <si>
    <t>0102A00001999</t>
  </si>
  <si>
    <t>89413087</t>
  </si>
  <si>
    <t>0022R00000540</t>
  </si>
  <si>
    <t>89406799</t>
  </si>
  <si>
    <t>0022R00000535</t>
  </si>
  <si>
    <t>89406935</t>
  </si>
  <si>
    <t>0022R00000536</t>
  </si>
  <si>
    <t>89410110</t>
  </si>
  <si>
    <t>0022R00000538</t>
  </si>
  <si>
    <t>89410042</t>
  </si>
  <si>
    <t>0022R00000537</t>
  </si>
  <si>
    <t>0016R00002428</t>
  </si>
  <si>
    <t>0102A00002087</t>
  </si>
  <si>
    <t>0009R00050560</t>
  </si>
  <si>
    <t>0101A00005113</t>
  </si>
  <si>
    <t>0011R00053434</t>
  </si>
  <si>
    <t>0102A00002114</t>
  </si>
  <si>
    <t>0022R00000570</t>
  </si>
  <si>
    <t>0011R00053432</t>
  </si>
  <si>
    <t>0009R00050559</t>
  </si>
  <si>
    <t>0101A00005112</t>
  </si>
  <si>
    <t>0011R00053452</t>
  </si>
  <si>
    <t>0102A00002120</t>
  </si>
  <si>
    <t>0009R00050575</t>
  </si>
  <si>
    <t>0101A00005115</t>
  </si>
  <si>
    <t>0009R00050572</t>
  </si>
  <si>
    <t>0022R00000571</t>
  </si>
  <si>
    <t>0102A00002113</t>
  </si>
  <si>
    <t>0009R00050565</t>
  </si>
  <si>
    <t>0101A00005114</t>
  </si>
  <si>
    <t>0022R00000568</t>
  </si>
  <si>
    <t>0102A00002097</t>
  </si>
  <si>
    <t>0011R00053400</t>
  </si>
  <si>
    <t>P,1.5L,46.6G,CL1,P1881,579236,O*,N01</t>
  </si>
  <si>
    <t>0102A00002092</t>
  </si>
  <si>
    <t>0009R00050533</t>
  </si>
  <si>
    <t>0101A00005106</t>
  </si>
  <si>
    <t>0022R00000567</t>
  </si>
  <si>
    <t>0011R00053395</t>
  </si>
  <si>
    <t>0009R00050550</t>
  </si>
  <si>
    <t>0009R00050549</t>
  </si>
  <si>
    <t>0011R00053421</t>
  </si>
  <si>
    <t>0102A00002101</t>
  </si>
  <si>
    <t>0022R00000569</t>
  </si>
  <si>
    <t>0011R00053412</t>
  </si>
  <si>
    <t>0102A00002090</t>
  </si>
  <si>
    <t>0011R00053492</t>
  </si>
  <si>
    <t>0102A00002142</t>
  </si>
  <si>
    <t>0011R00053491</t>
  </si>
  <si>
    <t>0102A00002140</t>
  </si>
  <si>
    <t>0016R00002431</t>
  </si>
  <si>
    <t>0102A00002138</t>
  </si>
  <si>
    <t>0011R00053488</t>
  </si>
  <si>
    <t>0102A00002136</t>
  </si>
  <si>
    <t>0011R00053487</t>
  </si>
  <si>
    <t>0011R00053486</t>
  </si>
  <si>
    <t>0102A00002135</t>
  </si>
  <si>
    <t>0022R00000577</t>
  </si>
  <si>
    <t>0102A00002149</t>
  </si>
  <si>
    <t>0022R00000576</t>
  </si>
  <si>
    <t>0102A00002147</t>
  </si>
  <si>
    <t>0011R00053506</t>
  </si>
  <si>
    <t>0102A00002146</t>
  </si>
  <si>
    <t>0022R00000573</t>
  </si>
  <si>
    <t>0102A00002126</t>
  </si>
  <si>
    <t>0011R00053458</t>
  </si>
  <si>
    <t>0102A00002119</t>
  </si>
  <si>
    <t>0022R00000572</t>
  </si>
  <si>
    <t>0102A00002118</t>
  </si>
  <si>
    <t>0011R00053456</t>
  </si>
  <si>
    <t>0011R00053455</t>
  </si>
  <si>
    <t>0102A00002117</t>
  </si>
  <si>
    <t>0011R00053498</t>
  </si>
  <si>
    <t>0102A00002137</t>
  </si>
  <si>
    <t>0022R00000575</t>
  </si>
  <si>
    <t>0102A00002130</t>
  </si>
  <si>
    <t>0011R00053473</t>
  </si>
  <si>
    <t>P,0.5L,30G,CL1,38/41,576209,O*,H04</t>
  </si>
  <si>
    <t>0102A00002128</t>
  </si>
  <si>
    <t>0022R00000574</t>
  </si>
  <si>
    <t>0102A00002127</t>
  </si>
  <si>
    <t>0009R00050458</t>
  </si>
  <si>
    <t>0009R00050456</t>
  </si>
  <si>
    <t>P,0.5L,25G,CL1,PCO33,451891,O,N01</t>
  </si>
  <si>
    <t>0011R00053313</t>
  </si>
  <si>
    <t>0102A00002102</t>
  </si>
  <si>
    <t>0022R00000557</t>
  </si>
  <si>
    <t>0011R00053304</t>
  </si>
  <si>
    <t>0102A00002095</t>
  </si>
  <si>
    <t>P,1.5L,46.6G,CL1,P1881,789228,O,N01</t>
  </si>
  <si>
    <t>0009R00050469</t>
  </si>
  <si>
    <t>0101A00005105</t>
  </si>
  <si>
    <t>0011R00053323</t>
  </si>
  <si>
    <t>0102A00002099</t>
  </si>
  <si>
    <t>0022R00000559</t>
  </si>
  <si>
    <t>0009R00050468</t>
  </si>
  <si>
    <t>0011R00053322</t>
  </si>
  <si>
    <t>0022R00000558</t>
  </si>
  <si>
    <t>0011R00053285</t>
  </si>
  <si>
    <t>0102A00002093</t>
  </si>
  <si>
    <t>0011R00053284</t>
  </si>
  <si>
    <t>0102A00002122</t>
  </si>
  <si>
    <t>0011R00053283</t>
  </si>
  <si>
    <t>0102A00002094</t>
  </si>
  <si>
    <t>0009R00050420</t>
  </si>
  <si>
    <t>0022R00000555</t>
  </si>
  <si>
    <t>0102A00002089</t>
  </si>
  <si>
    <t>0009R00050412</t>
  </si>
  <si>
    <t>0011R00053303</t>
  </si>
  <si>
    <t>0102A00002096</t>
  </si>
  <si>
    <t>0009R00050441</t>
  </si>
  <si>
    <t>0022R00000556</t>
  </si>
  <si>
    <t>0102A00002098</t>
  </si>
  <si>
    <t>0009R00050428</t>
  </si>
  <si>
    <t>0009R00050513</t>
  </si>
  <si>
    <t>0101A00005109</t>
  </si>
  <si>
    <t>0022R00000565</t>
  </si>
  <si>
    <t>0009R00050512</t>
  </si>
  <si>
    <t>0022R00000564</t>
  </si>
  <si>
    <t>0102A00002091</t>
  </si>
  <si>
    <t>0016R00002425</t>
  </si>
  <si>
    <t>0102A00002086</t>
  </si>
  <si>
    <t>0022R00000563</t>
  </si>
  <si>
    <t>0009R00050503</t>
  </si>
  <si>
    <t>0022R00000562</t>
  </si>
  <si>
    <t>0022R00000566</t>
  </si>
  <si>
    <t>0011R00053389</t>
  </si>
  <si>
    <t>0102A00002123</t>
  </si>
  <si>
    <t>0011R00053382</t>
  </si>
  <si>
    <t>0011R00053381</t>
  </si>
  <si>
    <t>0011R00053349</t>
  </si>
  <si>
    <t>0102A00002088</t>
  </si>
  <si>
    <t>0011R00053348</t>
  </si>
  <si>
    <t>0016R00002423</t>
  </si>
  <si>
    <t>0009R00050482</t>
  </si>
  <si>
    <t>0009R00050481</t>
  </si>
  <si>
    <t>0022R00000561</t>
  </si>
  <si>
    <t>0009R00050494</t>
  </si>
  <si>
    <t>0011R00053363</t>
  </si>
  <si>
    <t>0102A00002103</t>
  </si>
  <si>
    <t>0009R00050493</t>
  </si>
  <si>
    <t>0022R00000560</t>
  </si>
  <si>
    <t>0011R00053368</t>
  </si>
  <si>
    <t>0102A00002100</t>
  </si>
  <si>
    <t>0009R00050756</t>
  </si>
  <si>
    <t>P,0.5L,34G,CL1,38/41,395205,O,H04</t>
  </si>
  <si>
    <t>0101A00005193</t>
  </si>
  <si>
    <t>0011R00053683</t>
  </si>
  <si>
    <t>Ushuaia - Zarcam PT</t>
  </si>
  <si>
    <t>0102A00002218</t>
  </si>
  <si>
    <t>0011R00053681</t>
  </si>
  <si>
    <t>0102A00002213</t>
  </si>
  <si>
    <t>0022R00000600</t>
  </si>
  <si>
    <t>0102A00002222</t>
  </si>
  <si>
    <t>0011R00053703</t>
  </si>
  <si>
    <t>0102A00002211</t>
  </si>
  <si>
    <t>0009R00050778</t>
  </si>
  <si>
    <t>0009R00050777</t>
  </si>
  <si>
    <t>0101A00005191</t>
  </si>
  <si>
    <t>0011R00053694</t>
  </si>
  <si>
    <t>P,2.0L,52G,CL1,PCO33,PB039,O,N01</t>
  </si>
  <si>
    <t>0011R00053693</t>
  </si>
  <si>
    <t>0102A00002220</t>
  </si>
  <si>
    <t>0022R00000599</t>
  </si>
  <si>
    <t>0102A00002223</t>
  </si>
  <si>
    <t>0011R00053686</t>
  </si>
  <si>
    <t>0009R00050764</t>
  </si>
  <si>
    <t>0016R00002457</t>
  </si>
  <si>
    <t>0102A00002207</t>
  </si>
  <si>
    <t>0011R00053691</t>
  </si>
  <si>
    <t>0102A00002219</t>
  </si>
  <si>
    <t>0009R00050731</t>
  </si>
  <si>
    <t>0009R00050723</t>
  </si>
  <si>
    <t>0101A00005195</t>
  </si>
  <si>
    <t>0016R00002451</t>
  </si>
  <si>
    <t>0102A00002206</t>
  </si>
  <si>
    <t>0009R00050719</t>
  </si>
  <si>
    <t>0011R00053642</t>
  </si>
  <si>
    <t>0011R00053671</t>
  </si>
  <si>
    <t>0022R00000598</t>
  </si>
  <si>
    <t>0009R00050744</t>
  </si>
  <si>
    <t>0011R00053661</t>
  </si>
  <si>
    <t>0102A00002217</t>
  </si>
  <si>
    <t>0022R00000597</t>
  </si>
  <si>
    <t>0009R00050740</t>
  </si>
  <si>
    <t>0022R00000596</t>
  </si>
  <si>
    <t>0102A00002214</t>
  </si>
  <si>
    <t>0009R00050809</t>
  </si>
  <si>
    <t>0101A00005198</t>
  </si>
  <si>
    <t>0011R00053755</t>
  </si>
  <si>
    <t>0102A00002226</t>
  </si>
  <si>
    <t>0009R00050819</t>
  </si>
  <si>
    <t>0101A00005200</t>
  </si>
  <si>
    <t>0022R00000603</t>
  </si>
  <si>
    <t>0102A00002225</t>
  </si>
  <si>
    <t>0022R00000602</t>
  </si>
  <si>
    <t>0011R00053717</t>
  </si>
  <si>
    <t>0009R00050792</t>
  </si>
  <si>
    <t>0011R00053710</t>
  </si>
  <si>
    <t>0022R00000601</t>
  </si>
  <si>
    <t>0009R00050787</t>
  </si>
  <si>
    <t>0009R00050806</t>
  </si>
  <si>
    <t>0101A00005197</t>
  </si>
  <si>
    <t>0011R00053733</t>
  </si>
  <si>
    <t>0102A00002210</t>
  </si>
  <si>
    <t>0009R00050796</t>
  </si>
  <si>
    <t>0009R00050795</t>
  </si>
  <si>
    <t>0022R00000585</t>
  </si>
  <si>
    <t>0102A00002216</t>
  </si>
  <si>
    <t>0022R00000584</t>
  </si>
  <si>
    <t>0102A00002212</t>
  </si>
  <si>
    <t>0011R00053559</t>
  </si>
  <si>
    <t>0102A00002208</t>
  </si>
  <si>
    <t>0009R00050655</t>
  </si>
  <si>
    <t>0009R00050653</t>
  </si>
  <si>
    <t>0011R00053553</t>
  </si>
  <si>
    <t>0022R00000583</t>
  </si>
  <si>
    <t>0009R00050677</t>
  </si>
  <si>
    <t>0101A00005192</t>
  </si>
  <si>
    <t>0011R00053579</t>
  </si>
  <si>
    <t>0011R00053572</t>
  </si>
  <si>
    <t>0009R00050676</t>
  </si>
  <si>
    <t>0022R00000587</t>
  </si>
  <si>
    <t>0011R00053567</t>
  </si>
  <si>
    <t>0102A00002209</t>
  </si>
  <si>
    <t>0016R00002440</t>
  </si>
  <si>
    <t>0102A00002205</t>
  </si>
  <si>
    <t>0022R00000586</t>
  </si>
  <si>
    <t>0022R00000579</t>
  </si>
  <si>
    <t>0011R00053524</t>
  </si>
  <si>
    <t>0022R00000578</t>
  </si>
  <si>
    <t>0011R00053523</t>
  </si>
  <si>
    <t>0009R00050634</t>
  </si>
  <si>
    <t>0101A00005194</t>
  </si>
  <si>
    <t>0011R00053519</t>
  </si>
  <si>
    <t>0009R00050632</t>
  </si>
  <si>
    <t>0009R00050630</t>
  </si>
  <si>
    <t>0022R00000582</t>
  </si>
  <si>
    <t>0022R00000580</t>
  </si>
  <si>
    <t>0009R00050640</t>
  </si>
  <si>
    <t>0022R00000593</t>
  </si>
  <si>
    <t>0022R00000592</t>
  </si>
  <si>
    <t>0102A00002215</t>
  </si>
  <si>
    <t>0011R00053623</t>
  </si>
  <si>
    <t>0102A00002221</t>
  </si>
  <si>
    <t>0011R00053622</t>
  </si>
  <si>
    <t>0022R00000595</t>
  </si>
  <si>
    <t>0009R00050710</t>
  </si>
  <si>
    <t>0022R00000594</t>
  </si>
  <si>
    <t>0011R00053588</t>
  </si>
  <si>
    <t>0022R00000588</t>
  </si>
  <si>
    <t>0009R00050681</t>
  </si>
  <si>
    <t>0022R00000591</t>
  </si>
  <si>
    <t>0011R00053618</t>
  </si>
  <si>
    <t>0022R00000589</t>
  </si>
  <si>
    <t>0011R00053600</t>
  </si>
  <si>
    <t>0011R00053601</t>
  </si>
  <si>
    <t>0009R00050688</t>
  </si>
  <si>
    <t>0022R00000590</t>
  </si>
  <si>
    <t>89496947</t>
  </si>
  <si>
    <t>0011R00053960</t>
  </si>
  <si>
    <t>P,1.5L,46.6G,CL1,P1881,788427,O,N01</t>
  </si>
  <si>
    <t>9521068805</t>
  </si>
  <si>
    <t>0102A00002291</t>
  </si>
  <si>
    <t>89493547</t>
  </si>
  <si>
    <t>0011R00053925</t>
  </si>
  <si>
    <t>9521068766</t>
  </si>
  <si>
    <t>0102A00002270</t>
  </si>
  <si>
    <t>89495600</t>
  </si>
  <si>
    <t>0011R00053932</t>
  </si>
  <si>
    <t>9521068783</t>
  </si>
  <si>
    <t>0102A00002279</t>
  </si>
  <si>
    <t>89495906</t>
  </si>
  <si>
    <t>0011R00053933</t>
  </si>
  <si>
    <t>9521068797</t>
  </si>
  <si>
    <t>0102A00002284</t>
  </si>
  <si>
    <t>89492864</t>
  </si>
  <si>
    <t>0009R00050963</t>
  </si>
  <si>
    <t>9511048024</t>
  </si>
  <si>
    <t>0101A00005224</t>
  </si>
  <si>
    <t>89493510</t>
  </si>
  <si>
    <t>0011R00053919</t>
  </si>
  <si>
    <t>P,2.0L,52G,CL1,PCO33,752722,O,A16</t>
  </si>
  <si>
    <t>9521068770</t>
  </si>
  <si>
    <t>0102A00002274</t>
  </si>
  <si>
    <t>89493545</t>
  </si>
  <si>
    <t>0011R00053924</t>
  </si>
  <si>
    <t>9521068758</t>
  </si>
  <si>
    <t>0102A00002262</t>
  </si>
  <si>
    <t>89497196</t>
  </si>
  <si>
    <t>0011R00053964</t>
  </si>
  <si>
    <t>9521068804</t>
  </si>
  <si>
    <t>0102A00002290</t>
  </si>
  <si>
    <t>89495960</t>
  </si>
  <si>
    <t>0011R00053939</t>
  </si>
  <si>
    <t>9521068801</t>
  </si>
  <si>
    <t>0102A00002288</t>
  </si>
  <si>
    <t>89496139</t>
  </si>
  <si>
    <t>0011R00053940</t>
  </si>
  <si>
    <t>9521068798</t>
  </si>
  <si>
    <t>0102A00002285</t>
  </si>
  <si>
    <t>89500993</t>
  </si>
  <si>
    <t>0011R00054027</t>
  </si>
  <si>
    <t>9521068896</t>
  </si>
  <si>
    <t>0102A00002319</t>
  </si>
  <si>
    <t>89501939</t>
  </si>
  <si>
    <t>0011R00054034</t>
  </si>
  <si>
    <t>9521068905</t>
  </si>
  <si>
    <t>0102A00002326</t>
  </si>
  <si>
    <t>89501963</t>
  </si>
  <si>
    <t>0011R00054036</t>
  </si>
  <si>
    <t>9521068910</t>
  </si>
  <si>
    <t>0102A00002328</t>
  </si>
  <si>
    <t>89499164</t>
  </si>
  <si>
    <t>0011R00053992</t>
  </si>
  <si>
    <t>9521068850</t>
  </si>
  <si>
    <t>0102A00002304</t>
  </si>
  <si>
    <t>89499217</t>
  </si>
  <si>
    <t>0011R00053993</t>
  </si>
  <si>
    <t>89498875</t>
  </si>
  <si>
    <t>0011R00053983</t>
  </si>
  <si>
    <t>9521068838</t>
  </si>
  <si>
    <t>0102A00002301</t>
  </si>
  <si>
    <t>89499952</t>
  </si>
  <si>
    <t>0011R00054004</t>
  </si>
  <si>
    <t>9521068871</t>
  </si>
  <si>
    <t>0102A00002314</t>
  </si>
  <si>
    <t>89499969</t>
  </si>
  <si>
    <t>0011R00054005</t>
  </si>
  <si>
    <t>9521068868</t>
  </si>
  <si>
    <t>0102A00002311</t>
  </si>
  <si>
    <t>89500060</t>
  </si>
  <si>
    <t>0011R00054006</t>
  </si>
  <si>
    <t>9521068869</t>
  </si>
  <si>
    <t>0102A00002312</t>
  </si>
  <si>
    <t>89500061</t>
  </si>
  <si>
    <t>0011R00054007</t>
  </si>
  <si>
    <t>P,1.5L,44.8G,CL1,38/41,716887,O,H04</t>
  </si>
  <si>
    <t>9521068870</t>
  </si>
  <si>
    <t>0102A00002313</t>
  </si>
  <si>
    <t>89499361</t>
  </si>
  <si>
    <t>0011R00053996</t>
  </si>
  <si>
    <t>9521068849</t>
  </si>
  <si>
    <t>0102A00002303</t>
  </si>
  <si>
    <t>89499362</t>
  </si>
  <si>
    <t>0011R00053997</t>
  </si>
  <si>
    <t>9521068853</t>
  </si>
  <si>
    <t>0102A00002305</t>
  </si>
  <si>
    <t>89482163</t>
  </si>
  <si>
    <t>0011R00053803</t>
  </si>
  <si>
    <t>9521068760</t>
  </si>
  <si>
    <t>0102A00002264</t>
  </si>
  <si>
    <t>89482395</t>
  </si>
  <si>
    <t>0011R00053806</t>
  </si>
  <si>
    <t>89482688</t>
  </si>
  <si>
    <t>0009R00050879</t>
  </si>
  <si>
    <t>9511048021</t>
  </si>
  <si>
    <t>0101A00005222</t>
  </si>
  <si>
    <t>89483001</t>
  </si>
  <si>
    <t>0011R00053811</t>
  </si>
  <si>
    <t>9521068762</t>
  </si>
  <si>
    <t>0102A00002266</t>
  </si>
  <si>
    <t>89486070</t>
  </si>
  <si>
    <t>0009R00050916</t>
  </si>
  <si>
    <t>89486305</t>
  </si>
  <si>
    <t>0011R00053847</t>
  </si>
  <si>
    <t>89484114</t>
  </si>
  <si>
    <t>0011R00053822</t>
  </si>
  <si>
    <t>89484151</t>
  </si>
  <si>
    <t>0009R00050894</t>
  </si>
  <si>
    <t>89485029</t>
  </si>
  <si>
    <t>0009R00050900</t>
  </si>
  <si>
    <t>89485031</t>
  </si>
  <si>
    <t>0011R00053830</t>
  </si>
  <si>
    <t>89485111</t>
  </si>
  <si>
    <t>0011R00053835</t>
  </si>
  <si>
    <t>89485125</t>
  </si>
  <si>
    <t>0011R00053837</t>
  </si>
  <si>
    <t>9521068763</t>
  </si>
  <si>
    <t>0102A00002267</t>
  </si>
  <si>
    <t>89485456</t>
  </si>
  <si>
    <t>0011R00053840</t>
  </si>
  <si>
    <t>89478512</t>
  </si>
  <si>
    <t>0009R00050842</t>
  </si>
  <si>
    <t>9511048023</t>
  </si>
  <si>
    <t>0101A00005223</t>
  </si>
  <si>
    <t>89477544</t>
  </si>
  <si>
    <t>0009R00050832</t>
  </si>
  <si>
    <t>89477548</t>
  </si>
  <si>
    <t>0009R00050834</t>
  </si>
  <si>
    <t>89477848</t>
  </si>
  <si>
    <t>0011R00053762</t>
  </si>
  <si>
    <t>89477851</t>
  </si>
  <si>
    <t>0009R00050836</t>
  </si>
  <si>
    <t>9511048022</t>
  </si>
  <si>
    <t>0101A00032768</t>
  </si>
  <si>
    <t>89478832</t>
  </si>
  <si>
    <t>0011R00053776</t>
  </si>
  <si>
    <t>89478913</t>
  </si>
  <si>
    <t>0011R00053777</t>
  </si>
  <si>
    <t>89478206</t>
  </si>
  <si>
    <t>0011R00053772</t>
  </si>
  <si>
    <t>9521068765</t>
  </si>
  <si>
    <t>0102A00002269</t>
  </si>
  <si>
    <t>89481224</t>
  </si>
  <si>
    <t>0009R00050864</t>
  </si>
  <si>
    <t>89481600</t>
  </si>
  <si>
    <t>0011R00053798</t>
  </si>
  <si>
    <t>89481885</t>
  </si>
  <si>
    <t>0011R00053799</t>
  </si>
  <si>
    <t>9521068767</t>
  </si>
  <si>
    <t>0102A00002271</t>
  </si>
  <si>
    <t>89479877</t>
  </si>
  <si>
    <t>0009R00050851</t>
  </si>
  <si>
    <t>89479896</t>
  </si>
  <si>
    <t>0011R00053785</t>
  </si>
  <si>
    <t>89480129</t>
  </si>
  <si>
    <t>0009R00050857</t>
  </si>
  <si>
    <t>89492174</t>
  </si>
  <si>
    <t>0011R00053906</t>
  </si>
  <si>
    <t>89492183</t>
  </si>
  <si>
    <t>0011R00053907</t>
  </si>
  <si>
    <t>89489740</t>
  </si>
  <si>
    <t>0011R00053886</t>
  </si>
  <si>
    <t>89491312</t>
  </si>
  <si>
    <t>0011R00053891</t>
  </si>
  <si>
    <t>9521068761</t>
  </si>
  <si>
    <t>0102A00002265</t>
  </si>
  <si>
    <t>89491327</t>
  </si>
  <si>
    <t>0009R00050952</t>
  </si>
  <si>
    <t>89491411</t>
  </si>
  <si>
    <t>0011R00053892</t>
  </si>
  <si>
    <t>89491423</t>
  </si>
  <si>
    <t>0011R00053893</t>
  </si>
  <si>
    <t>9521068774</t>
  </si>
  <si>
    <t>0102A00002277</t>
  </si>
  <si>
    <t>89491539</t>
  </si>
  <si>
    <t>0011R00053894</t>
  </si>
  <si>
    <t>9521068764</t>
  </si>
  <si>
    <t>0102A00002268</t>
  </si>
  <si>
    <t>89492522</t>
  </si>
  <si>
    <t>0011R00053909</t>
  </si>
  <si>
    <t>9521068771</t>
  </si>
  <si>
    <t>0102A00002275</t>
  </si>
  <si>
    <t>89489463</t>
  </si>
  <si>
    <t>0011R00053883</t>
  </si>
  <si>
    <t>89486952</t>
  </si>
  <si>
    <t>0011R00053852</t>
  </si>
  <si>
    <t>89487774</t>
  </si>
  <si>
    <t>0011R00053862</t>
  </si>
  <si>
    <t>89487676</t>
  </si>
  <si>
    <t>0009R00050928</t>
  </si>
  <si>
    <t>89488688</t>
  </si>
  <si>
    <t>0011R00053871</t>
  </si>
  <si>
    <t>89488679</t>
  </si>
  <si>
    <t>0009R00050939</t>
  </si>
  <si>
    <t>89488676</t>
  </si>
  <si>
    <t>0011R00053870</t>
  </si>
  <si>
    <t>89486680</t>
  </si>
  <si>
    <t>0011R00053848</t>
  </si>
  <si>
    <t>89488093</t>
  </si>
  <si>
    <t>0011R00053866</t>
  </si>
  <si>
    <t>89486951</t>
  </si>
  <si>
    <t>0009R00050920</t>
  </si>
  <si>
    <t>9511048026</t>
  </si>
  <si>
    <t>0101A00005225</t>
  </si>
  <si>
    <t>89477888</t>
  </si>
  <si>
    <t>0011R00053763</t>
  </si>
  <si>
    <t>89498014</t>
  </si>
  <si>
    <t>0022R00000614</t>
  </si>
  <si>
    <t>9521068831</t>
  </si>
  <si>
    <t>0102A00002297</t>
  </si>
  <si>
    <t>89498040</t>
  </si>
  <si>
    <t>0016R00002482</t>
  </si>
  <si>
    <t>9521068834</t>
  </si>
  <si>
    <t>0102A00002300</t>
  </si>
  <si>
    <t>89493543</t>
  </si>
  <si>
    <t>0022R00000609</t>
  </si>
  <si>
    <t>89496528</t>
  </si>
  <si>
    <t>0022R00000611</t>
  </si>
  <si>
    <t>9521068800</t>
  </si>
  <si>
    <t>0102A00002287</t>
  </si>
  <si>
    <t>89497236</t>
  </si>
  <si>
    <t>0022R00000612</t>
  </si>
  <si>
    <t>9521068809</t>
  </si>
  <si>
    <t>0102A00002293</t>
  </si>
  <si>
    <t>89497438</t>
  </si>
  <si>
    <t>0022R00000613</t>
  </si>
  <si>
    <t>9521068807</t>
  </si>
  <si>
    <t>0102A00002292</t>
  </si>
  <si>
    <t>89496155</t>
  </si>
  <si>
    <t>0022R00000610</t>
  </si>
  <si>
    <t>9521068799</t>
  </si>
  <si>
    <t>0102A00002286</t>
  </si>
  <si>
    <t>89501349</t>
  </si>
  <si>
    <t>0022R00000620</t>
  </si>
  <si>
    <t>9521068898</t>
  </si>
  <si>
    <t>0102A00002323</t>
  </si>
  <si>
    <t>89501751</t>
  </si>
  <si>
    <t>0022R00000621</t>
  </si>
  <si>
    <t>89499071</t>
  </si>
  <si>
    <t>0022R00000618</t>
  </si>
  <si>
    <t>89498242</t>
  </si>
  <si>
    <t>0022R00000615</t>
  </si>
  <si>
    <t>9521068832</t>
  </si>
  <si>
    <t>0102A00002298</t>
  </si>
  <si>
    <t>89498383</t>
  </si>
  <si>
    <t>0022R00000616</t>
  </si>
  <si>
    <t>9521068833</t>
  </si>
  <si>
    <t>0102A00002299</t>
  </si>
  <si>
    <t>89498636</t>
  </si>
  <si>
    <t>0022R00000617</t>
  </si>
  <si>
    <t>9521068840</t>
  </si>
  <si>
    <t>0102A00002302</t>
  </si>
  <si>
    <t>89499354</t>
  </si>
  <si>
    <t>0016R00002485</t>
  </si>
  <si>
    <t>9521068859</t>
  </si>
  <si>
    <t>0102A00002307</t>
  </si>
  <si>
    <t>89499697</t>
  </si>
  <si>
    <t>0022R00000619</t>
  </si>
  <si>
    <t>9521068864</t>
  </si>
  <si>
    <t>0102A00002309</t>
  </si>
  <si>
    <t>89484034</t>
  </si>
  <si>
    <t>0022R00000607</t>
  </si>
  <si>
    <t>89484250</t>
  </si>
  <si>
    <t>0022R00000608</t>
  </si>
  <si>
    <t>9521068759</t>
  </si>
  <si>
    <t>0102A00002263</t>
  </si>
  <si>
    <t>89478366</t>
  </si>
  <si>
    <t>0022R00000605</t>
  </si>
  <si>
    <t>89478047</t>
  </si>
  <si>
    <t>0022R00000604</t>
  </si>
  <si>
    <t>9521068768</t>
  </si>
  <si>
    <t>0102A00002272</t>
  </si>
  <si>
    <t>89479093</t>
  </si>
  <si>
    <t>0016R00002466</t>
  </si>
  <si>
    <t>9521068757</t>
  </si>
  <si>
    <t>0102A00002261</t>
  </si>
  <si>
    <t>89481280</t>
  </si>
  <si>
    <t>0022R00000606</t>
  </si>
  <si>
    <t>89479589</t>
  </si>
  <si>
    <t>0016R00002467</t>
  </si>
  <si>
    <t>9521068769</t>
  </si>
  <si>
    <t>0102A00002273</t>
  </si>
  <si>
    <t>P,1.0LB,44G,CL1,PCO33,130814,O,N01</t>
  </si>
  <si>
    <t>P,1.5L,46.6G,CL1,P1881,788427,O,A16G20</t>
  </si>
  <si>
    <t>89476285</t>
  </si>
  <si>
    <t>0016R00002463</t>
  </si>
  <si>
    <t>9521068639</t>
  </si>
  <si>
    <t>0102A00002229</t>
  </si>
  <si>
    <t>0011R00054187</t>
  </si>
  <si>
    <t>0102A00002388</t>
  </si>
  <si>
    <t>0011R00054186</t>
  </si>
  <si>
    <t>0102A00002363</t>
  </si>
  <si>
    <t>0022R00000634</t>
  </si>
  <si>
    <t>0102A00002369</t>
  </si>
  <si>
    <t>0009R00051201</t>
  </si>
  <si>
    <t>0101A00005282</t>
  </si>
  <si>
    <t>0009R00051203</t>
  </si>
  <si>
    <t>0101A00005281</t>
  </si>
  <si>
    <t>0011R00054179</t>
  </si>
  <si>
    <t>0011R00054191</t>
  </si>
  <si>
    <t>0102A00002361</t>
  </si>
  <si>
    <t>0011R00054203</t>
  </si>
  <si>
    <t>0102A00002387</t>
  </si>
  <si>
    <t>0022R00000636</t>
  </si>
  <si>
    <t>0022R00000635</t>
  </si>
  <si>
    <t>0011R00054198</t>
  </si>
  <si>
    <t>0016R00002496</t>
  </si>
  <si>
    <t>0102A00002412</t>
  </si>
  <si>
    <t>0011R00054167</t>
  </si>
  <si>
    <t>0009R00051172</t>
  </si>
  <si>
    <t>0011R00054165</t>
  </si>
  <si>
    <t>0102A00002359</t>
  </si>
  <si>
    <t>0022R00000632</t>
  </si>
  <si>
    <t>0102A00002367</t>
  </si>
  <si>
    <t>0011R00054161</t>
  </si>
  <si>
    <t>0102A00002370</t>
  </si>
  <si>
    <t>0011R00054159</t>
  </si>
  <si>
    <t>0011R00054157</t>
  </si>
  <si>
    <t>0009R00051163</t>
  </si>
  <si>
    <t>0011R00054169</t>
  </si>
  <si>
    <t>0022R00000633</t>
  </si>
  <si>
    <t>0009R00051190</t>
  </si>
  <si>
    <t>0011R00054172</t>
  </si>
  <si>
    <t>0011R00054171</t>
  </si>
  <si>
    <t>0102A00002375</t>
  </si>
  <si>
    <t>0011R00054170</t>
  </si>
  <si>
    <t>0102A00002372</t>
  </si>
  <si>
    <t>0011R00054238</t>
  </si>
  <si>
    <t>0102A00002395</t>
  </si>
  <si>
    <t>0009R00051244</t>
  </si>
  <si>
    <t>0101A00005289</t>
  </si>
  <si>
    <t>0022R00000639</t>
  </si>
  <si>
    <t>0102A00002384</t>
  </si>
  <si>
    <t>0011R00054233</t>
  </si>
  <si>
    <t>0102A00002383</t>
  </si>
  <si>
    <t>0011R00054261</t>
  </si>
  <si>
    <t>0102A00002411</t>
  </si>
  <si>
    <t>0011R00054259</t>
  </si>
  <si>
    <t>0102A00002405</t>
  </si>
  <si>
    <t>0022R00000643</t>
  </si>
  <si>
    <t>0102A00002406</t>
  </si>
  <si>
    <t>0022R00000642</t>
  </si>
  <si>
    <t>0102A00002407</t>
  </si>
  <si>
    <t>0011R00054253</t>
  </si>
  <si>
    <t>0102A00002399</t>
  </si>
  <si>
    <t>0009R00051249</t>
  </si>
  <si>
    <t>0101A00005293</t>
  </si>
  <si>
    <t>0022R00000640</t>
  </si>
  <si>
    <t>0102A00002409</t>
  </si>
  <si>
    <t>0022R00000641</t>
  </si>
  <si>
    <t>0102A00002397</t>
  </si>
  <si>
    <t>0011R00054213</t>
  </si>
  <si>
    <t>0102A00002362</t>
  </si>
  <si>
    <t>0009R00051225</t>
  </si>
  <si>
    <t>0009R00051220</t>
  </si>
  <si>
    <t>0022R00000638</t>
  </si>
  <si>
    <t>0022R00000637</t>
  </si>
  <si>
    <t>0102A00002374</t>
  </si>
  <si>
    <t>0009R00051216</t>
  </si>
  <si>
    <t>0011R00054204</t>
  </si>
  <si>
    <t>0016R00002499</t>
  </si>
  <si>
    <t>0102A00002382</t>
  </si>
  <si>
    <t>0011R00054230</t>
  </si>
  <si>
    <t>0102A00002385</t>
  </si>
  <si>
    <t>0009R00051236</t>
  </si>
  <si>
    <t>0101A00005286</t>
  </si>
  <si>
    <t>0011R00054227</t>
  </si>
  <si>
    <t>0011R00054225</t>
  </si>
  <si>
    <t>0009R00051234</t>
  </si>
  <si>
    <t>0011R00054223</t>
  </si>
  <si>
    <t>0009R00051232</t>
  </si>
  <si>
    <t>0022R00000628</t>
  </si>
  <si>
    <t>0016R00002490</t>
  </si>
  <si>
    <t>0102A00002364</t>
  </si>
  <si>
    <t>0022R00000630</t>
  </si>
  <si>
    <t>0102A00002377</t>
  </si>
  <si>
    <t>0011R00054082</t>
  </si>
  <si>
    <t>0102A00002390</t>
  </si>
  <si>
    <t>0011R00054081</t>
  </si>
  <si>
    <t>0102A00002358</t>
  </si>
  <si>
    <t>0022R00000629</t>
  </si>
  <si>
    <t>0102A00002371</t>
  </si>
  <si>
    <t>0011R00054079</t>
  </si>
  <si>
    <t>0102A00002391</t>
  </si>
  <si>
    <t>P,1.5L,46.6G,CL1,P1881,788427,O*,N01</t>
  </si>
  <si>
    <t>0011R00054078</t>
  </si>
  <si>
    <t>0102A00002373</t>
  </si>
  <si>
    <t>0022R00000624</t>
  </si>
  <si>
    <t>0011R00054047</t>
  </si>
  <si>
    <t>0102A00002366</t>
  </si>
  <si>
    <t>0022R00000623</t>
  </si>
  <si>
    <t>0011R00054044</t>
  </si>
  <si>
    <t>0022R00000622</t>
  </si>
  <si>
    <t>0102A00002360</t>
  </si>
  <si>
    <t>0011R00054043</t>
  </si>
  <si>
    <t>0102A00002357</t>
  </si>
  <si>
    <t>0009R00051074</t>
  </si>
  <si>
    <t>0101A00005279</t>
  </si>
  <si>
    <t>0011R00054065</t>
  </si>
  <si>
    <t>0022R00000627</t>
  </si>
  <si>
    <t>0022R00000626</t>
  </si>
  <si>
    <t>0022R00000625</t>
  </si>
  <si>
    <t>0011R00054061</t>
  </si>
  <si>
    <t>0011R00054060</t>
  </si>
  <si>
    <t>0011R00054057</t>
  </si>
  <si>
    <t>0102A00002389</t>
  </si>
  <si>
    <t>0011R00054055</t>
  </si>
  <si>
    <t>0011R00054134</t>
  </si>
  <si>
    <t>0011R00054132</t>
  </si>
  <si>
    <t>0102A00002365</t>
  </si>
  <si>
    <t>0011R00054131</t>
  </si>
  <si>
    <t>0022R00000631</t>
  </si>
  <si>
    <t>0009R00051155</t>
  </si>
  <si>
    <t>0011R00054151</t>
  </si>
  <si>
    <t>0009R00051150</t>
  </si>
  <si>
    <t>0011R00054143</t>
  </si>
  <si>
    <t>0011R00054105</t>
  </si>
  <si>
    <t>0011R00054102</t>
  </si>
  <si>
    <t>0009R00051124</t>
  </si>
  <si>
    <t>0101A00005280</t>
  </si>
  <si>
    <t>0011R00054112</t>
  </si>
  <si>
    <t>0011R00054111</t>
  </si>
  <si>
    <t>0011R00054125</t>
  </si>
  <si>
    <t>0011R00054124</t>
  </si>
  <si>
    <t>0016R00002491</t>
  </si>
  <si>
    <t>0102A00002368</t>
  </si>
  <si>
    <t>0011R00054120</t>
  </si>
  <si>
    <t>0011R00054114</t>
  </si>
  <si>
    <t>0009R00051126</t>
  </si>
  <si>
    <t>0011R00054113</t>
  </si>
  <si>
    <t>0102A00002386</t>
  </si>
  <si>
    <t>0011R00054107</t>
  </si>
  <si>
    <t>0011R00054273</t>
  </si>
  <si>
    <t>0102A00002454</t>
  </si>
  <si>
    <t>0011R00054272</t>
  </si>
  <si>
    <t>0102A00002437</t>
  </si>
  <si>
    <t>0009R00051262</t>
  </si>
  <si>
    <t>0101A00005317</t>
  </si>
  <si>
    <t>0016R00002501</t>
  </si>
  <si>
    <t>DIEZTOMA</t>
  </si>
  <si>
    <t>0102A00002457</t>
  </si>
  <si>
    <t>0011R00054278</t>
  </si>
  <si>
    <t>0009R00051277</t>
  </si>
  <si>
    <t>0009R00051276</t>
  </si>
  <si>
    <t>P,0.5L,30G,CL1,38/41,396206,O,A13Z40</t>
  </si>
  <si>
    <t>0101A00005315</t>
  </si>
  <si>
    <t>0022R00000644</t>
  </si>
  <si>
    <t>0102A00002451</t>
  </si>
  <si>
    <t>0016R00002503</t>
  </si>
  <si>
    <t>0009R00051288</t>
  </si>
  <si>
    <t>0011R00054291</t>
  </si>
  <si>
    <t>0102A00002458</t>
  </si>
  <si>
    <t>0022R00000646</t>
  </si>
  <si>
    <t>0102A00002443</t>
  </si>
  <si>
    <t>0022R00000645</t>
  </si>
  <si>
    <t>0011R00054298</t>
  </si>
  <si>
    <t>0102A00002452</t>
  </si>
  <si>
    <t>0022R00000649</t>
  </si>
  <si>
    <t>0102A00002439</t>
  </si>
  <si>
    <t>0022R00000648</t>
  </si>
  <si>
    <t>0009R00051298</t>
  </si>
  <si>
    <t>0011R00054309</t>
  </si>
  <si>
    <t>0102A00002447</t>
  </si>
  <si>
    <t>0011R00054321</t>
  </si>
  <si>
    <t>0011R00054319</t>
  </si>
  <si>
    <t>0009R00051300</t>
  </si>
  <si>
    <t>0022R00000650</t>
  </si>
  <si>
    <t>0102A00002456</t>
  </si>
  <si>
    <t>0011R00054326</t>
  </si>
  <si>
    <t>0009R00051302</t>
  </si>
  <si>
    <t>0022R00000652</t>
  </si>
  <si>
    <t>0102A00002453</t>
  </si>
  <si>
    <t>0022R00000651</t>
  </si>
  <si>
    <t>0102A00002444</t>
  </si>
  <si>
    <t>0009R00051319</t>
  </si>
  <si>
    <t>0011R00054338</t>
  </si>
  <si>
    <t>0011R00054344</t>
  </si>
  <si>
    <t>0011R00054340</t>
  </si>
  <si>
    <t>0022R00000653</t>
  </si>
  <si>
    <t>0102A00002459</t>
  </si>
  <si>
    <t>0009R00051323</t>
  </si>
  <si>
    <t>0101A00005314</t>
  </si>
  <si>
    <t>0009R00051325</t>
  </si>
  <si>
    <t>0009R00051324</t>
  </si>
  <si>
    <t>0011R00054351</t>
  </si>
  <si>
    <t>0022R00000654</t>
  </si>
  <si>
    <t>0102A00002440</t>
  </si>
  <si>
    <t>0011R00054353</t>
  </si>
  <si>
    <t>0102A00002441</t>
  </si>
  <si>
    <t>0011R00054370</t>
  </si>
  <si>
    <t>0102A00002450</t>
  </si>
  <si>
    <t>0009R00051334</t>
  </si>
  <si>
    <t>0022R00000655</t>
  </si>
  <si>
    <t>0009R00051345</t>
  </si>
  <si>
    <t>0101A00005316</t>
  </si>
  <si>
    <t>0009R00051356</t>
  </si>
  <si>
    <t>0022R00000659</t>
  </si>
  <si>
    <t>0022R00000658</t>
  </si>
  <si>
    <t>0102A00002448</t>
  </si>
  <si>
    <t>0009R00051367</t>
  </si>
  <si>
    <t>0009R00051371</t>
  </si>
  <si>
    <t>0011R00054407</t>
  </si>
  <si>
    <t>0016R00002515</t>
  </si>
  <si>
    <t>0022R00000660</t>
  </si>
  <si>
    <t>0022R00000661</t>
  </si>
  <si>
    <t>0102A00002442</t>
  </si>
  <si>
    <t>0011R00054427</t>
  </si>
  <si>
    <t>0102A00002438</t>
  </si>
  <si>
    <t>0011R00054426</t>
  </si>
  <si>
    <t>0102A00002455</t>
  </si>
  <si>
    <t>0011R00054414</t>
  </si>
  <si>
    <t>0022R00000662</t>
  </si>
  <si>
    <t>0009R00051387</t>
  </si>
  <si>
    <t>0011R00054429</t>
  </si>
  <si>
    <t>0011R00054428</t>
  </si>
  <si>
    <t>0011R00054438</t>
  </si>
  <si>
    <t>0011R00054440</t>
  </si>
  <si>
    <t>0011R00054442</t>
  </si>
  <si>
    <t>0102A00002445</t>
  </si>
  <si>
    <t>0016R00002518</t>
  </si>
  <si>
    <t>0102A00002446</t>
  </si>
  <si>
    <t>0011R00054446</t>
  </si>
  <si>
    <t>0102A00002460</t>
  </si>
  <si>
    <t>0011R00054453</t>
  </si>
  <si>
    <t>0011R00054448</t>
  </si>
  <si>
    <t>0102A00002449</t>
  </si>
  <si>
    <t>0009R00051408</t>
  </si>
  <si>
    <t>0011R00054460</t>
  </si>
  <si>
    <t>0016R00002522</t>
  </si>
  <si>
    <t>0011R00054466</t>
  </si>
  <si>
    <t>0102A00002475</t>
  </si>
  <si>
    <t>0011R00054471</t>
  </si>
  <si>
    <t>0102A00002474</t>
  </si>
  <si>
    <t>0011R00054486</t>
  </si>
  <si>
    <t>0102A00002487</t>
  </si>
  <si>
    <t>0011R00054475</t>
  </si>
  <si>
    <t>0102A00002482</t>
  </si>
  <si>
    <t>0011R00054473</t>
  </si>
  <si>
    <t>0011R00054502</t>
  </si>
  <si>
    <t>0102A00002483</t>
  </si>
  <si>
    <t>0011R00054499</t>
  </si>
  <si>
    <t>0011R00054513</t>
  </si>
  <si>
    <t>0102A00002491</t>
  </si>
  <si>
    <t>0011R00054504</t>
  </si>
  <si>
    <t>0011R00054503</t>
  </si>
  <si>
    <t>0102A00002495</t>
  </si>
  <si>
    <t>0011R00054511</t>
  </si>
  <si>
    <t>MARQUEMA</t>
  </si>
  <si>
    <t>0102A00002492</t>
  </si>
  <si>
    <t>0011R00054510</t>
  </si>
  <si>
    <t>0102A00002496</t>
  </si>
  <si>
    <t>0011R00054518</t>
  </si>
  <si>
    <t>0102A00002497</t>
  </si>
  <si>
    <t>89568371</t>
  </si>
  <si>
    <t>0009R00051562</t>
  </si>
  <si>
    <t>9511048384</t>
  </si>
  <si>
    <t>0101A00005380</t>
  </si>
  <si>
    <t>89569059</t>
  </si>
  <si>
    <t>0011R00054745</t>
  </si>
  <si>
    <t>P,1.5L,46.6G,CL1,P1881,579236,O,A16</t>
  </si>
  <si>
    <t>9521069587</t>
  </si>
  <si>
    <t>0102A00002571</t>
  </si>
  <si>
    <t>89568369</t>
  </si>
  <si>
    <t>0011R00054733</t>
  </si>
  <si>
    <t>9521069591</t>
  </si>
  <si>
    <t>0102A00002572</t>
  </si>
  <si>
    <t>89567846</t>
  </si>
  <si>
    <t>0009R00051559</t>
  </si>
  <si>
    <t>P,0.5L,30G,CL1,38/41,396206,O,A13G40</t>
  </si>
  <si>
    <t>9511048374</t>
  </si>
  <si>
    <t>0101A00005372</t>
  </si>
  <si>
    <t>89567842</t>
  </si>
  <si>
    <t>0011R00054724</t>
  </si>
  <si>
    <t>9521069567</t>
  </si>
  <si>
    <t>0102A00002562</t>
  </si>
  <si>
    <t>89567690</t>
  </si>
  <si>
    <t>0011R00054722</t>
  </si>
  <si>
    <t>9521069574</t>
  </si>
  <si>
    <t>0102A00002566</t>
  </si>
  <si>
    <t>89570534</t>
  </si>
  <si>
    <t>0011R00054770</t>
  </si>
  <si>
    <t>9521069621</t>
  </si>
  <si>
    <t>0102A00002584</t>
  </si>
  <si>
    <t>89570190</t>
  </si>
  <si>
    <t>0011R00054764</t>
  </si>
  <si>
    <t>9521069605</t>
  </si>
  <si>
    <t>0102A00002577</t>
  </si>
  <si>
    <t>89569595</t>
  </si>
  <si>
    <t>0011R00054758</t>
  </si>
  <si>
    <t>9521069614</t>
  </si>
  <si>
    <t>0102A00002580</t>
  </si>
  <si>
    <t>89569490</t>
  </si>
  <si>
    <t>0011R00054755</t>
  </si>
  <si>
    <t>9521069609</t>
  </si>
  <si>
    <t>0102A00002578</t>
  </si>
  <si>
    <t>89569489</t>
  </si>
  <si>
    <t>0009R00051574</t>
  </si>
  <si>
    <t>9511048390</t>
  </si>
  <si>
    <t>0101A00005383</t>
  </si>
  <si>
    <t>89569475</t>
  </si>
  <si>
    <t>0011R00054753</t>
  </si>
  <si>
    <t>89569384</t>
  </si>
  <si>
    <t>0009R00051572</t>
  </si>
  <si>
    <t>9511048388</t>
  </si>
  <si>
    <t>0101A00005382</t>
  </si>
  <si>
    <t>89565456</t>
  </si>
  <si>
    <t>0011R00054695</t>
  </si>
  <si>
    <t>P,1.0LA,37.2G,CL1,P1881,787869,O*,H03</t>
  </si>
  <si>
    <t>9521069569</t>
  </si>
  <si>
    <t>0102A00002563</t>
  </si>
  <si>
    <t>89565301</t>
  </si>
  <si>
    <t>0009R00051533</t>
  </si>
  <si>
    <t>9511048367</t>
  </si>
  <si>
    <t>0101A00005369</t>
  </si>
  <si>
    <t>89564676</t>
  </si>
  <si>
    <t>0011R00054689</t>
  </si>
  <si>
    <t>9521069562</t>
  </si>
  <si>
    <t>0102A00002560</t>
  </si>
  <si>
    <t>89564569</t>
  </si>
  <si>
    <t>0011R00054686</t>
  </si>
  <si>
    <t>9521069538</t>
  </si>
  <si>
    <t>0102A00002550</t>
  </si>
  <si>
    <t>89567145</t>
  </si>
  <si>
    <t>0011R00054711</t>
  </si>
  <si>
    <t>89567144</t>
  </si>
  <si>
    <t>0011R00054710</t>
  </si>
  <si>
    <t>9521069561</t>
  </si>
  <si>
    <t>0102A00002559</t>
  </si>
  <si>
    <t>89566585</t>
  </si>
  <si>
    <t>0011R00054702</t>
  </si>
  <si>
    <t>89566567</t>
  </si>
  <si>
    <t>0011R00054701</t>
  </si>
  <si>
    <t>89574039</t>
  </si>
  <si>
    <t>0011R00054809</t>
  </si>
  <si>
    <t>9521069667</t>
  </si>
  <si>
    <t>0102A00002602</t>
  </si>
  <si>
    <t>89575367</t>
  </si>
  <si>
    <t>0011R00054836</t>
  </si>
  <si>
    <t>9521069694</t>
  </si>
  <si>
    <t>0102A00002615</t>
  </si>
  <si>
    <t>89575223</t>
  </si>
  <si>
    <t>0011R00054835</t>
  </si>
  <si>
    <t>9521069697</t>
  </si>
  <si>
    <t>0102A00002616</t>
  </si>
  <si>
    <t>89574984</t>
  </si>
  <si>
    <t>0011R00054826</t>
  </si>
  <si>
    <t>9521069687</t>
  </si>
  <si>
    <t>0102A00002612</t>
  </si>
  <si>
    <t>89575139</t>
  </si>
  <si>
    <t>0011R00054833</t>
  </si>
  <si>
    <t>9521069700</t>
  </si>
  <si>
    <t>0102A00002618</t>
  </si>
  <si>
    <t>89574895</t>
  </si>
  <si>
    <t>0011R00054824</t>
  </si>
  <si>
    <t>9521069681</t>
  </si>
  <si>
    <t>0102A00002609</t>
  </si>
  <si>
    <t>89574697</t>
  </si>
  <si>
    <t>0011R00054820</t>
  </si>
  <si>
    <t>9521069675</t>
  </si>
  <si>
    <t>0102A00002607</t>
  </si>
  <si>
    <t>89574391</t>
  </si>
  <si>
    <t>0011R00054818</t>
  </si>
  <si>
    <t>9521069674</t>
  </si>
  <si>
    <t>0102A00002606</t>
  </si>
  <si>
    <t>89571581</t>
  </si>
  <si>
    <t>0011R00054777</t>
  </si>
  <si>
    <t>9521069633</t>
  </si>
  <si>
    <t>0102A00002589</t>
  </si>
  <si>
    <t>89571238</t>
  </si>
  <si>
    <t>0009R00051585</t>
  </si>
  <si>
    <t>9511048398</t>
  </si>
  <si>
    <t>0101A00005388</t>
  </si>
  <si>
    <t>89570755</t>
  </si>
  <si>
    <t>0011R00054773</t>
  </si>
  <si>
    <t>9521069618</t>
  </si>
  <si>
    <t>0102A00002583</t>
  </si>
  <si>
    <t>89570723</t>
  </si>
  <si>
    <t>0009R00051581</t>
  </si>
  <si>
    <t>89573786</t>
  </si>
  <si>
    <t>0011R00054803</t>
  </si>
  <si>
    <t>9521069661</t>
  </si>
  <si>
    <t>0102A00002601</t>
  </si>
  <si>
    <t>89573283</t>
  </si>
  <si>
    <t>0011R00054799</t>
  </si>
  <si>
    <t>9521069647</t>
  </si>
  <si>
    <t>0102A00002595</t>
  </si>
  <si>
    <t>89572610</t>
  </si>
  <si>
    <t>0011R00054793</t>
  </si>
  <si>
    <t>9521069652</t>
  </si>
  <si>
    <t>0102A00002598</t>
  </si>
  <si>
    <t>89572607</t>
  </si>
  <si>
    <t>0011R00054792</t>
  </si>
  <si>
    <t>9521069657</t>
  </si>
  <si>
    <t>0102A00002599</t>
  </si>
  <si>
    <t>89556857</t>
  </si>
  <si>
    <t>0011R00054579</t>
  </si>
  <si>
    <t>9521069522</t>
  </si>
  <si>
    <t>0102A00002536</t>
  </si>
  <si>
    <t>89556856</t>
  </si>
  <si>
    <t>0009R00051469</t>
  </si>
  <si>
    <t>P,2.0L,52G,CL1,38/41,395205,O,H04</t>
  </si>
  <si>
    <t>9511048348</t>
  </si>
  <si>
    <t>0101A00005363</t>
  </si>
  <si>
    <t>89555261</t>
  </si>
  <si>
    <t>0009R00051454</t>
  </si>
  <si>
    <t>9511048349</t>
  </si>
  <si>
    <t>0101A00005364</t>
  </si>
  <si>
    <t>89554888</t>
  </si>
  <si>
    <t>0011R00054562</t>
  </si>
  <si>
    <t>9521069525</t>
  </si>
  <si>
    <t>0102A00002539</t>
  </si>
  <si>
    <t>89557841</t>
  </si>
  <si>
    <t>0011R00054597</t>
  </si>
  <si>
    <t>9521069523</t>
  </si>
  <si>
    <t>0102A00002537</t>
  </si>
  <si>
    <t>89557799</t>
  </si>
  <si>
    <t>0011R00054596</t>
  </si>
  <si>
    <t>9521069518</t>
  </si>
  <si>
    <t>0102A00002532</t>
  </si>
  <si>
    <t>89557307</t>
  </si>
  <si>
    <t>0011R00054587</t>
  </si>
  <si>
    <t>9521069517</t>
  </si>
  <si>
    <t>0102A00002531</t>
  </si>
  <si>
    <t>89557106</t>
  </si>
  <si>
    <t>0011R00054584</t>
  </si>
  <si>
    <t>9521069515</t>
  </si>
  <si>
    <t>0102A00002529</t>
  </si>
  <si>
    <t>89553266</t>
  </si>
  <si>
    <t>0011R00054530</t>
  </si>
  <si>
    <t>9521069521</t>
  </si>
  <si>
    <t>0102A00002535</t>
  </si>
  <si>
    <t>89553053</t>
  </si>
  <si>
    <t>0011R00054526</t>
  </si>
  <si>
    <t>9521069529</t>
  </si>
  <si>
    <t>0102A00002543</t>
  </si>
  <si>
    <t>89553052</t>
  </si>
  <si>
    <t>0011R00054525</t>
  </si>
  <si>
    <t>89552811</t>
  </si>
  <si>
    <t>0011R00054520</t>
  </si>
  <si>
    <t>89554075</t>
  </si>
  <si>
    <t>0011R00054551</t>
  </si>
  <si>
    <t>89553587</t>
  </si>
  <si>
    <t>0011R00054541</t>
  </si>
  <si>
    <t>9521069530</t>
  </si>
  <si>
    <t>0102A00002544</t>
  </si>
  <si>
    <t>89553362</t>
  </si>
  <si>
    <t>0011R00054536</t>
  </si>
  <si>
    <t>89562628</t>
  </si>
  <si>
    <t>0011R00054658</t>
  </si>
  <si>
    <t>9521069520</t>
  </si>
  <si>
    <t>0102A00002534</t>
  </si>
  <si>
    <t>89562627</t>
  </si>
  <si>
    <t>0009R00051510</t>
  </si>
  <si>
    <t>89562245</t>
  </si>
  <si>
    <t>0011R00054655</t>
  </si>
  <si>
    <t>9521069532</t>
  </si>
  <si>
    <t>0102A00002546</t>
  </si>
  <si>
    <t>89562064</t>
  </si>
  <si>
    <t>0009R00051504</t>
  </si>
  <si>
    <t>89562063</t>
  </si>
  <si>
    <t>0011R00054653</t>
  </si>
  <si>
    <t>89564455</t>
  </si>
  <si>
    <t>0011R00054684</t>
  </si>
  <si>
    <t>9521069540</t>
  </si>
  <si>
    <t>0102A00002551</t>
  </si>
  <si>
    <t>89564146</t>
  </si>
  <si>
    <t>0011R00054681</t>
  </si>
  <si>
    <t>89563932</t>
  </si>
  <si>
    <t>0011R00054676</t>
  </si>
  <si>
    <t>9521069531</t>
  </si>
  <si>
    <t>0102A00002545</t>
  </si>
  <si>
    <t>89559279</t>
  </si>
  <si>
    <t>0011R00054616</t>
  </si>
  <si>
    <t>89559371</t>
  </si>
  <si>
    <t>0009R00051487</t>
  </si>
  <si>
    <t>9511048347</t>
  </si>
  <si>
    <t>0101A00005362</t>
  </si>
  <si>
    <t>89559592</t>
  </si>
  <si>
    <t>0011R00054620</t>
  </si>
  <si>
    <t>89558796</t>
  </si>
  <si>
    <t>0009R00051483</t>
  </si>
  <si>
    <t>89558539</t>
  </si>
  <si>
    <t>0011R00054604</t>
  </si>
  <si>
    <t>9521069533</t>
  </si>
  <si>
    <t>0102A00002547</t>
  </si>
  <si>
    <t>89558183</t>
  </si>
  <si>
    <t>0011R00054601</t>
  </si>
  <si>
    <t>9521069527</t>
  </si>
  <si>
    <t>0102A00002541</t>
  </si>
  <si>
    <t>89560709</t>
  </si>
  <si>
    <t>0009R00051499</t>
  </si>
  <si>
    <t>9511048351</t>
  </si>
  <si>
    <t>0101A00005366</t>
  </si>
  <si>
    <t>89560660</t>
  </si>
  <si>
    <t>0011R00054635</t>
  </si>
  <si>
    <t>9521069526</t>
  </si>
  <si>
    <t>0102A00002540</t>
  </si>
  <si>
    <t>89560226</t>
  </si>
  <si>
    <t>0011R00054628</t>
  </si>
  <si>
    <t>9521069528</t>
  </si>
  <si>
    <t>0102A00002542</t>
  </si>
  <si>
    <t>89559937</t>
  </si>
  <si>
    <t>0011R00054626</t>
  </si>
  <si>
    <t>89559906</t>
  </si>
  <si>
    <t>0011R00054625</t>
  </si>
  <si>
    <t>9521069534</t>
  </si>
  <si>
    <t>0102A00002548</t>
  </si>
  <si>
    <t>89559691</t>
  </si>
  <si>
    <t>0009R00051491</t>
  </si>
  <si>
    <t>9511048350</t>
  </si>
  <si>
    <t>0101A00005365</t>
  </si>
  <si>
    <t>89559690</t>
  </si>
  <si>
    <t>0011R00054624</t>
  </si>
  <si>
    <t>89568604</t>
  </si>
  <si>
    <t>0022R00000677</t>
  </si>
  <si>
    <t>9521069592</t>
  </si>
  <si>
    <t>0102A00002573</t>
  </si>
  <si>
    <t>89570491</t>
  </si>
  <si>
    <t>0006R00001131</t>
  </si>
  <si>
    <t>9511048397</t>
  </si>
  <si>
    <t>0101A00005387</t>
  </si>
  <si>
    <t>89570490</t>
  </si>
  <si>
    <t>0016R00002551</t>
  </si>
  <si>
    <t>9521069625</t>
  </si>
  <si>
    <t>0102A00002585</t>
  </si>
  <si>
    <t>89565637</t>
  </si>
  <si>
    <t>0022R00000675</t>
  </si>
  <si>
    <t>9521069560</t>
  </si>
  <si>
    <t>0102A00002558</t>
  </si>
  <si>
    <t>89565512</t>
  </si>
  <si>
    <t>0016R00002546</t>
  </si>
  <si>
    <t>9521069557</t>
  </si>
  <si>
    <t>0102A00002557</t>
  </si>
  <si>
    <t>89567190</t>
  </si>
  <si>
    <t>0006R00001130</t>
  </si>
  <si>
    <t>9511048373</t>
  </si>
  <si>
    <t>0101A00005371</t>
  </si>
  <si>
    <t>89567189</t>
  </si>
  <si>
    <t>0016R00002549</t>
  </si>
  <si>
    <t>9521069571</t>
  </si>
  <si>
    <t>0102A00002564</t>
  </si>
  <si>
    <t>89567150</t>
  </si>
  <si>
    <t>0022R00000676</t>
  </si>
  <si>
    <t>9521069563</t>
  </si>
  <si>
    <t>0102A00002561</t>
  </si>
  <si>
    <t>89574282</t>
  </si>
  <si>
    <t>0006R00001133</t>
  </si>
  <si>
    <t>9511048406</t>
  </si>
  <si>
    <t>0101A00005392</t>
  </si>
  <si>
    <t>89574079</t>
  </si>
  <si>
    <t>0022R00000681</t>
  </si>
  <si>
    <t>9521069670</t>
  </si>
  <si>
    <t>0102A00002603</t>
  </si>
  <si>
    <t>89572116</t>
  </si>
  <si>
    <t>0022R00000679</t>
  </si>
  <si>
    <t>9521069634</t>
  </si>
  <si>
    <t>0102A00002590</t>
  </si>
  <si>
    <t>89572033</t>
  </si>
  <si>
    <t>0022R00000678</t>
  </si>
  <si>
    <t>9521069635</t>
  </si>
  <si>
    <t>0102A00002591</t>
  </si>
  <si>
    <t>89571725</t>
  </si>
  <si>
    <t>0016R00002552</t>
  </si>
  <si>
    <t>9521069632</t>
  </si>
  <si>
    <t>0102A00002588</t>
  </si>
  <si>
    <t>89572979</t>
  </si>
  <si>
    <t>0022R00000680</t>
  </si>
  <si>
    <t>9521069649</t>
  </si>
  <si>
    <t>0102A00002597</t>
  </si>
  <si>
    <t>89556228</t>
  </si>
  <si>
    <t>0022R00000670</t>
  </si>
  <si>
    <t>89555740</t>
  </si>
  <si>
    <t>0022R00000669</t>
  </si>
  <si>
    <t>89555288</t>
  </si>
  <si>
    <t>0022R00000668</t>
  </si>
  <si>
    <t>89555275</t>
  </si>
  <si>
    <t>0022R00000667</t>
  </si>
  <si>
    <t>89557814</t>
  </si>
  <si>
    <t>0022R00000671</t>
  </si>
  <si>
    <t>89553341</t>
  </si>
  <si>
    <t>0022R00000663</t>
  </si>
  <si>
    <t>89554727</t>
  </si>
  <si>
    <t>0022R00000666</t>
  </si>
  <si>
    <t>89554541</t>
  </si>
  <si>
    <t>0022R00000665</t>
  </si>
  <si>
    <t>89554398</t>
  </si>
  <si>
    <t>0022R00000664</t>
  </si>
  <si>
    <t>89563219</t>
  </si>
  <si>
    <t>0016R00002543</t>
  </si>
  <si>
    <t>9521069514</t>
  </si>
  <si>
    <t>0102A00002528</t>
  </si>
  <si>
    <t>89561842</t>
  </si>
  <si>
    <t>0016R00002540</t>
  </si>
  <si>
    <t>9521069513</t>
  </si>
  <si>
    <t>0102A00002527</t>
  </si>
  <si>
    <t>89564186</t>
  </si>
  <si>
    <t>0022R00000674</t>
  </si>
  <si>
    <t>9521069537</t>
  </si>
  <si>
    <t>0102A00002549</t>
  </si>
  <si>
    <t>89563295</t>
  </si>
  <si>
    <t>0022R00000673</t>
  </si>
  <si>
    <t>89559594</t>
  </si>
  <si>
    <t>0022R00000672</t>
  </si>
  <si>
    <t>9521069519</t>
  </si>
  <si>
    <t>0102A00002533</t>
  </si>
  <si>
    <t>89591445</t>
  </si>
  <si>
    <t>0009R00051735</t>
  </si>
  <si>
    <t>9511048510</t>
  </si>
  <si>
    <t>0101A00005435</t>
  </si>
  <si>
    <t>89591629</t>
  </si>
  <si>
    <t>0022R00000706</t>
  </si>
  <si>
    <t>9521069990</t>
  </si>
  <si>
    <t>0102A00002704</t>
  </si>
  <si>
    <t>89591039</t>
  </si>
  <si>
    <t>0022R00000705</t>
  </si>
  <si>
    <t>9521069951</t>
  </si>
  <si>
    <t>0102A00002671</t>
  </si>
  <si>
    <t>89590781</t>
  </si>
  <si>
    <t>0011R00055051</t>
  </si>
  <si>
    <t>9521069962</t>
  </si>
  <si>
    <t>0102A00002682</t>
  </si>
  <si>
    <t>89592301</t>
  </si>
  <si>
    <t>0022R00000708</t>
  </si>
  <si>
    <t>89592576</t>
  </si>
  <si>
    <t>0011R00055079</t>
  </si>
  <si>
    <t>9521069974</t>
  </si>
  <si>
    <t>0102A00002694</t>
  </si>
  <si>
    <t>89592578</t>
  </si>
  <si>
    <t>0022R00000709</t>
  </si>
  <si>
    <t>9521069956</t>
  </si>
  <si>
    <t>0102A00002676</t>
  </si>
  <si>
    <t>89591731</t>
  </si>
  <si>
    <t>0011R00055063</t>
  </si>
  <si>
    <t>9521069964</t>
  </si>
  <si>
    <t>0102A00002684</t>
  </si>
  <si>
    <t>89592125</t>
  </si>
  <si>
    <t>0022R00000707</t>
  </si>
  <si>
    <t>9521069948</t>
  </si>
  <si>
    <t>0102A00002668</t>
  </si>
  <si>
    <t>89589615</t>
  </si>
  <si>
    <t>0022R00000702</t>
  </si>
  <si>
    <t>89589669</t>
  </si>
  <si>
    <t>0022R00000703</t>
  </si>
  <si>
    <t>9521069961</t>
  </si>
  <si>
    <t>0102A00002681</t>
  </si>
  <si>
    <t>89588190</t>
  </si>
  <si>
    <t>0011R00055008</t>
  </si>
  <si>
    <t>89588410</t>
  </si>
  <si>
    <t>0022R00000699</t>
  </si>
  <si>
    <t>89589333</t>
  </si>
  <si>
    <t>0022R00000701</t>
  </si>
  <si>
    <t>9521069965</t>
  </si>
  <si>
    <t>0102A00002685</t>
  </si>
  <si>
    <t>89590338</t>
  </si>
  <si>
    <t>0011R00055036</t>
  </si>
  <si>
    <t>89590645</t>
  </si>
  <si>
    <t>0022R00000704</t>
  </si>
  <si>
    <t>89590651</t>
  </si>
  <si>
    <t>0009R00051729</t>
  </si>
  <si>
    <t>89590690</t>
  </si>
  <si>
    <t>0016R00002579</t>
  </si>
  <si>
    <t>9521069950</t>
  </si>
  <si>
    <t>0102A00002670</t>
  </si>
  <si>
    <t>89590072</t>
  </si>
  <si>
    <t>0016R00002576</t>
  </si>
  <si>
    <t>9521069953</t>
  </si>
  <si>
    <t>0102A00002673</t>
  </si>
  <si>
    <t>89597515</t>
  </si>
  <si>
    <t>0011R00055129</t>
  </si>
  <si>
    <t>9521069994</t>
  </si>
  <si>
    <t>0102A00002706</t>
  </si>
  <si>
    <t>89596960</t>
  </si>
  <si>
    <t>0009R00051783</t>
  </si>
  <si>
    <t>89597011</t>
  </si>
  <si>
    <t>0022R00000718</t>
  </si>
  <si>
    <t>9521070029</t>
  </si>
  <si>
    <t>0102A00002724</t>
  </si>
  <si>
    <t>89597065</t>
  </si>
  <si>
    <t>0011R00055124</t>
  </si>
  <si>
    <t>89597119</t>
  </si>
  <si>
    <t>0022R00000719</t>
  </si>
  <si>
    <t>9521069991</t>
  </si>
  <si>
    <t>0102A00002705</t>
  </si>
  <si>
    <t>89597157</t>
  </si>
  <si>
    <t>0011R00055125</t>
  </si>
  <si>
    <t>9521069997</t>
  </si>
  <si>
    <t>0102A00002708</t>
  </si>
  <si>
    <t>89598411</t>
  </si>
  <si>
    <t>0022R00000721</t>
  </si>
  <si>
    <t>9521070026</t>
  </si>
  <si>
    <t>0102A00002721</t>
  </si>
  <si>
    <t>89598560</t>
  </si>
  <si>
    <t>0011R00055147</t>
  </si>
  <si>
    <t>9521070028</t>
  </si>
  <si>
    <t>0102A00002723</t>
  </si>
  <si>
    <t>89598669</t>
  </si>
  <si>
    <t>0011R00055148</t>
  </si>
  <si>
    <t>9521070027</t>
  </si>
  <si>
    <t>0102A00002722</t>
  </si>
  <si>
    <t>89598788</t>
  </si>
  <si>
    <t>0022R00000722</t>
  </si>
  <si>
    <t>89598806</t>
  </si>
  <si>
    <t>0011R00055149</t>
  </si>
  <si>
    <t>9521070025</t>
  </si>
  <si>
    <t>0102A00002720</t>
  </si>
  <si>
    <t>89598808</t>
  </si>
  <si>
    <t>0011R00055150</t>
  </si>
  <si>
    <t>9521070021</t>
  </si>
  <si>
    <t>0102A00002716</t>
  </si>
  <si>
    <t>89599035</t>
  </si>
  <si>
    <t>0011R00055151</t>
  </si>
  <si>
    <t>9521070024</t>
  </si>
  <si>
    <t>0102A00002719</t>
  </si>
  <si>
    <t>89599036</t>
  </si>
  <si>
    <t>0009R00051800</t>
  </si>
  <si>
    <t>9511048523</t>
  </si>
  <si>
    <t>0101A00005443</t>
  </si>
  <si>
    <t>89597938</t>
  </si>
  <si>
    <t>0016R00002587</t>
  </si>
  <si>
    <t>9521070012</t>
  </si>
  <si>
    <t>0102A00002711</t>
  </si>
  <si>
    <t>89597603</t>
  </si>
  <si>
    <t>0022R00000720</t>
  </si>
  <si>
    <t>9521070006</t>
  </si>
  <si>
    <t>0102A00002709</t>
  </si>
  <si>
    <t>89597608</t>
  </si>
  <si>
    <t>0011R00055139</t>
  </si>
  <si>
    <t>89597839</t>
  </si>
  <si>
    <t>0006R00001134</t>
  </si>
  <si>
    <t>9511048519</t>
  </si>
  <si>
    <t>0101A00005441</t>
  </si>
  <si>
    <t>89597850</t>
  </si>
  <si>
    <t>0011R00055141</t>
  </si>
  <si>
    <t>9521070008</t>
  </si>
  <si>
    <t>0102A00002710</t>
  </si>
  <si>
    <t>89593144</t>
  </si>
  <si>
    <t>0011R00055084</t>
  </si>
  <si>
    <t>9521069959</t>
  </si>
  <si>
    <t>0102A00002679</t>
  </si>
  <si>
    <t>89593831</t>
  </si>
  <si>
    <t>0011R00055088</t>
  </si>
  <si>
    <t>9521069954</t>
  </si>
  <si>
    <t>0102A00002674</t>
  </si>
  <si>
    <t>89593867</t>
  </si>
  <si>
    <t>0022R00000712</t>
  </si>
  <si>
    <t>89593915</t>
  </si>
  <si>
    <t>0009R00051760</t>
  </si>
  <si>
    <t>89595800</t>
  </si>
  <si>
    <t>0011R00055110</t>
  </si>
  <si>
    <t>9521069955</t>
  </si>
  <si>
    <t>0102A00002675</t>
  </si>
  <si>
    <t>89595816</t>
  </si>
  <si>
    <t>0011R00055114</t>
  </si>
  <si>
    <t>9521069970</t>
  </si>
  <si>
    <t>0102A00002690</t>
  </si>
  <si>
    <t>89595823</t>
  </si>
  <si>
    <t>0022R00000714</t>
  </si>
  <si>
    <t>89595960</t>
  </si>
  <si>
    <t>0022R00000715</t>
  </si>
  <si>
    <t>89596426</t>
  </si>
  <si>
    <t>0022R00000716</t>
  </si>
  <si>
    <t>89594972</t>
  </si>
  <si>
    <t>0022R00000713</t>
  </si>
  <si>
    <t>89594981</t>
  </si>
  <si>
    <t>0009R00051770</t>
  </si>
  <si>
    <t>89595148</t>
  </si>
  <si>
    <t>0011R00055104</t>
  </si>
  <si>
    <t>89580416</t>
  </si>
  <si>
    <t>0009R00051651</t>
  </si>
  <si>
    <t>9511048507</t>
  </si>
  <si>
    <t>0101A00005432</t>
  </si>
  <si>
    <t>89580262</t>
  </si>
  <si>
    <t>0011R00054900</t>
  </si>
  <si>
    <t>89580420</t>
  </si>
  <si>
    <t>0011R00054906</t>
  </si>
  <si>
    <t>9521069958</t>
  </si>
  <si>
    <t>0102A00002678</t>
  </si>
  <si>
    <t>89579862</t>
  </si>
  <si>
    <t>0011R00054889</t>
  </si>
  <si>
    <t>89579883</t>
  </si>
  <si>
    <t>0011R00054892</t>
  </si>
  <si>
    <t>89580259</t>
  </si>
  <si>
    <t>0011R00054897</t>
  </si>
  <si>
    <t>9521069971</t>
  </si>
  <si>
    <t>0102A00002691</t>
  </si>
  <si>
    <t>89581293</t>
  </si>
  <si>
    <t>0022R00000686</t>
  </si>
  <si>
    <t>89581487</t>
  </si>
  <si>
    <t>0022R00000687</t>
  </si>
  <si>
    <t>89581504</t>
  </si>
  <si>
    <t>0009R00051660</t>
  </si>
  <si>
    <t>89581554</t>
  </si>
  <si>
    <t>0016R00002561</t>
  </si>
  <si>
    <t>9521069952</t>
  </si>
  <si>
    <t>0102A00002672</t>
  </si>
  <si>
    <t>89581775</t>
  </si>
  <si>
    <t>0011R00054928</t>
  </si>
  <si>
    <t>89580660</t>
  </si>
  <si>
    <t>0011R00054913</t>
  </si>
  <si>
    <t>9521069945</t>
  </si>
  <si>
    <t>0102A00002665</t>
  </si>
  <si>
    <t>89580677</t>
  </si>
  <si>
    <t>0011R00054914</t>
  </si>
  <si>
    <t>89580769</t>
  </si>
  <si>
    <t>0022R00000685</t>
  </si>
  <si>
    <t>9521069957</t>
  </si>
  <si>
    <t>0102A00002677</t>
  </si>
  <si>
    <t>89577107</t>
  </si>
  <si>
    <t>0011R00054851</t>
  </si>
  <si>
    <t>9521069960</t>
  </si>
  <si>
    <t>0102A00002680</t>
  </si>
  <si>
    <t>89577113</t>
  </si>
  <si>
    <t>0011R00054852</t>
  </si>
  <si>
    <t>9521069975</t>
  </si>
  <si>
    <t>0102A00002695</t>
  </si>
  <si>
    <t>89577116</t>
  </si>
  <si>
    <t>0011R00054853</t>
  </si>
  <si>
    <t>9521069966</t>
  </si>
  <si>
    <t>0102A00002686</t>
  </si>
  <si>
    <t>89577165</t>
  </si>
  <si>
    <t>0011R00054855</t>
  </si>
  <si>
    <t>89576318</t>
  </si>
  <si>
    <t>0011R00054844</t>
  </si>
  <si>
    <t>89576333</t>
  </si>
  <si>
    <t>0011R00054845</t>
  </si>
  <si>
    <t>9521069969</t>
  </si>
  <si>
    <t>0102A00002689</t>
  </si>
  <si>
    <t>89576546</t>
  </si>
  <si>
    <t>0011R00054847</t>
  </si>
  <si>
    <t>89579276</t>
  </si>
  <si>
    <t>0022R00000682</t>
  </si>
  <si>
    <t>89579449</t>
  </si>
  <si>
    <t>0022R00000683</t>
  </si>
  <si>
    <t>9521069967</t>
  </si>
  <si>
    <t>0102A00002687</t>
  </si>
  <si>
    <t>89579504</t>
  </si>
  <si>
    <t>0011R00054882</t>
  </si>
  <si>
    <t>89579511</t>
  </si>
  <si>
    <t>0011R00054883</t>
  </si>
  <si>
    <t>89577724</t>
  </si>
  <si>
    <t>0011R00054862</t>
  </si>
  <si>
    <t>89577929</t>
  </si>
  <si>
    <t>0011R00054864</t>
  </si>
  <si>
    <t>89577972</t>
  </si>
  <si>
    <t>0011R00054865</t>
  </si>
  <si>
    <t>89578019</t>
  </si>
  <si>
    <t>0016R00002556</t>
  </si>
  <si>
    <t>9521069943</t>
  </si>
  <si>
    <t>0102A00002664</t>
  </si>
  <si>
    <t>89578020</t>
  </si>
  <si>
    <t>0011R00054867</t>
  </si>
  <si>
    <t>89578415</t>
  </si>
  <si>
    <t>0011R00054871</t>
  </si>
  <si>
    <t>89586346</t>
  </si>
  <si>
    <t>0022R00000693</t>
  </si>
  <si>
    <t>89586399</t>
  </si>
  <si>
    <t>0022R00000694</t>
  </si>
  <si>
    <t>9521069972</t>
  </si>
  <si>
    <t>0102A00002692</t>
  </si>
  <si>
    <t>89586485</t>
  </si>
  <si>
    <t>0022R00000695</t>
  </si>
  <si>
    <t>9521069949</t>
  </si>
  <si>
    <t>0102A00002669</t>
  </si>
  <si>
    <t>89585660</t>
  </si>
  <si>
    <t>0011R00054970</t>
  </si>
  <si>
    <t>89585676</t>
  </si>
  <si>
    <t>0022R00000691</t>
  </si>
  <si>
    <t>89585778</t>
  </si>
  <si>
    <t>0011R00054971</t>
  </si>
  <si>
    <t>89585810</t>
  </si>
  <si>
    <t>0022R00000692</t>
  </si>
  <si>
    <t>89587385</t>
  </si>
  <si>
    <t>0022R00000697</t>
  </si>
  <si>
    <t>89588895</t>
  </si>
  <si>
    <t>0022R00000700</t>
  </si>
  <si>
    <t>89586651</t>
  </si>
  <si>
    <t>0022R00000696</t>
  </si>
  <si>
    <t>89586902</t>
  </si>
  <si>
    <t>0011R00054991</t>
  </si>
  <si>
    <t>89587006</t>
  </si>
  <si>
    <t>0011R00054993</t>
  </si>
  <si>
    <t>89587086</t>
  </si>
  <si>
    <t>0011R00054995</t>
  </si>
  <si>
    <t>9521069963</t>
  </si>
  <si>
    <t>0102A00002683</t>
  </si>
  <si>
    <t>89582629</t>
  </si>
  <si>
    <t>0011R00054939</t>
  </si>
  <si>
    <t>89581810</t>
  </si>
  <si>
    <t>0022R00000688</t>
  </si>
  <si>
    <t>89581824</t>
  </si>
  <si>
    <t>0011R00054930</t>
  </si>
  <si>
    <t>9521069946</t>
  </si>
  <si>
    <t>0102A00002666</t>
  </si>
  <si>
    <t>89582385</t>
  </si>
  <si>
    <t>0022R00000689</t>
  </si>
  <si>
    <t>89584908</t>
  </si>
  <si>
    <t>0011R00054961</t>
  </si>
  <si>
    <t>89585113</t>
  </si>
  <si>
    <t>0016R00002566</t>
  </si>
  <si>
    <t>9521069947</t>
  </si>
  <si>
    <t>0102A00002667</t>
  </si>
  <si>
    <t>89585318</t>
  </si>
  <si>
    <t>0011R00054966</t>
  </si>
  <si>
    <t>9521069968</t>
  </si>
  <si>
    <t>0102A00002688</t>
  </si>
  <si>
    <t>89584587</t>
  </si>
  <si>
    <t>0011R00054956</t>
  </si>
  <si>
    <t>89584591</t>
  </si>
  <si>
    <t>0011R00054957</t>
  </si>
  <si>
    <t>89584864</t>
  </si>
  <si>
    <t>0022R00000690</t>
  </si>
  <si>
    <t>Pilar</t>
  </si>
  <si>
    <t xml:space="preserve">Ushuaia </t>
  </si>
  <si>
    <t>Fecha</t>
  </si>
  <si>
    <t>FOB</t>
  </si>
  <si>
    <t>Flete</t>
  </si>
  <si>
    <t>Freight Discount</t>
  </si>
  <si>
    <t>Libor</t>
  </si>
  <si>
    <t>FC</t>
  </si>
  <si>
    <t>AD%</t>
  </si>
  <si>
    <t>A. Dumping</t>
  </si>
  <si>
    <t>Duty %</t>
  </si>
  <si>
    <t>Duty</t>
  </si>
  <si>
    <t>Inland%</t>
  </si>
  <si>
    <t>Gastos Nac.</t>
  </si>
  <si>
    <t>Descuento 2%</t>
  </si>
  <si>
    <t>Tasa Estadística</t>
  </si>
  <si>
    <t>Handling + WH</t>
  </si>
  <si>
    <t>BigBag to Bulk</t>
  </si>
  <si>
    <t>Other Import Cost</t>
  </si>
  <si>
    <t>Adder</t>
  </si>
  <si>
    <t>Arg Central Bank Payment Restriction</t>
  </si>
  <si>
    <t>Amcor exceptional discount</t>
  </si>
  <si>
    <t>Impuesto País</t>
  </si>
  <si>
    <r>
      <t xml:space="preserve">Final </t>
    </r>
    <r>
      <rPr>
        <b/>
        <sz val="11"/>
        <color rgb="FFFFFFFF"/>
        <rFont val="Calibri"/>
        <family val="2"/>
      </rPr>
      <t>HF</t>
    </r>
    <r>
      <rPr>
        <b/>
        <sz val="9"/>
        <color rgb="FFFFFFFF"/>
        <rFont val="Calibri"/>
        <family val="2"/>
      </rPr>
      <t xml:space="preserve"> Amcor</t>
    </r>
  </si>
  <si>
    <r>
      <t xml:space="preserve">Final </t>
    </r>
    <r>
      <rPr>
        <b/>
        <sz val="11"/>
        <color rgb="FFFFFFFF"/>
        <rFont val="Calibri"/>
        <family val="2"/>
      </rPr>
      <t>CSD</t>
    </r>
    <r>
      <rPr>
        <b/>
        <sz val="9"/>
        <color rgb="FFFFFFFF"/>
        <rFont val="Calibri"/>
        <family val="2"/>
      </rPr>
      <t xml:space="preserve"> Vinisa</t>
    </r>
  </si>
  <si>
    <r>
      <t xml:space="preserve">Final </t>
    </r>
    <r>
      <rPr>
        <b/>
        <sz val="11"/>
        <color rgb="FFFFFFFF"/>
        <rFont val="Calibri"/>
        <family val="2"/>
      </rPr>
      <t>HF</t>
    </r>
    <r>
      <rPr>
        <b/>
        <sz val="9"/>
        <color rgb="FFFFFFFF"/>
        <rFont val="Calibri"/>
        <family val="2"/>
      </rPr>
      <t xml:space="preserve"> Vinisa</t>
    </r>
  </si>
  <si>
    <t>Freight</t>
  </si>
  <si>
    <t>Inland</t>
  </si>
  <si>
    <t>Descuento 3%</t>
  </si>
  <si>
    <t xml:space="preserve">Impuesto País </t>
  </si>
  <si>
    <t xml:space="preserve">Final CSD </t>
  </si>
  <si>
    <t>Contrato 2024 - Formula de compra</t>
  </si>
  <si>
    <t>Adenda Contrato 2025 - Nueva formula de resina</t>
  </si>
  <si>
    <t>DAK</t>
  </si>
  <si>
    <t>PQS</t>
  </si>
  <si>
    <t>Final</t>
  </si>
  <si>
    <t>WH Y Extra Handling</t>
  </si>
  <si>
    <t>Impuesto País (17.5%)</t>
  </si>
  <si>
    <t>1/8/2024</t>
  </si>
  <si>
    <t>SPOT</t>
  </si>
  <si>
    <t>89612151</t>
  </si>
  <si>
    <t>0009R00051928</t>
  </si>
  <si>
    <t>9511048595</t>
  </si>
  <si>
    <t>0101A00005468</t>
  </si>
  <si>
    <t>89611910</t>
  </si>
  <si>
    <t>0011R00055354</t>
  </si>
  <si>
    <t>9521070261</t>
  </si>
  <si>
    <t>0102A00002788</t>
  </si>
  <si>
    <t>89612583</t>
  </si>
  <si>
    <t>0011R00055362</t>
  </si>
  <si>
    <t>89611458</t>
  </si>
  <si>
    <t>0011R00055349</t>
  </si>
  <si>
    <t>89614872</t>
  </si>
  <si>
    <t>0011R00055376</t>
  </si>
  <si>
    <t>9521070254</t>
  </si>
  <si>
    <t>0102A00002781</t>
  </si>
  <si>
    <t>89610134</t>
  </si>
  <si>
    <t>0011R00055323</t>
  </si>
  <si>
    <t>89609942</t>
  </si>
  <si>
    <t>0009R00051903</t>
  </si>
  <si>
    <t>89611057</t>
  </si>
  <si>
    <t>0011R00055341</t>
  </si>
  <si>
    <t>89610757</t>
  </si>
  <si>
    <t>0009R00051909</t>
  </si>
  <si>
    <t>89617024</t>
  </si>
  <si>
    <t>0011R00055415</t>
  </si>
  <si>
    <t>9521070282</t>
  </si>
  <si>
    <t>0102A00002803</t>
  </si>
  <si>
    <t>89617011</t>
  </si>
  <si>
    <t>0011R00055414</t>
  </si>
  <si>
    <t>9521070318</t>
  </si>
  <si>
    <t>0102A00002815</t>
  </si>
  <si>
    <t>89617009</t>
  </si>
  <si>
    <t>0011R00055413</t>
  </si>
  <si>
    <t>9521070288</t>
  </si>
  <si>
    <t>0102A00002805</t>
  </si>
  <si>
    <t>89617571</t>
  </si>
  <si>
    <t>0011R00055440</t>
  </si>
  <si>
    <t>9521070308</t>
  </si>
  <si>
    <t>0102A00002810</t>
  </si>
  <si>
    <t>89617168</t>
  </si>
  <si>
    <t>0011R00055426</t>
  </si>
  <si>
    <t>9521070306</t>
  </si>
  <si>
    <t>0102A00002808</t>
  </si>
  <si>
    <t>89615775</t>
  </si>
  <si>
    <t>0011R00055390</t>
  </si>
  <si>
    <t>9521070278</t>
  </si>
  <si>
    <t>0102A00002801</t>
  </si>
  <si>
    <t>89615757</t>
  </si>
  <si>
    <t>0011R00055389</t>
  </si>
  <si>
    <t>9521070276</t>
  </si>
  <si>
    <t>0102A00002800</t>
  </si>
  <si>
    <t>89615206</t>
  </si>
  <si>
    <t>0011R00055380</t>
  </si>
  <si>
    <t>89615093</t>
  </si>
  <si>
    <t>0009R00051939</t>
  </si>
  <si>
    <t>9511048592</t>
  </si>
  <si>
    <t>0101A00005465</t>
  </si>
  <si>
    <t>89616366</t>
  </si>
  <si>
    <t>0011R00055399</t>
  </si>
  <si>
    <t>9521070255</t>
  </si>
  <si>
    <t>0102A00002782</t>
  </si>
  <si>
    <t>89616345</t>
  </si>
  <si>
    <t>0011R00055398</t>
  </si>
  <si>
    <t>9521070260</t>
  </si>
  <si>
    <t>0102A00002787</t>
  </si>
  <si>
    <t>89602604</t>
  </si>
  <si>
    <t>0011R00055216</t>
  </si>
  <si>
    <t>9521070264</t>
  </si>
  <si>
    <t>0102A00002790</t>
  </si>
  <si>
    <t>89602253</t>
  </si>
  <si>
    <t>0011R00055210</t>
  </si>
  <si>
    <t>89601934</t>
  </si>
  <si>
    <t>0011R00055205</t>
  </si>
  <si>
    <t>9521070265</t>
  </si>
  <si>
    <t>0102A00002791</t>
  </si>
  <si>
    <t>89601909</t>
  </si>
  <si>
    <t>0009R00051820</t>
  </si>
  <si>
    <t>9511048593</t>
  </si>
  <si>
    <t>0101A00005466</t>
  </si>
  <si>
    <t>89604048</t>
  </si>
  <si>
    <t>0011R00055232</t>
  </si>
  <si>
    <t>89604017</t>
  </si>
  <si>
    <t>0011R00055231</t>
  </si>
  <si>
    <t>89603360</t>
  </si>
  <si>
    <t>0009R00051833</t>
  </si>
  <si>
    <t>89603194</t>
  </si>
  <si>
    <t>0011R00055224</t>
  </si>
  <si>
    <t>89600352</t>
  </si>
  <si>
    <t>0011R00055174</t>
  </si>
  <si>
    <t>89600189</t>
  </si>
  <si>
    <t>0011R00055173</t>
  </si>
  <si>
    <t>9521070321</t>
  </si>
  <si>
    <t>0102A00002818</t>
  </si>
  <si>
    <t>89600160</t>
  </si>
  <si>
    <t>0011R00055172</t>
  </si>
  <si>
    <t>89600110</t>
  </si>
  <si>
    <t>0009R00051809</t>
  </si>
  <si>
    <t>89599651</t>
  </si>
  <si>
    <t>0011R00055161</t>
  </si>
  <si>
    <t>89601616</t>
  </si>
  <si>
    <t>0011R00055201</t>
  </si>
  <si>
    <t>9521070266</t>
  </si>
  <si>
    <t>0102A00002792</t>
  </si>
  <si>
    <t>89601542</t>
  </si>
  <si>
    <t>0011R00055199</t>
  </si>
  <si>
    <t>89600761</t>
  </si>
  <si>
    <t>0009R00051817</t>
  </si>
  <si>
    <t>89600642</t>
  </si>
  <si>
    <t>0011R00055180</t>
  </si>
  <si>
    <t>89607864</t>
  </si>
  <si>
    <t>0011R00055290</t>
  </si>
  <si>
    <t>89607587</t>
  </si>
  <si>
    <t>0009R00051878</t>
  </si>
  <si>
    <t>89607551</t>
  </si>
  <si>
    <t>0011R00055287</t>
  </si>
  <si>
    <t>89607374</t>
  </si>
  <si>
    <t>0011R00055284</t>
  </si>
  <si>
    <t>89606550</t>
  </si>
  <si>
    <t>0009R00051870</t>
  </si>
  <si>
    <t>89608692</t>
  </si>
  <si>
    <t>0011R00055302</t>
  </si>
  <si>
    <t>89608522</t>
  </si>
  <si>
    <t>0009R00051891</t>
  </si>
  <si>
    <t>89608396</t>
  </si>
  <si>
    <t>0011R00055298</t>
  </si>
  <si>
    <t>89605063</t>
  </si>
  <si>
    <t>0011R00055255</t>
  </si>
  <si>
    <t>89604800</t>
  </si>
  <si>
    <t>0011R00055250</t>
  </si>
  <si>
    <t>89604429</t>
  </si>
  <si>
    <t>0009R00051849</t>
  </si>
  <si>
    <t>9511048591</t>
  </si>
  <si>
    <t>0101A00005464</t>
  </si>
  <si>
    <t>89604428</t>
  </si>
  <si>
    <t>0011R00055247</t>
  </si>
  <si>
    <t>89605593</t>
  </si>
  <si>
    <t>0011R00055265</t>
  </si>
  <si>
    <t>9521070256</t>
  </si>
  <si>
    <t>0102A00002783</t>
  </si>
  <si>
    <t>89605592</t>
  </si>
  <si>
    <t>0009R00051864</t>
  </si>
  <si>
    <t>9511048594</t>
  </si>
  <si>
    <t>0101A00005467</t>
  </si>
  <si>
    <t>89605439</t>
  </si>
  <si>
    <t>0011R00055262</t>
  </si>
  <si>
    <t>89605348</t>
  </si>
  <si>
    <t>0009R00051858</t>
  </si>
  <si>
    <t>89612255</t>
  </si>
  <si>
    <t>0022R00000745</t>
  </si>
  <si>
    <t>9521070270</t>
  </si>
  <si>
    <t>0102A00002795</t>
  </si>
  <si>
    <t>89612342</t>
  </si>
  <si>
    <t>0022R00000746</t>
  </si>
  <si>
    <t>9521070258</t>
  </si>
  <si>
    <t>0102A00002785</t>
  </si>
  <si>
    <t>89611799</t>
  </si>
  <si>
    <t>0022R00000744</t>
  </si>
  <si>
    <t>9521070262</t>
  </si>
  <si>
    <t>0102A00002789</t>
  </si>
  <si>
    <t>89611385</t>
  </si>
  <si>
    <t>0022R00000743</t>
  </si>
  <si>
    <t>9521070259</t>
  </si>
  <si>
    <t>0102A00002786</t>
  </si>
  <si>
    <t>89614942</t>
  </si>
  <si>
    <t>0022R00000752</t>
  </si>
  <si>
    <t>89614921</t>
  </si>
  <si>
    <t>0016R00002612</t>
  </si>
  <si>
    <t>9521070271</t>
  </si>
  <si>
    <t>0102A00002796</t>
  </si>
  <si>
    <t>89614757</t>
  </si>
  <si>
    <t>0022R00000751</t>
  </si>
  <si>
    <t>9521070273</t>
  </si>
  <si>
    <t>0102A00002798</t>
  </si>
  <si>
    <t>89614732</t>
  </si>
  <si>
    <t>0022R00000750</t>
  </si>
  <si>
    <t>89613019</t>
  </si>
  <si>
    <t>0022R00000747</t>
  </si>
  <si>
    <t>89609582</t>
  </si>
  <si>
    <t>0022R00000736</t>
  </si>
  <si>
    <t>9521070274</t>
  </si>
  <si>
    <t>0102A00002799</t>
  </si>
  <si>
    <t>89611119</t>
  </si>
  <si>
    <t>0022R00000742</t>
  </si>
  <si>
    <t>9521070257</t>
  </si>
  <si>
    <t>0102A00002784</t>
  </si>
  <si>
    <t>89610675</t>
  </si>
  <si>
    <t>0022R00000741</t>
  </si>
  <si>
    <t>89610525</t>
  </si>
  <si>
    <t>0022R00000740</t>
  </si>
  <si>
    <t>89610461</t>
  </si>
  <si>
    <t>0022R00000739</t>
  </si>
  <si>
    <t>89610438</t>
  </si>
  <si>
    <t>0022R00000738</t>
  </si>
  <si>
    <t>89610285</t>
  </si>
  <si>
    <t>0022R00000737</t>
  </si>
  <si>
    <t>89616934</t>
  </si>
  <si>
    <t>0022R00000756</t>
  </si>
  <si>
    <t>9521070285</t>
  </si>
  <si>
    <t>0102A00002804</t>
  </si>
  <si>
    <t>89616831</t>
  </si>
  <si>
    <t>0022R00000755</t>
  </si>
  <si>
    <t>9521070280</t>
  </si>
  <si>
    <t>0102A00002802</t>
  </si>
  <si>
    <t>89617241</t>
  </si>
  <si>
    <t>0022R00000758</t>
  </si>
  <si>
    <t>9521070309</t>
  </si>
  <si>
    <t>0102A00002811</t>
  </si>
  <si>
    <t>89617199</t>
  </si>
  <si>
    <t>0022R00000757</t>
  </si>
  <si>
    <t>9521070307</t>
  </si>
  <si>
    <t>0102A00002809</t>
  </si>
  <si>
    <t>89616117</t>
  </si>
  <si>
    <t>0016R00002616</t>
  </si>
  <si>
    <t>89615763</t>
  </si>
  <si>
    <t>0022R00000754</t>
  </si>
  <si>
    <t>9521070268</t>
  </si>
  <si>
    <t>0102A00002793</t>
  </si>
  <si>
    <t>89615226</t>
  </si>
  <si>
    <t>0022R00000753</t>
  </si>
  <si>
    <t>89602470</t>
  </si>
  <si>
    <t>0022R00000729</t>
  </si>
  <si>
    <t>89602297</t>
  </si>
  <si>
    <t>0022R00000728</t>
  </si>
  <si>
    <t>89603361</t>
  </si>
  <si>
    <t>0022R00000730</t>
  </si>
  <si>
    <t>89600073</t>
  </si>
  <si>
    <t>0022R00000724</t>
  </si>
  <si>
    <t>9521070269</t>
  </si>
  <si>
    <t>0102A00002794</t>
  </si>
  <si>
    <t>89599616</t>
  </si>
  <si>
    <t>0022R00000723</t>
  </si>
  <si>
    <t>89601456</t>
  </si>
  <si>
    <t>0022R00000727</t>
  </si>
  <si>
    <t>89600772</t>
  </si>
  <si>
    <t>0022R00000726</t>
  </si>
  <si>
    <t>89600445</t>
  </si>
  <si>
    <t>0022R00000725</t>
  </si>
  <si>
    <t>89607725</t>
  </si>
  <si>
    <t>0016R00002602</t>
  </si>
  <si>
    <t>9521070272</t>
  </si>
  <si>
    <t>0102A00002797</t>
  </si>
  <si>
    <t>89607366</t>
  </si>
  <si>
    <t>0022R00000733</t>
  </si>
  <si>
    <t>89606846</t>
  </si>
  <si>
    <t>0022R00000732</t>
  </si>
  <si>
    <t>9521070319</t>
  </si>
  <si>
    <t>0102A00002816</t>
  </si>
  <si>
    <t>89608350</t>
  </si>
  <si>
    <t>0016R00002605</t>
  </si>
  <si>
    <t>89608308</t>
  </si>
  <si>
    <t>0022R00000735</t>
  </si>
  <si>
    <t>89608207</t>
  </si>
  <si>
    <t>0022R00000734</t>
  </si>
  <si>
    <t>89604425</t>
  </si>
  <si>
    <t>0022R00000731</t>
  </si>
  <si>
    <t>89605572</t>
  </si>
  <si>
    <t>0006R00001136</t>
  </si>
  <si>
    <t>89633443</t>
  </si>
  <si>
    <t>0011R00055675</t>
  </si>
  <si>
    <t>9521070594</t>
  </si>
  <si>
    <t>0102A00002909</t>
  </si>
  <si>
    <t>89632770</t>
  </si>
  <si>
    <t>0011R00055662</t>
  </si>
  <si>
    <t>9521070634</t>
  </si>
  <si>
    <t>0102A00002923</t>
  </si>
  <si>
    <t>89633193</t>
  </si>
  <si>
    <t>0009R00052113</t>
  </si>
  <si>
    <t>9511048728</t>
  </si>
  <si>
    <t>0101A00005523</t>
  </si>
  <si>
    <t>89633194</t>
  </si>
  <si>
    <t>0011R00055667</t>
  </si>
  <si>
    <t>9521070627</t>
  </si>
  <si>
    <t>0102A00002916</t>
  </si>
  <si>
    <t>89634157</t>
  </si>
  <si>
    <t>0011R00055691</t>
  </si>
  <si>
    <t>9521070632</t>
  </si>
  <si>
    <t>0102A00002921</t>
  </si>
  <si>
    <t>89634415</t>
  </si>
  <si>
    <t>0011R00055694</t>
  </si>
  <si>
    <t>9521070640</t>
  </si>
  <si>
    <t>0102A00002929</t>
  </si>
  <si>
    <t>89634421</t>
  </si>
  <si>
    <t>0011R00055695</t>
  </si>
  <si>
    <t>89634614</t>
  </si>
  <si>
    <t>0011R00055698</t>
  </si>
  <si>
    <t>9521070629</t>
  </si>
  <si>
    <t>0102A00002918</t>
  </si>
  <si>
    <t>89634708</t>
  </si>
  <si>
    <t>0009R00052123</t>
  </si>
  <si>
    <t>89630809</t>
  </si>
  <si>
    <t>0011R00055626</t>
  </si>
  <si>
    <t>9521070528</t>
  </si>
  <si>
    <t>0102A00002887</t>
  </si>
  <si>
    <t>89630886</t>
  </si>
  <si>
    <t>0009R00052096</t>
  </si>
  <si>
    <t>9511048696</t>
  </si>
  <si>
    <t>0101A00005511</t>
  </si>
  <si>
    <t>89631070</t>
  </si>
  <si>
    <t>0011R00055628</t>
  </si>
  <si>
    <t>9521070521</t>
  </si>
  <si>
    <t>0102A00002880</t>
  </si>
  <si>
    <t>89631071</t>
  </si>
  <si>
    <t>0011R00055629</t>
  </si>
  <si>
    <t>9521070514</t>
  </si>
  <si>
    <t>0102A00002873</t>
  </si>
  <si>
    <t>89631973</t>
  </si>
  <si>
    <t>0011R00055650</t>
  </si>
  <si>
    <t>9521070515</t>
  </si>
  <si>
    <t>0102A00002874</t>
  </si>
  <si>
    <t>89632385</t>
  </si>
  <si>
    <t>0011R00055656</t>
  </si>
  <si>
    <t>89632442</t>
  </si>
  <si>
    <t>0011R00055657</t>
  </si>
  <si>
    <t>9521070525</t>
  </si>
  <si>
    <t>0102A00002884</t>
  </si>
  <si>
    <t>89631639</t>
  </si>
  <si>
    <t>0011R00055640</t>
  </si>
  <si>
    <t>9521070516</t>
  </si>
  <si>
    <t>0102A00002875</t>
  </si>
  <si>
    <t>89631814</t>
  </si>
  <si>
    <t>0011R00055646</t>
  </si>
  <si>
    <t>FERREIJO</t>
  </si>
  <si>
    <t>89636910</t>
  </si>
  <si>
    <t>0011R00055745</t>
  </si>
  <si>
    <t>9521070635</t>
  </si>
  <si>
    <t>0102A00002924</t>
  </si>
  <si>
    <t>89637548</t>
  </si>
  <si>
    <t>0009R00052146</t>
  </si>
  <si>
    <t>9511048727</t>
  </si>
  <si>
    <t>0101A00005522</t>
  </si>
  <si>
    <t>89637831</t>
  </si>
  <si>
    <t>0009R00052147</t>
  </si>
  <si>
    <t>89637230</t>
  </si>
  <si>
    <t>0011R00055755</t>
  </si>
  <si>
    <t>9521070628</t>
  </si>
  <si>
    <t>0102A00002917</t>
  </si>
  <si>
    <t>89634852</t>
  </si>
  <si>
    <t>0009R00052125</t>
  </si>
  <si>
    <t>89634962</t>
  </si>
  <si>
    <t>0011R00055709</t>
  </si>
  <si>
    <t>89636291</t>
  </si>
  <si>
    <t>0011R00055731</t>
  </si>
  <si>
    <t>89636660</t>
  </si>
  <si>
    <t>0011R00055734</t>
  </si>
  <si>
    <t>89636749</t>
  </si>
  <si>
    <t>0011R00055738</t>
  </si>
  <si>
    <t>9521070639</t>
  </si>
  <si>
    <t>0102A00002928</t>
  </si>
  <si>
    <t>89636753</t>
  </si>
  <si>
    <t>0011R00055739</t>
  </si>
  <si>
    <t>89636773</t>
  </si>
  <si>
    <t>0011R00055741</t>
  </si>
  <si>
    <t>89622403</t>
  </si>
  <si>
    <t>0011R00055512</t>
  </si>
  <si>
    <t>9521070532</t>
  </si>
  <si>
    <t>0102A00002891</t>
  </si>
  <si>
    <t>89621080</t>
  </si>
  <si>
    <t>0011R00055496</t>
  </si>
  <si>
    <t>89621253</t>
  </si>
  <si>
    <t>0011R00055499</t>
  </si>
  <si>
    <t>89621919</t>
  </si>
  <si>
    <t>0009R00052007</t>
  </si>
  <si>
    <t>89624383</t>
  </si>
  <si>
    <t>0011R00055531</t>
  </si>
  <si>
    <t>9521070518</t>
  </si>
  <si>
    <t>0102A00002877</t>
  </si>
  <si>
    <t>89624433</t>
  </si>
  <si>
    <t>0011R00055532</t>
  </si>
  <si>
    <t>89618669</t>
  </si>
  <si>
    <t>0011R00055455</t>
  </si>
  <si>
    <t>89618778</t>
  </si>
  <si>
    <t>0011R00055457</t>
  </si>
  <si>
    <t>9521070533</t>
  </si>
  <si>
    <t>0102A00002892</t>
  </si>
  <si>
    <t>89619171</t>
  </si>
  <si>
    <t>0011R00055462</t>
  </si>
  <si>
    <t>9521070529</t>
  </si>
  <si>
    <t>0102A00002888</t>
  </si>
  <si>
    <t>89619181</t>
  </si>
  <si>
    <t>0011R00055463</t>
  </si>
  <si>
    <t>89620239</t>
  </si>
  <si>
    <t>0011R00055481</t>
  </si>
  <si>
    <t>89620243</t>
  </si>
  <si>
    <t>0011R00055482</t>
  </si>
  <si>
    <t>9521070517</t>
  </si>
  <si>
    <t>0102A00002876</t>
  </si>
  <si>
    <t>89620244</t>
  </si>
  <si>
    <t>0011R00055483</t>
  </si>
  <si>
    <t>89620803</t>
  </si>
  <si>
    <t>0011R00055489</t>
  </si>
  <si>
    <t>89620536</t>
  </si>
  <si>
    <t>0011R00055487</t>
  </si>
  <si>
    <t>89628257</t>
  </si>
  <si>
    <t>0009R00052075</t>
  </si>
  <si>
    <t>89629805</t>
  </si>
  <si>
    <t>0011R00055610</t>
  </si>
  <si>
    <t>89629997</t>
  </si>
  <si>
    <t>0011R00055614</t>
  </si>
  <si>
    <t>9521070519</t>
  </si>
  <si>
    <t>0102A00002878</t>
  </si>
  <si>
    <t>89629167</t>
  </si>
  <si>
    <t>0009R00052083</t>
  </si>
  <si>
    <t>89625781</t>
  </si>
  <si>
    <t>0009R00052041</t>
  </si>
  <si>
    <t>89625868</t>
  </si>
  <si>
    <t>0011R00055550</t>
  </si>
  <si>
    <t>9521070520</t>
  </si>
  <si>
    <t>0102A00002879</t>
  </si>
  <si>
    <t>89624643</t>
  </si>
  <si>
    <t>0009R00052033</t>
  </si>
  <si>
    <t>89625102</t>
  </si>
  <si>
    <t>0011R00055543</t>
  </si>
  <si>
    <t>89627049</t>
  </si>
  <si>
    <t>0011R00055566</t>
  </si>
  <si>
    <t>89627827</t>
  </si>
  <si>
    <t>0011R00055575</t>
  </si>
  <si>
    <t>89627828</t>
  </si>
  <si>
    <t>0011R00055576</t>
  </si>
  <si>
    <t>89627024</t>
  </si>
  <si>
    <t>0011R00055563</t>
  </si>
  <si>
    <t>89627034</t>
  </si>
  <si>
    <t>0009R00052060</t>
  </si>
  <si>
    <t>89618044</t>
  </si>
  <si>
    <t>0011R00055442</t>
  </si>
  <si>
    <t>9521070531</t>
  </si>
  <si>
    <t>0102A00002890</t>
  </si>
  <si>
    <t>89633439</t>
  </si>
  <si>
    <t>0022R00000781</t>
  </si>
  <si>
    <t>9521070633</t>
  </si>
  <si>
    <t>0102A00002922</t>
  </si>
  <si>
    <t>89633447</t>
  </si>
  <si>
    <t>0022R00000782</t>
  </si>
  <si>
    <t>89633218</t>
  </si>
  <si>
    <t>0022R00000780</t>
  </si>
  <si>
    <t>9521070592</t>
  </si>
  <si>
    <t>0102A00002907</t>
  </si>
  <si>
    <t>89634216</t>
  </si>
  <si>
    <t>0022R00000785</t>
  </si>
  <si>
    <t>9521070593</t>
  </si>
  <si>
    <t>0102A00002908</t>
  </si>
  <si>
    <t>89634279</t>
  </si>
  <si>
    <t>0022R00000786</t>
  </si>
  <si>
    <t>9521070638</t>
  </si>
  <si>
    <t>0102A00002927</t>
  </si>
  <si>
    <t>89634469</t>
  </si>
  <si>
    <t>0022R00000787</t>
  </si>
  <si>
    <t>89634012</t>
  </si>
  <si>
    <t>0022R00000784</t>
  </si>
  <si>
    <t>89631239</t>
  </si>
  <si>
    <t>0022R00000777</t>
  </si>
  <si>
    <t>9521070513</t>
  </si>
  <si>
    <t>0102A00002872</t>
  </si>
  <si>
    <t>89631287</t>
  </si>
  <si>
    <t>0022R00000778</t>
  </si>
  <si>
    <t>89630325</t>
  </si>
  <si>
    <t>0022R00000775</t>
  </si>
  <si>
    <t>89630570</t>
  </si>
  <si>
    <t>0016R00002637</t>
  </si>
  <si>
    <t>9521070526</t>
  </si>
  <si>
    <t>0102A00002885</t>
  </si>
  <si>
    <t>89630590</t>
  </si>
  <si>
    <t>0022R00000776</t>
  </si>
  <si>
    <t>9521070524</t>
  </si>
  <si>
    <t>0102A00002883</t>
  </si>
  <si>
    <t>89632023</t>
  </si>
  <si>
    <t>0022R00000779</t>
  </si>
  <si>
    <t>89632055</t>
  </si>
  <si>
    <t>0016R00002639</t>
  </si>
  <si>
    <t>9521070527</t>
  </si>
  <si>
    <t>0102A00002886</t>
  </si>
  <si>
    <t>89637895</t>
  </si>
  <si>
    <t>0022R00000792</t>
  </si>
  <si>
    <t>9521070631</t>
  </si>
  <si>
    <t>0102A00002920</t>
  </si>
  <si>
    <t>89635034</t>
  </si>
  <si>
    <t>0022R00000789</t>
  </si>
  <si>
    <t>89634848</t>
  </si>
  <si>
    <t>0022R00000788</t>
  </si>
  <si>
    <t>89636294</t>
  </si>
  <si>
    <t>0016R00002645</t>
  </si>
  <si>
    <t>9521070637</t>
  </si>
  <si>
    <t>0102A00002926</t>
  </si>
  <si>
    <t>89636317</t>
  </si>
  <si>
    <t>0022R00000790</t>
  </si>
  <si>
    <t>9521070626</t>
  </si>
  <si>
    <t>0102A00002915</t>
  </si>
  <si>
    <t>89636623</t>
  </si>
  <si>
    <t>0022R00000791</t>
  </si>
  <si>
    <t>9521070630</t>
  </si>
  <si>
    <t>0102A00002919</t>
  </si>
  <si>
    <t>89621925</t>
  </si>
  <si>
    <t>0022R00000766</t>
  </si>
  <si>
    <t>89622116</t>
  </si>
  <si>
    <t>0022R00000767</t>
  </si>
  <si>
    <t>89621434</t>
  </si>
  <si>
    <t>0022R00000765</t>
  </si>
  <si>
    <t>89624200</t>
  </si>
  <si>
    <t>0022R00000768</t>
  </si>
  <si>
    <t>89624430</t>
  </si>
  <si>
    <t>0022R00000769</t>
  </si>
  <si>
    <t>89618641</t>
  </si>
  <si>
    <t>0022R00000760</t>
  </si>
  <si>
    <t>9521070522</t>
  </si>
  <si>
    <t>0102A00002881</t>
  </si>
  <si>
    <t>89619199</t>
  </si>
  <si>
    <t>0022R00000761</t>
  </si>
  <si>
    <t>89619984</t>
  </si>
  <si>
    <t>0022R00000762</t>
  </si>
  <si>
    <t>9521070523</t>
  </si>
  <si>
    <t>0102A00002882</t>
  </si>
  <si>
    <t>89620182</t>
  </si>
  <si>
    <t>0016R00002622</t>
  </si>
  <si>
    <t>89620231</t>
  </si>
  <si>
    <t>0022R00000763</t>
  </si>
  <si>
    <t>9521070530</t>
  </si>
  <si>
    <t>0102A00002889</t>
  </si>
  <si>
    <t>89620296</t>
  </si>
  <si>
    <t>0022R00000764</t>
  </si>
  <si>
    <t>89628784</t>
  </si>
  <si>
    <t>0022R00000773</t>
  </si>
  <si>
    <t>89628303</t>
  </si>
  <si>
    <t>0016R00002630</t>
  </si>
  <si>
    <t>89628366</t>
  </si>
  <si>
    <t>0022R00000772</t>
  </si>
  <si>
    <t>9521070512</t>
  </si>
  <si>
    <t>0102A00002871</t>
  </si>
  <si>
    <t>89629286</t>
  </si>
  <si>
    <t>0022R00000774</t>
  </si>
  <si>
    <t>89626192</t>
  </si>
  <si>
    <t>0022R00000770</t>
  </si>
  <si>
    <t>89627151</t>
  </si>
  <si>
    <t>0016R00002629</t>
  </si>
  <si>
    <t>89627318</t>
  </si>
  <si>
    <t>0022R00000771</t>
  </si>
  <si>
    <t>89654830</t>
  </si>
  <si>
    <t>0009R00052296</t>
  </si>
  <si>
    <t>9511048831</t>
  </si>
  <si>
    <t>0101A00005557</t>
  </si>
  <si>
    <t>89655775</t>
  </si>
  <si>
    <t>0011R00055970</t>
  </si>
  <si>
    <t>9521070914</t>
  </si>
  <si>
    <t>0102A00003007</t>
  </si>
  <si>
    <t>89654679</t>
  </si>
  <si>
    <t>0009R00052295</t>
  </si>
  <si>
    <t>89655892</t>
  </si>
  <si>
    <t>0009R00052307</t>
  </si>
  <si>
    <t>89652013</t>
  </si>
  <si>
    <t>0009R00052274</t>
  </si>
  <si>
    <t>89653439</t>
  </si>
  <si>
    <t>0009R00052286</t>
  </si>
  <si>
    <t>89653430</t>
  </si>
  <si>
    <t>0009R00052285</t>
  </si>
  <si>
    <t>89653119</t>
  </si>
  <si>
    <t>0011R00055942</t>
  </si>
  <si>
    <t>9521070943</t>
  </si>
  <si>
    <t>0102A00003020</t>
  </si>
  <si>
    <t>89661063</t>
  </si>
  <si>
    <t>0011R00056044</t>
  </si>
  <si>
    <t>9521070946</t>
  </si>
  <si>
    <t>0102A00003023</t>
  </si>
  <si>
    <t>89660846</t>
  </si>
  <si>
    <t>0011R00056041</t>
  </si>
  <si>
    <t>9521070909</t>
  </si>
  <si>
    <t>0102A00003002</t>
  </si>
  <si>
    <t>89660189</t>
  </si>
  <si>
    <t>0009R00052359</t>
  </si>
  <si>
    <t>89659978</t>
  </si>
  <si>
    <t>0009R00052358</t>
  </si>
  <si>
    <t>89662332</t>
  </si>
  <si>
    <t>0011R00056067</t>
  </si>
  <si>
    <t>MIRANDMA</t>
  </si>
  <si>
    <t>9521070954</t>
  </si>
  <si>
    <t>0102A00003028</t>
  </si>
  <si>
    <t>89661415</t>
  </si>
  <si>
    <t>0011R00056058</t>
  </si>
  <si>
    <t>9521070948</t>
  </si>
  <si>
    <t>0102A00003025</t>
  </si>
  <si>
    <t>89661389</t>
  </si>
  <si>
    <t>0011R00056057</t>
  </si>
  <si>
    <t>89657865</t>
  </si>
  <si>
    <t>0009R00052337</t>
  </si>
  <si>
    <t>89657700</t>
  </si>
  <si>
    <t>0011R00056004</t>
  </si>
  <si>
    <t>9521070942</t>
  </si>
  <si>
    <t>0102A00003019</t>
  </si>
  <si>
    <t>89657146</t>
  </si>
  <si>
    <t>0011R00055993</t>
  </si>
  <si>
    <t>9521070910</t>
  </si>
  <si>
    <t>0102A00003003</t>
  </si>
  <si>
    <t>89658688</t>
  </si>
  <si>
    <t>0009R00052346</t>
  </si>
  <si>
    <t>89658685</t>
  </si>
  <si>
    <t>0011R00056017</t>
  </si>
  <si>
    <t>9521070911</t>
  </si>
  <si>
    <t>0102A00003004</t>
  </si>
  <si>
    <t>89658119</t>
  </si>
  <si>
    <t>0011R00056014</t>
  </si>
  <si>
    <t>89658041</t>
  </si>
  <si>
    <t>0011R00056013</t>
  </si>
  <si>
    <t>89657868</t>
  </si>
  <si>
    <t>0011R00056008</t>
  </si>
  <si>
    <t>89642901</t>
  </si>
  <si>
    <t>0011R00055815</t>
  </si>
  <si>
    <t>9521070837</t>
  </si>
  <si>
    <t>0102A00002985</t>
  </si>
  <si>
    <t>89642078</t>
  </si>
  <si>
    <t>0009R00052184</t>
  </si>
  <si>
    <t>9511048824</t>
  </si>
  <si>
    <t>0101A00005554</t>
  </si>
  <si>
    <t>89644232</t>
  </si>
  <si>
    <t>0009R00052205</t>
  </si>
  <si>
    <t>89644195</t>
  </si>
  <si>
    <t>0011R00055826</t>
  </si>
  <si>
    <t>9521070836</t>
  </si>
  <si>
    <t>0102A00002984</t>
  </si>
  <si>
    <t>89643931</t>
  </si>
  <si>
    <t>0009R00052200</t>
  </si>
  <si>
    <t>89643440</t>
  </si>
  <si>
    <t>0011R00055820</t>
  </si>
  <si>
    <t>9521070941</t>
  </si>
  <si>
    <t>0102A00003018</t>
  </si>
  <si>
    <t>89643321</t>
  </si>
  <si>
    <t>0009R00052198</t>
  </si>
  <si>
    <t>89638866</t>
  </si>
  <si>
    <t>0009R00052150</t>
  </si>
  <si>
    <t>89641290</t>
  </si>
  <si>
    <t>0011R00055798</t>
  </si>
  <si>
    <t>89641017</t>
  </si>
  <si>
    <t>0009R00052180</t>
  </si>
  <si>
    <t>89640994</t>
  </si>
  <si>
    <t>0009R00052179</t>
  </si>
  <si>
    <t>89640222</t>
  </si>
  <si>
    <t>0009R00052168</t>
  </si>
  <si>
    <t>9511048823</t>
  </si>
  <si>
    <t>0101A00005553</t>
  </si>
  <si>
    <t>89648650</t>
  </si>
  <si>
    <t>0011R00055891</t>
  </si>
  <si>
    <t>9521070944</t>
  </si>
  <si>
    <t>0102A00003021</t>
  </si>
  <si>
    <t>89648174</t>
  </si>
  <si>
    <t>0011R00055886</t>
  </si>
  <si>
    <t>89650250</t>
  </si>
  <si>
    <t>0009R00052255</t>
  </si>
  <si>
    <t>89647398</t>
  </si>
  <si>
    <t>0009R00052236</t>
  </si>
  <si>
    <t>89647314</t>
  </si>
  <si>
    <t>0011R00055875</t>
  </si>
  <si>
    <t>89646379</t>
  </si>
  <si>
    <t>0011R00055860</t>
  </si>
  <si>
    <t>89662091</t>
  </si>
  <si>
    <t>0011R00056061</t>
  </si>
  <si>
    <t>89638868</t>
  </si>
  <si>
    <t>0011R00055773</t>
  </si>
  <si>
    <t>89655086</t>
  </si>
  <si>
    <t>0016R00002675</t>
  </si>
  <si>
    <t>9521070835</t>
  </si>
  <si>
    <t>0102A00002983</t>
  </si>
  <si>
    <t>89653019</t>
  </si>
  <si>
    <t>0022R00000825</t>
  </si>
  <si>
    <t>9521070838</t>
  </si>
  <si>
    <t>0102A00002986</t>
  </si>
  <si>
    <t>89648438</t>
  </si>
  <si>
    <t>0022R00000811</t>
  </si>
  <si>
    <t>PAZJ</t>
  </si>
  <si>
    <t>9521070945</t>
  </si>
  <si>
    <t>0102A00003022</t>
  </si>
  <si>
    <t>89639192</t>
  </si>
  <si>
    <t>0022R00000793</t>
  </si>
  <si>
    <t>9521070831</t>
  </si>
  <si>
    <t>0102A00002979</t>
  </si>
  <si>
    <t>89654951</t>
  </si>
  <si>
    <t>0022R00000831</t>
  </si>
  <si>
    <t>9521070832</t>
  </si>
  <si>
    <t>0102A00002980</t>
  </si>
  <si>
    <t>89654686</t>
  </si>
  <si>
    <t>0022R00000830</t>
  </si>
  <si>
    <t>9521070830</t>
  </si>
  <si>
    <t>0102A00002978</t>
  </si>
  <si>
    <t>89653567</t>
  </si>
  <si>
    <t>0022R00000828</t>
  </si>
  <si>
    <t>89656035</t>
  </si>
  <si>
    <t>0022R00000833</t>
  </si>
  <si>
    <t>9521070912</t>
  </si>
  <si>
    <t>0102A00003005</t>
  </si>
  <si>
    <t>89655895</t>
  </si>
  <si>
    <t>0022R00000832</t>
  </si>
  <si>
    <t>9521070913</t>
  </si>
  <si>
    <t>0102A00003006</t>
  </si>
  <si>
    <t>89652844</t>
  </si>
  <si>
    <t>0022R00000824</t>
  </si>
  <si>
    <t>89652727</t>
  </si>
  <si>
    <t>0022R00000823</t>
  </si>
  <si>
    <t>9521070833</t>
  </si>
  <si>
    <t>0102A00002981</t>
  </si>
  <si>
    <t>89652636</t>
  </si>
  <si>
    <t>0022R00000822</t>
  </si>
  <si>
    <t>89651926</t>
  </si>
  <si>
    <t>0016R00002668</t>
  </si>
  <si>
    <t>CABRERG</t>
  </si>
  <si>
    <t>9521070940</t>
  </si>
  <si>
    <t>0102A00003017</t>
  </si>
  <si>
    <t>89651889</t>
  </si>
  <si>
    <t>0022R00000821</t>
  </si>
  <si>
    <t>89653444</t>
  </si>
  <si>
    <t>0022R00000827</t>
  </si>
  <si>
    <t>89653094</t>
  </si>
  <si>
    <t>0022R00000826</t>
  </si>
  <si>
    <t>9521070934</t>
  </si>
  <si>
    <t>0102A00003011</t>
  </si>
  <si>
    <t>89659736</t>
  </si>
  <si>
    <t>0022R00000838</t>
  </si>
  <si>
    <t>9521070937</t>
  </si>
  <si>
    <t>0102A00003014</t>
  </si>
  <si>
    <t>89662287</t>
  </si>
  <si>
    <t>0022R00000842</t>
  </si>
  <si>
    <t>9521070952</t>
  </si>
  <si>
    <t>0102A00003027</t>
  </si>
  <si>
    <t>89661751</t>
  </si>
  <si>
    <t>0022R00000841</t>
  </si>
  <si>
    <t>9521070935</t>
  </si>
  <si>
    <t>0102A00003012</t>
  </si>
  <si>
    <t>89661439</t>
  </si>
  <si>
    <t>0016R00002685</t>
  </si>
  <si>
    <t>9521070939</t>
  </si>
  <si>
    <t>0102A00003016</t>
  </si>
  <si>
    <t>89661287</t>
  </si>
  <si>
    <t>0022R00000840</t>
  </si>
  <si>
    <t>9521070936</t>
  </si>
  <si>
    <t>0102A00003013</t>
  </si>
  <si>
    <t>89657538</t>
  </si>
  <si>
    <t>0022R00000835</t>
  </si>
  <si>
    <t>9521070947</t>
  </si>
  <si>
    <t>0102A00003024</t>
  </si>
  <si>
    <t>89657326</t>
  </si>
  <si>
    <t>0022R00000834</t>
  </si>
  <si>
    <t>89657324</t>
  </si>
  <si>
    <t>0016R00002680</t>
  </si>
  <si>
    <t>89659120</t>
  </si>
  <si>
    <t>0022R00000836</t>
  </si>
  <si>
    <t>89657951</t>
  </si>
  <si>
    <t>0016R00002682</t>
  </si>
  <si>
    <t>89642656</t>
  </si>
  <si>
    <t>0016R00002653</t>
  </si>
  <si>
    <t>9521070834</t>
  </si>
  <si>
    <t>0102A00002982</t>
  </si>
  <si>
    <t>89642793</t>
  </si>
  <si>
    <t>0022R00000803</t>
  </si>
  <si>
    <t>89642890</t>
  </si>
  <si>
    <t>0022R00000804</t>
  </si>
  <si>
    <t>89642162</t>
  </si>
  <si>
    <t>0022R00000802</t>
  </si>
  <si>
    <t>89641894</t>
  </si>
  <si>
    <t>0022R00000801</t>
  </si>
  <si>
    <t>9521070938</t>
  </si>
  <si>
    <t>0102A00003015</t>
  </si>
  <si>
    <t>89644402</t>
  </si>
  <si>
    <t>0022R00000806</t>
  </si>
  <si>
    <t>89644297</t>
  </si>
  <si>
    <t>0022R00000805</t>
  </si>
  <si>
    <t>89644234</t>
  </si>
  <si>
    <t>0016R00002655</t>
  </si>
  <si>
    <t>89642307</t>
  </si>
  <si>
    <t>0016R00002652</t>
  </si>
  <si>
    <t>89643220</t>
  </si>
  <si>
    <t>0016R00002654</t>
  </si>
  <si>
    <t>89640076</t>
  </si>
  <si>
    <t>0022R00000796</t>
  </si>
  <si>
    <t>89640075</t>
  </si>
  <si>
    <t>0022R00000795</t>
  </si>
  <si>
    <t>89639986</t>
  </si>
  <si>
    <t>0022R00000794</t>
  </si>
  <si>
    <t>89641583</t>
  </si>
  <si>
    <t>0022R00000800</t>
  </si>
  <si>
    <t>89641209</t>
  </si>
  <si>
    <t>0022R00000799</t>
  </si>
  <si>
    <t>89640976</t>
  </si>
  <si>
    <t>0022R00000798</t>
  </si>
  <si>
    <t>89640604</t>
  </si>
  <si>
    <t>0022R00000797</t>
  </si>
  <si>
    <t>89649632</t>
  </si>
  <si>
    <t>0022R00000814</t>
  </si>
  <si>
    <t>9521070915</t>
  </si>
  <si>
    <t>0102A00003008</t>
  </si>
  <si>
    <t>89648316</t>
  </si>
  <si>
    <t>0022R00000810</t>
  </si>
  <si>
    <t>89651781</t>
  </si>
  <si>
    <t>0022R00000820</t>
  </si>
  <si>
    <t>89651729</t>
  </si>
  <si>
    <t>0022R00000819</t>
  </si>
  <si>
    <t>89650826</t>
  </si>
  <si>
    <t>0022R00000818</t>
  </si>
  <si>
    <t>89650324</t>
  </si>
  <si>
    <t>0022R00000816</t>
  </si>
  <si>
    <t>89650305</t>
  </si>
  <si>
    <t>0022R00000815</t>
  </si>
  <si>
    <t>89649403</t>
  </si>
  <si>
    <t>0022R00000813</t>
  </si>
  <si>
    <t>89649295</t>
  </si>
  <si>
    <t>0022R00000812</t>
  </si>
  <si>
    <t>89646025</t>
  </si>
  <si>
    <t>0022R00000807</t>
  </si>
  <si>
    <t>89646997</t>
  </si>
  <si>
    <t>0022R00000809</t>
  </si>
  <si>
    <t>89646556</t>
  </si>
  <si>
    <t>0022R00000808</t>
  </si>
  <si>
    <t>89654148</t>
  </si>
  <si>
    <t>0011R00055957</t>
  </si>
  <si>
    <t>89652648</t>
  </si>
  <si>
    <t>0011R00055929</t>
  </si>
  <si>
    <t>0001168472</t>
  </si>
  <si>
    <t>10</t>
  </si>
  <si>
    <t>0089679253</t>
  </si>
  <si>
    <t>0010000002</t>
  </si>
  <si>
    <t>0020000340</t>
  </si>
  <si>
    <t>02</t>
  </si>
  <si>
    <t>0009R00052521</t>
  </si>
  <si>
    <t>5101</t>
  </si>
  <si>
    <t>9511048929</t>
  </si>
  <si>
    <t>0101A00005598</t>
  </si>
  <si>
    <t>2026</t>
  </si>
  <si>
    <t>0001168479</t>
  </si>
  <si>
    <t>0089679584</t>
  </si>
  <si>
    <t>0020000339</t>
  </si>
  <si>
    <t>0016R00002710</t>
  </si>
  <si>
    <t>5121</t>
  </si>
  <si>
    <t>9521071280</t>
  </si>
  <si>
    <t>0102A00003111</t>
  </si>
  <si>
    <t>0001168471</t>
  </si>
  <si>
    <t>20</t>
  </si>
  <si>
    <t>0089679651</t>
  </si>
  <si>
    <t>0020000335</t>
  </si>
  <si>
    <t>0022R00000888</t>
  </si>
  <si>
    <t>9521071274</t>
  </si>
  <si>
    <t>0102A00003105</t>
  </si>
  <si>
    <t>0089679223</t>
  </si>
  <si>
    <t>0022R00000887</t>
  </si>
  <si>
    <t>9521071127</t>
  </si>
  <si>
    <t>0102A00003065</t>
  </si>
  <si>
    <t>0089680336</t>
  </si>
  <si>
    <t>0009R00052532</t>
  </si>
  <si>
    <t>40</t>
  </si>
  <si>
    <t>0089680436</t>
  </si>
  <si>
    <t>0022R00000891</t>
  </si>
  <si>
    <t>0001168573</t>
  </si>
  <si>
    <t>0089680439</t>
  </si>
  <si>
    <t>0020001057</t>
  </si>
  <si>
    <t>0011R00056275</t>
  </si>
  <si>
    <t>9521071281</t>
  </si>
  <si>
    <t>0102A00003112</t>
  </si>
  <si>
    <t>0001168900</t>
  </si>
  <si>
    <t>0089680444</t>
  </si>
  <si>
    <t>0016R00002712</t>
  </si>
  <si>
    <t>9521071278</t>
  </si>
  <si>
    <t>0102A00003109</t>
  </si>
  <si>
    <t>0001168480</t>
  </si>
  <si>
    <t>0089679892</t>
  </si>
  <si>
    <t>0020000336</t>
  </si>
  <si>
    <t>0022R00000889</t>
  </si>
  <si>
    <t>9521071275</t>
  </si>
  <si>
    <t>0102A00003106</t>
  </si>
  <si>
    <t>0001168557</t>
  </si>
  <si>
    <t>0089679937</t>
  </si>
  <si>
    <t>0020000337</t>
  </si>
  <si>
    <t>0022R00000890</t>
  </si>
  <si>
    <t>9521071276</t>
  </si>
  <si>
    <t>0102A00003107</t>
  </si>
  <si>
    <t>0001167027</t>
  </si>
  <si>
    <t>0089675925</t>
  </si>
  <si>
    <t>0009R00052496</t>
  </si>
  <si>
    <t>9511048890</t>
  </si>
  <si>
    <t>0101A00005579</t>
  </si>
  <si>
    <t>0001167818</t>
  </si>
  <si>
    <t>0089676176</t>
  </si>
  <si>
    <t>0022R00000880</t>
  </si>
  <si>
    <t>9521071135</t>
  </si>
  <si>
    <t>0102A00003073</t>
  </si>
  <si>
    <t>0001167024</t>
  </si>
  <si>
    <t>0089675456</t>
  </si>
  <si>
    <t>0022R00000877</t>
  </si>
  <si>
    <t>9521071126</t>
  </si>
  <si>
    <t>0102A00003064</t>
  </si>
  <si>
    <t>0001167273</t>
  </si>
  <si>
    <t>0089675485</t>
  </si>
  <si>
    <t>0022R00000878</t>
  </si>
  <si>
    <t>9521071132</t>
  </si>
  <si>
    <t>0102A00003070</t>
  </si>
  <si>
    <t>0089675750</t>
  </si>
  <si>
    <t>0022R00000879</t>
  </si>
  <si>
    <t>0001167274</t>
  </si>
  <si>
    <t>0089675752</t>
  </si>
  <si>
    <t>0016R00002704</t>
  </si>
  <si>
    <t>9521071138</t>
  </si>
  <si>
    <t>0102A00003076</t>
  </si>
  <si>
    <t>30</t>
  </si>
  <si>
    <t>0089677576</t>
  </si>
  <si>
    <t>0022R00000884</t>
  </si>
  <si>
    <t>0089677692</t>
  </si>
  <si>
    <t>0009R00052509</t>
  </si>
  <si>
    <t>0089678009</t>
  </si>
  <si>
    <t>0022R00000885</t>
  </si>
  <si>
    <t>0089678587</t>
  </si>
  <si>
    <t>0022R00000886</t>
  </si>
  <si>
    <t>9521071133</t>
  </si>
  <si>
    <t>0102A00003071</t>
  </si>
  <si>
    <t>100</t>
  </si>
  <si>
    <t>0089677309</t>
  </si>
  <si>
    <t>0022R00000881</t>
  </si>
  <si>
    <t>9521071129</t>
  </si>
  <si>
    <t>0102A00003067</t>
  </si>
  <si>
    <t>90</t>
  </si>
  <si>
    <t>0089677327</t>
  </si>
  <si>
    <t>0022R00000882</t>
  </si>
  <si>
    <t>9521071128</t>
  </si>
  <si>
    <t>0102A00003066</t>
  </si>
  <si>
    <t>70</t>
  </si>
  <si>
    <t>0089677361</t>
  </si>
  <si>
    <t>0022R00000883</t>
  </si>
  <si>
    <t>0089677440</t>
  </si>
  <si>
    <t>0009R00052503</t>
  </si>
  <si>
    <t>0089684578</t>
  </si>
  <si>
    <t>0022R00000903</t>
  </si>
  <si>
    <t>0001170033</t>
  </si>
  <si>
    <t>0089684683</t>
  </si>
  <si>
    <t>0011R00056352</t>
  </si>
  <si>
    <t>9521071282</t>
  </si>
  <si>
    <t>0102A00003113</t>
  </si>
  <si>
    <t>0089684295</t>
  </si>
  <si>
    <t>0009R00052564</t>
  </si>
  <si>
    <t>0089684542</t>
  </si>
  <si>
    <t>0022R00000902</t>
  </si>
  <si>
    <t>9521071273</t>
  </si>
  <si>
    <t>0102A00003104</t>
  </si>
  <si>
    <t>110</t>
  </si>
  <si>
    <t>0089684033</t>
  </si>
  <si>
    <t>0022R00000900</t>
  </si>
  <si>
    <t>9521071272</t>
  </si>
  <si>
    <t>0102A00003103</t>
  </si>
  <si>
    <t>0001170004</t>
  </si>
  <si>
    <t>0089684097</t>
  </si>
  <si>
    <t>0016R00002720</t>
  </si>
  <si>
    <t>9521071279</t>
  </si>
  <si>
    <t>0102A00003110</t>
  </si>
  <si>
    <t>0001169659</t>
  </si>
  <si>
    <t>0089684256</t>
  </si>
  <si>
    <t>0022R00000901</t>
  </si>
  <si>
    <t>9521071277</t>
  </si>
  <si>
    <t>0102A00003108</t>
  </si>
  <si>
    <t>60</t>
  </si>
  <si>
    <t>0089681527</t>
  </si>
  <si>
    <t>0022R00000894</t>
  </si>
  <si>
    <t>50</t>
  </si>
  <si>
    <t>0089681772</t>
  </si>
  <si>
    <t>0022R00000895</t>
  </si>
  <si>
    <t>0089681904</t>
  </si>
  <si>
    <t>0022R00000896</t>
  </si>
  <si>
    <t>0089680638</t>
  </si>
  <si>
    <t>0022R00000892</t>
  </si>
  <si>
    <t>0089681037</t>
  </si>
  <si>
    <t>0022R00000893</t>
  </si>
  <si>
    <t>0089682911</t>
  </si>
  <si>
    <t>0022R00000898</t>
  </si>
  <si>
    <t>0089682987</t>
  </si>
  <si>
    <t>0022R00000899</t>
  </si>
  <si>
    <t>0089682728</t>
  </si>
  <si>
    <t>0009R00052547</t>
  </si>
  <si>
    <t>80</t>
  </si>
  <si>
    <t>0089682833</t>
  </si>
  <si>
    <t>0022R00000897</t>
  </si>
  <si>
    <t>0001164384</t>
  </si>
  <si>
    <t>0089666492</t>
  </si>
  <si>
    <t>0009R00052414</t>
  </si>
  <si>
    <t>9511048891</t>
  </si>
  <si>
    <t>0101A00005580</t>
  </si>
  <si>
    <t>0001164382</t>
  </si>
  <si>
    <t>0089665642</t>
  </si>
  <si>
    <t>0022R00000851</t>
  </si>
  <si>
    <t>0089665691</t>
  </si>
  <si>
    <t>0009R00052409</t>
  </si>
  <si>
    <t>0089666060</t>
  </si>
  <si>
    <t>0022R00000852</t>
  </si>
  <si>
    <t>0001165974</t>
  </si>
  <si>
    <t>0089668161</t>
  </si>
  <si>
    <t>0022R00000856</t>
  </si>
  <si>
    <t>0089668264</t>
  </si>
  <si>
    <t>0011R00056135</t>
  </si>
  <si>
    <t>9521071130</t>
  </si>
  <si>
    <t>0102A00003068</t>
  </si>
  <si>
    <t>0089668428</t>
  </si>
  <si>
    <t>0022R00000857</t>
  </si>
  <si>
    <t>0089666626</t>
  </si>
  <si>
    <t>0022R00000853</t>
  </si>
  <si>
    <t>0089666688</t>
  </si>
  <si>
    <t>0022R00000854</t>
  </si>
  <si>
    <t>0001165784</t>
  </si>
  <si>
    <t>0089666774</t>
  </si>
  <si>
    <t>0022R00000855</t>
  </si>
  <si>
    <t>9521071139</t>
  </si>
  <si>
    <t>0102A00003077</t>
  </si>
  <si>
    <t>0001164600</t>
  </si>
  <si>
    <t>0089666845</t>
  </si>
  <si>
    <t>0011R00056125</t>
  </si>
  <si>
    <t>9521071136</t>
  </si>
  <si>
    <t>0102A00003074</t>
  </si>
  <si>
    <t>0089663025</t>
  </si>
  <si>
    <t>0022R00000845</t>
  </si>
  <si>
    <t>0001164381</t>
  </si>
  <si>
    <t>0089663360</t>
  </si>
  <si>
    <t>0011R00056083</t>
  </si>
  <si>
    <t>9521071142</t>
  </si>
  <si>
    <t>0102A00003080</t>
  </si>
  <si>
    <t>0089663462</t>
  </si>
  <si>
    <t>0022R00000846</t>
  </si>
  <si>
    <t>0089662696</t>
  </si>
  <si>
    <t>0022R00000843</t>
  </si>
  <si>
    <t>0089662756</t>
  </si>
  <si>
    <t>0022R00000844</t>
  </si>
  <si>
    <t>0089664528</t>
  </si>
  <si>
    <t>0022R00000848</t>
  </si>
  <si>
    <t>0089664888</t>
  </si>
  <si>
    <t>0009R00052402</t>
  </si>
  <si>
    <t>0089664909</t>
  </si>
  <si>
    <t>0022R00000849</t>
  </si>
  <si>
    <t>0001164879</t>
  </si>
  <si>
    <t>0089665135</t>
  </si>
  <si>
    <t>0022R00000850</t>
  </si>
  <si>
    <t>0089663622</t>
  </si>
  <si>
    <t>0022R00000847</t>
  </si>
  <si>
    <t>0089663763</t>
  </si>
  <si>
    <t>0011R00056092</t>
  </si>
  <si>
    <t>0001164881</t>
  </si>
  <si>
    <t>0089664083</t>
  </si>
  <si>
    <t>0011R00056098</t>
  </si>
  <si>
    <t>9521071137</t>
  </si>
  <si>
    <t>0102A00003075</t>
  </si>
  <si>
    <t>120</t>
  </si>
  <si>
    <t>0089672114</t>
  </si>
  <si>
    <t>0022R00000872</t>
  </si>
  <si>
    <t>0001166833</t>
  </si>
  <si>
    <t>0089671484</t>
  </si>
  <si>
    <t>0016R00002700</t>
  </si>
  <si>
    <t>0089671563</t>
  </si>
  <si>
    <t>0022R00000870</t>
  </si>
  <si>
    <t>0001166866</t>
  </si>
  <si>
    <t>0089671813</t>
  </si>
  <si>
    <t>0022R00000871</t>
  </si>
  <si>
    <t>9521071140</t>
  </si>
  <si>
    <t>0102A00003078</t>
  </si>
  <si>
    <t>0089675437</t>
  </si>
  <si>
    <t>0022R00000876</t>
  </si>
  <si>
    <t>140</t>
  </si>
  <si>
    <t>0089672154</t>
  </si>
  <si>
    <t>0022R00000873</t>
  </si>
  <si>
    <t>0089672364</t>
  </si>
  <si>
    <t>0016R00002702</t>
  </si>
  <si>
    <t>0089672368</t>
  </si>
  <si>
    <t>0022R00000874</t>
  </si>
  <si>
    <t>9521071141</t>
  </si>
  <si>
    <t>0102A00003079</t>
  </si>
  <si>
    <t>130</t>
  </si>
  <si>
    <t>0089672559</t>
  </si>
  <si>
    <t>0022R00000875</t>
  </si>
  <si>
    <t>0089669096</t>
  </si>
  <si>
    <t>0022R00000859</t>
  </si>
  <si>
    <t>0001165975</t>
  </si>
  <si>
    <t>0089669246</t>
  </si>
  <si>
    <t>0009R00052445</t>
  </si>
  <si>
    <t>0089669346</t>
  </si>
  <si>
    <t>0022R00000860</t>
  </si>
  <si>
    <t>0001166038</t>
  </si>
  <si>
    <t>0089669563</t>
  </si>
  <si>
    <t>0022R00000861</t>
  </si>
  <si>
    <t>0001166063</t>
  </si>
  <si>
    <t>0089669020</t>
  </si>
  <si>
    <t>0011R00056142</t>
  </si>
  <si>
    <t>9521071134</t>
  </si>
  <si>
    <t>0102A00003072</t>
  </si>
  <si>
    <t>0089669027</t>
  </si>
  <si>
    <t>0022R00000858</t>
  </si>
  <si>
    <t>0089670494</t>
  </si>
  <si>
    <t>0011R00056168</t>
  </si>
  <si>
    <t>0089670519</t>
  </si>
  <si>
    <t>0022R00000866</t>
  </si>
  <si>
    <t>0089670639</t>
  </si>
  <si>
    <t>0022R00000867</t>
  </si>
  <si>
    <t>160</t>
  </si>
  <si>
    <t>0089671173</t>
  </si>
  <si>
    <t>0011R00056177</t>
  </si>
  <si>
    <t>9521071131</t>
  </si>
  <si>
    <t>0102A00003069</t>
  </si>
  <si>
    <t>0089671174</t>
  </si>
  <si>
    <t>0009R00052457</t>
  </si>
  <si>
    <t>170</t>
  </si>
  <si>
    <t>0089671192</t>
  </si>
  <si>
    <t>0022R00000869</t>
  </si>
  <si>
    <t>0089669959</t>
  </si>
  <si>
    <t>0022R00000863</t>
  </si>
  <si>
    <t>0089670233</t>
  </si>
  <si>
    <t>0022R00000864</t>
  </si>
  <si>
    <t>150</t>
  </si>
  <si>
    <t>0089670251</t>
  </si>
  <si>
    <t>0011R00056164</t>
  </si>
  <si>
    <t>0089670252</t>
  </si>
  <si>
    <t>0009R00052452</t>
  </si>
  <si>
    <t>0089670315</t>
  </si>
  <si>
    <t>0022R00000865</t>
  </si>
  <si>
    <t xml:space="preserve">FOB China </t>
  </si>
  <si>
    <t xml:space="preserve">Drewery Asia </t>
  </si>
  <si>
    <t xml:space="preserve">Better to get the correct </t>
  </si>
  <si>
    <t>Same logic</t>
  </si>
  <si>
    <t xml:space="preserve">Inland Cost </t>
  </si>
  <si>
    <t xml:space="preserve">Fixed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</si>
</sst>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0.0%"/>
    <numFmt numFmtId="168" formatCode="0.0"/>
    <numFmt numFmtId="169" formatCode="_-&quot;R$&quot;\ * #,##0_-;\-&quot;R$&quot;\ * #,##0_-;_-&quot;R$&quot;\ * &quot;-&quot;_-;_-@_-"/>
    <numFmt numFmtId="170" formatCode="_-&quot;R$&quot;\ * #,##0.00_-;\-&quot;R$&quot;\ * #,##0.00_-;_-&quot;R$&quot;\ * &quot;-&quot;??_-;_-@_-"/>
    <numFmt numFmtId="171" formatCode="0.000"/>
    <numFmt numFmtId="172" formatCode="0.000%"/>
    <numFmt numFmtId="173" formatCode="_ * #,##0.0000_ ;_ * \-#,##0.0000_ ;_ * &quot;-&quot;??_ ;_ @_ "/>
    <numFmt numFmtId="174" formatCode="0.000000000000000%"/>
    <numFmt numFmtId="175" formatCode="_-* #,##0.0000_-;\-* #,##0.0000_-;_-* &quot;-&quot;??_-;_-@_-"/>
    <numFmt numFmtId="176" formatCode="0.00000%"/>
    <numFmt numFmtId="177" formatCode="[$-409]mmm\-yy;@"/>
    <numFmt numFmtId="178" formatCode="0&quot; Ton&quot;"/>
    <numFmt numFmtId="179" formatCode="[$USD]\ #,##0.0"/>
    <numFmt numFmtId="180" formatCode="0.00000"/>
    <numFmt numFmtId="181" formatCode="_-* #,##0_-;\-* #,##0_-;_-* &quot;-&quot;??_-;_-@_-"/>
    <numFmt numFmtId="182" formatCode="[$-409]d\-mmm\-yy;@"/>
    <numFmt numFmtId="183" formatCode="[$USD]\ #,##0"/>
    <numFmt numFmtId="184" formatCode="[$USD]\ #,##0.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b/>
      <sz val="16"/>
      <color theme="0" tint="-0.499984740745262"/>
      <name val="Arial"/>
      <family val="2"/>
    </font>
    <font>
      <b/>
      <u/>
      <sz val="14"/>
      <name val="Arial"/>
      <family val="2"/>
    </font>
    <font>
      <sz val="12"/>
      <color theme="0" tint="-0.49998474074526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i/>
      <sz val="9"/>
      <color rgb="FFFFFFFF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6"/>
      <color theme="0"/>
      <name val="Arial"/>
      <family val="2"/>
    </font>
    <font>
      <b/>
      <sz val="9"/>
      <color indexed="81"/>
      <name val="Tahoma"/>
      <family val="2"/>
    </font>
    <font>
      <sz val="8"/>
      <color theme="0"/>
      <name val="Arial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name val="Calibri"/>
      <family val="2"/>
      <scheme val="minor"/>
    </font>
    <font>
      <sz val="8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2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2" tint="-9.9978637043366805E-2"/>
      </top>
      <bottom/>
      <diagonal/>
    </border>
  </borders>
  <cellStyleXfs count="339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10" borderId="15" applyNumberFormat="0" applyAlignment="0" applyProtection="0"/>
    <xf numFmtId="0" fontId="26" fillId="11" borderId="16" applyNumberFormat="0" applyAlignment="0" applyProtection="0"/>
    <xf numFmtId="0" fontId="27" fillId="11" borderId="15" applyNumberFormat="0" applyAlignment="0" applyProtection="0"/>
    <xf numFmtId="0" fontId="28" fillId="0" borderId="17" applyNumberFormat="0" applyFill="0" applyAlignment="0" applyProtection="0"/>
    <xf numFmtId="0" fontId="29" fillId="12" borderId="1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20" applyNumberFormat="0" applyFill="0" applyAlignment="0" applyProtection="0"/>
    <xf numFmtId="0" fontId="3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3" fillId="0" borderId="0"/>
    <xf numFmtId="0" fontId="33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3" borderId="1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0" fillId="0" borderId="1" xfId="1" applyNumberFormat="1" applyFont="1" applyBorder="1"/>
    <xf numFmtId="164" fontId="2" fillId="2" borderId="0" xfId="1" applyFont="1" applyFill="1" applyAlignment="1">
      <alignment horizontal="center" vertical="center" wrapText="1"/>
    </xf>
    <xf numFmtId="164" fontId="0" fillId="0" borderId="0" xfId="1" applyFont="1"/>
    <xf numFmtId="0" fontId="4" fillId="0" borderId="0" xfId="3" applyFont="1"/>
    <xf numFmtId="0" fontId="3" fillId="0" borderId="0" xfId="3"/>
    <xf numFmtId="0" fontId="6" fillId="0" borderId="0" xfId="3" applyFont="1"/>
    <xf numFmtId="17" fontId="7" fillId="0" borderId="0" xfId="3" applyNumberFormat="1" applyFont="1" applyAlignment="1">
      <alignment horizontal="center"/>
    </xf>
    <xf numFmtId="17" fontId="8" fillId="0" borderId="0" xfId="3" applyNumberFormat="1" applyFont="1" applyAlignment="1">
      <alignment horizontal="center"/>
    </xf>
    <xf numFmtId="0" fontId="3" fillId="0" borderId="0" xfId="3" applyAlignment="1">
      <alignment horizontal="center"/>
    </xf>
    <xf numFmtId="0" fontId="9" fillId="2" borderId="3" xfId="3" applyFont="1" applyFill="1" applyBorder="1" applyAlignment="1">
      <alignment horizontal="center" vertical="center"/>
    </xf>
    <xf numFmtId="0" fontId="9" fillId="2" borderId="4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/>
    </xf>
    <xf numFmtId="0" fontId="10" fillId="0" borderId="6" xfId="3" applyFont="1" applyBorder="1" applyAlignment="1">
      <alignment horizontal="center"/>
    </xf>
    <xf numFmtId="4" fontId="10" fillId="0" borderId="7" xfId="3" applyNumberFormat="1" applyFont="1" applyBorder="1" applyAlignment="1">
      <alignment horizontal="center"/>
    </xf>
    <xf numFmtId="9" fontId="0" fillId="0" borderId="0" xfId="5" applyFont="1"/>
    <xf numFmtId="0" fontId="9" fillId="2" borderId="8" xfId="3" applyFont="1" applyFill="1" applyBorder="1" applyAlignment="1">
      <alignment horizontal="center" vertical="center"/>
    </xf>
    <xf numFmtId="3" fontId="9" fillId="2" borderId="9" xfId="3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7" fontId="14" fillId="4" borderId="10" xfId="0" applyNumberFormat="1" applyFont="1" applyFill="1" applyBorder="1" applyAlignment="1">
      <alignment horizontal="center" vertical="center"/>
    </xf>
    <xf numFmtId="168" fontId="14" fillId="5" borderId="10" xfId="0" applyNumberFormat="1" applyFont="1" applyFill="1" applyBorder="1" applyAlignment="1">
      <alignment horizontal="center" vertical="center"/>
    </xf>
    <xf numFmtId="0" fontId="16" fillId="0" borderId="0" xfId="0" applyFont="1"/>
    <xf numFmtId="4" fontId="3" fillId="0" borderId="0" xfId="3" applyNumberFormat="1"/>
    <xf numFmtId="0" fontId="10" fillId="0" borderId="11" xfId="3" applyFont="1" applyBorder="1" applyAlignment="1">
      <alignment horizontal="center"/>
    </xf>
    <xf numFmtId="0" fontId="0" fillId="6" borderId="0" xfId="0" applyFill="1"/>
    <xf numFmtId="0" fontId="18" fillId="0" borderId="0" xfId="0" applyFont="1"/>
    <xf numFmtId="0" fontId="2" fillId="6" borderId="0" xfId="0" applyFont="1" applyFill="1" applyAlignment="1">
      <alignment horizontal="center" vertical="center" wrapText="1"/>
    </xf>
    <xf numFmtId="164" fontId="19" fillId="0" borderId="1" xfId="1" applyFont="1" applyBorder="1"/>
    <xf numFmtId="9" fontId="0" fillId="0" borderId="0" xfId="0" applyNumberFormat="1"/>
    <xf numFmtId="1" fontId="15" fillId="5" borderId="10" xfId="0" applyNumberFormat="1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72" fontId="3" fillId="0" borderId="0" xfId="6" applyNumberFormat="1" applyFont="1"/>
    <xf numFmtId="2" fontId="3" fillId="0" borderId="0" xfId="6" applyNumberFormat="1" applyFont="1"/>
    <xf numFmtId="2" fontId="3" fillId="0" borderId="0" xfId="6" applyNumberFormat="1" applyFont="1" applyFill="1"/>
    <xf numFmtId="17" fontId="35" fillId="2" borderId="2" xfId="3" applyNumberFormat="1" applyFont="1" applyFill="1" applyBorder="1" applyAlignment="1">
      <alignment horizontal="center"/>
    </xf>
    <xf numFmtId="0" fontId="3" fillId="6" borderId="0" xfId="3" applyFill="1"/>
    <xf numFmtId="0" fontId="3" fillId="6" borderId="0" xfId="3" applyFill="1" applyAlignment="1">
      <alignment horizontal="right"/>
    </xf>
    <xf numFmtId="4" fontId="3" fillId="6" borderId="0" xfId="3" applyNumberFormat="1" applyFill="1"/>
    <xf numFmtId="0" fontId="3" fillId="6" borderId="0" xfId="0" applyFont="1" applyFill="1"/>
    <xf numFmtId="9" fontId="3" fillId="6" borderId="0" xfId="6" applyFont="1" applyFill="1"/>
    <xf numFmtId="165" fontId="0" fillId="0" borderId="0" xfId="1" applyNumberFormat="1" applyFont="1" applyBorder="1"/>
    <xf numFmtId="0" fontId="10" fillId="6" borderId="0" xfId="3" applyFont="1" applyFill="1"/>
    <xf numFmtId="2" fontId="3" fillId="6" borderId="0" xfId="3" applyNumberFormat="1" applyFill="1"/>
    <xf numFmtId="4" fontId="10" fillId="6" borderId="0" xfId="3" applyNumberFormat="1" applyFont="1" applyFill="1" applyAlignment="1">
      <alignment horizontal="center"/>
    </xf>
    <xf numFmtId="166" fontId="0" fillId="6" borderId="0" xfId="4" applyNumberFormat="1" applyFont="1" applyFill="1"/>
    <xf numFmtId="10" fontId="3" fillId="6" borderId="0" xfId="6" applyNumberFormat="1" applyFont="1" applyFill="1"/>
    <xf numFmtId="9" fontId="3" fillId="6" borderId="0" xfId="3" applyNumberFormat="1" applyFill="1"/>
    <xf numFmtId="167" fontId="3" fillId="6" borderId="0" xfId="6" applyNumberFormat="1" applyFont="1" applyFill="1"/>
    <xf numFmtId="0" fontId="3" fillId="6" borderId="0" xfId="3" applyFill="1" applyAlignment="1">
      <alignment horizontal="center"/>
    </xf>
    <xf numFmtId="164" fontId="3" fillId="6" borderId="0" xfId="1" applyFont="1" applyFill="1"/>
    <xf numFmtId="173" fontId="3" fillId="6" borderId="0" xfId="3" applyNumberFormat="1" applyFill="1"/>
    <xf numFmtId="164" fontId="3" fillId="6" borderId="0" xfId="1" applyFont="1" applyFill="1" applyAlignment="1">
      <alignment horizontal="center" vertical="center"/>
    </xf>
    <xf numFmtId="0" fontId="10" fillId="6" borderId="1" xfId="3" applyFont="1" applyFill="1" applyBorder="1" applyAlignment="1">
      <alignment horizontal="center"/>
    </xf>
    <xf numFmtId="174" fontId="0" fillId="0" borderId="0" xfId="0" applyNumberFormat="1"/>
    <xf numFmtId="0" fontId="19" fillId="6" borderId="8" xfId="0" applyFont="1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 wrapText="1"/>
    </xf>
    <xf numFmtId="17" fontId="19" fillId="6" borderId="21" xfId="0" applyNumberFormat="1" applyFont="1" applyFill="1" applyBorder="1" applyAlignment="1">
      <alignment horizontal="center" vertical="center" wrapText="1"/>
    </xf>
    <xf numFmtId="17" fontId="19" fillId="6" borderId="22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165" fontId="2" fillId="2" borderId="24" xfId="2" applyNumberFormat="1" applyFont="1" applyFill="1" applyBorder="1" applyAlignment="1">
      <alignment horizontal="center" vertical="center" wrapText="1"/>
    </xf>
    <xf numFmtId="164" fontId="2" fillId="2" borderId="24" xfId="2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165" fontId="2" fillId="2" borderId="0" xfId="2" applyNumberFormat="1" applyFont="1" applyFill="1" applyBorder="1" applyAlignment="1">
      <alignment horizontal="center" vertical="center" wrapText="1"/>
    </xf>
    <xf numFmtId="165" fontId="2" fillId="2" borderId="27" xfId="2" applyNumberFormat="1" applyFont="1" applyFill="1" applyBorder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10" fontId="2" fillId="2" borderId="27" xfId="0" applyNumberFormat="1" applyFont="1" applyFill="1" applyBorder="1" applyAlignment="1">
      <alignment horizontal="center" vertical="center" wrapText="1"/>
    </xf>
    <xf numFmtId="167" fontId="2" fillId="2" borderId="0" xfId="6" applyNumberFormat="1" applyFont="1" applyFill="1" applyBorder="1" applyAlignment="1">
      <alignment horizontal="center" vertical="center" wrapText="1"/>
    </xf>
    <xf numFmtId="9" fontId="2" fillId="2" borderId="0" xfId="0" applyNumberFormat="1" applyFont="1" applyFill="1" applyAlignment="1">
      <alignment horizontal="center" vertical="center" wrapText="1"/>
    </xf>
    <xf numFmtId="9" fontId="2" fillId="2" borderId="27" xfId="0" applyNumberFormat="1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9" fontId="2" fillId="2" borderId="29" xfId="0" applyNumberFormat="1" applyFont="1" applyFill="1" applyBorder="1" applyAlignment="1">
      <alignment horizontal="center" vertical="center" wrapText="1"/>
    </xf>
    <xf numFmtId="9" fontId="2" fillId="2" borderId="30" xfId="0" applyNumberFormat="1" applyFont="1" applyFill="1" applyBorder="1" applyAlignment="1">
      <alignment horizontal="center" vertical="center" wrapText="1"/>
    </xf>
    <xf numFmtId="9" fontId="2" fillId="2" borderId="24" xfId="0" applyNumberFormat="1" applyFont="1" applyFill="1" applyBorder="1" applyAlignment="1">
      <alignment horizontal="center" vertical="center" wrapText="1"/>
    </xf>
    <xf numFmtId="9" fontId="2" fillId="2" borderId="25" xfId="0" applyNumberFormat="1" applyFont="1" applyFill="1" applyBorder="1" applyAlignment="1">
      <alignment horizontal="center" vertical="center" wrapText="1"/>
    </xf>
    <xf numFmtId="164" fontId="2" fillId="2" borderId="0" xfId="1" applyFont="1" applyFill="1" applyBorder="1" applyAlignment="1">
      <alignment horizontal="center" vertical="center" wrapText="1"/>
    </xf>
    <xf numFmtId="164" fontId="2" fillId="2" borderId="27" xfId="1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165" fontId="2" fillId="2" borderId="24" xfId="11" applyNumberFormat="1" applyFont="1" applyFill="1" applyBorder="1" applyAlignment="1">
      <alignment horizontal="center" vertical="center" wrapText="1"/>
    </xf>
    <xf numFmtId="165" fontId="2" fillId="2" borderId="0" xfId="11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Alignment="1">
      <alignment horizontal="center" vertical="center" wrapText="1"/>
    </xf>
    <xf numFmtId="167" fontId="2" fillId="2" borderId="27" xfId="0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171" fontId="2" fillId="2" borderId="0" xfId="0" applyNumberFormat="1" applyFont="1" applyFill="1" applyAlignment="1">
      <alignment horizontal="center" vertical="center" wrapText="1"/>
    </xf>
    <xf numFmtId="171" fontId="2" fillId="2" borderId="27" xfId="0" applyNumberFormat="1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0" fillId="38" borderId="0" xfId="0" applyFill="1"/>
    <xf numFmtId="0" fontId="2" fillId="38" borderId="0" xfId="0" applyFont="1" applyFill="1" applyAlignment="1">
      <alignment horizontal="center" vertical="center" wrapText="1"/>
    </xf>
    <xf numFmtId="175" fontId="19" fillId="6" borderId="0" xfId="0" applyNumberFormat="1" applyFont="1" applyFill="1" applyAlignment="1">
      <alignment horizontal="center" vertical="center" wrapText="1"/>
    </xf>
    <xf numFmtId="164" fontId="3" fillId="0" borderId="0" xfId="1" applyFont="1"/>
    <xf numFmtId="164" fontId="0" fillId="0" borderId="1" xfId="1" applyFont="1" applyBorder="1"/>
    <xf numFmtId="164" fontId="2" fillId="2" borderId="0" xfId="2" applyFont="1" applyFill="1" applyBorder="1" applyAlignment="1">
      <alignment horizontal="center" vertical="center" wrapText="1"/>
    </xf>
    <xf numFmtId="10" fontId="2" fillId="2" borderId="2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6" fontId="37" fillId="2" borderId="0" xfId="6" applyNumberFormat="1" applyFont="1" applyFill="1" applyAlignment="1">
      <alignment horizontal="center" vertical="center" wrapText="1"/>
    </xf>
    <xf numFmtId="1" fontId="14" fillId="5" borderId="0" xfId="0" applyNumberFormat="1" applyFont="1" applyFill="1" applyAlignment="1">
      <alignment horizontal="center" vertical="center"/>
    </xf>
    <xf numFmtId="10" fontId="14" fillId="5" borderId="10" xfId="0" applyNumberFormat="1" applyFont="1" applyFill="1" applyBorder="1" applyAlignment="1">
      <alignment horizontal="center" vertical="center"/>
    </xf>
    <xf numFmtId="164" fontId="14" fillId="5" borderId="1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2" applyFont="1" applyFill="1" applyBorder="1" applyAlignment="1">
      <alignment horizontal="center" vertical="center" wrapText="1"/>
    </xf>
    <xf numFmtId="165" fontId="2" fillId="0" borderId="0" xfId="2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 applyBorder="1"/>
    <xf numFmtId="17" fontId="19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4" fontId="2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5" fontId="19" fillId="0" borderId="0" xfId="0" applyNumberFormat="1" applyFont="1" applyAlignment="1">
      <alignment horizontal="center" vertical="center" wrapText="1"/>
    </xf>
    <xf numFmtId="165" fontId="2" fillId="0" borderId="0" xfId="11" applyNumberFormat="1" applyFont="1" applyFill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 wrapText="1"/>
    </xf>
    <xf numFmtId="164" fontId="19" fillId="0" borderId="0" xfId="1" applyFont="1" applyFill="1" applyBorder="1"/>
    <xf numFmtId="164" fontId="0" fillId="0" borderId="0" xfId="1" applyFont="1" applyFill="1" applyBorder="1"/>
    <xf numFmtId="166" fontId="2" fillId="2" borderId="24" xfId="11" applyNumberFormat="1" applyFont="1" applyFill="1" applyBorder="1" applyAlignment="1">
      <alignment horizontal="center" vertical="center" wrapText="1"/>
    </xf>
    <xf numFmtId="166" fontId="2" fillId="2" borderId="0" xfId="11" applyNumberFormat="1" applyFont="1" applyFill="1" applyBorder="1" applyAlignment="1">
      <alignment horizontal="center" vertical="center" wrapText="1"/>
    </xf>
    <xf numFmtId="10" fontId="2" fillId="2" borderId="24" xfId="6" applyNumberFormat="1" applyFont="1" applyFill="1" applyBorder="1" applyAlignment="1">
      <alignment horizontal="center" vertical="center" wrapText="1"/>
    </xf>
    <xf numFmtId="168" fontId="14" fillId="5" borderId="0" xfId="0" applyNumberFormat="1" applyFont="1" applyFill="1" applyAlignment="1">
      <alignment horizontal="right" vertical="center"/>
    </xf>
    <xf numFmtId="1" fontId="14" fillId="5" borderId="10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0" fontId="14" fillId="5" borderId="10" xfId="0" applyNumberFormat="1" applyFont="1" applyFill="1" applyBorder="1" applyAlignment="1">
      <alignment horizontal="right" vertical="center"/>
    </xf>
    <xf numFmtId="168" fontId="15" fillId="5" borderId="10" xfId="0" applyNumberFormat="1" applyFont="1" applyFill="1" applyBorder="1" applyAlignment="1">
      <alignment horizontal="center" vertical="center"/>
    </xf>
    <xf numFmtId="17" fontId="14" fillId="39" borderId="10" xfId="0" applyNumberFormat="1" applyFont="1" applyFill="1" applyBorder="1" applyAlignment="1">
      <alignment horizontal="center" vertical="center"/>
    </xf>
    <xf numFmtId="1" fontId="14" fillId="39" borderId="10" xfId="0" applyNumberFormat="1" applyFont="1" applyFill="1" applyBorder="1" applyAlignment="1">
      <alignment horizontal="right" vertical="center"/>
    </xf>
    <xf numFmtId="0" fontId="14" fillId="39" borderId="10" xfId="0" applyFont="1" applyFill="1" applyBorder="1" applyAlignment="1">
      <alignment horizontal="right" vertical="center"/>
    </xf>
    <xf numFmtId="10" fontId="14" fillId="39" borderId="10" xfId="0" applyNumberFormat="1" applyFont="1" applyFill="1" applyBorder="1" applyAlignment="1">
      <alignment horizontal="right" vertical="center"/>
    </xf>
    <xf numFmtId="168" fontId="14" fillId="39" borderId="10" xfId="0" applyNumberFormat="1" applyFont="1" applyFill="1" applyBorder="1" applyAlignment="1">
      <alignment horizontal="center" vertical="center"/>
    </xf>
    <xf numFmtId="0" fontId="14" fillId="39" borderId="10" xfId="0" applyFont="1" applyFill="1" applyBorder="1" applyAlignment="1">
      <alignment horizontal="center" vertical="center"/>
    </xf>
    <xf numFmtId="168" fontId="15" fillId="39" borderId="10" xfId="0" applyNumberFormat="1" applyFont="1" applyFill="1" applyBorder="1" applyAlignment="1">
      <alignment horizontal="center" vertical="center"/>
    </xf>
    <xf numFmtId="1" fontId="14" fillId="39" borderId="10" xfId="0" applyNumberFormat="1" applyFont="1" applyFill="1" applyBorder="1" applyAlignment="1">
      <alignment horizontal="center" vertical="center"/>
    </xf>
    <xf numFmtId="168" fontId="0" fillId="0" borderId="0" xfId="0" applyNumberFormat="1"/>
    <xf numFmtId="2" fontId="15" fillId="5" borderId="10" xfId="0" applyNumberFormat="1" applyFont="1" applyFill="1" applyBorder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164" fontId="14" fillId="5" borderId="10" xfId="1" applyFont="1" applyFill="1" applyBorder="1" applyAlignment="1">
      <alignment horizontal="right" vertical="center"/>
    </xf>
    <xf numFmtId="166" fontId="14" fillId="5" borderId="10" xfId="1" applyNumberFormat="1" applyFont="1" applyFill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center" vertical="center"/>
    </xf>
    <xf numFmtId="164" fontId="14" fillId="0" borderId="10" xfId="1" applyFont="1" applyFill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right" vertical="center"/>
    </xf>
    <xf numFmtId="10" fontId="14" fillId="5" borderId="0" xfId="0" applyNumberFormat="1" applyFont="1" applyFill="1" applyAlignment="1">
      <alignment horizontal="right" vertical="center"/>
    </xf>
    <xf numFmtId="2" fontId="14" fillId="5" borderId="0" xfId="0" applyNumberFormat="1" applyFont="1" applyFill="1" applyAlignment="1">
      <alignment horizontal="right" vertical="center"/>
    </xf>
    <xf numFmtId="168" fontId="14" fillId="40" borderId="10" xfId="0" applyNumberFormat="1" applyFont="1" applyFill="1" applyBorder="1" applyAlignment="1">
      <alignment horizontal="center" vertical="center"/>
    </xf>
    <xf numFmtId="1" fontId="14" fillId="40" borderId="10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10" fontId="14" fillId="0" borderId="0" xfId="0" applyNumberFormat="1" applyFont="1" applyAlignment="1">
      <alignment horizontal="right" vertical="center"/>
    </xf>
    <xf numFmtId="10" fontId="14" fillId="0" borderId="10" xfId="0" applyNumberFormat="1" applyFont="1" applyBorder="1" applyAlignment="1">
      <alignment horizontal="right" vertical="center"/>
    </xf>
    <xf numFmtId="2" fontId="15" fillId="0" borderId="10" xfId="0" applyNumberFormat="1" applyFont="1" applyBorder="1" applyAlignment="1">
      <alignment horizontal="center" vertical="center"/>
    </xf>
    <xf numFmtId="10" fontId="15" fillId="0" borderId="10" xfId="0" applyNumberFormat="1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/>
    </xf>
    <xf numFmtId="164" fontId="15" fillId="0" borderId="10" xfId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17" fontId="15" fillId="0" borderId="0" xfId="0" applyNumberFormat="1" applyFont="1" applyAlignment="1">
      <alignment vertical="center"/>
    </xf>
    <xf numFmtId="17" fontId="14" fillId="4" borderId="0" xfId="0" applyNumberFormat="1" applyFont="1" applyFill="1" applyAlignment="1">
      <alignment horizontal="center" vertical="center"/>
    </xf>
    <xf numFmtId="17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0" fontId="14" fillId="0" borderId="10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right" vertical="center"/>
    </xf>
    <xf numFmtId="0" fontId="41" fillId="0" borderId="0" xfId="0" applyFont="1"/>
    <xf numFmtId="177" fontId="42" fillId="40" borderId="37" xfId="0" applyNumberFormat="1" applyFont="1" applyFill="1" applyBorder="1" applyAlignment="1">
      <alignment horizontal="left"/>
    </xf>
    <xf numFmtId="0" fontId="43" fillId="40" borderId="31" xfId="0" applyFont="1" applyFill="1" applyBorder="1" applyAlignment="1">
      <alignment horizontal="right"/>
    </xf>
    <xf numFmtId="0" fontId="43" fillId="40" borderId="39" xfId="0" applyFont="1" applyFill="1" applyBorder="1" applyAlignment="1">
      <alignment horizontal="right"/>
    </xf>
    <xf numFmtId="0" fontId="44" fillId="40" borderId="38" xfId="0" applyFont="1" applyFill="1" applyBorder="1"/>
    <xf numFmtId="0" fontId="43" fillId="40" borderId="0" xfId="1" applyNumberFormat="1" applyFont="1" applyFill="1" applyBorder="1" applyAlignment="1">
      <alignment horizontal="right"/>
    </xf>
    <xf numFmtId="0" fontId="43" fillId="40" borderId="40" xfId="0" applyFont="1" applyFill="1" applyBorder="1" applyAlignment="1">
      <alignment horizontal="right" indent="1"/>
    </xf>
    <xf numFmtId="0" fontId="43" fillId="0" borderId="35" xfId="0" applyFont="1" applyBorder="1"/>
    <xf numFmtId="178" fontId="43" fillId="0" borderId="36" xfId="1" applyNumberFormat="1" applyFont="1" applyFill="1" applyBorder="1" applyAlignment="1">
      <alignment horizontal="right"/>
    </xf>
    <xf numFmtId="179" fontId="43" fillId="0" borderId="33" xfId="1" applyNumberFormat="1" applyFont="1" applyFill="1" applyBorder="1" applyAlignment="1">
      <alignment horizontal="right"/>
    </xf>
    <xf numFmtId="0" fontId="45" fillId="0" borderId="38" xfId="0" applyFont="1" applyBorder="1"/>
    <xf numFmtId="178" fontId="45" fillId="0" borderId="0" xfId="1" applyNumberFormat="1" applyFont="1" applyFill="1" applyBorder="1" applyAlignment="1">
      <alignment horizontal="right"/>
    </xf>
    <xf numFmtId="179" fontId="45" fillId="0" borderId="40" xfId="0" applyNumberFormat="1" applyFont="1" applyBorder="1" applyAlignment="1">
      <alignment horizontal="right"/>
    </xf>
    <xf numFmtId="0" fontId="43" fillId="42" borderId="35" xfId="0" applyFont="1" applyFill="1" applyBorder="1"/>
    <xf numFmtId="178" fontId="43" fillId="42" borderId="36" xfId="1" applyNumberFormat="1" applyFont="1" applyFill="1" applyBorder="1" applyAlignment="1">
      <alignment horizontal="right"/>
    </xf>
    <xf numFmtId="179" fontId="43" fillId="42" borderId="33" xfId="0" applyNumberFormat="1" applyFont="1" applyFill="1" applyBorder="1" applyAlignment="1">
      <alignment horizontal="right"/>
    </xf>
    <xf numFmtId="178" fontId="41" fillId="0" borderId="0" xfId="0" applyNumberFormat="1" applyFont="1"/>
    <xf numFmtId="17" fontId="14" fillId="4" borderId="10" xfId="0" quotePrefix="1" applyNumberFormat="1" applyFont="1" applyFill="1" applyBorder="1" applyAlignment="1">
      <alignment horizontal="center" vertical="center"/>
    </xf>
    <xf numFmtId="2" fontId="14" fillId="5" borderId="10" xfId="0" applyNumberFormat="1" applyFont="1" applyFill="1" applyBorder="1" applyAlignment="1">
      <alignment horizontal="right" vertical="center"/>
    </xf>
    <xf numFmtId="180" fontId="14" fillId="5" borderId="10" xfId="0" applyNumberFormat="1" applyFont="1" applyFill="1" applyBorder="1" applyAlignment="1">
      <alignment horizontal="center" vertical="center"/>
    </xf>
    <xf numFmtId="0" fontId="48" fillId="0" borderId="0" xfId="0" applyFont="1"/>
    <xf numFmtId="0" fontId="46" fillId="0" borderId="0" xfId="0" applyFont="1"/>
    <xf numFmtId="0" fontId="49" fillId="0" borderId="0" xfId="0" applyFont="1" applyAlignment="1">
      <alignment horizontal="left" indent="2"/>
    </xf>
    <xf numFmtId="166" fontId="50" fillId="43" borderId="0" xfId="1" applyNumberFormat="1" applyFont="1" applyFill="1" applyAlignment="1">
      <alignment horizontal="left"/>
    </xf>
    <xf numFmtId="166" fontId="50" fillId="44" borderId="0" xfId="1" applyNumberFormat="1" applyFont="1" applyFill="1" applyAlignment="1">
      <alignment horizontal="left"/>
    </xf>
    <xf numFmtId="166" fontId="51" fillId="43" borderId="0" xfId="1" applyNumberFormat="1" applyFont="1" applyFill="1" applyAlignment="1"/>
    <xf numFmtId="0" fontId="52" fillId="0" borderId="0" xfId="0" applyFont="1" applyAlignment="1">
      <alignment horizontal="center"/>
    </xf>
    <xf numFmtId="166" fontId="50" fillId="43" borderId="0" xfId="1" applyNumberFormat="1" applyFont="1" applyFill="1" applyAlignment="1"/>
    <xf numFmtId="166" fontId="52" fillId="40" borderId="0" xfId="1" applyNumberFormat="1" applyFont="1" applyFill="1"/>
    <xf numFmtId="181" fontId="52" fillId="40" borderId="0" xfId="1" applyNumberFormat="1" applyFont="1" applyFill="1" applyAlignment="1"/>
    <xf numFmtId="0" fontId="40" fillId="41" borderId="0" xfId="0" applyFont="1" applyFill="1" applyAlignment="1">
      <alignment vertical="center" wrapText="1"/>
    </xf>
    <xf numFmtId="0" fontId="46" fillId="45" borderId="41" xfId="0" applyFont="1" applyFill="1" applyBorder="1" applyAlignment="1">
      <alignment horizontal="center" vertical="center"/>
    </xf>
    <xf numFmtId="0" fontId="46" fillId="45" borderId="41" xfId="0" applyFont="1" applyFill="1" applyBorder="1" applyAlignment="1">
      <alignment horizontal="center"/>
    </xf>
    <xf numFmtId="0" fontId="47" fillId="46" borderId="0" xfId="0" applyFont="1" applyFill="1"/>
    <xf numFmtId="166" fontId="47" fillId="46" borderId="0" xfId="1" applyNumberFormat="1" applyFont="1" applyFill="1"/>
    <xf numFmtId="0" fontId="47" fillId="47" borderId="41" xfId="0" applyFont="1" applyFill="1" applyBorder="1" applyAlignment="1">
      <alignment horizontal="center" vertical="center"/>
    </xf>
    <xf numFmtId="0" fontId="47" fillId="47" borderId="41" xfId="0" applyFont="1" applyFill="1" applyBorder="1" applyAlignment="1">
      <alignment horizontal="center"/>
    </xf>
    <xf numFmtId="0" fontId="50" fillId="47" borderId="0" xfId="0" applyFont="1" applyFill="1"/>
    <xf numFmtId="166" fontId="51" fillId="47" borderId="0" xfId="1" applyNumberFormat="1" applyFont="1" applyFill="1" applyAlignment="1"/>
    <xf numFmtId="0" fontId="53" fillId="39" borderId="0" xfId="0" applyFont="1" applyFill="1" applyAlignment="1">
      <alignment horizontal="right"/>
    </xf>
    <xf numFmtId="17" fontId="54" fillId="39" borderId="0" xfId="0" applyNumberFormat="1" applyFont="1" applyFill="1" applyAlignment="1">
      <alignment horizontal="center" vertical="center"/>
    </xf>
    <xf numFmtId="17" fontId="54" fillId="39" borderId="0" xfId="0" applyNumberFormat="1" applyFont="1" applyFill="1"/>
    <xf numFmtId="0" fontId="48" fillId="39" borderId="0" xfId="0" applyFont="1" applyFill="1" applyAlignment="1">
      <alignment horizontal="left"/>
    </xf>
    <xf numFmtId="166" fontId="48" fillId="39" borderId="0" xfId="1" applyNumberFormat="1" applyFont="1" applyFill="1" applyBorder="1" applyAlignment="1">
      <alignment horizontal="left"/>
    </xf>
    <xf numFmtId="0" fontId="48" fillId="0" borderId="0" xfId="0" applyFont="1" applyAlignment="1">
      <alignment horizontal="left"/>
    </xf>
    <xf numFmtId="166" fontId="55" fillId="0" borderId="0" xfId="0" applyNumberFormat="1" applyFont="1"/>
    <xf numFmtId="0" fontId="56" fillId="48" borderId="0" xfId="0" applyFont="1" applyFill="1" applyAlignment="1">
      <alignment horizontal="center" vertical="center" wrapText="1"/>
    </xf>
    <xf numFmtId="0" fontId="57" fillId="48" borderId="0" xfId="0" applyFont="1" applyFill="1" applyAlignment="1">
      <alignment horizontal="center" vertical="center" wrapText="1"/>
    </xf>
    <xf numFmtId="9" fontId="57" fillId="48" borderId="0" xfId="6" applyFont="1" applyFill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177" fontId="57" fillId="49" borderId="0" xfId="0" applyNumberFormat="1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7" fontId="58" fillId="50" borderId="0" xfId="0" applyNumberFormat="1" applyFont="1" applyFill="1" applyAlignment="1">
      <alignment horizontal="left" vertical="center" wrapText="1"/>
    </xf>
    <xf numFmtId="9" fontId="59" fillId="0" borderId="0" xfId="0" applyNumberFormat="1" applyFont="1" applyAlignment="1">
      <alignment horizontal="center"/>
    </xf>
    <xf numFmtId="0" fontId="59" fillId="0" borderId="0" xfId="0" applyFont="1"/>
    <xf numFmtId="168" fontId="48" fillId="0" borderId="0" xfId="0" applyNumberFormat="1" applyFont="1"/>
    <xf numFmtId="0" fontId="57" fillId="51" borderId="0" xfId="0" applyFont="1" applyFill="1" applyAlignment="1">
      <alignment horizontal="left"/>
    </xf>
    <xf numFmtId="182" fontId="57" fillId="51" borderId="0" xfId="0" applyNumberFormat="1" applyFont="1" applyFill="1" applyAlignment="1">
      <alignment horizontal="left"/>
    </xf>
    <xf numFmtId="166" fontId="57" fillId="51" borderId="0" xfId="1" applyNumberFormat="1" applyFont="1" applyFill="1" applyAlignment="1">
      <alignment horizontal="center"/>
    </xf>
    <xf numFmtId="0" fontId="57" fillId="51" borderId="0" xfId="0" applyFont="1" applyFill="1" applyAlignment="1">
      <alignment horizontal="center"/>
    </xf>
    <xf numFmtId="166" fontId="57" fillId="51" borderId="0" xfId="1" applyNumberFormat="1" applyFont="1" applyFill="1" applyAlignment="1">
      <alignment horizontal="left"/>
    </xf>
    <xf numFmtId="4" fontId="48" fillId="0" borderId="0" xfId="0" applyNumberFormat="1" applyFont="1" applyAlignment="1">
      <alignment horizontal="left"/>
    </xf>
    <xf numFmtId="182" fontId="48" fillId="0" borderId="0" xfId="0" applyNumberFormat="1" applyFont="1" applyAlignment="1">
      <alignment horizontal="left"/>
    </xf>
    <xf numFmtId="166" fontId="48" fillId="0" borderId="0" xfId="1" applyNumberFormat="1" applyFont="1" applyAlignment="1">
      <alignment horizontal="center"/>
    </xf>
    <xf numFmtId="0" fontId="48" fillId="0" borderId="0" xfId="0" applyFont="1" applyAlignment="1">
      <alignment horizontal="center"/>
    </xf>
    <xf numFmtId="166" fontId="48" fillId="0" borderId="0" xfId="1" applyNumberFormat="1" applyFont="1" applyAlignment="1">
      <alignment horizontal="left"/>
    </xf>
    <xf numFmtId="0" fontId="48" fillId="40" borderId="0" xfId="0" applyFont="1" applyFill="1" applyAlignment="1">
      <alignment horizontal="left"/>
    </xf>
    <xf numFmtId="10" fontId="48" fillId="40" borderId="0" xfId="6" applyNumberFormat="1" applyFont="1" applyFill="1" applyAlignment="1">
      <alignment horizontal="left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9" fontId="48" fillId="0" borderId="0" xfId="6" applyFont="1" applyAlignment="1" applyProtection="1">
      <alignment horizontal="center" vertical="center"/>
    </xf>
    <xf numFmtId="9" fontId="48" fillId="0" borderId="0" xfId="6" applyFont="1" applyAlignment="1">
      <alignment horizontal="center" vertical="center"/>
    </xf>
    <xf numFmtId="166" fontId="48" fillId="40" borderId="0" xfId="1" applyNumberFormat="1" applyFont="1" applyFill="1" applyAlignment="1" applyProtection="1">
      <alignment horizontal="center" vertical="center"/>
    </xf>
    <xf numFmtId="166" fontId="48" fillId="40" borderId="0" xfId="1" applyNumberFormat="1" applyFont="1" applyFill="1" applyAlignment="1">
      <alignment horizontal="center" vertical="center"/>
    </xf>
    <xf numFmtId="164" fontId="48" fillId="40" borderId="0" xfId="1" applyFont="1" applyFill="1" applyAlignment="1">
      <alignment horizontal="left"/>
    </xf>
    <xf numFmtId="43" fontId="48" fillId="0" borderId="0" xfId="0" applyNumberFormat="1" applyFont="1" applyAlignment="1">
      <alignment horizontal="left"/>
    </xf>
    <xf numFmtId="183" fontId="45" fillId="0" borderId="40" xfId="0" applyNumberFormat="1" applyFont="1" applyBorder="1" applyAlignment="1">
      <alignment horizontal="right"/>
    </xf>
    <xf numFmtId="183" fontId="43" fillId="0" borderId="33" xfId="1" applyNumberFormat="1" applyFont="1" applyFill="1" applyBorder="1" applyAlignment="1">
      <alignment horizontal="right"/>
    </xf>
    <xf numFmtId="183" fontId="43" fillId="42" borderId="33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19" fillId="0" borderId="1" xfId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43" fillId="40" borderId="0" xfId="1" applyNumberFormat="1" applyFont="1" applyFill="1" applyAlignment="1">
      <alignment horizontal="right"/>
    </xf>
    <xf numFmtId="178" fontId="43" fillId="0" borderId="36" xfId="1" applyNumberFormat="1" applyFont="1" applyBorder="1" applyAlignment="1">
      <alignment horizontal="right"/>
    </xf>
    <xf numFmtId="183" fontId="43" fillId="0" borderId="33" xfId="1" applyNumberFormat="1" applyFont="1" applyBorder="1" applyAlignment="1">
      <alignment horizontal="right"/>
    </xf>
    <xf numFmtId="179" fontId="43" fillId="0" borderId="33" xfId="1" applyNumberFormat="1" applyFont="1" applyBorder="1" applyAlignment="1">
      <alignment horizontal="right"/>
    </xf>
    <xf numFmtId="178" fontId="45" fillId="0" borderId="0" xfId="1" applyNumberFormat="1" applyFont="1" applyAlignment="1">
      <alignment horizontal="right"/>
    </xf>
    <xf numFmtId="184" fontId="43" fillId="42" borderId="33" xfId="0" applyNumberFormat="1" applyFont="1" applyFill="1" applyBorder="1" applyAlignment="1">
      <alignment horizontal="right"/>
    </xf>
    <xf numFmtId="17" fontId="14" fillId="6" borderId="0" xfId="0" applyNumberFormat="1" applyFont="1" applyFill="1" applyAlignment="1">
      <alignment horizontal="center" vertical="center"/>
    </xf>
    <xf numFmtId="166" fontId="50" fillId="43" borderId="0" xfId="1" applyNumberFormat="1" applyFont="1" applyFill="1"/>
    <xf numFmtId="166" fontId="51" fillId="43" borderId="0" xfId="1" applyNumberFormat="1" applyFont="1" applyFill="1"/>
    <xf numFmtId="0" fontId="0" fillId="0" borderId="31" xfId="0" applyBorder="1"/>
    <xf numFmtId="0" fontId="0" fillId="0" borderId="32" xfId="0" applyBorder="1"/>
    <xf numFmtId="3" fontId="10" fillId="0" borderId="7" xfId="3" applyNumberFormat="1" applyFont="1" applyBorder="1" applyAlignment="1">
      <alignment horizontal="center"/>
    </xf>
    <xf numFmtId="177" fontId="57" fillId="52" borderId="0" xfId="0" applyNumberFormat="1" applyFont="1" applyFill="1" applyAlignment="1">
      <alignment horizontal="center" vertical="center" wrapText="1"/>
    </xf>
    <xf numFmtId="166" fontId="48" fillId="53" borderId="0" xfId="1" applyNumberFormat="1" applyFont="1" applyFill="1" applyAlignment="1" applyProtection="1">
      <alignment horizontal="center" vertical="center"/>
    </xf>
    <xf numFmtId="166" fontId="48" fillId="53" borderId="0" xfId="1" applyNumberFormat="1" applyFont="1" applyFill="1" applyAlignment="1">
      <alignment horizontal="center" vertical="center"/>
    </xf>
    <xf numFmtId="166" fontId="48" fillId="40" borderId="0" xfId="1" applyNumberFormat="1" applyFont="1" applyFill="1" applyAlignment="1">
      <alignment horizontal="center" vertical="center" wrapText="1"/>
    </xf>
    <xf numFmtId="164" fontId="2" fillId="2" borderId="24" xfId="11" applyFont="1" applyFill="1" applyBorder="1" applyAlignment="1">
      <alignment horizontal="center" vertical="center" wrapText="1"/>
    </xf>
    <xf numFmtId="164" fontId="2" fillId="2" borderId="0" xfId="11" applyFont="1" applyFill="1" applyBorder="1" applyAlignment="1">
      <alignment horizontal="center" vertical="center" wrapText="1"/>
    </xf>
    <xf numFmtId="1" fontId="14" fillId="5" borderId="10" xfId="0" applyNumberFormat="1" applyFont="1" applyFill="1" applyBorder="1" applyAlignment="1">
      <alignment vertical="center"/>
    </xf>
    <xf numFmtId="183" fontId="41" fillId="0" borderId="0" xfId="0" applyNumberFormat="1" applyFont="1"/>
    <xf numFmtId="166" fontId="0" fillId="0" borderId="1" xfId="338" applyNumberFormat="1" applyFont="1" applyBorder="1"/>
    <xf numFmtId="165" fontId="0" fillId="0" borderId="0" xfId="338" applyNumberFormat="1" applyFont="1" applyFill="1" applyBorder="1"/>
    <xf numFmtId="165" fontId="0" fillId="0" borderId="1" xfId="338" applyNumberFormat="1" applyFont="1" applyBorder="1"/>
    <xf numFmtId="165" fontId="0" fillId="0" borderId="1" xfId="338" applyNumberFormat="1" applyFont="1" applyFill="1" applyBorder="1"/>
    <xf numFmtId="165" fontId="0" fillId="0" borderId="34" xfId="338" applyNumberFormat="1" applyFont="1" applyBorder="1"/>
    <xf numFmtId="165" fontId="0" fillId="0" borderId="11" xfId="338" applyNumberFormat="1" applyFont="1" applyBorder="1"/>
    <xf numFmtId="165" fontId="0" fillId="6" borderId="32" xfId="338" applyNumberFormat="1" applyFont="1" applyFill="1" applyBorder="1"/>
    <xf numFmtId="165" fontId="0" fillId="6" borderId="0" xfId="338" applyNumberFormat="1" applyFont="1" applyFill="1" applyBorder="1"/>
    <xf numFmtId="164" fontId="0" fillId="6" borderId="0" xfId="338" applyFont="1" applyFill="1" applyBorder="1"/>
    <xf numFmtId="166" fontId="0" fillId="0" borderId="31" xfId="338" applyNumberFormat="1" applyFont="1" applyFill="1" applyBorder="1"/>
    <xf numFmtId="165" fontId="0" fillId="0" borderId="31" xfId="338" applyNumberFormat="1" applyFont="1" applyFill="1" applyBorder="1"/>
    <xf numFmtId="166" fontId="0" fillId="6" borderId="0" xfId="338" applyNumberFormat="1" applyFont="1" applyFill="1" applyBorder="1"/>
    <xf numFmtId="165" fontId="0" fillId="0" borderId="32" xfId="338" applyNumberFormat="1" applyFont="1" applyFill="1" applyBorder="1"/>
    <xf numFmtId="165" fontId="0" fillId="0" borderId="40" xfId="338" applyNumberFormat="1" applyFont="1" applyBorder="1"/>
    <xf numFmtId="165" fontId="0" fillId="0" borderId="42" xfId="338" applyNumberFormat="1" applyFont="1" applyBorder="1"/>
    <xf numFmtId="164" fontId="0" fillId="0" borderId="0" xfId="338" applyFont="1"/>
    <xf numFmtId="165" fontId="0" fillId="38" borderId="33" xfId="338" applyNumberFormat="1" applyFont="1" applyFill="1" applyBorder="1"/>
    <xf numFmtId="165" fontId="0" fillId="38" borderId="1" xfId="338" applyNumberFormat="1" applyFont="1" applyFill="1" applyBorder="1"/>
    <xf numFmtId="165" fontId="0" fillId="38" borderId="11" xfId="338" applyNumberFormat="1" applyFont="1" applyFill="1" applyBorder="1"/>
    <xf numFmtId="164" fontId="0" fillId="38" borderId="0" xfId="338" applyFont="1" applyFill="1"/>
    <xf numFmtId="164" fontId="2" fillId="2" borderId="27" xfId="338" applyFont="1" applyFill="1" applyBorder="1" applyAlignment="1">
      <alignment horizontal="center" vertical="center" wrapText="1"/>
    </xf>
    <xf numFmtId="164" fontId="2" fillId="0" borderId="0" xfId="338" applyFont="1" applyFill="1" applyBorder="1" applyAlignment="1">
      <alignment horizontal="center" vertical="center" wrapText="1"/>
    </xf>
    <xf numFmtId="164" fontId="2" fillId="2" borderId="0" xfId="338" applyFont="1" applyFill="1" applyBorder="1" applyAlignment="1">
      <alignment horizontal="center" vertical="center" wrapText="1"/>
    </xf>
    <xf numFmtId="164" fontId="2" fillId="2" borderId="0" xfId="338" applyFont="1" applyFill="1" applyAlignment="1">
      <alignment horizontal="center" vertical="center" wrapText="1"/>
    </xf>
    <xf numFmtId="166" fontId="51" fillId="47" borderId="0" xfId="1" applyNumberFormat="1" applyFont="1" applyFill="1"/>
    <xf numFmtId="166" fontId="52" fillId="0" borderId="0" xfId="1" applyNumberFormat="1" applyFont="1"/>
    <xf numFmtId="181" fontId="52" fillId="40" borderId="0" xfId="1" applyNumberFormat="1" applyFont="1" applyFill="1"/>
    <xf numFmtId="166" fontId="48" fillId="39" borderId="0" xfId="1" applyNumberFormat="1" applyFont="1" applyFill="1" applyAlignment="1">
      <alignment horizontal="left"/>
    </xf>
    <xf numFmtId="9" fontId="0" fillId="6" borderId="0" xfId="6" applyFont="1" applyFill="1" applyBorder="1"/>
    <xf numFmtId="1" fontId="14" fillId="6" borderId="0" xfId="0" applyNumberFormat="1" applyFont="1" applyFill="1" applyAlignment="1">
      <alignment horizontal="center" vertical="center"/>
    </xf>
    <xf numFmtId="1" fontId="14" fillId="6" borderId="10" xfId="0" applyNumberFormat="1" applyFont="1" applyFill="1" applyBorder="1" applyAlignment="1">
      <alignment vertical="center"/>
    </xf>
    <xf numFmtId="10" fontId="14" fillId="6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168" fontId="14" fillId="6" borderId="10" xfId="0" applyNumberFormat="1" applyFont="1" applyFill="1" applyBorder="1" applyAlignment="1">
      <alignment horizontal="center" vertical="center"/>
    </xf>
    <xf numFmtId="164" fontId="14" fillId="6" borderId="10" xfId="1" applyFont="1" applyFill="1" applyBorder="1" applyAlignment="1">
      <alignment horizontal="center" vertical="center"/>
    </xf>
    <xf numFmtId="1" fontId="15" fillId="6" borderId="10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166" fontId="2" fillId="2" borderId="0" xfId="2" applyNumberFormat="1" applyFont="1" applyFill="1" applyBorder="1" applyAlignment="1">
      <alignment horizontal="center" vertical="center" wrapText="1"/>
    </xf>
    <xf numFmtId="9" fontId="3" fillId="6" borderId="0" xfId="6" applyFont="1" applyFill="1" applyAlignment="1">
      <alignment horizontal="right"/>
    </xf>
    <xf numFmtId="9" fontId="3" fillId="6" borderId="0" xfId="6" applyFont="1" applyFill="1" applyAlignment="1">
      <alignment horizontal="center"/>
    </xf>
    <xf numFmtId="9" fontId="0" fillId="0" borderId="0" xfId="6" applyFont="1"/>
    <xf numFmtId="167" fontId="3" fillId="0" borderId="0" xfId="6" applyNumberFormat="1" applyFont="1"/>
    <xf numFmtId="10" fontId="0" fillId="0" borderId="0" xfId="6" applyNumberFormat="1" applyFont="1"/>
    <xf numFmtId="0" fontId="5" fillId="0" borderId="0" xfId="3" applyFont="1" applyAlignment="1">
      <alignment horizont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0" fillId="41" borderId="0" xfId="0" applyFont="1" applyFill="1" applyAlignment="1">
      <alignment horizontal="center" vertical="center" wrapText="1"/>
    </xf>
    <xf numFmtId="0" fontId="39" fillId="3" borderId="35" xfId="0" applyFont="1" applyFill="1" applyBorder="1" applyAlignment="1">
      <alignment horizontal="center" vertical="center" wrapText="1"/>
    </xf>
    <xf numFmtId="0" fontId="39" fillId="3" borderId="36" xfId="0" applyFont="1" applyFill="1" applyBorder="1" applyAlignment="1">
      <alignment horizontal="center" vertical="center" wrapText="1"/>
    </xf>
    <xf numFmtId="0" fontId="39" fillId="3" borderId="33" xfId="0" applyFont="1" applyFill="1" applyBorder="1" applyAlignment="1">
      <alignment horizontal="center" vertical="center" wrapText="1"/>
    </xf>
    <xf numFmtId="17" fontId="14" fillId="54" borderId="0" xfId="0" applyNumberFormat="1" applyFont="1" applyFill="1" applyAlignment="1">
      <alignment horizontal="center" vertical="center"/>
    </xf>
    <xf numFmtId="17" fontId="14" fillId="54" borderId="10" xfId="0" applyNumberFormat="1" applyFont="1" applyFill="1" applyBorder="1" applyAlignment="1">
      <alignment horizontal="center" vertical="center"/>
    </xf>
    <xf numFmtId="1" fontId="14" fillId="54" borderId="0" xfId="0" applyNumberFormat="1" applyFont="1" applyFill="1" applyAlignment="1">
      <alignment horizontal="center" vertical="center"/>
    </xf>
    <xf numFmtId="10" fontId="14" fillId="54" borderId="10" xfId="0" applyNumberFormat="1" applyFont="1" applyFill="1" applyBorder="1" applyAlignment="1">
      <alignment horizontal="center" vertical="center"/>
    </xf>
    <xf numFmtId="1" fontId="14" fillId="54" borderId="10" xfId="0" applyNumberFormat="1" applyFont="1" applyFill="1" applyBorder="1" applyAlignment="1">
      <alignment horizontal="center" vertical="center"/>
    </xf>
    <xf numFmtId="168" fontId="14" fillId="54" borderId="10" xfId="0" applyNumberFormat="1" applyFont="1" applyFill="1" applyBorder="1" applyAlignment="1">
      <alignment horizontal="center" vertical="center"/>
    </xf>
    <xf numFmtId="164" fontId="14" fillId="54" borderId="10" xfId="1" applyFont="1" applyFill="1" applyBorder="1" applyAlignment="1">
      <alignment horizontal="center" vertical="center"/>
    </xf>
    <xf numFmtId="1" fontId="15" fillId="54" borderId="10" xfId="0" applyNumberFormat="1" applyFont="1" applyFill="1" applyBorder="1" applyAlignment="1">
      <alignment horizontal="center" vertical="center"/>
    </xf>
    <xf numFmtId="0" fontId="0" fillId="54" borderId="0" xfId="0" applyFill="1" applyAlignment="1">
      <alignment horizontal="center"/>
    </xf>
    <xf numFmtId="0" fontId="0" fillId="54" borderId="43" xfId="0" applyFill="1" applyBorder="1" applyAlignment="1">
      <alignment horizontal="center"/>
    </xf>
  </cellXfs>
  <cellStyles count="339">
    <cellStyle name="20% - Accent1" xfId="27" builtinId="30" customBuiltin="1"/>
    <cellStyle name="20% - Accent2" xfId="30" builtinId="34" customBuiltin="1"/>
    <cellStyle name="20% - Accent3" xfId="33" builtinId="38" customBuiltin="1"/>
    <cellStyle name="20% - Accent4" xfId="36" builtinId="42" customBuiltin="1"/>
    <cellStyle name="20% - Accent5" xfId="39" builtinId="46" customBuiltin="1"/>
    <cellStyle name="20% - Accent6" xfId="42" builtinId="50" customBuiltin="1"/>
    <cellStyle name="20% - Énfasis1 10" xfId="170" xr:uid="{185366DE-BF0E-4E4D-BA1C-14A1A32E8803}"/>
    <cellStyle name="20% - Énfasis1 11" xfId="184" xr:uid="{E573440E-6C21-47C6-8961-F3004AC5C90F}"/>
    <cellStyle name="20% - Énfasis1 12" xfId="198" xr:uid="{5AB5685D-77B0-4DD0-9CB5-81EE92B3EF85}"/>
    <cellStyle name="20% - Énfasis1 13" xfId="212" xr:uid="{63DE5673-2C68-4044-80C5-1031DDD07E9A}"/>
    <cellStyle name="20% - Énfasis1 14" xfId="226" xr:uid="{0142F591-3AF9-432A-9245-08659F216CE4}"/>
    <cellStyle name="20% - Énfasis1 15" xfId="240" xr:uid="{9C800CA0-3832-487E-AE69-055A08F53393}"/>
    <cellStyle name="20% - Énfasis1 16" xfId="254" xr:uid="{6781AEB6-B239-483B-8B6F-3D6C84D4E9A6}"/>
    <cellStyle name="20% - Énfasis1 17" xfId="268" xr:uid="{FB59D1D6-6844-40E6-AA0B-F1A5CB58B880}"/>
    <cellStyle name="20% - Énfasis1 18" xfId="282" xr:uid="{0CD09507-900F-4B36-9638-28CE83734AAE}"/>
    <cellStyle name="20% - Énfasis1 19" xfId="296" xr:uid="{DC5CA585-D0E5-4A7E-B309-B508AB6BD16D}"/>
    <cellStyle name="20% - Énfasis1 2" xfId="58" xr:uid="{0AAC295A-44A6-4541-A60E-39C1A44216AB}"/>
    <cellStyle name="20% - Énfasis1 20" xfId="310" xr:uid="{7398AE79-0893-49C8-AC7B-9B370623E801}"/>
    <cellStyle name="20% - Énfasis1 21" xfId="324" xr:uid="{1309EAD5-F83E-4711-A51D-869AC0B9CD4B}"/>
    <cellStyle name="20% - Énfasis1 3" xfId="72" xr:uid="{7605C686-6179-4A38-90DD-0D10B53863DD}"/>
    <cellStyle name="20% - Énfasis1 4" xfId="86" xr:uid="{EF250E80-1929-4A11-BA29-61A854638380}"/>
    <cellStyle name="20% - Énfasis1 5" xfId="100" xr:uid="{83FEA86E-4E3B-4917-BFAD-BBCC7695EF7A}"/>
    <cellStyle name="20% - Énfasis1 6" xfId="114" xr:uid="{C2899C4E-FA4D-451D-ADB3-624D3566F536}"/>
    <cellStyle name="20% - Énfasis1 7" xfId="128" xr:uid="{C7AF98D5-972F-40C1-B843-DE17342F2EC8}"/>
    <cellStyle name="20% - Énfasis1 8" xfId="142" xr:uid="{6CB31F8B-F93D-486F-A104-B9E6259DE425}"/>
    <cellStyle name="20% - Énfasis1 9" xfId="156" xr:uid="{8E51C815-1AF6-4802-8DF0-011E8B73FF04}"/>
    <cellStyle name="20% - Énfasis2 10" xfId="172" xr:uid="{1FDE755C-CEDA-42D9-89D3-C5FA727AA74D}"/>
    <cellStyle name="20% - Énfasis2 11" xfId="186" xr:uid="{AF97E725-9CFF-4395-90FA-F94C2EBACC57}"/>
    <cellStyle name="20% - Énfasis2 12" xfId="200" xr:uid="{E5988505-BACF-4377-AB12-8FE902EAEE63}"/>
    <cellStyle name="20% - Énfasis2 13" xfId="214" xr:uid="{B70E6939-012D-4D42-A886-88CD9E51B481}"/>
    <cellStyle name="20% - Énfasis2 14" xfId="228" xr:uid="{34E0174C-9B6F-4687-B273-D49E74AA24BE}"/>
    <cellStyle name="20% - Énfasis2 15" xfId="242" xr:uid="{929BAF02-A61B-43A6-86F6-DAFC1E3E9A4F}"/>
    <cellStyle name="20% - Énfasis2 16" xfId="256" xr:uid="{5018222C-6E86-43F6-AA71-7F31613CD9D2}"/>
    <cellStyle name="20% - Énfasis2 17" xfId="270" xr:uid="{24BE6D6F-8454-41F1-8043-5D38697DB753}"/>
    <cellStyle name="20% - Énfasis2 18" xfId="284" xr:uid="{232C41EB-AD28-442C-897A-1D1AF8DFD0B5}"/>
    <cellStyle name="20% - Énfasis2 19" xfId="298" xr:uid="{6834464B-9E48-40FD-9FA7-7523C5214B0B}"/>
    <cellStyle name="20% - Énfasis2 2" xfId="60" xr:uid="{151635E6-FAF4-489C-ADD0-7DAC7D10B9F5}"/>
    <cellStyle name="20% - Énfasis2 20" xfId="312" xr:uid="{784F122E-2E3F-4A51-8281-28B4BF691B9B}"/>
    <cellStyle name="20% - Énfasis2 21" xfId="326" xr:uid="{25E61FA6-0D37-43CD-A768-94A412A0DC5A}"/>
    <cellStyle name="20% - Énfasis2 3" xfId="74" xr:uid="{03399AC2-EEC4-491B-8FA3-2B22D0B0C024}"/>
    <cellStyle name="20% - Énfasis2 4" xfId="88" xr:uid="{CEF7495A-F7A0-4C41-9C49-A606683CCD81}"/>
    <cellStyle name="20% - Énfasis2 5" xfId="102" xr:uid="{52DBA629-7F4F-485B-BEAD-85D98CF07D32}"/>
    <cellStyle name="20% - Énfasis2 6" xfId="116" xr:uid="{13427B66-2922-4CAF-B14E-87FC10BACEA5}"/>
    <cellStyle name="20% - Énfasis2 7" xfId="130" xr:uid="{4C05EFA4-A4EF-481F-98D9-3ECB998CF120}"/>
    <cellStyle name="20% - Énfasis2 8" xfId="144" xr:uid="{EF71B93F-26E2-4893-87F9-FC8B024FE6DD}"/>
    <cellStyle name="20% - Énfasis2 9" xfId="158" xr:uid="{B70AD96D-2917-41B2-91D3-3E82DDB412C7}"/>
    <cellStyle name="20% - Énfasis3 10" xfId="174" xr:uid="{A8BB0600-958F-4372-B23F-BA58D03D807B}"/>
    <cellStyle name="20% - Énfasis3 11" xfId="188" xr:uid="{FEE4FCA1-6664-460C-B07A-E93969866568}"/>
    <cellStyle name="20% - Énfasis3 12" xfId="202" xr:uid="{EBE7B716-207B-4CE1-94CC-472E62F9F8D1}"/>
    <cellStyle name="20% - Énfasis3 13" xfId="216" xr:uid="{23DECAA7-F6C8-485B-B04E-4FBEF6A81DC2}"/>
    <cellStyle name="20% - Énfasis3 14" xfId="230" xr:uid="{4BBA8EA1-0A4B-49BE-A036-D76DB0D41A6B}"/>
    <cellStyle name="20% - Énfasis3 15" xfId="244" xr:uid="{335AC400-CBC3-4252-B0B3-6E2260097656}"/>
    <cellStyle name="20% - Énfasis3 16" xfId="258" xr:uid="{116C3268-2749-432B-9413-D0F5C4F5A93A}"/>
    <cellStyle name="20% - Énfasis3 17" xfId="272" xr:uid="{6E1F9779-C19E-49E1-B141-986C93803E27}"/>
    <cellStyle name="20% - Énfasis3 18" xfId="286" xr:uid="{63C7EDD0-CF7A-45D5-8F18-99B0E76E8790}"/>
    <cellStyle name="20% - Énfasis3 19" xfId="300" xr:uid="{CE585608-443C-487B-879B-4F0118FBAC45}"/>
    <cellStyle name="20% - Énfasis3 2" xfId="62" xr:uid="{6760E1A1-3F3A-47BA-A303-395628C2658D}"/>
    <cellStyle name="20% - Énfasis3 20" xfId="314" xr:uid="{EADE600D-ED93-4E11-B1D3-64C3722D266E}"/>
    <cellStyle name="20% - Énfasis3 21" xfId="328" xr:uid="{F66A0DBE-F2C4-41FA-A22C-D9DA2814DD5A}"/>
    <cellStyle name="20% - Énfasis3 3" xfId="76" xr:uid="{516246F5-34E7-44EF-B024-8C9A83F78A4B}"/>
    <cellStyle name="20% - Énfasis3 4" xfId="90" xr:uid="{D34372FE-E341-4F99-BEA0-ACB77617840C}"/>
    <cellStyle name="20% - Énfasis3 5" xfId="104" xr:uid="{31574DD2-C562-463E-A91B-EE2E78AD7770}"/>
    <cellStyle name="20% - Énfasis3 6" xfId="118" xr:uid="{B8841F6F-B85A-4DBE-9472-BFCAA39FDDD8}"/>
    <cellStyle name="20% - Énfasis3 7" xfId="132" xr:uid="{68D223DF-D052-44B1-BA54-0CC421CA9922}"/>
    <cellStyle name="20% - Énfasis3 8" xfId="146" xr:uid="{570E11F4-C665-40C0-9C75-5D61F82FF18C}"/>
    <cellStyle name="20% - Énfasis3 9" xfId="160" xr:uid="{E09F5DBA-600E-4CCE-8087-EC486F088968}"/>
    <cellStyle name="20% - Énfasis4 10" xfId="176" xr:uid="{8C7FD995-69DF-41E2-AD65-840C9EF16CED}"/>
    <cellStyle name="20% - Énfasis4 11" xfId="190" xr:uid="{D9A81D74-C117-4471-9518-B7F6AEDEAEBB}"/>
    <cellStyle name="20% - Énfasis4 12" xfId="204" xr:uid="{BFB48A7D-AA54-42A9-97F9-C753B5B0EBC8}"/>
    <cellStyle name="20% - Énfasis4 13" xfId="218" xr:uid="{56CD2480-4DC6-4162-8A32-3CAA81430F48}"/>
    <cellStyle name="20% - Énfasis4 14" xfId="232" xr:uid="{D570DE62-6A70-4F18-96F9-9717D3206D49}"/>
    <cellStyle name="20% - Énfasis4 15" xfId="246" xr:uid="{A919FE8B-9954-4EAC-AA81-076FFA3E019D}"/>
    <cellStyle name="20% - Énfasis4 16" xfId="260" xr:uid="{B4F1852B-431D-4361-91B8-8E59FF9030F7}"/>
    <cellStyle name="20% - Énfasis4 17" xfId="274" xr:uid="{DEE89BEA-60FE-494E-B1DF-881746BCE0A1}"/>
    <cellStyle name="20% - Énfasis4 18" xfId="288" xr:uid="{1C6AA2A6-7E3B-4017-9C00-31337B25EE2B}"/>
    <cellStyle name="20% - Énfasis4 19" xfId="302" xr:uid="{EACE77FE-5472-46D7-88B9-0F281FF7B949}"/>
    <cellStyle name="20% - Énfasis4 2" xfId="64" xr:uid="{0007DC65-0B28-4F04-B4E3-A60B38657052}"/>
    <cellStyle name="20% - Énfasis4 20" xfId="316" xr:uid="{B71EF0B0-66FA-4A0C-8875-9B846EC30F2F}"/>
    <cellStyle name="20% - Énfasis4 21" xfId="330" xr:uid="{4680021D-9E3D-4474-9743-7220DAD04249}"/>
    <cellStyle name="20% - Énfasis4 3" xfId="78" xr:uid="{A05C155E-0285-434D-85BF-267A069DEEA2}"/>
    <cellStyle name="20% - Énfasis4 4" xfId="92" xr:uid="{C457FC3D-7A64-4BD3-AA75-FC3874AC3675}"/>
    <cellStyle name="20% - Énfasis4 5" xfId="106" xr:uid="{4B5862A5-71BA-4764-BBCB-E7792A9CEDCC}"/>
    <cellStyle name="20% - Énfasis4 6" xfId="120" xr:uid="{C4E7E02A-72E3-4478-BC52-D714DE530FA8}"/>
    <cellStyle name="20% - Énfasis4 7" xfId="134" xr:uid="{B5DB8636-092B-4494-BA48-34E4F25FED18}"/>
    <cellStyle name="20% - Énfasis4 8" xfId="148" xr:uid="{1EFBDA98-11F0-4DA4-AFF2-FF433E5C4788}"/>
    <cellStyle name="20% - Énfasis4 9" xfId="162" xr:uid="{F075B2AA-73CA-4758-A333-8342196BEC5C}"/>
    <cellStyle name="20% - Énfasis5 10" xfId="178" xr:uid="{4040BBF4-0AC3-411B-B021-50DAA18CFA17}"/>
    <cellStyle name="20% - Énfasis5 11" xfId="192" xr:uid="{5566C0A5-79A3-41C8-A57A-8A95C2EFBF37}"/>
    <cellStyle name="20% - Énfasis5 12" xfId="206" xr:uid="{BB7C6451-B0C6-4E56-AE6E-0992E7BF361F}"/>
    <cellStyle name="20% - Énfasis5 13" xfId="220" xr:uid="{A6A13B67-2DC8-4894-9DB7-F5F4398D167A}"/>
    <cellStyle name="20% - Énfasis5 14" xfId="234" xr:uid="{246AEC5E-9DD4-4001-AFEB-77D53A69F601}"/>
    <cellStyle name="20% - Énfasis5 15" xfId="248" xr:uid="{A25688CA-EF3D-4720-B946-DA3A9A8A63AF}"/>
    <cellStyle name="20% - Énfasis5 16" xfId="262" xr:uid="{5F4ABC90-9869-40D0-BE9B-F25147D06D18}"/>
    <cellStyle name="20% - Énfasis5 17" xfId="276" xr:uid="{5D4ABF34-F825-49E1-AF35-F95BEAECF71C}"/>
    <cellStyle name="20% - Énfasis5 18" xfId="290" xr:uid="{CDF6FD39-0AB5-46C5-A6BE-62212513FAC2}"/>
    <cellStyle name="20% - Énfasis5 19" xfId="304" xr:uid="{FF02E8A9-358D-4CC1-B7B2-2149A652B4B4}"/>
    <cellStyle name="20% - Énfasis5 2" xfId="66" xr:uid="{74B98655-E27D-4DCF-9EB9-FFCC74EFC720}"/>
    <cellStyle name="20% - Énfasis5 20" xfId="318" xr:uid="{0B89C7AB-7E66-49B6-AED9-ADAE2840A1AE}"/>
    <cellStyle name="20% - Énfasis5 21" xfId="332" xr:uid="{FE3B9DCA-E5BB-4570-91F5-19AF20AD4D19}"/>
    <cellStyle name="20% - Énfasis5 3" xfId="80" xr:uid="{FBC434AB-474E-4EA0-8576-11191C742BBB}"/>
    <cellStyle name="20% - Énfasis5 4" xfId="94" xr:uid="{1F8445BD-8F69-4965-8EF5-C186B0747DD9}"/>
    <cellStyle name="20% - Énfasis5 5" xfId="108" xr:uid="{F5DEE393-9583-4242-B5FB-D7D4588F9088}"/>
    <cellStyle name="20% - Énfasis5 6" xfId="122" xr:uid="{4D792669-3AB9-4E13-92CD-39E076DC5981}"/>
    <cellStyle name="20% - Énfasis5 7" xfId="136" xr:uid="{D3025866-1ED6-462E-9667-B145CCD8FCEB}"/>
    <cellStyle name="20% - Énfasis5 8" xfId="150" xr:uid="{85CD1A52-4A92-42E0-A9D9-9CA4E6CD0A96}"/>
    <cellStyle name="20% - Énfasis5 9" xfId="164" xr:uid="{E802C637-E0E5-413E-90A3-3DEBA871F71D}"/>
    <cellStyle name="20% - Énfasis6 10" xfId="180" xr:uid="{62C8B4FF-E788-4851-A056-73531F0DB04C}"/>
    <cellStyle name="20% - Énfasis6 11" xfId="194" xr:uid="{38AC0FB6-1E7B-4A0E-B554-68A8634A3024}"/>
    <cellStyle name="20% - Énfasis6 12" xfId="208" xr:uid="{8EC5955C-16D2-429D-B0C9-774612C619FA}"/>
    <cellStyle name="20% - Énfasis6 13" xfId="222" xr:uid="{E4F9F575-96A7-4AD5-8CFB-B7C0E4D0166E}"/>
    <cellStyle name="20% - Énfasis6 14" xfId="236" xr:uid="{4B875190-40E0-414E-BCD8-60D79061C8EB}"/>
    <cellStyle name="20% - Énfasis6 15" xfId="250" xr:uid="{A859D2B0-A201-41ED-80DE-20B0B36D01BB}"/>
    <cellStyle name="20% - Énfasis6 16" xfId="264" xr:uid="{970275C2-D189-4BB1-9B56-0161CB77F277}"/>
    <cellStyle name="20% - Énfasis6 17" xfId="278" xr:uid="{1A5B55C1-56E1-478E-B830-A9288A29C6D3}"/>
    <cellStyle name="20% - Énfasis6 18" xfId="292" xr:uid="{ED2E56CB-0F81-4FB9-95F0-4B58D79BAB62}"/>
    <cellStyle name="20% - Énfasis6 19" xfId="306" xr:uid="{632CA2CF-E71A-42AA-A390-8FC14C8EA2FF}"/>
    <cellStyle name="20% - Énfasis6 2" xfId="68" xr:uid="{BE8781E5-554F-4F38-8131-4A3ADCC65549}"/>
    <cellStyle name="20% - Énfasis6 20" xfId="320" xr:uid="{5FA9226D-8309-4CB8-BF10-1E8FD4F93B04}"/>
    <cellStyle name="20% - Énfasis6 21" xfId="334" xr:uid="{612D6131-6923-4156-952A-06C55BA13AE7}"/>
    <cellStyle name="20% - Énfasis6 3" xfId="82" xr:uid="{D70B2F25-99B7-47FA-BB7C-729493BFE021}"/>
    <cellStyle name="20% - Énfasis6 4" xfId="96" xr:uid="{C1211F2D-168E-4424-AF03-00E0B1A57DE1}"/>
    <cellStyle name="20% - Énfasis6 5" xfId="110" xr:uid="{5EC67DA9-4FCE-4672-89D5-E383DEB95078}"/>
    <cellStyle name="20% - Énfasis6 6" xfId="124" xr:uid="{A1478D3A-F31A-4201-87C9-828F9A41688E}"/>
    <cellStyle name="20% - Énfasis6 7" xfId="138" xr:uid="{7E98BCAC-B8DE-48D0-A80C-650669E78C19}"/>
    <cellStyle name="20% - Énfasis6 8" xfId="152" xr:uid="{53CF5B76-FD17-4D0A-A4C2-A4158C0CF743}"/>
    <cellStyle name="20% - Énfasis6 9" xfId="166" xr:uid="{096CB308-72EB-4796-AF82-66D15EFC364D}"/>
    <cellStyle name="40% - Accent1" xfId="28" builtinId="31" customBuiltin="1"/>
    <cellStyle name="40% - Accent2" xfId="31" builtinId="35" customBuiltin="1"/>
    <cellStyle name="40% - Accent3" xfId="34" builtinId="39" customBuiltin="1"/>
    <cellStyle name="40% - Accent4" xfId="37" builtinId="43" customBuiltin="1"/>
    <cellStyle name="40% - Accent5" xfId="40" builtinId="47" customBuiltin="1"/>
    <cellStyle name="40% - Accent6" xfId="43" builtinId="51" customBuiltin="1"/>
    <cellStyle name="40% - Énfasis1 10" xfId="171" xr:uid="{A82533F2-15B7-4B62-9309-52DE45E42F19}"/>
    <cellStyle name="40% - Énfasis1 11" xfId="185" xr:uid="{B77C0EE2-4202-4A66-A3C0-E3016F60C1A3}"/>
    <cellStyle name="40% - Énfasis1 12" xfId="199" xr:uid="{6B4BD2A1-30E0-4219-80AB-E39F54700741}"/>
    <cellStyle name="40% - Énfasis1 13" xfId="213" xr:uid="{33A87EC0-422A-4607-93F9-D8C071FBAFDB}"/>
    <cellStyle name="40% - Énfasis1 14" xfId="227" xr:uid="{20F23418-F08E-4AAD-9C41-7A74B5DB019E}"/>
    <cellStyle name="40% - Énfasis1 15" xfId="241" xr:uid="{DACC0E75-4A4F-46C7-872B-DA0E3F3B00BF}"/>
    <cellStyle name="40% - Énfasis1 16" xfId="255" xr:uid="{DDDA7B56-1DC0-4AA6-AAB4-76DF884A1019}"/>
    <cellStyle name="40% - Énfasis1 17" xfId="269" xr:uid="{447FB420-167C-4C6F-B060-22F0DB40E620}"/>
    <cellStyle name="40% - Énfasis1 18" xfId="283" xr:uid="{7E637A57-66B9-459F-A7BB-AB77073873C5}"/>
    <cellStyle name="40% - Énfasis1 19" xfId="297" xr:uid="{D0B77335-4836-4570-923B-AF233C49AA31}"/>
    <cellStyle name="40% - Énfasis1 2" xfId="59" xr:uid="{7AE96610-FD61-4020-895C-36BF9E1C02A3}"/>
    <cellStyle name="40% - Énfasis1 20" xfId="311" xr:uid="{2F93768D-824F-4895-B755-94872BDFE5DF}"/>
    <cellStyle name="40% - Énfasis1 21" xfId="325" xr:uid="{A503EBF8-A77A-4D9B-A401-672A4D749285}"/>
    <cellStyle name="40% - Énfasis1 3" xfId="73" xr:uid="{03C00D92-0C79-45FE-B352-D073EDD80CE9}"/>
    <cellStyle name="40% - Énfasis1 4" xfId="87" xr:uid="{74C496D2-FE7E-40A2-81BF-A1632AD26B25}"/>
    <cellStyle name="40% - Énfasis1 5" xfId="101" xr:uid="{95A597AE-6DAD-4644-B0BB-68882BF23D7B}"/>
    <cellStyle name="40% - Énfasis1 6" xfId="115" xr:uid="{7A08F8FB-E7FE-4115-BA18-832831596013}"/>
    <cellStyle name="40% - Énfasis1 7" xfId="129" xr:uid="{0518A7FE-C922-4032-B46F-A66502337513}"/>
    <cellStyle name="40% - Énfasis1 8" xfId="143" xr:uid="{8AA4F1EF-1DF0-4B67-8337-B0046F622E02}"/>
    <cellStyle name="40% - Énfasis1 9" xfId="157" xr:uid="{22F5E610-7C0F-48EF-98C5-F36BDE720DAB}"/>
    <cellStyle name="40% - Énfasis2 10" xfId="173" xr:uid="{43CBDAFD-8C62-4EE2-A66A-622389DA6875}"/>
    <cellStyle name="40% - Énfasis2 11" xfId="187" xr:uid="{34C79E7A-196A-41C6-84B0-49A24D5DE9AA}"/>
    <cellStyle name="40% - Énfasis2 12" xfId="201" xr:uid="{A1FD83D6-243A-482F-AF87-6BE971484F6D}"/>
    <cellStyle name="40% - Énfasis2 13" xfId="215" xr:uid="{FC9B1B3F-CB0C-4BAE-B3A2-3B558F700ED9}"/>
    <cellStyle name="40% - Énfasis2 14" xfId="229" xr:uid="{80B04175-1300-40EC-A871-B6458FFC6FC5}"/>
    <cellStyle name="40% - Énfasis2 15" xfId="243" xr:uid="{1BE6D0FB-A340-43B2-B3E1-F4A0F51EA351}"/>
    <cellStyle name="40% - Énfasis2 16" xfId="257" xr:uid="{CB3976B6-F719-4F75-A3C5-47ADBD8C59FE}"/>
    <cellStyle name="40% - Énfasis2 17" xfId="271" xr:uid="{EDDB7DC1-7926-41A0-8FEA-1ED8A5F415FA}"/>
    <cellStyle name="40% - Énfasis2 18" xfId="285" xr:uid="{200A6C8D-AD9A-4F58-8368-F968EEEE1D70}"/>
    <cellStyle name="40% - Énfasis2 19" xfId="299" xr:uid="{92448766-4CCF-4C3C-957A-040BE08B4A5A}"/>
    <cellStyle name="40% - Énfasis2 2" xfId="61" xr:uid="{3D3CD412-071B-4660-A2A2-22A27801FF7D}"/>
    <cellStyle name="40% - Énfasis2 20" xfId="313" xr:uid="{E74B68FF-185F-40A8-8F6F-721433CD3204}"/>
    <cellStyle name="40% - Énfasis2 21" xfId="327" xr:uid="{6BE5D702-F70D-4689-8DA3-43DF0C62FD3B}"/>
    <cellStyle name="40% - Énfasis2 3" xfId="75" xr:uid="{C47E28D0-5A9E-4007-B007-A85004559782}"/>
    <cellStyle name="40% - Énfasis2 4" xfId="89" xr:uid="{9B2B16A9-EA3A-4129-B138-86AAE2873681}"/>
    <cellStyle name="40% - Énfasis2 5" xfId="103" xr:uid="{F698BDB0-C790-44ED-8E5F-2F44678B0886}"/>
    <cellStyle name="40% - Énfasis2 6" xfId="117" xr:uid="{152B6502-6473-4B1D-9152-794A28E062BA}"/>
    <cellStyle name="40% - Énfasis2 7" xfId="131" xr:uid="{00FDF44E-373D-4F57-BA13-F3900A2FDE73}"/>
    <cellStyle name="40% - Énfasis2 8" xfId="145" xr:uid="{B8A596AE-7343-4E1B-A075-AF7024D9995B}"/>
    <cellStyle name="40% - Énfasis2 9" xfId="159" xr:uid="{80AAC207-7F96-4CD3-A4D7-B7A02B99BD39}"/>
    <cellStyle name="40% - Énfasis3 10" xfId="175" xr:uid="{7A7D4B42-1D8E-465D-9A6A-A44567309382}"/>
    <cellStyle name="40% - Énfasis3 11" xfId="189" xr:uid="{7381C2BD-B077-416B-8868-5BEDB4FC621B}"/>
    <cellStyle name="40% - Énfasis3 12" xfId="203" xr:uid="{4CE1077B-BBF9-48BA-9C66-65BB678CE38F}"/>
    <cellStyle name="40% - Énfasis3 13" xfId="217" xr:uid="{58B9E483-A29A-4E0F-A5DB-7D2237F2987F}"/>
    <cellStyle name="40% - Énfasis3 14" xfId="231" xr:uid="{65509472-B86D-4DEF-AF36-139CE429D6F1}"/>
    <cellStyle name="40% - Énfasis3 15" xfId="245" xr:uid="{22F49037-9C8E-4B97-B911-1C7CC1A8DD3E}"/>
    <cellStyle name="40% - Énfasis3 16" xfId="259" xr:uid="{7D0982A2-96B5-42C9-B91C-C1B5D50CC200}"/>
    <cellStyle name="40% - Énfasis3 17" xfId="273" xr:uid="{9AD4738F-FCCD-4E83-9A88-6CC946E3BD6C}"/>
    <cellStyle name="40% - Énfasis3 18" xfId="287" xr:uid="{64A5CDB5-3D22-4359-8781-BEEED129C2CF}"/>
    <cellStyle name="40% - Énfasis3 19" xfId="301" xr:uid="{AA9B8B3A-0F02-481D-8AAD-5E77D875BD1C}"/>
    <cellStyle name="40% - Énfasis3 2" xfId="63" xr:uid="{98FC197D-978B-4B97-9836-BB5DEA20F56E}"/>
    <cellStyle name="40% - Énfasis3 20" xfId="315" xr:uid="{4EBF67F7-FAB3-4604-A668-34C6210D20E3}"/>
    <cellStyle name="40% - Énfasis3 21" xfId="329" xr:uid="{54D6ECDE-ABB1-46C8-A4FF-B33DE98C00B4}"/>
    <cellStyle name="40% - Énfasis3 3" xfId="77" xr:uid="{BE198069-CB71-477B-BA8C-408FD0F08BC8}"/>
    <cellStyle name="40% - Énfasis3 4" xfId="91" xr:uid="{DADDDA16-A3C2-4D53-A085-0BAA68015530}"/>
    <cellStyle name="40% - Énfasis3 5" xfId="105" xr:uid="{A54FA4DF-B3DF-4739-9DE1-FD2999E63183}"/>
    <cellStyle name="40% - Énfasis3 6" xfId="119" xr:uid="{6C109132-2312-4A34-B998-470ED5660AEE}"/>
    <cellStyle name="40% - Énfasis3 7" xfId="133" xr:uid="{46524651-EC52-4F3C-9004-2748D5CEF46E}"/>
    <cellStyle name="40% - Énfasis3 8" xfId="147" xr:uid="{FF25D3B3-05D3-4E55-B771-EC05220698FA}"/>
    <cellStyle name="40% - Énfasis3 9" xfId="161" xr:uid="{B3D94D57-BE75-471F-989F-428F09050EDE}"/>
    <cellStyle name="40% - Énfasis4 10" xfId="177" xr:uid="{9C966FF4-5D3D-48F5-A08E-9534C2DB7E62}"/>
    <cellStyle name="40% - Énfasis4 11" xfId="191" xr:uid="{B0ACBE91-3FAF-4E5D-BF81-C6CFCC3314D4}"/>
    <cellStyle name="40% - Énfasis4 12" xfId="205" xr:uid="{4CE6A720-A87F-4DB8-95F8-21A900B0C993}"/>
    <cellStyle name="40% - Énfasis4 13" xfId="219" xr:uid="{5A4002C9-C4C2-4A99-A4B0-217598260DF7}"/>
    <cellStyle name="40% - Énfasis4 14" xfId="233" xr:uid="{DC214094-E54A-4137-9518-B95388C1185D}"/>
    <cellStyle name="40% - Énfasis4 15" xfId="247" xr:uid="{88D44F53-BFBF-4563-9C09-B08A71AF082B}"/>
    <cellStyle name="40% - Énfasis4 16" xfId="261" xr:uid="{2C87F51B-163A-404C-A6F4-EC46C0440AC8}"/>
    <cellStyle name="40% - Énfasis4 17" xfId="275" xr:uid="{54D6376E-E7CC-4B76-AD26-9C8D93E56500}"/>
    <cellStyle name="40% - Énfasis4 18" xfId="289" xr:uid="{03B3BD6C-3C03-4D35-A851-A677C357E2A5}"/>
    <cellStyle name="40% - Énfasis4 19" xfId="303" xr:uid="{067A41E8-740A-49B4-A45B-668E7A62E545}"/>
    <cellStyle name="40% - Énfasis4 2" xfId="65" xr:uid="{357E8F80-37E8-4741-A77B-EC8F1A5B5BF4}"/>
    <cellStyle name="40% - Énfasis4 20" xfId="317" xr:uid="{38A06510-D4D2-4B00-ACE9-B38FF042FC73}"/>
    <cellStyle name="40% - Énfasis4 21" xfId="331" xr:uid="{0DCB2A8F-BA0F-4E67-9581-BBDE8A81F333}"/>
    <cellStyle name="40% - Énfasis4 3" xfId="79" xr:uid="{E64329AB-4AEA-4CC2-A5EC-2B3BC614336E}"/>
    <cellStyle name="40% - Énfasis4 4" xfId="93" xr:uid="{3997724F-727C-4486-84BD-133AD02E4CDA}"/>
    <cellStyle name="40% - Énfasis4 5" xfId="107" xr:uid="{01EE7D67-1F99-486E-AF51-B30E892FE868}"/>
    <cellStyle name="40% - Énfasis4 6" xfId="121" xr:uid="{3CC3EFBB-3660-41BC-9929-44FE157032EF}"/>
    <cellStyle name="40% - Énfasis4 7" xfId="135" xr:uid="{946D654C-1DDC-43B0-9908-31031109D8A0}"/>
    <cellStyle name="40% - Énfasis4 8" xfId="149" xr:uid="{50897645-B62F-4204-9835-A3367892A34D}"/>
    <cellStyle name="40% - Énfasis4 9" xfId="163" xr:uid="{4B85AD18-D63C-47C5-8358-3B1FD2A55EB6}"/>
    <cellStyle name="40% - Énfasis5 10" xfId="179" xr:uid="{C8966446-180F-4248-9571-756AAB000EF5}"/>
    <cellStyle name="40% - Énfasis5 11" xfId="193" xr:uid="{AF78A100-64A2-4F22-AE92-07BAC77C82DB}"/>
    <cellStyle name="40% - Énfasis5 12" xfId="207" xr:uid="{423FE168-787A-46F3-901E-218488655D3D}"/>
    <cellStyle name="40% - Énfasis5 13" xfId="221" xr:uid="{18D6BF54-1C33-41DF-BFD7-2458AAF4535C}"/>
    <cellStyle name="40% - Énfasis5 14" xfId="235" xr:uid="{A5EC36B0-9BF5-46CB-AD20-B8924725FA27}"/>
    <cellStyle name="40% - Énfasis5 15" xfId="249" xr:uid="{09FA128D-AD15-40C2-8D5E-8294FA62BEB2}"/>
    <cellStyle name="40% - Énfasis5 16" xfId="263" xr:uid="{B85F45AA-C4CE-49FF-BFF6-9836957F5CEB}"/>
    <cellStyle name="40% - Énfasis5 17" xfId="277" xr:uid="{C106BF2F-24DB-4DD3-B73B-EEBCF8BA1F70}"/>
    <cellStyle name="40% - Énfasis5 18" xfId="291" xr:uid="{8067480C-BE3C-41E1-BA9D-D836F96D2A95}"/>
    <cellStyle name="40% - Énfasis5 19" xfId="305" xr:uid="{B0F608F1-12C0-441F-A2C7-6A82233000CE}"/>
    <cellStyle name="40% - Énfasis5 2" xfId="67" xr:uid="{CC32DE0A-A4A9-44CB-A340-1F64B0BE0B8B}"/>
    <cellStyle name="40% - Énfasis5 20" xfId="319" xr:uid="{420C2979-B4AB-4D61-BE22-51946FEADCDC}"/>
    <cellStyle name="40% - Énfasis5 21" xfId="333" xr:uid="{9825E820-8FE0-4548-B59F-1322447B6571}"/>
    <cellStyle name="40% - Énfasis5 3" xfId="81" xr:uid="{8834D10B-AE52-4AE4-91C8-7135A26FCE20}"/>
    <cellStyle name="40% - Énfasis5 4" xfId="95" xr:uid="{DAAB04F8-B913-469E-A9CD-E77DF879787D}"/>
    <cellStyle name="40% - Énfasis5 5" xfId="109" xr:uid="{5AF2AFDA-F8F1-4718-AF9E-7CC1D87BFECB}"/>
    <cellStyle name="40% - Énfasis5 6" xfId="123" xr:uid="{C954E7D7-5FE8-46FB-BB29-D011349D118D}"/>
    <cellStyle name="40% - Énfasis5 7" xfId="137" xr:uid="{90DD7E71-993D-49CD-A3CC-1EC15C270710}"/>
    <cellStyle name="40% - Énfasis5 8" xfId="151" xr:uid="{13A1BA3E-A270-44FF-99DB-422C2907E4B6}"/>
    <cellStyle name="40% - Énfasis5 9" xfId="165" xr:uid="{8FBBF7FF-F85B-46E6-B696-47960816D096}"/>
    <cellStyle name="40% - Énfasis6 10" xfId="181" xr:uid="{5E4E8638-C80C-4E6C-812C-194420AF8996}"/>
    <cellStyle name="40% - Énfasis6 11" xfId="195" xr:uid="{BB24E437-DFAD-4D27-83DC-1FF4FB47311D}"/>
    <cellStyle name="40% - Énfasis6 12" xfId="209" xr:uid="{05BB8484-FB5C-44F0-B99F-D1023B04C623}"/>
    <cellStyle name="40% - Énfasis6 13" xfId="223" xr:uid="{51F658E9-2F46-40F3-AE1F-D793D29D2C4C}"/>
    <cellStyle name="40% - Énfasis6 14" xfId="237" xr:uid="{B48802D3-96DC-441A-9EC0-61699A643797}"/>
    <cellStyle name="40% - Énfasis6 15" xfId="251" xr:uid="{F0275CA8-A3C7-4518-BB2C-BDECA00AA8A1}"/>
    <cellStyle name="40% - Énfasis6 16" xfId="265" xr:uid="{843A6A1E-6293-4AD2-BFD7-9B297B509F30}"/>
    <cellStyle name="40% - Énfasis6 17" xfId="279" xr:uid="{24622CA3-03E8-4C28-B42A-7C8C83A57110}"/>
    <cellStyle name="40% - Énfasis6 18" xfId="293" xr:uid="{E57A6623-E420-41A0-ABF2-8971476C0B16}"/>
    <cellStyle name="40% - Énfasis6 19" xfId="307" xr:uid="{C2C7CB8C-587F-41E1-AD48-7FE5B2CEE7FA}"/>
    <cellStyle name="40% - Énfasis6 2" xfId="69" xr:uid="{A0E3AAAD-C091-4260-A9D2-27684D11590D}"/>
    <cellStyle name="40% - Énfasis6 20" xfId="321" xr:uid="{5640ACD4-107C-459E-8A9B-5AC743E15474}"/>
    <cellStyle name="40% - Énfasis6 21" xfId="335" xr:uid="{C7F4C5F1-3D01-4E26-94CB-DE902048E7FA}"/>
    <cellStyle name="40% - Énfasis6 3" xfId="83" xr:uid="{7F557280-8A71-4CFA-8CC6-C5DA51BACE8D}"/>
    <cellStyle name="40% - Énfasis6 4" xfId="97" xr:uid="{2D65D1CC-2E11-4672-A0FD-603F663B8749}"/>
    <cellStyle name="40% - Énfasis6 5" xfId="111" xr:uid="{387D4C1A-0FC2-4C00-B6F2-01E37EDB0482}"/>
    <cellStyle name="40% - Énfasis6 6" xfId="125" xr:uid="{0B074612-030D-4697-8CA5-9A17E546320A}"/>
    <cellStyle name="40% - Énfasis6 7" xfId="139" xr:uid="{77AF0DF6-4D92-41B5-9E18-C4991D93B298}"/>
    <cellStyle name="40% - Énfasis6 8" xfId="153" xr:uid="{9DD5C337-3716-447B-B507-67D7348BEB65}"/>
    <cellStyle name="40% - Énfasis6 9" xfId="167" xr:uid="{0EA6B48B-827C-41C1-AB9C-C94AD9C3A858}"/>
    <cellStyle name="60% - Accent1 2" xfId="48" xr:uid="{7296B580-BC78-494B-ACA9-FB698D668134}"/>
    <cellStyle name="60% - Accent2 2" xfId="49" xr:uid="{2F82068D-B0FA-4A10-8046-1FD566980E47}"/>
    <cellStyle name="60% - Accent3 2" xfId="50" xr:uid="{591DB483-DEB1-4B01-8CBC-32F18D82462B}"/>
    <cellStyle name="60% - Accent4 2" xfId="51" xr:uid="{01E5AB37-10EE-4155-B5C5-510ECA926ECE}"/>
    <cellStyle name="60% - Accent5 2" xfId="52" xr:uid="{41F16B36-67CE-4B56-ACAE-DE42D6D44003}"/>
    <cellStyle name="60% - Accent6 2" xfId="53" xr:uid="{F6003272-1C7F-4EC0-A61F-88D76FC19800}"/>
    <cellStyle name="Accent1" xfId="26" builtinId="29" customBuiltin="1"/>
    <cellStyle name="Accent2" xfId="29" builtinId="33" customBuiltin="1"/>
    <cellStyle name="Accent3" xfId="32" builtinId="37" customBuiltin="1"/>
    <cellStyle name="Accent4" xfId="35" builtinId="41" customBuiltin="1"/>
    <cellStyle name="Accent5" xfId="38" builtinId="45" customBuiltin="1"/>
    <cellStyle name="Accent6" xfId="41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" xfId="1" builtinId="3"/>
    <cellStyle name="Comma [0] 2" xfId="10" xr:uid="{00000000-0005-0000-0000-000001000000}"/>
    <cellStyle name="Comma 2" xfId="2" xr:uid="{00000000-0005-0000-0000-000002000000}"/>
    <cellStyle name="Comma 2 2" xfId="4" xr:uid="{00000000-0005-0000-0000-000003000000}"/>
    <cellStyle name="Comma 2 2 2" xfId="11" xr:uid="{CE0075FB-3B58-45EF-AB2B-C04367F7C9BB}"/>
    <cellStyle name="Comma 3" xfId="9" xr:uid="{00000000-0005-0000-0000-000004000000}"/>
    <cellStyle name="Comma 4" xfId="336" xr:uid="{055A8FDB-0F0A-4AAE-BE76-498AE1E6B01E}"/>
    <cellStyle name="Currency [0] 2" xfId="8" xr:uid="{00000000-0005-0000-0000-000005000000}"/>
    <cellStyle name="Currency 2" xfId="7" xr:uid="{00000000-0005-0000-0000-000006000000}"/>
    <cellStyle name="Explanatory Text" xfId="24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8" builtinId="20" customBuiltin="1"/>
    <cellStyle name="Linked Cell" xfId="21" builtinId="24" customBuiltin="1"/>
    <cellStyle name="Millares 2" xfId="337" xr:uid="{DBC049AF-04A6-4B83-B37A-5B72BBA9CCFC}"/>
    <cellStyle name="Millares 2 2" xfId="338" xr:uid="{A20E2799-A7A5-4415-BAAC-8227D26D4C0D}"/>
    <cellStyle name="Neutral 2" xfId="47" xr:uid="{01A9F747-61A7-4C5E-9ED5-AA736BE8D5D0}"/>
    <cellStyle name="Normal" xfId="0" builtinId="0"/>
    <cellStyle name="Normal 10" xfId="140" xr:uid="{310F395C-1E49-4C72-9AAE-B6916C319922}"/>
    <cellStyle name="Normal 11" xfId="154" xr:uid="{F0A423C4-C828-4F73-B1EB-C0040DCDCCFE}"/>
    <cellStyle name="Normal 12" xfId="168" xr:uid="{E5E9C099-EBE9-47C4-8CA7-2C146CAE04D3}"/>
    <cellStyle name="Normal 13" xfId="182" xr:uid="{71DC9C00-9458-4D3D-A63F-1FBD99968F04}"/>
    <cellStyle name="Normal 14" xfId="196" xr:uid="{7AFD7D18-0FC8-443E-9B40-A14A6D51FFBF}"/>
    <cellStyle name="Normal 15" xfId="210" xr:uid="{21924D29-773B-472C-9FD7-502D37299AFD}"/>
    <cellStyle name="Normal 16" xfId="224" xr:uid="{3F0A7661-58D9-4D34-8727-7C01F21D4FEC}"/>
    <cellStyle name="Normal 17" xfId="238" xr:uid="{643E47FB-3EB5-4536-9A4B-FC0ACCB612C0}"/>
    <cellStyle name="Normal 18" xfId="252" xr:uid="{20E9E433-9D80-42F2-9F0E-F4BC8B720817}"/>
    <cellStyle name="Normal 19" xfId="266" xr:uid="{6DD71267-CA2F-48F1-9F83-ECCF97F7E266}"/>
    <cellStyle name="Normal 2" xfId="3" xr:uid="{00000000-0005-0000-0000-000008000000}"/>
    <cellStyle name="Normal 2 2" xfId="44" xr:uid="{BFF0A5EF-8AAB-4B1C-AB08-252685D88A52}"/>
    <cellStyle name="Normal 2 3" xfId="45" xr:uid="{B15ABA97-BCC9-4C96-9EFB-AB4558463FE8}"/>
    <cellStyle name="Normal 20" xfId="280" xr:uid="{1B286FAD-4BBF-42CE-AA11-B7B63213048D}"/>
    <cellStyle name="Normal 21" xfId="294" xr:uid="{3F38D96B-DF2F-4D91-AD82-066BEEC2F5D1}"/>
    <cellStyle name="Normal 22" xfId="308" xr:uid="{65997876-DDF6-4D33-95D8-91C0CFDFD0EA}"/>
    <cellStyle name="Normal 23" xfId="322" xr:uid="{EFD03AE7-921B-445D-B1C9-C24B87B308BC}"/>
    <cellStyle name="Normal 3" xfId="54" xr:uid="{4A5726DE-B79C-4598-80A9-6E3A6125852A}"/>
    <cellStyle name="Normal 4" xfId="56" xr:uid="{E7086FA2-64A4-4132-B35A-49343AB72979}"/>
    <cellStyle name="Normal 5" xfId="70" xr:uid="{B42709E9-8F6C-4079-ACF1-BD5084EE5F09}"/>
    <cellStyle name="Normal 6" xfId="84" xr:uid="{6DA11313-C099-4C79-824D-8AF5E3712882}"/>
    <cellStyle name="Normal 7" xfId="98" xr:uid="{25B33C01-0461-4357-8A06-56D0DC48218D}"/>
    <cellStyle name="Normal 8" xfId="112" xr:uid="{7919A685-2423-4D17-8CC3-80F5C67B8937}"/>
    <cellStyle name="Normal 9" xfId="126" xr:uid="{5DBB399E-288F-4D52-8C36-527570C6537C}"/>
    <cellStyle name="Notas 10" xfId="155" xr:uid="{EA4537EF-1730-4C35-BE1F-3D4C2498671D}"/>
    <cellStyle name="Notas 11" xfId="169" xr:uid="{AB0E2CC5-490A-4E37-BC0A-6890470B0D24}"/>
    <cellStyle name="Notas 12" xfId="183" xr:uid="{5D7064E4-DE6F-4A89-8D47-905560B88724}"/>
    <cellStyle name="Notas 13" xfId="197" xr:uid="{753A2C91-ED50-43FA-BCD7-FD67B9FCC61B}"/>
    <cellStyle name="Notas 14" xfId="211" xr:uid="{0B4B7852-97F8-4383-8860-E2D7A7C1662C}"/>
    <cellStyle name="Notas 15" xfId="225" xr:uid="{CE525E8E-FB73-42CA-9579-4A34A2C1A9BC}"/>
    <cellStyle name="Notas 16" xfId="239" xr:uid="{8AA837B7-DEEB-4267-A622-FA1D849DB557}"/>
    <cellStyle name="Notas 17" xfId="253" xr:uid="{243D574B-2EF6-4531-A5D9-C130C74312D8}"/>
    <cellStyle name="Notas 18" xfId="267" xr:uid="{41DA6B26-E973-493D-B44E-E6E2D77C654A}"/>
    <cellStyle name="Notas 19" xfId="281" xr:uid="{D01E0B27-6E27-482E-A5CA-7D6DA19F96A2}"/>
    <cellStyle name="Notas 2" xfId="55" xr:uid="{38ECB86C-86A3-4815-BD68-8F6F9DA91B59}"/>
    <cellStyle name="Notas 20" xfId="295" xr:uid="{753B2374-A0FE-4341-9E37-9C50D5CE1B34}"/>
    <cellStyle name="Notas 21" xfId="309" xr:uid="{78390E0D-523B-4751-9E2E-D06E0FDF438A}"/>
    <cellStyle name="Notas 22" xfId="323" xr:uid="{235E48C3-8F15-4090-9C04-3857D4DD2AAC}"/>
    <cellStyle name="Notas 3" xfId="57" xr:uid="{F47E5A00-4F6B-4ACA-8D61-D9F42AD6DEB0}"/>
    <cellStyle name="Notas 4" xfId="71" xr:uid="{581398FF-9229-4AAA-B5AA-C11D5A066A39}"/>
    <cellStyle name="Notas 5" xfId="85" xr:uid="{13ACEDF1-BFA1-4E65-BC8D-9079E331C598}"/>
    <cellStyle name="Notas 6" xfId="99" xr:uid="{3B934C5E-CEF0-4E45-8C1F-A996C291E22C}"/>
    <cellStyle name="Notas 7" xfId="113" xr:uid="{553F81D0-6AEB-44AD-870F-714BE94BE7AF}"/>
    <cellStyle name="Notas 8" xfId="127" xr:uid="{59C1DEC4-F736-489F-B04C-C68C52F28FDF}"/>
    <cellStyle name="Notas 9" xfId="141" xr:uid="{7D8755CE-4856-437E-9BB0-F30A0465C356}"/>
    <cellStyle name="Output" xfId="19" builtinId="21" customBuiltin="1"/>
    <cellStyle name="Percent" xfId="6" builtinId="5"/>
    <cellStyle name="Percent 2" xfId="5" xr:uid="{00000000-0005-0000-0000-00000A000000}"/>
    <cellStyle name="Title 2" xfId="46" xr:uid="{F507C7C2-F30A-45EA-B2C6-97AB71FF4B05}"/>
    <cellStyle name="Total" xfId="25" builtinId="25" customBuiltin="1"/>
    <cellStyle name="Warning Text" xfId="23" builtinId="11" customBuiltin="1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42068</xdr:colOff>
      <xdr:row>0</xdr:row>
      <xdr:rowOff>149225</xdr:rowOff>
    </xdr:from>
    <xdr:to>
      <xdr:col>7</xdr:col>
      <xdr:colOff>760412</xdr:colOff>
      <xdr:row>4</xdr:row>
      <xdr:rowOff>17780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1693" y="149225"/>
          <a:ext cx="2344579" cy="683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10848</xdr:colOff>
      <xdr:row>0</xdr:row>
      <xdr:rowOff>199496</xdr:rowOff>
    </xdr:from>
    <xdr:to>
      <xdr:col>7</xdr:col>
      <xdr:colOff>744168</xdr:colOff>
      <xdr:row>4</xdr:row>
      <xdr:rowOff>78211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3618A-37E7-489C-94C0-3436CC7C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858" y="199496"/>
          <a:ext cx="2334050" cy="67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-%20ABI%20020625%20-%20Pricing%20Junio%202025%20Nuevo%20Contrato%20VAL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ST"/>
    </sheetNames>
    <sheetDataSet>
      <sheetData sheetId="0">
        <row r="4">
          <cell r="D4" t="str">
            <v>Material</v>
          </cell>
          <cell r="E4" t="str">
            <v>Peso</v>
          </cell>
          <cell r="F4" t="str">
            <v>Color</v>
          </cell>
          <cell r="G4" t="str">
            <v>Resina</v>
          </cell>
          <cell r="H4" t="str">
            <v>Cabelma</v>
          </cell>
          <cell r="I4" t="str">
            <v>Dosificación</v>
          </cell>
        </row>
        <row r="5">
          <cell r="D5">
            <v>50034574</v>
          </cell>
          <cell r="E5">
            <v>19.5</v>
          </cell>
          <cell r="F5" t="str">
            <v>CL1</v>
          </cell>
          <cell r="G5" t="str">
            <v>A16</v>
          </cell>
          <cell r="H5" t="str">
            <v>Virgen</v>
          </cell>
          <cell r="I5">
            <v>0</v>
          </cell>
        </row>
        <row r="6">
          <cell r="D6">
            <v>50034574</v>
          </cell>
          <cell r="E6">
            <v>19.5</v>
          </cell>
          <cell r="F6" t="str">
            <v>CL1</v>
          </cell>
          <cell r="G6" t="str">
            <v>A16</v>
          </cell>
          <cell r="H6" t="str">
            <v>Virgen</v>
          </cell>
          <cell r="I6">
            <v>0</v>
          </cell>
        </row>
        <row r="7">
          <cell r="D7">
            <v>50035184</v>
          </cell>
          <cell r="E7">
            <v>19.5</v>
          </cell>
          <cell r="F7" t="str">
            <v>CL1</v>
          </cell>
          <cell r="G7" t="str">
            <v>H03</v>
          </cell>
          <cell r="H7" t="str">
            <v>Virgen</v>
          </cell>
          <cell r="I7">
            <v>0</v>
          </cell>
        </row>
        <row r="8">
          <cell r="D8">
            <v>50035184</v>
          </cell>
          <cell r="E8">
            <v>19.5</v>
          </cell>
          <cell r="F8" t="str">
            <v>CL1</v>
          </cell>
          <cell r="G8" t="str">
            <v>H03</v>
          </cell>
          <cell r="H8" t="str">
            <v>Virgen</v>
          </cell>
          <cell r="I8">
            <v>0</v>
          </cell>
        </row>
        <row r="9">
          <cell r="D9">
            <v>50030374</v>
          </cell>
          <cell r="E9">
            <v>19.5</v>
          </cell>
          <cell r="F9" t="str">
            <v>CL1</v>
          </cell>
          <cell r="G9" t="str">
            <v>Z01</v>
          </cell>
          <cell r="H9" t="str">
            <v>Reciclada</v>
          </cell>
          <cell r="I9">
            <v>1</v>
          </cell>
        </row>
        <row r="10">
          <cell r="D10">
            <v>50030374</v>
          </cell>
          <cell r="E10">
            <v>19.5</v>
          </cell>
          <cell r="F10" t="str">
            <v>CL1</v>
          </cell>
          <cell r="G10" t="str">
            <v>Z01</v>
          </cell>
          <cell r="H10" t="str">
            <v>Reciclada</v>
          </cell>
          <cell r="I10">
            <v>1</v>
          </cell>
        </row>
        <row r="11">
          <cell r="D11">
            <v>50034573</v>
          </cell>
          <cell r="E11">
            <v>19.5</v>
          </cell>
          <cell r="F11" t="str">
            <v>V03</v>
          </cell>
          <cell r="G11" t="str">
            <v>A16</v>
          </cell>
          <cell r="H11" t="str">
            <v>Virgen</v>
          </cell>
          <cell r="I11">
            <v>0</v>
          </cell>
        </row>
        <row r="12">
          <cell r="D12">
            <v>50034561</v>
          </cell>
          <cell r="E12">
            <v>19.5</v>
          </cell>
          <cell r="F12" t="str">
            <v>VCC</v>
          </cell>
          <cell r="G12" t="str">
            <v>A16</v>
          </cell>
          <cell r="H12" t="str">
            <v>Virgen</v>
          </cell>
          <cell r="I12">
            <v>0</v>
          </cell>
        </row>
        <row r="13">
          <cell r="D13">
            <v>50034561</v>
          </cell>
          <cell r="E13">
            <v>19.5</v>
          </cell>
          <cell r="F13" t="str">
            <v>VCC</v>
          </cell>
          <cell r="G13" t="str">
            <v>A16</v>
          </cell>
          <cell r="H13" t="str">
            <v>Virgen</v>
          </cell>
          <cell r="I13">
            <v>0</v>
          </cell>
        </row>
        <row r="14">
          <cell r="D14">
            <v>50034577</v>
          </cell>
          <cell r="E14">
            <v>25</v>
          </cell>
          <cell r="F14" t="str">
            <v>CL1</v>
          </cell>
          <cell r="G14" t="str">
            <v>A16</v>
          </cell>
          <cell r="H14" t="str">
            <v>Virgen</v>
          </cell>
          <cell r="I14">
            <v>0</v>
          </cell>
        </row>
        <row r="15">
          <cell r="D15">
            <v>50038607</v>
          </cell>
          <cell r="E15">
            <v>25</v>
          </cell>
          <cell r="F15" t="str">
            <v>CL1</v>
          </cell>
          <cell r="G15" t="str">
            <v>N01</v>
          </cell>
          <cell r="H15" t="str">
            <v>Virgen</v>
          </cell>
          <cell r="I15">
            <v>0</v>
          </cell>
        </row>
        <row r="16">
          <cell r="D16">
            <v>50034245</v>
          </cell>
          <cell r="E16">
            <v>25</v>
          </cell>
          <cell r="F16" t="str">
            <v>CL1</v>
          </cell>
          <cell r="G16" t="str">
            <v>Z01</v>
          </cell>
          <cell r="H16" t="str">
            <v>Reciclada</v>
          </cell>
          <cell r="I16">
            <v>1</v>
          </cell>
        </row>
        <row r="17">
          <cell r="D17">
            <v>50034570</v>
          </cell>
          <cell r="E17">
            <v>25</v>
          </cell>
          <cell r="F17" t="str">
            <v>V03</v>
          </cell>
          <cell r="G17" t="str">
            <v>A16</v>
          </cell>
          <cell r="H17" t="str">
            <v>Virgen</v>
          </cell>
          <cell r="I17">
            <v>0</v>
          </cell>
        </row>
        <row r="18">
          <cell r="D18">
            <v>50034604</v>
          </cell>
          <cell r="E18">
            <v>25</v>
          </cell>
          <cell r="F18" t="str">
            <v>VCC</v>
          </cell>
          <cell r="G18" t="str">
            <v>A16</v>
          </cell>
          <cell r="H18" t="str">
            <v>Virgen</v>
          </cell>
          <cell r="I18">
            <v>0</v>
          </cell>
        </row>
        <row r="19">
          <cell r="D19">
            <v>50032573</v>
          </cell>
          <cell r="E19">
            <v>37.200000000000003</v>
          </cell>
          <cell r="F19" t="str">
            <v>CL1</v>
          </cell>
          <cell r="G19" t="str">
            <v>A16</v>
          </cell>
          <cell r="H19" t="str">
            <v>Virgen</v>
          </cell>
          <cell r="I19">
            <v>0</v>
          </cell>
        </row>
        <row r="20">
          <cell r="D20">
            <v>50032573</v>
          </cell>
          <cell r="E20">
            <v>37.200000000000003</v>
          </cell>
          <cell r="F20" t="str">
            <v>CL1</v>
          </cell>
          <cell r="G20" t="str">
            <v>A16</v>
          </cell>
          <cell r="H20" t="str">
            <v>Virgen</v>
          </cell>
          <cell r="I20">
            <v>0</v>
          </cell>
        </row>
        <row r="21">
          <cell r="D21">
            <v>50032573</v>
          </cell>
          <cell r="E21">
            <v>37.200000000000003</v>
          </cell>
          <cell r="F21" t="str">
            <v>CL1</v>
          </cell>
          <cell r="G21" t="str">
            <v>A16</v>
          </cell>
          <cell r="H21" t="str">
            <v>Virgen</v>
          </cell>
          <cell r="I21">
            <v>0</v>
          </cell>
        </row>
        <row r="22">
          <cell r="D22">
            <v>50032573</v>
          </cell>
          <cell r="E22">
            <v>37.200000000000003</v>
          </cell>
          <cell r="F22" t="str">
            <v>CL1</v>
          </cell>
          <cell r="G22" t="str">
            <v>A16</v>
          </cell>
          <cell r="H22" t="str">
            <v>Virgen</v>
          </cell>
          <cell r="I22">
            <v>0</v>
          </cell>
        </row>
        <row r="23">
          <cell r="D23">
            <v>50037887</v>
          </cell>
          <cell r="E23">
            <v>37.200000000000003</v>
          </cell>
          <cell r="F23" t="str">
            <v>CL1</v>
          </cell>
          <cell r="G23" t="str">
            <v>H03</v>
          </cell>
          <cell r="H23" t="str">
            <v>Virgen</v>
          </cell>
          <cell r="I23">
            <v>0</v>
          </cell>
        </row>
        <row r="24">
          <cell r="D24">
            <v>50037887</v>
          </cell>
          <cell r="E24">
            <v>37.200000000000003</v>
          </cell>
          <cell r="F24" t="str">
            <v>CL1</v>
          </cell>
          <cell r="G24" t="str">
            <v>H03</v>
          </cell>
          <cell r="H24" t="str">
            <v>Virgen</v>
          </cell>
          <cell r="I24">
            <v>0</v>
          </cell>
        </row>
        <row r="25">
          <cell r="D25">
            <v>50037887</v>
          </cell>
          <cell r="E25">
            <v>37.200000000000003</v>
          </cell>
          <cell r="F25" t="str">
            <v>CL1</v>
          </cell>
          <cell r="G25" t="str">
            <v>H03</v>
          </cell>
          <cell r="H25" t="str">
            <v>Virgen</v>
          </cell>
          <cell r="I25">
            <v>0</v>
          </cell>
        </row>
        <row r="26">
          <cell r="D26">
            <v>50037887</v>
          </cell>
          <cell r="E26">
            <v>37.200000000000003</v>
          </cell>
          <cell r="F26" t="str">
            <v>CL1</v>
          </cell>
          <cell r="G26" t="str">
            <v>H03</v>
          </cell>
          <cell r="H26" t="str">
            <v>Virgen</v>
          </cell>
          <cell r="I26">
            <v>0</v>
          </cell>
        </row>
        <row r="27">
          <cell r="D27">
            <v>50032580</v>
          </cell>
          <cell r="E27">
            <v>37.200000000000003</v>
          </cell>
          <cell r="F27" t="str">
            <v>V03</v>
          </cell>
          <cell r="G27" t="str">
            <v>A16</v>
          </cell>
          <cell r="H27" t="str">
            <v>Virgen</v>
          </cell>
          <cell r="I27">
            <v>0</v>
          </cell>
        </row>
        <row r="28">
          <cell r="D28">
            <v>50032580</v>
          </cell>
          <cell r="E28">
            <v>37.200000000000003</v>
          </cell>
          <cell r="F28" t="str">
            <v>V03</v>
          </cell>
          <cell r="G28" t="str">
            <v>A16</v>
          </cell>
          <cell r="H28" t="str">
            <v>Virgen</v>
          </cell>
          <cell r="I28">
            <v>0</v>
          </cell>
        </row>
        <row r="29">
          <cell r="D29">
            <v>50032580</v>
          </cell>
          <cell r="E29">
            <v>37.200000000000003</v>
          </cell>
          <cell r="F29" t="str">
            <v>V03</v>
          </cell>
          <cell r="G29" t="str">
            <v>A16</v>
          </cell>
          <cell r="H29" t="str">
            <v>Virgen</v>
          </cell>
          <cell r="I29">
            <v>0</v>
          </cell>
        </row>
        <row r="30">
          <cell r="D30">
            <v>50032578</v>
          </cell>
          <cell r="E30">
            <v>37.200000000000003</v>
          </cell>
          <cell r="F30" t="str">
            <v>VCC</v>
          </cell>
          <cell r="G30" t="str">
            <v>A16</v>
          </cell>
          <cell r="H30" t="str">
            <v>Virgen</v>
          </cell>
          <cell r="I30">
            <v>0</v>
          </cell>
        </row>
        <row r="31">
          <cell r="D31">
            <v>50032578</v>
          </cell>
          <cell r="E31">
            <v>37.200000000000003</v>
          </cell>
          <cell r="F31" t="str">
            <v>VCC</v>
          </cell>
          <cell r="G31" t="str">
            <v>A16</v>
          </cell>
          <cell r="H31" t="str">
            <v>Virgen</v>
          </cell>
          <cell r="I31">
            <v>0</v>
          </cell>
        </row>
        <row r="32">
          <cell r="D32">
            <v>50032578</v>
          </cell>
          <cell r="E32">
            <v>37.200000000000003</v>
          </cell>
          <cell r="F32" t="str">
            <v>VCC</v>
          </cell>
          <cell r="G32" t="str">
            <v>A16</v>
          </cell>
          <cell r="H32" t="str">
            <v>Virgen</v>
          </cell>
          <cell r="I32">
            <v>0</v>
          </cell>
        </row>
        <row r="33">
          <cell r="D33">
            <v>50028726</v>
          </cell>
          <cell r="E33">
            <v>40</v>
          </cell>
          <cell r="F33" t="str">
            <v>CL1</v>
          </cell>
          <cell r="G33" t="str">
            <v>A09Z20</v>
          </cell>
          <cell r="H33" t="str">
            <v>Reciclada</v>
          </cell>
          <cell r="I33">
            <v>0.2</v>
          </cell>
        </row>
        <row r="34">
          <cell r="D34">
            <v>50029963</v>
          </cell>
          <cell r="E34">
            <v>40</v>
          </cell>
          <cell r="F34" t="str">
            <v>V03</v>
          </cell>
          <cell r="G34" t="str">
            <v>A09Z20</v>
          </cell>
          <cell r="H34" t="str">
            <v>Reciclada</v>
          </cell>
          <cell r="I34">
            <v>0.2</v>
          </cell>
        </row>
        <row r="35">
          <cell r="D35">
            <v>50032679</v>
          </cell>
          <cell r="E35">
            <v>42.5</v>
          </cell>
          <cell r="F35" t="str">
            <v>CL1</v>
          </cell>
          <cell r="G35" t="str">
            <v>A16Z10</v>
          </cell>
          <cell r="H35" t="str">
            <v>Reciclada</v>
          </cell>
          <cell r="I35">
            <v>0.1</v>
          </cell>
        </row>
        <row r="36">
          <cell r="D36">
            <v>50033268</v>
          </cell>
          <cell r="E36">
            <v>44</v>
          </cell>
          <cell r="F36" t="str">
            <v>CL1</v>
          </cell>
          <cell r="G36" t="str">
            <v>A16</v>
          </cell>
          <cell r="H36" t="str">
            <v>Virgen</v>
          </cell>
          <cell r="I36">
            <v>0</v>
          </cell>
        </row>
        <row r="37">
          <cell r="D37">
            <v>50030542</v>
          </cell>
          <cell r="E37">
            <v>44</v>
          </cell>
          <cell r="F37" t="str">
            <v>CL1</v>
          </cell>
          <cell r="G37" t="str">
            <v>N01</v>
          </cell>
          <cell r="H37" t="str">
            <v>Virgen</v>
          </cell>
          <cell r="I37">
            <v>0</v>
          </cell>
        </row>
        <row r="38">
          <cell r="D38">
            <v>50033268</v>
          </cell>
          <cell r="E38">
            <v>44</v>
          </cell>
          <cell r="F38" t="str">
            <v>CL1</v>
          </cell>
          <cell r="G38" t="str">
            <v>A16</v>
          </cell>
          <cell r="H38" t="str">
            <v>Virgen</v>
          </cell>
          <cell r="I38">
            <v>0</v>
          </cell>
        </row>
        <row r="39">
          <cell r="D39">
            <v>50035046</v>
          </cell>
          <cell r="E39">
            <v>44</v>
          </cell>
          <cell r="F39" t="str">
            <v>V03</v>
          </cell>
          <cell r="G39" t="str">
            <v>A16</v>
          </cell>
          <cell r="H39" t="str">
            <v>Virgen</v>
          </cell>
          <cell r="I39">
            <v>0</v>
          </cell>
        </row>
        <row r="40">
          <cell r="D40">
            <v>50035046</v>
          </cell>
          <cell r="E40">
            <v>44</v>
          </cell>
          <cell r="F40" t="str">
            <v>V03</v>
          </cell>
          <cell r="G40" t="str">
            <v>A16</v>
          </cell>
          <cell r="H40" t="str">
            <v>Virgen</v>
          </cell>
          <cell r="I40">
            <v>0</v>
          </cell>
        </row>
        <row r="41">
          <cell r="D41">
            <v>50035039</v>
          </cell>
          <cell r="E41">
            <v>44</v>
          </cell>
          <cell r="F41" t="str">
            <v>VCC</v>
          </cell>
          <cell r="G41" t="str">
            <v>A16</v>
          </cell>
          <cell r="H41" t="str">
            <v>Virgen</v>
          </cell>
          <cell r="I41">
            <v>0</v>
          </cell>
        </row>
        <row r="42">
          <cell r="D42">
            <v>50035039</v>
          </cell>
          <cell r="E42">
            <v>44</v>
          </cell>
          <cell r="F42" t="str">
            <v>VCC</v>
          </cell>
          <cell r="G42" t="str">
            <v>A16</v>
          </cell>
          <cell r="H42" t="str">
            <v>Virgen</v>
          </cell>
          <cell r="I42">
            <v>0</v>
          </cell>
        </row>
        <row r="43">
          <cell r="D43">
            <v>50025345</v>
          </cell>
          <cell r="E43">
            <v>46.6</v>
          </cell>
          <cell r="F43" t="str">
            <v>CL1</v>
          </cell>
          <cell r="G43" t="str">
            <v>N01</v>
          </cell>
          <cell r="H43" t="str">
            <v>Virgen</v>
          </cell>
          <cell r="I43">
            <v>0</v>
          </cell>
        </row>
        <row r="44">
          <cell r="D44">
            <v>50035183</v>
          </cell>
          <cell r="E44">
            <v>46.6</v>
          </cell>
          <cell r="F44" t="str">
            <v>CL1</v>
          </cell>
          <cell r="G44" t="str">
            <v>A16</v>
          </cell>
          <cell r="H44" t="str">
            <v>Virgen</v>
          </cell>
          <cell r="I44">
            <v>0</v>
          </cell>
        </row>
        <row r="45">
          <cell r="D45">
            <v>50034616</v>
          </cell>
          <cell r="E45">
            <v>46.6</v>
          </cell>
          <cell r="F45" t="str">
            <v>CL1</v>
          </cell>
          <cell r="G45" t="str">
            <v>A16</v>
          </cell>
          <cell r="H45" t="str">
            <v>Virgen</v>
          </cell>
          <cell r="I45">
            <v>0</v>
          </cell>
        </row>
        <row r="46">
          <cell r="D46">
            <v>50030381</v>
          </cell>
          <cell r="E46">
            <v>46.6</v>
          </cell>
          <cell r="F46" t="str">
            <v>CL1</v>
          </cell>
          <cell r="G46" t="str">
            <v>N01</v>
          </cell>
          <cell r="H46" t="str">
            <v>Virgen</v>
          </cell>
          <cell r="I46">
            <v>0</v>
          </cell>
        </row>
        <row r="47">
          <cell r="D47">
            <v>50025345</v>
          </cell>
          <cell r="E47">
            <v>46.6</v>
          </cell>
          <cell r="F47" t="str">
            <v>CL1</v>
          </cell>
          <cell r="G47" t="str">
            <v>N01</v>
          </cell>
          <cell r="H47" t="str">
            <v>Virgen</v>
          </cell>
          <cell r="I47">
            <v>0</v>
          </cell>
        </row>
        <row r="48">
          <cell r="D48">
            <v>50034616</v>
          </cell>
          <cell r="E48">
            <v>46.6</v>
          </cell>
          <cell r="F48" t="str">
            <v>CL1</v>
          </cell>
          <cell r="G48" t="str">
            <v>A16</v>
          </cell>
          <cell r="H48" t="str">
            <v>Virgen</v>
          </cell>
          <cell r="I48">
            <v>0</v>
          </cell>
        </row>
        <row r="49">
          <cell r="D49">
            <v>50035183</v>
          </cell>
          <cell r="E49">
            <v>46.6</v>
          </cell>
          <cell r="F49" t="str">
            <v>CL1</v>
          </cell>
          <cell r="G49" t="str">
            <v>A16</v>
          </cell>
          <cell r="H49" t="str">
            <v>Virgen</v>
          </cell>
          <cell r="I49">
            <v>0</v>
          </cell>
        </row>
        <row r="50">
          <cell r="D50">
            <v>50039302</v>
          </cell>
          <cell r="E50">
            <v>46.6</v>
          </cell>
          <cell r="F50" t="str">
            <v>CL1</v>
          </cell>
          <cell r="G50" t="str">
            <v>N01</v>
          </cell>
          <cell r="H50" t="str">
            <v>Virgen</v>
          </cell>
          <cell r="I50">
            <v>0</v>
          </cell>
        </row>
        <row r="51">
          <cell r="D51">
            <v>50030381</v>
          </cell>
          <cell r="E51">
            <v>46.6</v>
          </cell>
          <cell r="F51" t="str">
            <v>CL1</v>
          </cell>
          <cell r="G51" t="str">
            <v>N01</v>
          </cell>
          <cell r="H51" t="str">
            <v>Virgen</v>
          </cell>
          <cell r="I51">
            <v>0</v>
          </cell>
        </row>
        <row r="52">
          <cell r="D52">
            <v>50025345</v>
          </cell>
          <cell r="E52">
            <v>46.6</v>
          </cell>
          <cell r="F52" t="str">
            <v>CL1</v>
          </cell>
          <cell r="G52" t="str">
            <v>N01</v>
          </cell>
          <cell r="H52" t="str">
            <v>Virgen</v>
          </cell>
          <cell r="I52">
            <v>0</v>
          </cell>
        </row>
        <row r="53">
          <cell r="D53">
            <v>50035183</v>
          </cell>
          <cell r="E53">
            <v>46.6</v>
          </cell>
          <cell r="F53" t="str">
            <v>CL1</v>
          </cell>
          <cell r="G53" t="str">
            <v>A16</v>
          </cell>
          <cell r="H53" t="str">
            <v>Virgen</v>
          </cell>
          <cell r="I53">
            <v>0</v>
          </cell>
        </row>
        <row r="54">
          <cell r="D54">
            <v>50034616</v>
          </cell>
          <cell r="E54">
            <v>46.6</v>
          </cell>
          <cell r="F54" t="str">
            <v>CL1</v>
          </cell>
          <cell r="G54" t="str">
            <v>A16</v>
          </cell>
          <cell r="H54" t="str">
            <v>Virgen</v>
          </cell>
          <cell r="I54">
            <v>0</v>
          </cell>
        </row>
        <row r="55">
          <cell r="D55">
            <v>50030381</v>
          </cell>
          <cell r="E55">
            <v>46.6</v>
          </cell>
          <cell r="F55" t="str">
            <v>CL1</v>
          </cell>
          <cell r="G55" t="str">
            <v>N01</v>
          </cell>
          <cell r="H55" t="str">
            <v>Virgen</v>
          </cell>
          <cell r="I55">
            <v>0</v>
          </cell>
        </row>
        <row r="56">
          <cell r="D56">
            <v>50025345</v>
          </cell>
          <cell r="E56">
            <v>46.6</v>
          </cell>
          <cell r="F56" t="str">
            <v>CL1</v>
          </cell>
          <cell r="G56" t="str">
            <v>N01</v>
          </cell>
          <cell r="H56" t="str">
            <v>Virgen</v>
          </cell>
          <cell r="I56">
            <v>0</v>
          </cell>
        </row>
        <row r="57">
          <cell r="D57">
            <v>50035183</v>
          </cell>
          <cell r="E57">
            <v>46.6</v>
          </cell>
          <cell r="F57" t="str">
            <v>CL1</v>
          </cell>
          <cell r="G57" t="str">
            <v>A16</v>
          </cell>
          <cell r="H57" t="str">
            <v>Virgen</v>
          </cell>
          <cell r="I57">
            <v>0</v>
          </cell>
        </row>
        <row r="58">
          <cell r="D58">
            <v>50034616</v>
          </cell>
          <cell r="E58">
            <v>46.6</v>
          </cell>
          <cell r="F58" t="str">
            <v>CL1</v>
          </cell>
          <cell r="G58" t="str">
            <v>A16</v>
          </cell>
          <cell r="H58" t="str">
            <v>Virgen</v>
          </cell>
          <cell r="I58">
            <v>0</v>
          </cell>
        </row>
        <row r="59">
          <cell r="D59">
            <v>50021818</v>
          </cell>
          <cell r="E59">
            <v>46.6</v>
          </cell>
          <cell r="F59" t="str">
            <v>CL1</v>
          </cell>
          <cell r="G59" t="str">
            <v>N01</v>
          </cell>
          <cell r="H59" t="str">
            <v>Virgen</v>
          </cell>
          <cell r="I59">
            <v>0</v>
          </cell>
        </row>
        <row r="60">
          <cell r="D60">
            <v>50036915</v>
          </cell>
          <cell r="E60">
            <v>46.6</v>
          </cell>
          <cell r="F60" t="str">
            <v>CL1</v>
          </cell>
          <cell r="G60" t="str">
            <v>A16G20</v>
          </cell>
          <cell r="H60" t="str">
            <v>Reciclada</v>
          </cell>
          <cell r="I60">
            <v>0.2</v>
          </cell>
        </row>
        <row r="61">
          <cell r="D61">
            <v>50037042</v>
          </cell>
          <cell r="E61">
            <v>46.6</v>
          </cell>
          <cell r="F61" t="str">
            <v>CL1</v>
          </cell>
          <cell r="G61" t="str">
            <v>A16Z20</v>
          </cell>
          <cell r="H61" t="str">
            <v>Reciclada</v>
          </cell>
          <cell r="I61">
            <v>0.2</v>
          </cell>
        </row>
        <row r="62">
          <cell r="D62">
            <v>50037042</v>
          </cell>
          <cell r="E62">
            <v>46.6</v>
          </cell>
          <cell r="F62" t="str">
            <v>CL1</v>
          </cell>
          <cell r="G62" t="str">
            <v>A16Z20</v>
          </cell>
          <cell r="H62" t="str">
            <v>Reciclada</v>
          </cell>
          <cell r="I62">
            <v>0.2</v>
          </cell>
        </row>
        <row r="63">
          <cell r="D63">
            <v>50037042</v>
          </cell>
          <cell r="E63">
            <v>46.6</v>
          </cell>
          <cell r="F63" t="str">
            <v>CL1</v>
          </cell>
          <cell r="G63" t="str">
            <v>A16Z20</v>
          </cell>
          <cell r="H63" t="str">
            <v>Reciclada</v>
          </cell>
          <cell r="I63">
            <v>0.2</v>
          </cell>
        </row>
        <row r="64">
          <cell r="D64">
            <v>50033714</v>
          </cell>
          <cell r="E64">
            <v>46.6</v>
          </cell>
          <cell r="F64" t="str">
            <v>CL1</v>
          </cell>
          <cell r="G64" t="str">
            <v>A16Z20</v>
          </cell>
          <cell r="H64" t="str">
            <v>Reciclada</v>
          </cell>
          <cell r="I64">
            <v>0.2</v>
          </cell>
        </row>
        <row r="65">
          <cell r="D65">
            <v>50037042</v>
          </cell>
          <cell r="E65">
            <v>46.6</v>
          </cell>
          <cell r="F65" t="str">
            <v>CL1</v>
          </cell>
          <cell r="G65" t="str">
            <v>A16Z20</v>
          </cell>
          <cell r="H65" t="str">
            <v>Reciclada</v>
          </cell>
          <cell r="I65">
            <v>0.2</v>
          </cell>
        </row>
        <row r="66">
          <cell r="D66">
            <v>50037042</v>
          </cell>
          <cell r="E66">
            <v>46.6</v>
          </cell>
          <cell r="F66" t="str">
            <v>CL1</v>
          </cell>
          <cell r="G66" t="str">
            <v>A16Z20</v>
          </cell>
          <cell r="H66" t="str">
            <v>Reciclada</v>
          </cell>
          <cell r="I66">
            <v>0.2</v>
          </cell>
        </row>
        <row r="67">
          <cell r="D67">
            <v>50035359</v>
          </cell>
          <cell r="E67">
            <v>46.6</v>
          </cell>
          <cell r="F67" t="str">
            <v>V03</v>
          </cell>
          <cell r="G67" t="str">
            <v>A16</v>
          </cell>
          <cell r="H67" t="str">
            <v>Virgen</v>
          </cell>
          <cell r="I67">
            <v>0</v>
          </cell>
        </row>
        <row r="68">
          <cell r="D68">
            <v>50034617</v>
          </cell>
          <cell r="E68">
            <v>46.6</v>
          </cell>
          <cell r="F68" t="str">
            <v>V03</v>
          </cell>
          <cell r="G68" t="str">
            <v>A16</v>
          </cell>
          <cell r="H68" t="str">
            <v>Virgen</v>
          </cell>
          <cell r="I68">
            <v>0</v>
          </cell>
        </row>
        <row r="69">
          <cell r="D69">
            <v>50035359</v>
          </cell>
          <cell r="E69">
            <v>46.6</v>
          </cell>
          <cell r="F69" t="str">
            <v>V03</v>
          </cell>
          <cell r="G69" t="str">
            <v>A16</v>
          </cell>
          <cell r="H69" t="str">
            <v>Virgen</v>
          </cell>
          <cell r="I69">
            <v>0</v>
          </cell>
        </row>
        <row r="70">
          <cell r="D70">
            <v>50034617</v>
          </cell>
          <cell r="E70">
            <v>46.6</v>
          </cell>
          <cell r="F70" t="str">
            <v>V03</v>
          </cell>
          <cell r="G70" t="str">
            <v>A16</v>
          </cell>
          <cell r="H70" t="str">
            <v>Virgen</v>
          </cell>
          <cell r="I70">
            <v>0</v>
          </cell>
        </row>
        <row r="71">
          <cell r="D71">
            <v>50033716</v>
          </cell>
          <cell r="E71">
            <v>46.6</v>
          </cell>
          <cell r="F71" t="str">
            <v>V03</v>
          </cell>
          <cell r="G71" t="str">
            <v>A16Z20</v>
          </cell>
          <cell r="H71" t="str">
            <v>Reciclada</v>
          </cell>
          <cell r="I71">
            <v>0.2</v>
          </cell>
        </row>
        <row r="72">
          <cell r="D72">
            <v>50035308</v>
          </cell>
          <cell r="E72">
            <v>46.6</v>
          </cell>
          <cell r="F72" t="str">
            <v>VCC</v>
          </cell>
          <cell r="G72" t="str">
            <v>A16</v>
          </cell>
          <cell r="H72" t="str">
            <v>Virgen</v>
          </cell>
          <cell r="I72">
            <v>0</v>
          </cell>
        </row>
        <row r="73">
          <cell r="D73">
            <v>50034612</v>
          </cell>
          <cell r="E73">
            <v>46.6</v>
          </cell>
          <cell r="F73" t="str">
            <v>VCC</v>
          </cell>
          <cell r="G73" t="str">
            <v>A16</v>
          </cell>
          <cell r="H73" t="str">
            <v>Virgen</v>
          </cell>
          <cell r="I73">
            <v>0</v>
          </cell>
        </row>
        <row r="74">
          <cell r="D74">
            <v>50035308</v>
          </cell>
          <cell r="E74">
            <v>46.6</v>
          </cell>
          <cell r="F74" t="str">
            <v>VCC</v>
          </cell>
          <cell r="G74" t="str">
            <v>A16</v>
          </cell>
          <cell r="H74" t="str">
            <v>Virgen</v>
          </cell>
          <cell r="I74">
            <v>0</v>
          </cell>
        </row>
        <row r="75">
          <cell r="D75">
            <v>50035308</v>
          </cell>
          <cell r="E75">
            <v>46.6</v>
          </cell>
          <cell r="F75" t="str">
            <v>VCC</v>
          </cell>
          <cell r="G75" t="str">
            <v>A16</v>
          </cell>
          <cell r="H75" t="str">
            <v>Virgen</v>
          </cell>
          <cell r="I75">
            <v>0</v>
          </cell>
        </row>
        <row r="76">
          <cell r="D76">
            <v>50035308</v>
          </cell>
          <cell r="E76">
            <v>46.6</v>
          </cell>
          <cell r="F76" t="str">
            <v>VCC</v>
          </cell>
          <cell r="G76" t="str">
            <v>A16</v>
          </cell>
          <cell r="H76" t="str">
            <v>Virgen</v>
          </cell>
          <cell r="I76">
            <v>0</v>
          </cell>
        </row>
        <row r="77">
          <cell r="D77">
            <v>50034612</v>
          </cell>
          <cell r="E77">
            <v>46.6</v>
          </cell>
          <cell r="F77" t="str">
            <v>VCC</v>
          </cell>
          <cell r="G77" t="str">
            <v>A16</v>
          </cell>
          <cell r="H77" t="str">
            <v>Virgen</v>
          </cell>
          <cell r="I77">
            <v>0</v>
          </cell>
        </row>
        <row r="78">
          <cell r="D78">
            <v>50033718</v>
          </cell>
          <cell r="E78">
            <v>46.6</v>
          </cell>
          <cell r="F78" t="str">
            <v>VCC</v>
          </cell>
          <cell r="G78" t="str">
            <v>A16Z20</v>
          </cell>
          <cell r="H78" t="str">
            <v>Reciclada</v>
          </cell>
          <cell r="I78">
            <v>0.2</v>
          </cell>
        </row>
        <row r="79">
          <cell r="D79">
            <v>50033718</v>
          </cell>
          <cell r="E79">
            <v>46.6</v>
          </cell>
          <cell r="F79" t="str">
            <v>VCC</v>
          </cell>
          <cell r="G79" t="str">
            <v>A16Z20</v>
          </cell>
          <cell r="H79" t="str">
            <v>Reciclada</v>
          </cell>
          <cell r="I79">
            <v>0.2</v>
          </cell>
        </row>
        <row r="80">
          <cell r="D80">
            <v>50033718</v>
          </cell>
          <cell r="E80">
            <v>46.6</v>
          </cell>
          <cell r="F80" t="str">
            <v>VCC</v>
          </cell>
          <cell r="G80" t="str">
            <v>A16Z20</v>
          </cell>
          <cell r="H80" t="str">
            <v>Reciclada</v>
          </cell>
          <cell r="I80">
            <v>0.2</v>
          </cell>
        </row>
        <row r="81">
          <cell r="D81">
            <v>50033718</v>
          </cell>
          <cell r="E81">
            <v>46.6</v>
          </cell>
          <cell r="F81" t="str">
            <v>VCC</v>
          </cell>
          <cell r="G81" t="str">
            <v>A16Z20</v>
          </cell>
          <cell r="H81" t="str">
            <v>Reciclada</v>
          </cell>
          <cell r="I81">
            <v>0.2</v>
          </cell>
        </row>
        <row r="82">
          <cell r="D82">
            <v>50039622</v>
          </cell>
          <cell r="E82">
            <v>52</v>
          </cell>
          <cell r="F82" t="str">
            <v>CL1</v>
          </cell>
          <cell r="G82" t="str">
            <v>N01</v>
          </cell>
          <cell r="H82" t="str">
            <v>Virgen</v>
          </cell>
          <cell r="I82">
            <v>0</v>
          </cell>
        </row>
        <row r="83">
          <cell r="D83">
            <v>50034634</v>
          </cell>
          <cell r="E83">
            <v>52</v>
          </cell>
          <cell r="F83" t="str">
            <v>CL1</v>
          </cell>
          <cell r="G83" t="str">
            <v>A16</v>
          </cell>
          <cell r="H83" t="str">
            <v>Virgen</v>
          </cell>
          <cell r="I83">
            <v>0</v>
          </cell>
        </row>
        <row r="84">
          <cell r="D84">
            <v>50036287</v>
          </cell>
          <cell r="E84">
            <v>52</v>
          </cell>
          <cell r="F84" t="str">
            <v>CL1</v>
          </cell>
          <cell r="G84" t="str">
            <v>A16</v>
          </cell>
          <cell r="H84" t="str">
            <v>Virgen</v>
          </cell>
          <cell r="I84">
            <v>0</v>
          </cell>
        </row>
        <row r="85">
          <cell r="D85">
            <v>50036287</v>
          </cell>
          <cell r="E85">
            <v>52</v>
          </cell>
          <cell r="F85" t="str">
            <v>CL1</v>
          </cell>
          <cell r="G85" t="str">
            <v>A16</v>
          </cell>
          <cell r="H85" t="str">
            <v>Virgen</v>
          </cell>
          <cell r="I85">
            <v>0</v>
          </cell>
        </row>
        <row r="86">
          <cell r="D86">
            <v>50034634</v>
          </cell>
          <cell r="E86">
            <v>52</v>
          </cell>
          <cell r="F86" t="str">
            <v>CL1</v>
          </cell>
          <cell r="G86" t="str">
            <v>A16</v>
          </cell>
          <cell r="H86" t="str">
            <v>Virgen</v>
          </cell>
          <cell r="I86">
            <v>0</v>
          </cell>
        </row>
        <row r="87">
          <cell r="D87">
            <v>50036287</v>
          </cell>
          <cell r="E87">
            <v>52</v>
          </cell>
          <cell r="F87" t="str">
            <v>CL1</v>
          </cell>
          <cell r="G87" t="str">
            <v>A16</v>
          </cell>
          <cell r="H87" t="str">
            <v>Virgen</v>
          </cell>
          <cell r="I87">
            <v>0</v>
          </cell>
        </row>
        <row r="88">
          <cell r="D88">
            <v>50034634</v>
          </cell>
          <cell r="E88">
            <v>52</v>
          </cell>
          <cell r="F88" t="str">
            <v>CL1</v>
          </cell>
          <cell r="G88" t="str">
            <v>A16</v>
          </cell>
          <cell r="H88" t="str">
            <v>Virgen</v>
          </cell>
          <cell r="I88">
            <v>0</v>
          </cell>
        </row>
        <row r="89">
          <cell r="D89">
            <v>50034636</v>
          </cell>
          <cell r="E89">
            <v>52</v>
          </cell>
          <cell r="F89" t="str">
            <v>V03</v>
          </cell>
          <cell r="G89" t="str">
            <v>A16</v>
          </cell>
          <cell r="H89" t="str">
            <v>Virgen</v>
          </cell>
          <cell r="I89">
            <v>0</v>
          </cell>
        </row>
        <row r="90">
          <cell r="D90">
            <v>50034636</v>
          </cell>
          <cell r="E90">
            <v>52</v>
          </cell>
          <cell r="F90" t="str">
            <v>V03</v>
          </cell>
          <cell r="G90" t="str">
            <v>A16</v>
          </cell>
          <cell r="H90" t="str">
            <v>Virgen</v>
          </cell>
          <cell r="I90">
            <v>0</v>
          </cell>
        </row>
        <row r="91">
          <cell r="D91">
            <v>50034635</v>
          </cell>
          <cell r="E91">
            <v>52</v>
          </cell>
          <cell r="F91" t="str">
            <v>VCC</v>
          </cell>
          <cell r="G91" t="str">
            <v>A16</v>
          </cell>
          <cell r="H91" t="str">
            <v>Virgen</v>
          </cell>
          <cell r="I91">
            <v>0</v>
          </cell>
        </row>
        <row r="92">
          <cell r="D92">
            <v>50034635</v>
          </cell>
          <cell r="E92">
            <v>52</v>
          </cell>
          <cell r="F92" t="str">
            <v>VCC</v>
          </cell>
          <cell r="G92" t="str">
            <v>A16</v>
          </cell>
          <cell r="H92" t="str">
            <v>Virgen</v>
          </cell>
          <cell r="I92">
            <v>0</v>
          </cell>
        </row>
        <row r="93">
          <cell r="D93">
            <v>50024497</v>
          </cell>
          <cell r="E93">
            <v>54.7</v>
          </cell>
          <cell r="F93" t="str">
            <v>CL1</v>
          </cell>
          <cell r="G93" t="str">
            <v>N01</v>
          </cell>
          <cell r="H93" t="str">
            <v>Virgen</v>
          </cell>
          <cell r="I93">
            <v>0</v>
          </cell>
        </row>
        <row r="94">
          <cell r="D94">
            <v>50024497</v>
          </cell>
          <cell r="E94">
            <v>54.7</v>
          </cell>
          <cell r="F94" t="str">
            <v>CL1</v>
          </cell>
          <cell r="G94" t="str">
            <v>N01</v>
          </cell>
          <cell r="H94" t="str">
            <v>Virgen</v>
          </cell>
          <cell r="I94">
            <v>0</v>
          </cell>
        </row>
        <row r="95">
          <cell r="D95">
            <v>50032583</v>
          </cell>
          <cell r="E95">
            <v>54.7</v>
          </cell>
          <cell r="F95" t="str">
            <v>CL1</v>
          </cell>
          <cell r="G95" t="str">
            <v>A16</v>
          </cell>
          <cell r="H95" t="str">
            <v>Virgen</v>
          </cell>
          <cell r="I95">
            <v>0</v>
          </cell>
        </row>
        <row r="96">
          <cell r="D96">
            <v>50024497</v>
          </cell>
          <cell r="E96">
            <v>54.7</v>
          </cell>
          <cell r="F96" t="str">
            <v>CL1</v>
          </cell>
          <cell r="G96" t="str">
            <v>N01</v>
          </cell>
          <cell r="H96" t="str">
            <v>Virgen</v>
          </cell>
          <cell r="I96">
            <v>0</v>
          </cell>
        </row>
        <row r="97">
          <cell r="D97">
            <v>50024497</v>
          </cell>
          <cell r="E97">
            <v>54.7</v>
          </cell>
          <cell r="F97" t="str">
            <v>CL1</v>
          </cell>
          <cell r="G97" t="str">
            <v>N01</v>
          </cell>
          <cell r="H97" t="str">
            <v>Virgen</v>
          </cell>
          <cell r="I97">
            <v>0</v>
          </cell>
        </row>
        <row r="98">
          <cell r="D98">
            <v>50032583</v>
          </cell>
          <cell r="E98">
            <v>54.7</v>
          </cell>
          <cell r="F98" t="str">
            <v>CL1</v>
          </cell>
          <cell r="G98" t="str">
            <v>A16</v>
          </cell>
          <cell r="H98" t="str">
            <v>Virgen</v>
          </cell>
          <cell r="I98">
            <v>0</v>
          </cell>
        </row>
        <row r="99">
          <cell r="D99">
            <v>50036545</v>
          </cell>
          <cell r="E99">
            <v>54.7</v>
          </cell>
          <cell r="F99" t="str">
            <v>V03</v>
          </cell>
          <cell r="G99" t="str">
            <v>A16</v>
          </cell>
          <cell r="H99" t="str">
            <v>Virgen</v>
          </cell>
          <cell r="I99">
            <v>0</v>
          </cell>
        </row>
        <row r="100">
          <cell r="D100">
            <v>50032584</v>
          </cell>
          <cell r="E100">
            <v>54.7</v>
          </cell>
          <cell r="F100" t="str">
            <v>VCC</v>
          </cell>
          <cell r="G100" t="str">
            <v>A16</v>
          </cell>
          <cell r="H100" t="str">
            <v>Virgen</v>
          </cell>
          <cell r="I100">
            <v>0</v>
          </cell>
        </row>
        <row r="101">
          <cell r="D101">
            <v>50032584</v>
          </cell>
          <cell r="E101">
            <v>54.7</v>
          </cell>
          <cell r="F101" t="str">
            <v>VCC</v>
          </cell>
          <cell r="G101" t="str">
            <v>A16</v>
          </cell>
          <cell r="H101" t="str">
            <v>Virgen</v>
          </cell>
          <cell r="I101">
            <v>0</v>
          </cell>
        </row>
        <row r="102">
          <cell r="D102">
            <v>50032584</v>
          </cell>
          <cell r="E102">
            <v>54.7</v>
          </cell>
          <cell r="F102" t="str">
            <v>VCC</v>
          </cell>
          <cell r="G102" t="str">
            <v>A16</v>
          </cell>
          <cell r="H102" t="str">
            <v>Virgen</v>
          </cell>
          <cell r="I102">
            <v>0</v>
          </cell>
        </row>
        <row r="103">
          <cell r="D103">
            <v>50034194</v>
          </cell>
          <cell r="E103">
            <v>62</v>
          </cell>
          <cell r="F103" t="str">
            <v>CL1</v>
          </cell>
          <cell r="G103" t="str">
            <v>A16</v>
          </cell>
          <cell r="H103" t="str">
            <v>Virgen</v>
          </cell>
          <cell r="I103">
            <v>0</v>
          </cell>
        </row>
        <row r="104">
          <cell r="D104">
            <v>50034194</v>
          </cell>
          <cell r="E104">
            <v>62</v>
          </cell>
          <cell r="F104" t="str">
            <v>CL1</v>
          </cell>
          <cell r="G104" t="str">
            <v>A16</v>
          </cell>
          <cell r="H104" t="str">
            <v>Virgen</v>
          </cell>
          <cell r="I104">
            <v>0</v>
          </cell>
        </row>
        <row r="105">
          <cell r="D105">
            <v>50030045</v>
          </cell>
          <cell r="E105">
            <v>62</v>
          </cell>
          <cell r="F105" t="str">
            <v>CL1</v>
          </cell>
          <cell r="G105" t="str">
            <v>U03</v>
          </cell>
          <cell r="H105" t="str">
            <v>Virgen</v>
          </cell>
          <cell r="I105">
            <v>0</v>
          </cell>
        </row>
        <row r="106">
          <cell r="D106">
            <v>50034195</v>
          </cell>
          <cell r="E106">
            <v>62</v>
          </cell>
          <cell r="F106" t="str">
            <v>VCC</v>
          </cell>
          <cell r="G106" t="str">
            <v>A16</v>
          </cell>
          <cell r="H106" t="str">
            <v>Virgen</v>
          </cell>
          <cell r="I106">
            <v>0</v>
          </cell>
        </row>
        <row r="107">
          <cell r="D107">
            <v>50034195</v>
          </cell>
          <cell r="E107">
            <v>62</v>
          </cell>
          <cell r="F107" t="str">
            <v>VCC</v>
          </cell>
          <cell r="G107" t="str">
            <v>A16</v>
          </cell>
          <cell r="H107" t="str">
            <v>Virgen</v>
          </cell>
          <cell r="I107">
            <v>0</v>
          </cell>
        </row>
        <row r="108">
          <cell r="D108">
            <v>50030932</v>
          </cell>
          <cell r="E108">
            <v>62</v>
          </cell>
          <cell r="F108" t="str">
            <v>VCC</v>
          </cell>
          <cell r="G108" t="str">
            <v>U03</v>
          </cell>
          <cell r="H108" t="str">
            <v>Virgen</v>
          </cell>
          <cell r="I108">
            <v>0</v>
          </cell>
        </row>
        <row r="109">
          <cell r="D109">
            <v>50030311</v>
          </cell>
          <cell r="E109">
            <v>24</v>
          </cell>
          <cell r="F109" t="str">
            <v>CL1</v>
          </cell>
          <cell r="G109" t="str">
            <v>A13</v>
          </cell>
          <cell r="H109" t="str">
            <v>Virgen</v>
          </cell>
          <cell r="I109">
            <v>0</v>
          </cell>
        </row>
        <row r="110">
          <cell r="D110">
            <v>50039506</v>
          </cell>
          <cell r="E110">
            <v>30</v>
          </cell>
          <cell r="F110" t="str">
            <v>CL1</v>
          </cell>
          <cell r="G110" t="str">
            <v>H04</v>
          </cell>
          <cell r="H110" t="str">
            <v>Virgen</v>
          </cell>
          <cell r="I110">
            <v>0</v>
          </cell>
        </row>
        <row r="111">
          <cell r="D111">
            <v>50039337</v>
          </cell>
          <cell r="E111">
            <v>30</v>
          </cell>
          <cell r="F111" t="str">
            <v>CL1</v>
          </cell>
          <cell r="G111" t="str">
            <v>A13</v>
          </cell>
          <cell r="H111" t="str">
            <v>Virgen</v>
          </cell>
          <cell r="I111">
            <v>0</v>
          </cell>
        </row>
        <row r="112">
          <cell r="D112">
            <v>50038523</v>
          </cell>
          <cell r="E112">
            <v>30</v>
          </cell>
          <cell r="F112" t="str">
            <v>CL1</v>
          </cell>
          <cell r="G112" t="str">
            <v>H04</v>
          </cell>
          <cell r="H112" t="str">
            <v>Virgen</v>
          </cell>
          <cell r="I112">
            <v>0</v>
          </cell>
        </row>
        <row r="113">
          <cell r="D113">
            <v>50025163</v>
          </cell>
          <cell r="E113">
            <v>30</v>
          </cell>
          <cell r="F113" t="str">
            <v>CL1</v>
          </cell>
          <cell r="G113" t="str">
            <v>A13</v>
          </cell>
          <cell r="H113" t="str">
            <v>Virgen</v>
          </cell>
          <cell r="I113">
            <v>0</v>
          </cell>
        </row>
        <row r="114">
          <cell r="D114">
            <v>50029817</v>
          </cell>
          <cell r="E114">
            <v>30</v>
          </cell>
          <cell r="F114" t="str">
            <v>CL1</v>
          </cell>
          <cell r="G114" t="str">
            <v>A13Z30</v>
          </cell>
          <cell r="H114" t="str">
            <v>Reciclada</v>
          </cell>
          <cell r="I114">
            <v>0.3</v>
          </cell>
        </row>
        <row r="115">
          <cell r="D115">
            <v>50039509</v>
          </cell>
          <cell r="E115">
            <v>34</v>
          </cell>
          <cell r="F115" t="str">
            <v>CL1</v>
          </cell>
          <cell r="G115" t="str">
            <v>H04</v>
          </cell>
          <cell r="H115" t="str">
            <v>Virgen</v>
          </cell>
          <cell r="I115">
            <v>0</v>
          </cell>
        </row>
        <row r="116">
          <cell r="D116">
            <v>50036718</v>
          </cell>
          <cell r="E116">
            <v>34</v>
          </cell>
          <cell r="F116" t="str">
            <v>CL1</v>
          </cell>
          <cell r="G116" t="str">
            <v>A13</v>
          </cell>
          <cell r="H116" t="str">
            <v>Virgen</v>
          </cell>
          <cell r="I116">
            <v>0</v>
          </cell>
        </row>
        <row r="117">
          <cell r="D117">
            <v>50032514</v>
          </cell>
          <cell r="E117">
            <v>44.8</v>
          </cell>
          <cell r="F117" t="str">
            <v>CL1</v>
          </cell>
          <cell r="G117" t="str">
            <v>H04</v>
          </cell>
          <cell r="H117" t="str">
            <v>Virgen</v>
          </cell>
          <cell r="I117">
            <v>0</v>
          </cell>
        </row>
        <row r="118">
          <cell r="D118">
            <v>50029843</v>
          </cell>
          <cell r="E118">
            <v>44.8</v>
          </cell>
          <cell r="F118" t="str">
            <v>CL1</v>
          </cell>
          <cell r="G118" t="str">
            <v>A13</v>
          </cell>
          <cell r="H118" t="str">
            <v>Virgen</v>
          </cell>
          <cell r="I118">
            <v>0</v>
          </cell>
        </row>
        <row r="119">
          <cell r="D119">
            <v>50027468</v>
          </cell>
          <cell r="E119">
            <v>52</v>
          </cell>
          <cell r="F119" t="str">
            <v>CL1</v>
          </cell>
          <cell r="G119" t="str">
            <v>A13</v>
          </cell>
          <cell r="H119" t="str">
            <v>Virgen</v>
          </cell>
          <cell r="I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0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T145"/>
  <sheetViews>
    <sheetView showGridLines="0" topLeftCell="A9" zoomScale="90" zoomScaleNormal="90" workbookViewId="0">
      <selection activeCell="B7" sqref="B7"/>
    </sheetView>
  </sheetViews>
  <sheetFormatPr defaultColWidth="11.453125" defaultRowHeight="12.5" x14ac:dyDescent="0.25"/>
  <cols>
    <col min="1" max="1" width="9" style="40" customWidth="1"/>
    <col min="2" max="2" width="22.81640625" style="40" bestFit="1" customWidth="1"/>
    <col min="3" max="3" width="22.453125" style="40" customWidth="1"/>
    <col min="4" max="4" width="19.54296875" style="40" customWidth="1"/>
    <col min="5" max="6" width="11.453125" style="40"/>
    <col min="7" max="7" width="11.453125" style="44"/>
    <col min="8" max="256" width="11.453125" style="40"/>
    <col min="257" max="257" width="9" style="40" customWidth="1"/>
    <col min="258" max="259" width="22.453125" style="40" customWidth="1"/>
    <col min="260" max="260" width="19.54296875" style="40" customWidth="1"/>
    <col min="261" max="261" width="20.54296875" style="40" customWidth="1"/>
    <col min="262" max="512" width="11.453125" style="40"/>
    <col min="513" max="513" width="9" style="40" customWidth="1"/>
    <col min="514" max="515" width="22.453125" style="40" customWidth="1"/>
    <col min="516" max="516" width="19.54296875" style="40" customWidth="1"/>
    <col min="517" max="517" width="20.54296875" style="40" customWidth="1"/>
    <col min="518" max="768" width="11.453125" style="40"/>
    <col min="769" max="769" width="9" style="40" customWidth="1"/>
    <col min="770" max="771" width="22.453125" style="40" customWidth="1"/>
    <col min="772" max="772" width="19.54296875" style="40" customWidth="1"/>
    <col min="773" max="773" width="20.54296875" style="40" customWidth="1"/>
    <col min="774" max="1024" width="11.453125" style="40"/>
    <col min="1025" max="1025" width="9" style="40" customWidth="1"/>
    <col min="1026" max="1027" width="22.453125" style="40" customWidth="1"/>
    <col min="1028" max="1028" width="19.54296875" style="40" customWidth="1"/>
    <col min="1029" max="1029" width="20.54296875" style="40" customWidth="1"/>
    <col min="1030" max="1280" width="11.453125" style="40"/>
    <col min="1281" max="1281" width="9" style="40" customWidth="1"/>
    <col min="1282" max="1283" width="22.453125" style="40" customWidth="1"/>
    <col min="1284" max="1284" width="19.54296875" style="40" customWidth="1"/>
    <col min="1285" max="1285" width="20.54296875" style="40" customWidth="1"/>
    <col min="1286" max="1536" width="11.453125" style="40"/>
    <col min="1537" max="1537" width="9" style="40" customWidth="1"/>
    <col min="1538" max="1539" width="22.453125" style="40" customWidth="1"/>
    <col min="1540" max="1540" width="19.54296875" style="40" customWidth="1"/>
    <col min="1541" max="1541" width="20.54296875" style="40" customWidth="1"/>
    <col min="1542" max="1792" width="11.453125" style="40"/>
    <col min="1793" max="1793" width="9" style="40" customWidth="1"/>
    <col min="1794" max="1795" width="22.453125" style="40" customWidth="1"/>
    <col min="1796" max="1796" width="19.54296875" style="40" customWidth="1"/>
    <col min="1797" max="1797" width="20.54296875" style="40" customWidth="1"/>
    <col min="1798" max="2048" width="11.453125" style="40"/>
    <col min="2049" max="2049" width="9" style="40" customWidth="1"/>
    <col min="2050" max="2051" width="22.453125" style="40" customWidth="1"/>
    <col min="2052" max="2052" width="19.54296875" style="40" customWidth="1"/>
    <col min="2053" max="2053" width="20.54296875" style="40" customWidth="1"/>
    <col min="2054" max="2304" width="11.453125" style="40"/>
    <col min="2305" max="2305" width="9" style="40" customWidth="1"/>
    <col min="2306" max="2307" width="22.453125" style="40" customWidth="1"/>
    <col min="2308" max="2308" width="19.54296875" style="40" customWidth="1"/>
    <col min="2309" max="2309" width="20.54296875" style="40" customWidth="1"/>
    <col min="2310" max="2560" width="11.453125" style="40"/>
    <col min="2561" max="2561" width="9" style="40" customWidth="1"/>
    <col min="2562" max="2563" width="22.453125" style="40" customWidth="1"/>
    <col min="2564" max="2564" width="19.54296875" style="40" customWidth="1"/>
    <col min="2565" max="2565" width="20.54296875" style="40" customWidth="1"/>
    <col min="2566" max="2816" width="11.453125" style="40"/>
    <col min="2817" max="2817" width="9" style="40" customWidth="1"/>
    <col min="2818" max="2819" width="22.453125" style="40" customWidth="1"/>
    <col min="2820" max="2820" width="19.54296875" style="40" customWidth="1"/>
    <col min="2821" max="2821" width="20.54296875" style="40" customWidth="1"/>
    <col min="2822" max="3072" width="11.453125" style="40"/>
    <col min="3073" max="3073" width="9" style="40" customWidth="1"/>
    <col min="3074" max="3075" width="22.453125" style="40" customWidth="1"/>
    <col min="3076" max="3076" width="19.54296875" style="40" customWidth="1"/>
    <col min="3077" max="3077" width="20.54296875" style="40" customWidth="1"/>
    <col min="3078" max="3328" width="11.453125" style="40"/>
    <col min="3329" max="3329" width="9" style="40" customWidth="1"/>
    <col min="3330" max="3331" width="22.453125" style="40" customWidth="1"/>
    <col min="3332" max="3332" width="19.54296875" style="40" customWidth="1"/>
    <col min="3333" max="3333" width="20.54296875" style="40" customWidth="1"/>
    <col min="3334" max="3584" width="11.453125" style="40"/>
    <col min="3585" max="3585" width="9" style="40" customWidth="1"/>
    <col min="3586" max="3587" width="22.453125" style="40" customWidth="1"/>
    <col min="3588" max="3588" width="19.54296875" style="40" customWidth="1"/>
    <col min="3589" max="3589" width="20.54296875" style="40" customWidth="1"/>
    <col min="3590" max="3840" width="11.453125" style="40"/>
    <col min="3841" max="3841" width="9" style="40" customWidth="1"/>
    <col min="3842" max="3843" width="22.453125" style="40" customWidth="1"/>
    <col min="3844" max="3844" width="19.54296875" style="40" customWidth="1"/>
    <col min="3845" max="3845" width="20.54296875" style="40" customWidth="1"/>
    <col min="3846" max="4096" width="11.453125" style="40"/>
    <col min="4097" max="4097" width="9" style="40" customWidth="1"/>
    <col min="4098" max="4099" width="22.453125" style="40" customWidth="1"/>
    <col min="4100" max="4100" width="19.54296875" style="40" customWidth="1"/>
    <col min="4101" max="4101" width="20.54296875" style="40" customWidth="1"/>
    <col min="4102" max="4352" width="11.453125" style="40"/>
    <col min="4353" max="4353" width="9" style="40" customWidth="1"/>
    <col min="4354" max="4355" width="22.453125" style="40" customWidth="1"/>
    <col min="4356" max="4356" width="19.54296875" style="40" customWidth="1"/>
    <col min="4357" max="4357" width="20.54296875" style="40" customWidth="1"/>
    <col min="4358" max="4608" width="11.453125" style="40"/>
    <col min="4609" max="4609" width="9" style="40" customWidth="1"/>
    <col min="4610" max="4611" width="22.453125" style="40" customWidth="1"/>
    <col min="4612" max="4612" width="19.54296875" style="40" customWidth="1"/>
    <col min="4613" max="4613" width="20.54296875" style="40" customWidth="1"/>
    <col min="4614" max="4864" width="11.453125" style="40"/>
    <col min="4865" max="4865" width="9" style="40" customWidth="1"/>
    <col min="4866" max="4867" width="22.453125" style="40" customWidth="1"/>
    <col min="4868" max="4868" width="19.54296875" style="40" customWidth="1"/>
    <col min="4869" max="4869" width="20.54296875" style="40" customWidth="1"/>
    <col min="4870" max="5120" width="11.453125" style="40"/>
    <col min="5121" max="5121" width="9" style="40" customWidth="1"/>
    <col min="5122" max="5123" width="22.453125" style="40" customWidth="1"/>
    <col min="5124" max="5124" width="19.54296875" style="40" customWidth="1"/>
    <col min="5125" max="5125" width="20.54296875" style="40" customWidth="1"/>
    <col min="5126" max="5376" width="11.453125" style="40"/>
    <col min="5377" max="5377" width="9" style="40" customWidth="1"/>
    <col min="5378" max="5379" width="22.453125" style="40" customWidth="1"/>
    <col min="5380" max="5380" width="19.54296875" style="40" customWidth="1"/>
    <col min="5381" max="5381" width="20.54296875" style="40" customWidth="1"/>
    <col min="5382" max="5632" width="11.453125" style="40"/>
    <col min="5633" max="5633" width="9" style="40" customWidth="1"/>
    <col min="5634" max="5635" width="22.453125" style="40" customWidth="1"/>
    <col min="5636" max="5636" width="19.54296875" style="40" customWidth="1"/>
    <col min="5637" max="5637" width="20.54296875" style="40" customWidth="1"/>
    <col min="5638" max="5888" width="11.453125" style="40"/>
    <col min="5889" max="5889" width="9" style="40" customWidth="1"/>
    <col min="5890" max="5891" width="22.453125" style="40" customWidth="1"/>
    <col min="5892" max="5892" width="19.54296875" style="40" customWidth="1"/>
    <col min="5893" max="5893" width="20.54296875" style="40" customWidth="1"/>
    <col min="5894" max="6144" width="11.453125" style="40"/>
    <col min="6145" max="6145" width="9" style="40" customWidth="1"/>
    <col min="6146" max="6147" width="22.453125" style="40" customWidth="1"/>
    <col min="6148" max="6148" width="19.54296875" style="40" customWidth="1"/>
    <col min="6149" max="6149" width="20.54296875" style="40" customWidth="1"/>
    <col min="6150" max="6400" width="11.453125" style="40"/>
    <col min="6401" max="6401" width="9" style="40" customWidth="1"/>
    <col min="6402" max="6403" width="22.453125" style="40" customWidth="1"/>
    <col min="6404" max="6404" width="19.54296875" style="40" customWidth="1"/>
    <col min="6405" max="6405" width="20.54296875" style="40" customWidth="1"/>
    <col min="6406" max="6656" width="11.453125" style="40"/>
    <col min="6657" max="6657" width="9" style="40" customWidth="1"/>
    <col min="6658" max="6659" width="22.453125" style="40" customWidth="1"/>
    <col min="6660" max="6660" width="19.54296875" style="40" customWidth="1"/>
    <col min="6661" max="6661" width="20.54296875" style="40" customWidth="1"/>
    <col min="6662" max="6912" width="11.453125" style="40"/>
    <col min="6913" max="6913" width="9" style="40" customWidth="1"/>
    <col min="6914" max="6915" width="22.453125" style="40" customWidth="1"/>
    <col min="6916" max="6916" width="19.54296875" style="40" customWidth="1"/>
    <col min="6917" max="6917" width="20.54296875" style="40" customWidth="1"/>
    <col min="6918" max="7168" width="11.453125" style="40"/>
    <col min="7169" max="7169" width="9" style="40" customWidth="1"/>
    <col min="7170" max="7171" width="22.453125" style="40" customWidth="1"/>
    <col min="7172" max="7172" width="19.54296875" style="40" customWidth="1"/>
    <col min="7173" max="7173" width="20.54296875" style="40" customWidth="1"/>
    <col min="7174" max="7424" width="11.453125" style="40"/>
    <col min="7425" max="7425" width="9" style="40" customWidth="1"/>
    <col min="7426" max="7427" width="22.453125" style="40" customWidth="1"/>
    <col min="7428" max="7428" width="19.54296875" style="40" customWidth="1"/>
    <col min="7429" max="7429" width="20.54296875" style="40" customWidth="1"/>
    <col min="7430" max="7680" width="11.453125" style="40"/>
    <col min="7681" max="7681" width="9" style="40" customWidth="1"/>
    <col min="7682" max="7683" width="22.453125" style="40" customWidth="1"/>
    <col min="7684" max="7684" width="19.54296875" style="40" customWidth="1"/>
    <col min="7685" max="7685" width="20.54296875" style="40" customWidth="1"/>
    <col min="7686" max="7936" width="11.453125" style="40"/>
    <col min="7937" max="7937" width="9" style="40" customWidth="1"/>
    <col min="7938" max="7939" width="22.453125" style="40" customWidth="1"/>
    <col min="7940" max="7940" width="19.54296875" style="40" customWidth="1"/>
    <col min="7941" max="7941" width="20.54296875" style="40" customWidth="1"/>
    <col min="7942" max="8192" width="11.453125" style="40"/>
    <col min="8193" max="8193" width="9" style="40" customWidth="1"/>
    <col min="8194" max="8195" width="22.453125" style="40" customWidth="1"/>
    <col min="8196" max="8196" width="19.54296875" style="40" customWidth="1"/>
    <col min="8197" max="8197" width="20.54296875" style="40" customWidth="1"/>
    <col min="8198" max="8448" width="11.453125" style="40"/>
    <col min="8449" max="8449" width="9" style="40" customWidth="1"/>
    <col min="8450" max="8451" width="22.453125" style="40" customWidth="1"/>
    <col min="8452" max="8452" width="19.54296875" style="40" customWidth="1"/>
    <col min="8453" max="8453" width="20.54296875" style="40" customWidth="1"/>
    <col min="8454" max="8704" width="11.453125" style="40"/>
    <col min="8705" max="8705" width="9" style="40" customWidth="1"/>
    <col min="8706" max="8707" width="22.453125" style="40" customWidth="1"/>
    <col min="8708" max="8708" width="19.54296875" style="40" customWidth="1"/>
    <col min="8709" max="8709" width="20.54296875" style="40" customWidth="1"/>
    <col min="8710" max="8960" width="11.453125" style="40"/>
    <col min="8961" max="8961" width="9" style="40" customWidth="1"/>
    <col min="8962" max="8963" width="22.453125" style="40" customWidth="1"/>
    <col min="8964" max="8964" width="19.54296875" style="40" customWidth="1"/>
    <col min="8965" max="8965" width="20.54296875" style="40" customWidth="1"/>
    <col min="8966" max="9216" width="11.453125" style="40"/>
    <col min="9217" max="9217" width="9" style="40" customWidth="1"/>
    <col min="9218" max="9219" width="22.453125" style="40" customWidth="1"/>
    <col min="9220" max="9220" width="19.54296875" style="40" customWidth="1"/>
    <col min="9221" max="9221" width="20.54296875" style="40" customWidth="1"/>
    <col min="9222" max="9472" width="11.453125" style="40"/>
    <col min="9473" max="9473" width="9" style="40" customWidth="1"/>
    <col min="9474" max="9475" width="22.453125" style="40" customWidth="1"/>
    <col min="9476" max="9476" width="19.54296875" style="40" customWidth="1"/>
    <col min="9477" max="9477" width="20.54296875" style="40" customWidth="1"/>
    <col min="9478" max="9728" width="11.453125" style="40"/>
    <col min="9729" max="9729" width="9" style="40" customWidth="1"/>
    <col min="9730" max="9731" width="22.453125" style="40" customWidth="1"/>
    <col min="9732" max="9732" width="19.54296875" style="40" customWidth="1"/>
    <col min="9733" max="9733" width="20.54296875" style="40" customWidth="1"/>
    <col min="9734" max="9984" width="11.453125" style="40"/>
    <col min="9985" max="9985" width="9" style="40" customWidth="1"/>
    <col min="9986" max="9987" width="22.453125" style="40" customWidth="1"/>
    <col min="9988" max="9988" width="19.54296875" style="40" customWidth="1"/>
    <col min="9989" max="9989" width="20.54296875" style="40" customWidth="1"/>
    <col min="9990" max="10240" width="11.453125" style="40"/>
    <col min="10241" max="10241" width="9" style="40" customWidth="1"/>
    <col min="10242" max="10243" width="22.453125" style="40" customWidth="1"/>
    <col min="10244" max="10244" width="19.54296875" style="40" customWidth="1"/>
    <col min="10245" max="10245" width="20.54296875" style="40" customWidth="1"/>
    <col min="10246" max="10496" width="11.453125" style="40"/>
    <col min="10497" max="10497" width="9" style="40" customWidth="1"/>
    <col min="10498" max="10499" width="22.453125" style="40" customWidth="1"/>
    <col min="10500" max="10500" width="19.54296875" style="40" customWidth="1"/>
    <col min="10501" max="10501" width="20.54296875" style="40" customWidth="1"/>
    <col min="10502" max="10752" width="11.453125" style="40"/>
    <col min="10753" max="10753" width="9" style="40" customWidth="1"/>
    <col min="10754" max="10755" width="22.453125" style="40" customWidth="1"/>
    <col min="10756" max="10756" width="19.54296875" style="40" customWidth="1"/>
    <col min="10757" max="10757" width="20.54296875" style="40" customWidth="1"/>
    <col min="10758" max="11008" width="11.453125" style="40"/>
    <col min="11009" max="11009" width="9" style="40" customWidth="1"/>
    <col min="11010" max="11011" width="22.453125" style="40" customWidth="1"/>
    <col min="11012" max="11012" width="19.54296875" style="40" customWidth="1"/>
    <col min="11013" max="11013" width="20.54296875" style="40" customWidth="1"/>
    <col min="11014" max="11264" width="11.453125" style="40"/>
    <col min="11265" max="11265" width="9" style="40" customWidth="1"/>
    <col min="11266" max="11267" width="22.453125" style="40" customWidth="1"/>
    <col min="11268" max="11268" width="19.54296875" style="40" customWidth="1"/>
    <col min="11269" max="11269" width="20.54296875" style="40" customWidth="1"/>
    <col min="11270" max="11520" width="11.453125" style="40"/>
    <col min="11521" max="11521" width="9" style="40" customWidth="1"/>
    <col min="11522" max="11523" width="22.453125" style="40" customWidth="1"/>
    <col min="11524" max="11524" width="19.54296875" style="40" customWidth="1"/>
    <col min="11525" max="11525" width="20.54296875" style="40" customWidth="1"/>
    <col min="11526" max="11776" width="11.453125" style="40"/>
    <col min="11777" max="11777" width="9" style="40" customWidth="1"/>
    <col min="11778" max="11779" width="22.453125" style="40" customWidth="1"/>
    <col min="11780" max="11780" width="19.54296875" style="40" customWidth="1"/>
    <col min="11781" max="11781" width="20.54296875" style="40" customWidth="1"/>
    <col min="11782" max="12032" width="11.453125" style="40"/>
    <col min="12033" max="12033" width="9" style="40" customWidth="1"/>
    <col min="12034" max="12035" width="22.453125" style="40" customWidth="1"/>
    <col min="12036" max="12036" width="19.54296875" style="40" customWidth="1"/>
    <col min="12037" max="12037" width="20.54296875" style="40" customWidth="1"/>
    <col min="12038" max="12288" width="11.453125" style="40"/>
    <col min="12289" max="12289" width="9" style="40" customWidth="1"/>
    <col min="12290" max="12291" width="22.453125" style="40" customWidth="1"/>
    <col min="12292" max="12292" width="19.54296875" style="40" customWidth="1"/>
    <col min="12293" max="12293" width="20.54296875" style="40" customWidth="1"/>
    <col min="12294" max="12544" width="11.453125" style="40"/>
    <col min="12545" max="12545" width="9" style="40" customWidth="1"/>
    <col min="12546" max="12547" width="22.453125" style="40" customWidth="1"/>
    <col min="12548" max="12548" width="19.54296875" style="40" customWidth="1"/>
    <col min="12549" max="12549" width="20.54296875" style="40" customWidth="1"/>
    <col min="12550" max="12800" width="11.453125" style="40"/>
    <col min="12801" max="12801" width="9" style="40" customWidth="1"/>
    <col min="12802" max="12803" width="22.453125" style="40" customWidth="1"/>
    <col min="12804" max="12804" width="19.54296875" style="40" customWidth="1"/>
    <col min="12805" max="12805" width="20.54296875" style="40" customWidth="1"/>
    <col min="12806" max="13056" width="11.453125" style="40"/>
    <col min="13057" max="13057" width="9" style="40" customWidth="1"/>
    <col min="13058" max="13059" width="22.453125" style="40" customWidth="1"/>
    <col min="13060" max="13060" width="19.54296875" style="40" customWidth="1"/>
    <col min="13061" max="13061" width="20.54296875" style="40" customWidth="1"/>
    <col min="13062" max="13312" width="11.453125" style="40"/>
    <col min="13313" max="13313" width="9" style="40" customWidth="1"/>
    <col min="13314" max="13315" width="22.453125" style="40" customWidth="1"/>
    <col min="13316" max="13316" width="19.54296875" style="40" customWidth="1"/>
    <col min="13317" max="13317" width="20.54296875" style="40" customWidth="1"/>
    <col min="13318" max="13568" width="11.453125" style="40"/>
    <col min="13569" max="13569" width="9" style="40" customWidth="1"/>
    <col min="13570" max="13571" width="22.453125" style="40" customWidth="1"/>
    <col min="13572" max="13572" width="19.54296875" style="40" customWidth="1"/>
    <col min="13573" max="13573" width="20.54296875" style="40" customWidth="1"/>
    <col min="13574" max="13824" width="11.453125" style="40"/>
    <col min="13825" max="13825" width="9" style="40" customWidth="1"/>
    <col min="13826" max="13827" width="22.453125" style="40" customWidth="1"/>
    <col min="13828" max="13828" width="19.54296875" style="40" customWidth="1"/>
    <col min="13829" max="13829" width="20.54296875" style="40" customWidth="1"/>
    <col min="13830" max="14080" width="11.453125" style="40"/>
    <col min="14081" max="14081" width="9" style="40" customWidth="1"/>
    <col min="14082" max="14083" width="22.453125" style="40" customWidth="1"/>
    <col min="14084" max="14084" width="19.54296875" style="40" customWidth="1"/>
    <col min="14085" max="14085" width="20.54296875" style="40" customWidth="1"/>
    <col min="14086" max="14336" width="11.453125" style="40"/>
    <col min="14337" max="14337" width="9" style="40" customWidth="1"/>
    <col min="14338" max="14339" width="22.453125" style="40" customWidth="1"/>
    <col min="14340" max="14340" width="19.54296875" style="40" customWidth="1"/>
    <col min="14341" max="14341" width="20.54296875" style="40" customWidth="1"/>
    <col min="14342" max="14592" width="11.453125" style="40"/>
    <col min="14593" max="14593" width="9" style="40" customWidth="1"/>
    <col min="14594" max="14595" width="22.453125" style="40" customWidth="1"/>
    <col min="14596" max="14596" width="19.54296875" style="40" customWidth="1"/>
    <col min="14597" max="14597" width="20.54296875" style="40" customWidth="1"/>
    <col min="14598" max="14848" width="11.453125" style="40"/>
    <col min="14849" max="14849" width="9" style="40" customWidth="1"/>
    <col min="14850" max="14851" width="22.453125" style="40" customWidth="1"/>
    <col min="14852" max="14852" width="19.54296875" style="40" customWidth="1"/>
    <col min="14853" max="14853" width="20.54296875" style="40" customWidth="1"/>
    <col min="14854" max="15104" width="11.453125" style="40"/>
    <col min="15105" max="15105" width="9" style="40" customWidth="1"/>
    <col min="15106" max="15107" width="22.453125" style="40" customWidth="1"/>
    <col min="15108" max="15108" width="19.54296875" style="40" customWidth="1"/>
    <col min="15109" max="15109" width="20.54296875" style="40" customWidth="1"/>
    <col min="15110" max="15360" width="11.453125" style="40"/>
    <col min="15361" max="15361" width="9" style="40" customWidth="1"/>
    <col min="15362" max="15363" width="22.453125" style="40" customWidth="1"/>
    <col min="15364" max="15364" width="19.54296875" style="40" customWidth="1"/>
    <col min="15365" max="15365" width="20.54296875" style="40" customWidth="1"/>
    <col min="15366" max="15616" width="11.453125" style="40"/>
    <col min="15617" max="15617" width="9" style="40" customWidth="1"/>
    <col min="15618" max="15619" width="22.453125" style="40" customWidth="1"/>
    <col min="15620" max="15620" width="19.54296875" style="40" customWidth="1"/>
    <col min="15621" max="15621" width="20.54296875" style="40" customWidth="1"/>
    <col min="15622" max="15872" width="11.453125" style="40"/>
    <col min="15873" max="15873" width="9" style="40" customWidth="1"/>
    <col min="15874" max="15875" width="22.453125" style="40" customWidth="1"/>
    <col min="15876" max="15876" width="19.54296875" style="40" customWidth="1"/>
    <col min="15877" max="15877" width="20.54296875" style="40" customWidth="1"/>
    <col min="15878" max="16128" width="11.453125" style="40"/>
    <col min="16129" max="16129" width="9" style="40" customWidth="1"/>
    <col min="16130" max="16131" width="22.453125" style="40" customWidth="1"/>
    <col min="16132" max="16132" width="19.54296875" style="40" customWidth="1"/>
    <col min="16133" max="16133" width="20.54296875" style="40" customWidth="1"/>
    <col min="16134" max="16384" width="11.453125" style="40"/>
  </cols>
  <sheetData>
    <row r="1" spans="2:11" s="6" customFormat="1" ht="20" x14ac:dyDescent="0.4">
      <c r="B1" s="5"/>
      <c r="E1" s="40"/>
      <c r="F1" s="40"/>
      <c r="G1" s="44"/>
      <c r="H1" s="40"/>
      <c r="I1" s="40"/>
      <c r="J1" s="40"/>
    </row>
    <row r="2" spans="2:11" s="6" customFormat="1" x14ac:dyDescent="0.25">
      <c r="E2" s="40"/>
      <c r="F2" s="40"/>
      <c r="G2" s="44"/>
      <c r="H2" s="40"/>
      <c r="I2" s="40"/>
      <c r="J2" s="40"/>
    </row>
    <row r="3" spans="2:11" s="6" customFormat="1" ht="18" x14ac:dyDescent="0.4">
      <c r="B3" s="312" t="s">
        <v>0</v>
      </c>
      <c r="C3" s="312"/>
      <c r="D3" s="312"/>
      <c r="E3" s="40"/>
      <c r="F3" s="40"/>
      <c r="G3" s="44"/>
      <c r="H3" s="40"/>
      <c r="I3" s="40"/>
      <c r="J3" s="40"/>
    </row>
    <row r="4" spans="2:11" s="6" customFormat="1" x14ac:dyDescent="0.25">
      <c r="E4" s="40"/>
      <c r="F4" s="40"/>
      <c r="G4" s="44"/>
      <c r="H4" s="40"/>
      <c r="I4" s="40"/>
      <c r="J4" s="40"/>
    </row>
    <row r="5" spans="2:11" s="6" customFormat="1" ht="15.5" x14ac:dyDescent="0.35">
      <c r="B5" s="7"/>
      <c r="E5" s="40"/>
      <c r="F5" s="40"/>
      <c r="G5" s="44"/>
      <c r="H5" s="40"/>
      <c r="I5" s="40"/>
      <c r="J5" s="40"/>
    </row>
    <row r="6" spans="2:11" s="6" customFormat="1" ht="13" thickBot="1" x14ac:dyDescent="0.3">
      <c r="E6" s="40"/>
      <c r="F6" s="53"/>
      <c r="G6" s="307"/>
      <c r="H6" s="54"/>
      <c r="I6" s="40"/>
      <c r="J6" s="40"/>
      <c r="K6" s="55"/>
    </row>
    <row r="7" spans="2:11" s="6" customFormat="1" ht="20.5" thickBot="1" x14ac:dyDescent="0.45">
      <c r="B7" s="39">
        <v>46082</v>
      </c>
      <c r="C7" s="8"/>
      <c r="D7" s="9" t="s">
        <v>1</v>
      </c>
      <c r="E7" s="53"/>
      <c r="F7" s="53"/>
      <c r="G7" s="307"/>
      <c r="H7" s="56"/>
      <c r="I7" s="29"/>
      <c r="J7" s="40"/>
      <c r="K7" s="40"/>
    </row>
    <row r="8" spans="2:11" s="6" customFormat="1" ht="14.15" customHeight="1" thickBot="1" x14ac:dyDescent="0.4">
      <c r="B8" s="10"/>
      <c r="C8" s="10"/>
      <c r="D8" s="10"/>
      <c r="E8" s="10"/>
      <c r="F8" s="29"/>
      <c r="G8" s="307"/>
      <c r="H8" s="54"/>
      <c r="I8" s="29"/>
      <c r="J8" s="29"/>
      <c r="K8" s="29"/>
    </row>
    <row r="9" spans="2:11" s="6" customFormat="1" ht="35.25" customHeight="1" thickBot="1" x14ac:dyDescent="0.4">
      <c r="B9" s="11" t="s">
        <v>2</v>
      </c>
      <c r="C9" s="12" t="s">
        <v>3</v>
      </c>
      <c r="D9" s="13" t="s">
        <v>4</v>
      </c>
      <c r="E9" s="10"/>
      <c r="F9" s="53"/>
      <c r="G9" s="308"/>
      <c r="H9" s="53"/>
      <c r="I9" s="53"/>
      <c r="J9" s="53"/>
      <c r="K9" s="29"/>
    </row>
    <row r="10" spans="2:11" s="6" customFormat="1" ht="16.5" customHeight="1" x14ac:dyDescent="0.35">
      <c r="B10" s="14" t="s">
        <v>5</v>
      </c>
      <c r="C10" s="14">
        <v>19.5</v>
      </c>
      <c r="D10" s="260">
        <f>+VLOOKUP(C10,'CSD Pricing'!$D$104:$ZC$121,MATCH('CSD List'!$B$7,'CSD Pricing'!$D$2:$ZD$2,0),0)</f>
        <v>48764.347029023251</v>
      </c>
      <c r="E10" s="37"/>
      <c r="F10" s="95"/>
      <c r="G10" s="311"/>
      <c r="H10" s="4"/>
      <c r="I10" s="4"/>
      <c r="J10" s="4"/>
      <c r="K10" s="4"/>
    </row>
    <row r="11" spans="2:11" s="6" customFormat="1" ht="16.5" customHeight="1" x14ac:dyDescent="0.35">
      <c r="B11" s="14" t="s">
        <v>6</v>
      </c>
      <c r="C11" s="14">
        <v>19.5</v>
      </c>
      <c r="D11" s="260">
        <f>+VLOOKUP(C11,'CSD Pricing'!$D$104:$ZC$121,MATCH('CSD List'!$B$7,'CSD Pricing'!$D$2:$ZD$2,0),0)</f>
        <v>48764.347029023251</v>
      </c>
      <c r="E11" s="37"/>
      <c r="F11" s="95"/>
      <c r="G11" s="311"/>
      <c r="H11" s="4"/>
      <c r="I11" s="4"/>
      <c r="J11" s="4"/>
      <c r="K11" s="4"/>
    </row>
    <row r="12" spans="2:11" s="6" customFormat="1" ht="16.5" customHeight="1" x14ac:dyDescent="0.35">
      <c r="B12" s="14" t="s">
        <v>5</v>
      </c>
      <c r="C12" s="14">
        <v>22.1</v>
      </c>
      <c r="D12" s="260">
        <f>+VLOOKUP(C12,'CSD Pricing'!$D$104:$ZC$121,MATCH('CSD List'!$B$7,'CSD Pricing'!$D$2:$ZD$2,0),0)</f>
        <v>53631.96876979206</v>
      </c>
      <c r="E12" s="37"/>
      <c r="F12" s="95"/>
      <c r="G12" s="311"/>
      <c r="H12" s="4"/>
      <c r="I12" s="4"/>
      <c r="J12" s="4"/>
      <c r="K12" s="4"/>
    </row>
    <row r="13" spans="2:11" s="6" customFormat="1" ht="16.5" customHeight="1" x14ac:dyDescent="0.35">
      <c r="B13" s="14" t="s">
        <v>5</v>
      </c>
      <c r="C13" s="14">
        <v>22</v>
      </c>
      <c r="D13" s="260">
        <f>+VLOOKUP(C13,'CSD Pricing'!$D$104:$ZC$121,MATCH('CSD List'!$B$7,'CSD Pricing'!$D$2:$ZD$2,0),0)</f>
        <v>0</v>
      </c>
      <c r="E13" s="37"/>
      <c r="F13" s="95"/>
      <c r="G13" s="311"/>
      <c r="H13" s="4"/>
      <c r="I13" s="4"/>
      <c r="J13" s="4"/>
      <c r="K13" s="4"/>
    </row>
    <row r="14" spans="2:11" s="6" customFormat="1" ht="16.5" customHeight="1" x14ac:dyDescent="0.35">
      <c r="B14" s="14" t="s">
        <v>5</v>
      </c>
      <c r="C14" s="14">
        <v>25</v>
      </c>
      <c r="D14" s="260">
        <f>+VLOOKUP(C14,'CSD Pricing'!$D$104:$ZC$121,MATCH('CSD List'!$B$7,'CSD Pricing'!$D$2:$ZD$2,0),0)</f>
        <v>59061.239172957285</v>
      </c>
      <c r="E14" s="37"/>
      <c r="F14" s="95"/>
      <c r="G14" s="311"/>
      <c r="H14" s="4"/>
      <c r="I14" s="4"/>
      <c r="J14" s="4"/>
      <c r="K14" s="4"/>
    </row>
    <row r="15" spans="2:11" s="6" customFormat="1" ht="16.5" customHeight="1" x14ac:dyDescent="0.35">
      <c r="B15" s="14" t="s">
        <v>7</v>
      </c>
      <c r="C15" s="14">
        <v>25</v>
      </c>
      <c r="D15" s="260">
        <f>+VLOOKUP(C15,'CSD Pricing'!$D$104:$ZC$121,MATCH('CSD List'!$B$7,'CSD Pricing'!$D$2:$ZD$2,0),0)</f>
        <v>59061.239172957285</v>
      </c>
      <c r="E15" s="37"/>
      <c r="F15" s="95"/>
      <c r="G15" s="311"/>
      <c r="H15" s="4"/>
      <c r="I15" s="4"/>
      <c r="J15" s="4"/>
      <c r="K15" s="4"/>
    </row>
    <row r="16" spans="2:11" s="6" customFormat="1" ht="16.5" customHeight="1" x14ac:dyDescent="0.35">
      <c r="B16" s="14" t="s">
        <v>8</v>
      </c>
      <c r="C16" s="14">
        <v>37.200000000000003</v>
      </c>
      <c r="D16" s="260">
        <f>+VLOOKUP(C16,'CSD Pricing'!$D$104:$ZC$121,MATCH('CSD List'!$B$7,'CSD Pricing'!$D$2:$ZD$2,0),0)</f>
        <v>86842.995942561756</v>
      </c>
      <c r="E16" s="37"/>
      <c r="F16" s="95"/>
      <c r="G16" s="311"/>
      <c r="H16" s="4"/>
      <c r="I16" s="4"/>
      <c r="J16" s="4"/>
      <c r="K16" s="4"/>
    </row>
    <row r="17" spans="2:11" s="6" customFormat="1" ht="16.5" customHeight="1" x14ac:dyDescent="0.35">
      <c r="B17" s="14" t="s">
        <v>8</v>
      </c>
      <c r="C17" s="14">
        <v>40</v>
      </c>
      <c r="D17" s="260">
        <f>+VLOOKUP(C17,'CSD Pricing'!$D$104:$ZC$121,MATCH('CSD List'!$B$7,'CSD Pricing'!$D$2:$ZD$2,0),0)</f>
        <v>0</v>
      </c>
      <c r="E17" s="37"/>
      <c r="F17" s="95"/>
      <c r="G17" s="311"/>
      <c r="H17" s="4"/>
      <c r="I17" s="4"/>
      <c r="J17" s="4"/>
      <c r="K17" s="4"/>
    </row>
    <row r="18" spans="2:11" s="6" customFormat="1" ht="16.5" customHeight="1" x14ac:dyDescent="0.35">
      <c r="B18" s="14" t="s">
        <v>8</v>
      </c>
      <c r="C18" s="14">
        <v>44</v>
      </c>
      <c r="D18" s="260">
        <f>+VLOOKUP(C18,'CSD Pricing'!$D$104:$ZC$121,MATCH('CSD List'!$B$7,'CSD Pricing'!$D$2:$ZD$2,0),0)</f>
        <v>99573.69895688018</v>
      </c>
      <c r="E18" s="37"/>
      <c r="F18" s="95"/>
      <c r="G18" s="311"/>
      <c r="H18" s="4"/>
      <c r="I18" s="4"/>
      <c r="J18" s="4"/>
      <c r="K18" s="4"/>
    </row>
    <row r="19" spans="2:11" s="6" customFormat="1" ht="16.5" customHeight="1" x14ac:dyDescent="0.35">
      <c r="B19" s="14" t="s">
        <v>9</v>
      </c>
      <c r="C19" s="14">
        <v>42.6</v>
      </c>
      <c r="D19" s="260">
        <f>+VLOOKUP(C19,'CSD Pricing'!$D$104:$ZC$121,MATCH('CSD List'!$B$7,'CSD Pricing'!$D$2:$ZD$2,0),0)</f>
        <v>0</v>
      </c>
      <c r="E19" s="38"/>
      <c r="F19" s="95"/>
      <c r="G19" s="311"/>
      <c r="I19" s="4"/>
      <c r="J19" s="4"/>
      <c r="K19" s="4"/>
    </row>
    <row r="20" spans="2:11" s="6" customFormat="1" ht="16.5" customHeight="1" x14ac:dyDescent="0.35">
      <c r="B20" s="14" t="s">
        <v>9</v>
      </c>
      <c r="C20" s="14">
        <v>46.6</v>
      </c>
      <c r="D20" s="260">
        <f>+VLOOKUP(C20,'CSD Pricing'!$D$104:$ZC$121,MATCH('CSD List'!$B$7,'CSD Pricing'!$D$2:$ZD$2,0),0)</f>
        <v>106366.53284004542</v>
      </c>
      <c r="E20" s="37"/>
      <c r="F20" s="95"/>
      <c r="G20" s="311"/>
      <c r="I20" s="4"/>
      <c r="J20" s="4"/>
      <c r="K20" s="4"/>
    </row>
    <row r="21" spans="2:11" s="6" customFormat="1" ht="16.5" customHeight="1" x14ac:dyDescent="0.35">
      <c r="B21" s="14" t="s">
        <v>10</v>
      </c>
      <c r="C21" s="14">
        <v>46.6</v>
      </c>
      <c r="D21" s="260">
        <f>+VLOOKUP(C21,'CSD Pricing'!$D$104:$ZC$121,MATCH('CSD List'!$B$7,'CSD Pricing'!$D$2:$ZD$2,0),0)</f>
        <v>106366.53284004542</v>
      </c>
      <c r="E21" s="37"/>
      <c r="F21" s="95"/>
      <c r="G21" s="311"/>
      <c r="I21" s="4"/>
      <c r="J21" s="4"/>
      <c r="K21" s="4"/>
    </row>
    <row r="22" spans="2:11" s="6" customFormat="1" ht="16.5" customHeight="1" x14ac:dyDescent="0.35">
      <c r="B22" s="14" t="s">
        <v>9</v>
      </c>
      <c r="C22" s="14">
        <v>48</v>
      </c>
      <c r="D22" s="260">
        <f>+VLOOKUP(C22,'CSD Pricing'!$D$104:$ZC$121,MATCH('CSD List'!$B$7,'CSD Pricing'!$D$2:$ZD$2,0),0)</f>
        <v>108987.55993122862</v>
      </c>
      <c r="E22" s="37"/>
      <c r="F22" s="95"/>
      <c r="G22" s="311"/>
      <c r="I22" s="4"/>
      <c r="J22" s="4"/>
      <c r="K22" s="4"/>
    </row>
    <row r="23" spans="2:11" s="6" customFormat="1" ht="16.5" customHeight="1" x14ac:dyDescent="0.35">
      <c r="B23" s="14" t="s">
        <v>9</v>
      </c>
      <c r="C23" s="14">
        <v>49.6</v>
      </c>
      <c r="D23" s="260">
        <f>+VLOOKUP(C23,'CSD Pricing'!$D$104:$ZC$121,MATCH('CSD List'!$B$7,'CSD Pricing'!$D$2:$ZD$2,0),0)</f>
        <v>0</v>
      </c>
      <c r="E23" s="37"/>
      <c r="F23" s="95"/>
      <c r="G23" s="311"/>
      <c r="I23" s="4"/>
      <c r="J23" s="4"/>
      <c r="K23" s="4"/>
    </row>
    <row r="24" spans="2:11" s="6" customFormat="1" ht="16.5" customHeight="1" x14ac:dyDescent="0.35">
      <c r="B24" s="14" t="s">
        <v>9</v>
      </c>
      <c r="C24" s="14">
        <v>52</v>
      </c>
      <c r="D24" s="260">
        <f>+VLOOKUP(C24,'CSD Pricing'!$D$104:$ZC$121,MATCH('CSD List'!$B$7,'CSD Pricing'!$D$2:$ZD$2,0),0)</f>
        <v>116476.20876318066</v>
      </c>
      <c r="E24" s="37"/>
      <c r="F24" s="95"/>
      <c r="G24" s="311"/>
      <c r="I24" s="4"/>
      <c r="J24" s="4"/>
      <c r="K24" s="4"/>
    </row>
    <row r="25" spans="2:11" s="6" customFormat="1" ht="16.5" customHeight="1" x14ac:dyDescent="0.35">
      <c r="B25" s="14" t="s">
        <v>11</v>
      </c>
      <c r="C25" s="14">
        <v>54.7</v>
      </c>
      <c r="D25" s="260">
        <f>+VLOOKUP(C25,'CSD Pricing'!$D$104:$ZC$121,MATCH('CSD List'!$B$7,'CSD Pricing'!$D$2:$ZD$2,0),0)</f>
        <v>122044.43662938733</v>
      </c>
      <c r="E25" s="37"/>
      <c r="F25" s="95"/>
      <c r="G25" s="311"/>
      <c r="I25" s="4"/>
      <c r="J25" s="4"/>
      <c r="K25" s="4"/>
    </row>
    <row r="26" spans="2:11" s="6" customFormat="1" ht="16.5" customHeight="1" x14ac:dyDescent="0.35">
      <c r="B26" s="14" t="s">
        <v>11</v>
      </c>
      <c r="C26" s="14">
        <v>58</v>
      </c>
      <c r="D26" s="260">
        <f>+VLOOKUP(C26,'CSD Pricing'!$D$104:$ZC$121,MATCH('CSD List'!$B$7,'CSD Pricing'!$D$2:$ZD$2,0),0)</f>
        <v>108585.40806330435</v>
      </c>
      <c r="E26" s="37"/>
      <c r="F26" s="95"/>
      <c r="G26" s="311"/>
      <c r="I26" s="4"/>
      <c r="J26" s="4"/>
      <c r="K26" s="4"/>
    </row>
    <row r="27" spans="2:11" s="6" customFormat="1" ht="16.5" customHeight="1" x14ac:dyDescent="0.35">
      <c r="B27" s="14" t="s">
        <v>11</v>
      </c>
      <c r="C27" s="14">
        <v>62</v>
      </c>
      <c r="D27" s="260">
        <f>+VLOOKUP(C27,'CSD Pricing'!$D$104:$ZC$121,MATCH('CSD List'!$B$7,'CSD Pricing'!$D$2:$ZD$2,0),0)</f>
        <v>135711.22074769973</v>
      </c>
      <c r="E27" s="37"/>
      <c r="F27" s="95"/>
      <c r="G27" s="311"/>
      <c r="H27" s="4"/>
      <c r="I27" s="4"/>
      <c r="J27" s="4"/>
      <c r="K27" s="4"/>
    </row>
    <row r="28" spans="2:11" s="6" customFormat="1" ht="16.5" hidden="1" customHeight="1" x14ac:dyDescent="0.35">
      <c r="B28" s="14" t="s">
        <v>5</v>
      </c>
      <c r="C28" s="57" t="s">
        <v>12</v>
      </c>
      <c r="D28" s="16" t="e">
        <f>+VLOOKUP(C28,'CSD Pricing'!#REF!,MATCH('CSD List'!$B$7,'CSD Pricing'!$D$2:$ZD$2,0),0)</f>
        <v>#REF!</v>
      </c>
      <c r="E28" s="37"/>
      <c r="F28" s="4"/>
      <c r="G28" s="309"/>
      <c r="H28" s="4"/>
      <c r="I28" s="4"/>
      <c r="J28" s="4"/>
      <c r="K28" s="4"/>
    </row>
    <row r="29" spans="2:11" s="6" customFormat="1" ht="16.5" hidden="1" customHeight="1" x14ac:dyDescent="0.35">
      <c r="B29" s="14" t="s">
        <v>8</v>
      </c>
      <c r="C29" s="14" t="s">
        <v>13</v>
      </c>
      <c r="D29" s="16" t="e">
        <f>+VLOOKUP(C29,'CSD Pricing'!#REF!,MATCH('CSD List'!$B$7,'CSD Pricing'!$D$2:$ZD$2,0),0)</f>
        <v>#REF!</v>
      </c>
      <c r="E29" s="37"/>
      <c r="F29" s="4"/>
      <c r="G29" s="309"/>
      <c r="H29" s="4"/>
      <c r="I29" s="4"/>
      <c r="J29" s="4"/>
      <c r="K29" s="4"/>
    </row>
    <row r="30" spans="2:11" s="6" customFormat="1" ht="16.5" hidden="1" customHeight="1" x14ac:dyDescent="0.35">
      <c r="B30" s="14" t="s">
        <v>8</v>
      </c>
      <c r="C30" s="14" t="s">
        <v>14</v>
      </c>
      <c r="D30" s="16" t="e">
        <f>+VLOOKUP(C30,'CSD Pricing'!#REF!,MATCH('CSD List'!$B$7,'CSD Pricing'!$D$2:$ZD$2,0),0)</f>
        <v>#REF!</v>
      </c>
      <c r="E30" s="38"/>
      <c r="F30" s="4"/>
      <c r="G30" s="309"/>
      <c r="H30" s="4"/>
      <c r="I30" s="4"/>
      <c r="J30" s="4"/>
      <c r="K30" s="4"/>
    </row>
    <row r="31" spans="2:11" s="6" customFormat="1" ht="16.5" hidden="1" customHeight="1" x14ac:dyDescent="0.35">
      <c r="B31" s="14" t="s">
        <v>9</v>
      </c>
      <c r="C31" s="14" t="s">
        <v>15</v>
      </c>
      <c r="D31" s="16" t="e">
        <f>+VLOOKUP(C31,'CSD Pricing'!#REF!,MATCH('CSD List'!$B$7,'CSD Pricing'!$D$2:$ZD$2,0),0)</f>
        <v>#REF!</v>
      </c>
      <c r="E31" s="38"/>
      <c r="F31" s="4"/>
      <c r="G31" s="309"/>
      <c r="H31" s="4"/>
      <c r="I31" s="4"/>
      <c r="J31" s="4"/>
      <c r="K31" s="4"/>
    </row>
    <row r="32" spans="2:11" s="6" customFormat="1" ht="16.5" hidden="1" customHeight="1" x14ac:dyDescent="0.35">
      <c r="B32" s="14" t="s">
        <v>9</v>
      </c>
      <c r="C32" s="14" t="s">
        <v>16</v>
      </c>
      <c r="D32" s="16" t="e">
        <f>+VLOOKUP(C32,'CSD Pricing'!#REF!,MATCH('CSD List'!$B$7,'CSD Pricing'!$D$2:$ZD$2,0),0)</f>
        <v>#REF!</v>
      </c>
      <c r="E32" s="37"/>
      <c r="F32" s="4"/>
      <c r="G32" s="309"/>
      <c r="H32" s="4"/>
      <c r="I32" s="4"/>
      <c r="J32" s="4"/>
      <c r="K32" s="4"/>
    </row>
    <row r="33" spans="1:20" s="6" customFormat="1" ht="16.5" hidden="1" customHeight="1" x14ac:dyDescent="0.35">
      <c r="B33" s="14" t="s">
        <v>11</v>
      </c>
      <c r="C33" s="14" t="s">
        <v>17</v>
      </c>
      <c r="D33" s="16" t="e">
        <f>+VLOOKUP(C33,'CSD Pricing'!#REF!,MATCH('CSD List'!$B$7,'CSD Pricing'!$D$2:$ZD$2,0),0)</f>
        <v>#REF!</v>
      </c>
      <c r="E33" s="37"/>
      <c r="F33" s="4"/>
      <c r="G33" s="309"/>
      <c r="H33" s="4"/>
      <c r="I33" s="4"/>
      <c r="J33" s="4"/>
      <c r="K33" s="4"/>
    </row>
    <row r="34" spans="1:20" s="6" customFormat="1" ht="21" hidden="1" customHeight="1" x14ac:dyDescent="0.35">
      <c r="B34" s="14" t="s">
        <v>11</v>
      </c>
      <c r="C34" s="14" t="s">
        <v>18</v>
      </c>
      <c r="D34" s="16" t="e">
        <f>+VLOOKUP(C34,'CSD Pricing'!#REF!,MATCH('CSD List'!$B$7,'CSD Pricing'!$D$2:$ZD$2,0),0)</f>
        <v>#REF!</v>
      </c>
      <c r="E34" s="49"/>
      <c r="F34" s="4"/>
      <c r="G34" s="44"/>
      <c r="H34" s="40"/>
      <c r="I34" s="40"/>
      <c r="J34" s="40"/>
      <c r="K34" s="40"/>
      <c r="L34" s="40"/>
      <c r="M34" s="40"/>
      <c r="N34" s="40"/>
    </row>
    <row r="35" spans="1:20" s="6" customFormat="1" ht="18" customHeight="1" thickBot="1" x14ac:dyDescent="0.35">
      <c r="B35" s="20"/>
      <c r="C35" s="20"/>
      <c r="D35" s="48"/>
      <c r="E35" s="40"/>
      <c r="F35" s="40"/>
      <c r="G35" s="44"/>
      <c r="H35" s="40"/>
      <c r="I35" s="40"/>
      <c r="J35" s="40"/>
      <c r="K35" s="40"/>
      <c r="L35" s="40"/>
      <c r="M35" s="40"/>
      <c r="N35" s="40"/>
    </row>
    <row r="36" spans="1:20" s="6" customFormat="1" ht="13.5" thickBot="1" x14ac:dyDescent="0.3">
      <c r="B36" s="18" t="s">
        <v>19</v>
      </c>
      <c r="C36" s="19">
        <f>HLOOKUP(B7,'CSD Pricing'!2:3,2,0)</f>
        <v>1257.4968458907499</v>
      </c>
      <c r="D36" s="40"/>
      <c r="E36" s="40"/>
      <c r="F36" s="40"/>
      <c r="G36" s="44"/>
      <c r="H36" s="50"/>
      <c r="I36" s="51"/>
      <c r="J36" s="40"/>
      <c r="K36" s="40"/>
      <c r="L36" s="52"/>
      <c r="M36" s="40"/>
      <c r="N36" s="40"/>
    </row>
    <row r="37" spans="1:20" s="6" customFormat="1" ht="13.5" hidden="1" thickBot="1" x14ac:dyDescent="0.3">
      <c r="B37" s="18" t="s">
        <v>20</v>
      </c>
      <c r="C37" s="19" t="e">
        <f>HLOOKUP(B7,'CSD Pricing'!2:5,4,0)</f>
        <v>#N/A</v>
      </c>
      <c r="D37" s="40"/>
      <c r="E37" s="40"/>
      <c r="F37" s="40"/>
      <c r="G37" s="44"/>
      <c r="H37" s="40"/>
      <c r="I37" s="40"/>
      <c r="J37" s="40"/>
      <c r="K37" s="40"/>
      <c r="L37" s="40"/>
      <c r="M37" s="40"/>
      <c r="N37" s="40"/>
    </row>
    <row r="38" spans="1:20" s="6" customFormat="1" ht="13.5" thickBot="1" x14ac:dyDescent="0.35">
      <c r="A38" s="46"/>
      <c r="B38" s="18" t="s">
        <v>21</v>
      </c>
      <c r="C38" s="19">
        <f>HLOOKUP(B7,'CSD Pricing'!2:6,5,0)</f>
        <v>1257.4968458907499</v>
      </c>
      <c r="D38" s="40"/>
      <c r="E38" s="40"/>
      <c r="F38" s="40"/>
      <c r="G38" s="44"/>
      <c r="H38" s="40"/>
      <c r="I38" s="40"/>
      <c r="J38" s="40"/>
      <c r="K38" s="40"/>
      <c r="L38" s="40"/>
      <c r="M38" s="40"/>
      <c r="N38" s="40"/>
      <c r="O38" s="40"/>
    </row>
    <row r="39" spans="1:20" s="6" customFormat="1" x14ac:dyDescent="0.25">
      <c r="A39" s="40"/>
      <c r="B39" s="40"/>
      <c r="C39" s="40"/>
      <c r="D39" s="40"/>
      <c r="E39" s="40"/>
      <c r="F39" s="40"/>
      <c r="G39" s="44"/>
      <c r="H39" s="40"/>
      <c r="I39" s="40"/>
      <c r="J39" s="40"/>
      <c r="K39" s="40"/>
      <c r="L39" s="40"/>
      <c r="M39" s="40"/>
      <c r="N39" s="40"/>
      <c r="O39" s="40"/>
    </row>
    <row r="40" spans="1:20" x14ac:dyDescent="0.25">
      <c r="N40" s="42"/>
      <c r="Q40" s="42"/>
      <c r="R40" s="42"/>
      <c r="S40" s="42"/>
      <c r="T40" s="42"/>
    </row>
    <row r="41" spans="1:20" x14ac:dyDescent="0.25">
      <c r="N41" s="42"/>
      <c r="Q41" s="42"/>
      <c r="R41" s="42"/>
      <c r="S41" s="42"/>
      <c r="T41" s="42"/>
    </row>
    <row r="42" spans="1:20" x14ac:dyDescent="0.25">
      <c r="N42" s="42"/>
      <c r="Q42" s="42"/>
      <c r="R42" s="42"/>
      <c r="S42" s="42"/>
      <c r="T42" s="42"/>
    </row>
    <row r="43" spans="1:20" x14ac:dyDescent="0.25">
      <c r="N43" s="42"/>
      <c r="Q43" s="42"/>
      <c r="R43" s="42"/>
      <c r="S43" s="42"/>
      <c r="T43" s="42"/>
    </row>
    <row r="44" spans="1:20" x14ac:dyDescent="0.25">
      <c r="N44" s="42"/>
      <c r="Q44" s="42"/>
      <c r="R44" s="42"/>
      <c r="S44" s="42"/>
      <c r="T44" s="42"/>
    </row>
    <row r="45" spans="1:20" x14ac:dyDescent="0.25">
      <c r="N45" s="42"/>
      <c r="Q45" s="42"/>
      <c r="R45" s="42"/>
      <c r="S45" s="42"/>
      <c r="T45" s="42"/>
    </row>
    <row r="46" spans="1:20" x14ac:dyDescent="0.25">
      <c r="N46" s="42"/>
      <c r="Q46" s="42"/>
      <c r="R46" s="42"/>
      <c r="S46" s="42"/>
      <c r="T46" s="42"/>
    </row>
    <row r="47" spans="1:20" x14ac:dyDescent="0.25">
      <c r="N47" s="42"/>
      <c r="Q47" s="42"/>
      <c r="R47" s="42"/>
      <c r="S47" s="42"/>
      <c r="T47" s="42"/>
    </row>
    <row r="48" spans="1:20" x14ac:dyDescent="0.25">
      <c r="N48" s="42"/>
      <c r="Q48" s="42"/>
      <c r="R48" s="42"/>
      <c r="S48" s="42"/>
      <c r="T48" s="42"/>
    </row>
    <row r="49" spans="14:20" x14ac:dyDescent="0.25">
      <c r="N49" s="42"/>
      <c r="Q49" s="42"/>
      <c r="R49" s="42"/>
      <c r="S49" s="42"/>
      <c r="T49" s="42"/>
    </row>
    <row r="50" spans="14:20" x14ac:dyDescent="0.25">
      <c r="N50" s="42"/>
      <c r="Q50" s="42"/>
      <c r="R50" s="42"/>
      <c r="S50" s="42"/>
      <c r="T50" s="42"/>
    </row>
    <row r="51" spans="14:20" x14ac:dyDescent="0.25">
      <c r="N51" s="42"/>
      <c r="Q51" s="42"/>
      <c r="R51" s="42"/>
      <c r="S51" s="42"/>
      <c r="T51" s="42"/>
    </row>
    <row r="52" spans="14:20" x14ac:dyDescent="0.25">
      <c r="N52" s="42"/>
      <c r="Q52" s="42"/>
      <c r="R52" s="42"/>
      <c r="S52" s="42"/>
      <c r="T52" s="42"/>
    </row>
    <row r="53" spans="14:20" x14ac:dyDescent="0.25">
      <c r="N53" s="42"/>
      <c r="Q53" s="42"/>
      <c r="R53" s="42"/>
      <c r="S53" s="42"/>
      <c r="T53" s="42"/>
    </row>
    <row r="54" spans="14:20" x14ac:dyDescent="0.25">
      <c r="N54" s="42"/>
      <c r="Q54" s="42"/>
      <c r="R54" s="42"/>
      <c r="S54" s="42"/>
      <c r="T54" s="42"/>
    </row>
    <row r="55" spans="14:20" x14ac:dyDescent="0.25">
      <c r="N55" s="42"/>
      <c r="Q55" s="42"/>
      <c r="R55" s="42"/>
      <c r="S55" s="42"/>
      <c r="T55" s="42"/>
    </row>
    <row r="56" spans="14:20" x14ac:dyDescent="0.25">
      <c r="N56" s="42"/>
      <c r="Q56" s="42"/>
      <c r="R56" s="42"/>
      <c r="S56" s="42"/>
      <c r="T56" s="42"/>
    </row>
    <row r="57" spans="14:20" x14ac:dyDescent="0.25">
      <c r="N57" s="42"/>
      <c r="Q57" s="42"/>
      <c r="R57" s="42"/>
      <c r="S57" s="42"/>
      <c r="T57" s="42"/>
    </row>
    <row r="58" spans="14:20" x14ac:dyDescent="0.25">
      <c r="N58" s="42"/>
      <c r="Q58" s="42"/>
      <c r="R58" s="42"/>
      <c r="S58" s="42"/>
      <c r="T58" s="42"/>
    </row>
    <row r="59" spans="14:20" x14ac:dyDescent="0.25">
      <c r="N59" s="42"/>
      <c r="Q59" s="42"/>
      <c r="R59" s="42"/>
      <c r="S59" s="42"/>
      <c r="T59" s="42"/>
    </row>
    <row r="60" spans="14:20" x14ac:dyDescent="0.25">
      <c r="N60" s="42"/>
      <c r="Q60" s="42"/>
      <c r="R60" s="42"/>
      <c r="S60" s="42"/>
      <c r="T60" s="42"/>
    </row>
    <row r="61" spans="14:20" x14ac:dyDescent="0.25">
      <c r="N61" s="42"/>
      <c r="Q61" s="42"/>
      <c r="R61" s="42"/>
      <c r="S61" s="42"/>
      <c r="T61" s="42"/>
    </row>
    <row r="62" spans="14:20" x14ac:dyDescent="0.25">
      <c r="N62" s="42"/>
      <c r="Q62" s="42"/>
      <c r="R62" s="42"/>
      <c r="S62" s="42"/>
      <c r="T62" s="42"/>
    </row>
    <row r="63" spans="14:20" x14ac:dyDescent="0.25">
      <c r="N63" s="42"/>
      <c r="Q63" s="42"/>
      <c r="R63" s="42"/>
      <c r="S63" s="42"/>
      <c r="T63" s="42"/>
    </row>
    <row r="64" spans="14:20" x14ac:dyDescent="0.25">
      <c r="N64" s="42"/>
      <c r="Q64" s="42"/>
      <c r="R64" s="42"/>
      <c r="S64" s="42"/>
      <c r="T64" s="42"/>
    </row>
    <row r="65" spans="14:20" x14ac:dyDescent="0.25">
      <c r="N65" s="42"/>
      <c r="Q65" s="42"/>
      <c r="R65" s="42"/>
      <c r="S65" s="42"/>
      <c r="T65" s="42"/>
    </row>
    <row r="66" spans="14:20" x14ac:dyDescent="0.25">
      <c r="N66" s="42"/>
      <c r="Q66" s="42"/>
      <c r="R66" s="42"/>
      <c r="S66" s="42"/>
      <c r="T66" s="42"/>
    </row>
    <row r="67" spans="14:20" x14ac:dyDescent="0.25">
      <c r="N67" s="42"/>
      <c r="Q67" s="42"/>
      <c r="R67" s="42"/>
      <c r="S67" s="42"/>
      <c r="T67" s="42"/>
    </row>
    <row r="68" spans="14:20" x14ac:dyDescent="0.25">
      <c r="N68" s="42"/>
      <c r="Q68" s="42"/>
      <c r="R68" s="42"/>
      <c r="S68" s="42"/>
      <c r="T68" s="42"/>
    </row>
    <row r="69" spans="14:20" x14ac:dyDescent="0.25">
      <c r="N69" s="42"/>
      <c r="Q69" s="42"/>
      <c r="R69" s="42"/>
      <c r="S69" s="42"/>
      <c r="T69" s="42"/>
    </row>
    <row r="70" spans="14:20" x14ac:dyDescent="0.25">
      <c r="N70" s="42"/>
      <c r="Q70" s="42"/>
      <c r="R70" s="42"/>
      <c r="S70" s="42"/>
      <c r="T70" s="42"/>
    </row>
    <row r="71" spans="14:20" x14ac:dyDescent="0.25">
      <c r="N71" s="42"/>
      <c r="Q71" s="42"/>
      <c r="R71" s="42"/>
      <c r="S71" s="42"/>
      <c r="T71" s="42"/>
    </row>
    <row r="72" spans="14:20" x14ac:dyDescent="0.25">
      <c r="N72" s="42"/>
      <c r="Q72" s="42"/>
      <c r="R72" s="42"/>
      <c r="S72" s="42"/>
      <c r="T72" s="42"/>
    </row>
    <row r="73" spans="14:20" x14ac:dyDescent="0.25">
      <c r="N73" s="42"/>
      <c r="Q73" s="42"/>
      <c r="R73" s="42"/>
      <c r="S73" s="42"/>
      <c r="T73" s="42"/>
    </row>
    <row r="74" spans="14:20" x14ac:dyDescent="0.25">
      <c r="N74" s="42"/>
      <c r="Q74" s="42"/>
      <c r="R74" s="42"/>
      <c r="S74" s="42"/>
      <c r="T74" s="42"/>
    </row>
    <row r="75" spans="14:20" x14ac:dyDescent="0.25">
      <c r="N75" s="42"/>
      <c r="Q75" s="42"/>
      <c r="R75" s="42"/>
      <c r="S75" s="42"/>
      <c r="T75" s="42"/>
    </row>
    <row r="76" spans="14:20" x14ac:dyDescent="0.25">
      <c r="N76" s="42"/>
      <c r="Q76" s="42"/>
      <c r="R76" s="42"/>
      <c r="S76" s="42"/>
      <c r="T76" s="42"/>
    </row>
    <row r="77" spans="14:20" x14ac:dyDescent="0.25">
      <c r="N77" s="42"/>
      <c r="Q77" s="42"/>
      <c r="R77" s="42"/>
      <c r="S77" s="42"/>
      <c r="T77" s="42"/>
    </row>
    <row r="78" spans="14:20" x14ac:dyDescent="0.25">
      <c r="N78" s="42"/>
      <c r="Q78" s="42"/>
      <c r="R78" s="42"/>
      <c r="S78" s="42"/>
      <c r="T78" s="42"/>
    </row>
    <row r="79" spans="14:20" x14ac:dyDescent="0.25">
      <c r="N79" s="42"/>
      <c r="Q79" s="42"/>
      <c r="R79" s="42"/>
      <c r="S79" s="42"/>
      <c r="T79" s="42"/>
    </row>
    <row r="80" spans="14:20" x14ac:dyDescent="0.25">
      <c r="N80" s="42"/>
      <c r="Q80" s="42"/>
      <c r="R80" s="42"/>
      <c r="S80" s="42"/>
      <c r="T80" s="42"/>
    </row>
    <row r="81" spans="14:20" x14ac:dyDescent="0.25">
      <c r="N81" s="42"/>
      <c r="Q81" s="42"/>
      <c r="R81" s="42"/>
      <c r="S81" s="42"/>
      <c r="T81" s="42"/>
    </row>
    <row r="82" spans="14:20" x14ac:dyDescent="0.25">
      <c r="N82" s="42"/>
      <c r="Q82" s="42"/>
      <c r="R82" s="42"/>
      <c r="S82" s="42"/>
      <c r="T82" s="42"/>
    </row>
    <row r="83" spans="14:20" x14ac:dyDescent="0.25">
      <c r="N83" s="42"/>
      <c r="Q83" s="42"/>
      <c r="R83" s="42"/>
      <c r="S83" s="42"/>
      <c r="T83" s="42"/>
    </row>
    <row r="84" spans="14:20" x14ac:dyDescent="0.25">
      <c r="N84" s="42"/>
      <c r="Q84" s="42"/>
      <c r="R84" s="42"/>
      <c r="S84" s="42"/>
      <c r="T84" s="42"/>
    </row>
    <row r="85" spans="14:20" x14ac:dyDescent="0.25">
      <c r="N85" s="42"/>
      <c r="Q85" s="42"/>
      <c r="R85" s="42"/>
      <c r="S85" s="42"/>
      <c r="T85" s="42"/>
    </row>
    <row r="86" spans="14:20" x14ac:dyDescent="0.25">
      <c r="N86" s="42"/>
      <c r="Q86" s="42"/>
      <c r="R86" s="42"/>
      <c r="S86" s="42"/>
      <c r="T86" s="42"/>
    </row>
    <row r="87" spans="14:20" x14ac:dyDescent="0.25">
      <c r="N87" s="42"/>
      <c r="Q87" s="42"/>
      <c r="R87" s="42"/>
      <c r="S87" s="42"/>
      <c r="T87" s="42"/>
    </row>
    <row r="88" spans="14:20" x14ac:dyDescent="0.25">
      <c r="N88" s="42"/>
      <c r="Q88" s="42"/>
      <c r="R88" s="42"/>
      <c r="S88" s="42"/>
      <c r="T88" s="42"/>
    </row>
    <row r="89" spans="14:20" x14ac:dyDescent="0.25">
      <c r="N89" s="42"/>
      <c r="Q89" s="42"/>
      <c r="R89" s="42"/>
      <c r="S89" s="42"/>
      <c r="T89" s="42"/>
    </row>
    <row r="90" spans="14:20" x14ac:dyDescent="0.25">
      <c r="N90" s="42"/>
      <c r="Q90" s="42"/>
      <c r="R90" s="42"/>
      <c r="S90" s="42"/>
      <c r="T90" s="42"/>
    </row>
    <row r="91" spans="14:20" x14ac:dyDescent="0.25">
      <c r="N91" s="42"/>
      <c r="Q91" s="42"/>
      <c r="R91" s="42"/>
      <c r="S91" s="42"/>
      <c r="T91" s="42"/>
    </row>
    <row r="92" spans="14:20" x14ac:dyDescent="0.25">
      <c r="N92" s="42"/>
      <c r="Q92" s="42"/>
      <c r="R92" s="42"/>
      <c r="S92" s="42"/>
      <c r="T92" s="42"/>
    </row>
    <row r="93" spans="14:20" x14ac:dyDescent="0.25">
      <c r="N93" s="42"/>
      <c r="Q93" s="42"/>
      <c r="R93" s="42"/>
      <c r="S93" s="42"/>
      <c r="T93" s="42"/>
    </row>
    <row r="94" spans="14:20" x14ac:dyDescent="0.25">
      <c r="N94" s="42"/>
      <c r="Q94" s="42"/>
      <c r="R94" s="42"/>
      <c r="S94" s="42"/>
      <c r="T94" s="42"/>
    </row>
    <row r="95" spans="14:20" x14ac:dyDescent="0.25">
      <c r="N95" s="42"/>
      <c r="Q95" s="42"/>
      <c r="R95" s="42"/>
      <c r="S95" s="42"/>
      <c r="T95" s="42"/>
    </row>
    <row r="96" spans="14:20" x14ac:dyDescent="0.25">
      <c r="N96" s="42"/>
      <c r="Q96" s="42"/>
      <c r="R96" s="42"/>
      <c r="S96" s="42"/>
      <c r="T96" s="42"/>
    </row>
    <row r="97" spans="2:20" x14ac:dyDescent="0.25">
      <c r="N97" s="42"/>
      <c r="Q97" s="42"/>
      <c r="R97" s="42"/>
      <c r="S97" s="42"/>
      <c r="T97" s="42"/>
    </row>
    <row r="98" spans="2:20" x14ac:dyDescent="0.25">
      <c r="N98" s="42"/>
      <c r="Q98" s="42"/>
      <c r="R98" s="42"/>
      <c r="S98" s="42"/>
      <c r="T98" s="42"/>
    </row>
    <row r="99" spans="2:20" x14ac:dyDescent="0.25">
      <c r="N99" s="42"/>
      <c r="Q99" s="42"/>
      <c r="R99" s="42"/>
      <c r="S99" s="42"/>
      <c r="T99" s="42"/>
    </row>
    <row r="100" spans="2:20" x14ac:dyDescent="0.25">
      <c r="N100" s="42"/>
      <c r="Q100" s="42"/>
      <c r="R100" s="42"/>
      <c r="S100" s="42"/>
      <c r="T100" s="42"/>
    </row>
    <row r="101" spans="2:20" x14ac:dyDescent="0.25">
      <c r="N101" s="42"/>
      <c r="Q101" s="42"/>
      <c r="R101" s="42"/>
      <c r="S101" s="42"/>
      <c r="T101" s="42"/>
    </row>
    <row r="102" spans="2:20" x14ac:dyDescent="0.25">
      <c r="N102" s="42"/>
      <c r="Q102" s="42"/>
      <c r="R102" s="42"/>
      <c r="S102" s="42"/>
      <c r="T102" s="42"/>
    </row>
    <row r="103" spans="2:20" x14ac:dyDescent="0.25">
      <c r="N103" s="42"/>
      <c r="Q103" s="42"/>
      <c r="R103" s="42"/>
      <c r="S103" s="42"/>
      <c r="T103" s="42"/>
    </row>
    <row r="104" spans="2:20" x14ac:dyDescent="0.25">
      <c r="N104" s="42"/>
      <c r="Q104" s="42"/>
      <c r="R104" s="42"/>
      <c r="S104" s="42"/>
      <c r="T104" s="42"/>
    </row>
    <row r="105" spans="2:20" x14ac:dyDescent="0.25">
      <c r="N105" s="42"/>
      <c r="Q105" s="42"/>
      <c r="R105" s="42"/>
      <c r="S105" s="42"/>
      <c r="T105" s="42"/>
    </row>
    <row r="106" spans="2:20" x14ac:dyDescent="0.25">
      <c r="N106" s="42"/>
      <c r="Q106" s="42"/>
      <c r="R106" s="42"/>
      <c r="S106" s="42"/>
      <c r="T106" s="42"/>
    </row>
    <row r="107" spans="2:20" x14ac:dyDescent="0.25">
      <c r="N107" s="42"/>
      <c r="Q107" s="42"/>
      <c r="R107" s="42"/>
      <c r="S107" s="42"/>
      <c r="T107" s="42"/>
    </row>
    <row r="108" spans="2:20" x14ac:dyDescent="0.25">
      <c r="N108" s="42"/>
      <c r="Q108" s="42"/>
      <c r="R108" s="42"/>
      <c r="S108" s="42"/>
      <c r="T108" s="42"/>
    </row>
    <row r="109" spans="2:20" x14ac:dyDescent="0.25">
      <c r="N109" s="42"/>
      <c r="Q109" s="42"/>
      <c r="R109" s="42"/>
      <c r="S109" s="42"/>
      <c r="T109" s="42"/>
    </row>
    <row r="110" spans="2:20" x14ac:dyDescent="0.25">
      <c r="N110" s="42"/>
      <c r="Q110" s="42"/>
      <c r="R110" s="42"/>
      <c r="S110" s="42"/>
      <c r="T110" s="42"/>
    </row>
    <row r="111" spans="2:20" x14ac:dyDescent="0.25">
      <c r="B111" s="43"/>
      <c r="I111" s="43"/>
      <c r="J111" s="43"/>
      <c r="N111" s="42"/>
      <c r="Q111" s="42"/>
      <c r="R111" s="42"/>
      <c r="S111" s="42"/>
      <c r="T111" s="42"/>
    </row>
    <row r="112" spans="2:20" x14ac:dyDescent="0.25">
      <c r="B112" s="43"/>
      <c r="I112" s="43"/>
      <c r="J112" s="43"/>
      <c r="N112" s="42"/>
      <c r="Q112" s="42"/>
      <c r="R112" s="42"/>
      <c r="S112" s="42"/>
      <c r="T112" s="42"/>
    </row>
    <row r="113" spans="1:20" x14ac:dyDescent="0.25">
      <c r="B113" s="43"/>
      <c r="I113" s="43"/>
      <c r="J113" s="43"/>
      <c r="N113" s="42"/>
      <c r="Q113" s="42"/>
      <c r="R113" s="42"/>
      <c r="S113" s="42"/>
      <c r="T113" s="42"/>
    </row>
    <row r="114" spans="1:20" x14ac:dyDescent="0.25">
      <c r="B114" s="43"/>
      <c r="I114" s="43"/>
      <c r="J114" s="43"/>
      <c r="N114" s="42"/>
      <c r="Q114" s="42"/>
      <c r="R114" s="42"/>
      <c r="S114" s="42"/>
      <c r="T114" s="42"/>
    </row>
    <row r="115" spans="1:20" x14ac:dyDescent="0.25">
      <c r="B115" s="43"/>
      <c r="I115" s="43"/>
      <c r="J115" s="43"/>
      <c r="N115" s="42"/>
      <c r="Q115" s="42"/>
      <c r="R115" s="42"/>
      <c r="S115" s="42"/>
      <c r="T115" s="42"/>
    </row>
    <row r="116" spans="1:20" x14ac:dyDescent="0.25">
      <c r="B116" s="43"/>
      <c r="I116" s="43"/>
      <c r="J116" s="43"/>
      <c r="N116" s="42"/>
      <c r="Q116" s="42"/>
      <c r="R116" s="42"/>
      <c r="S116" s="42"/>
      <c r="T116" s="42"/>
    </row>
    <row r="117" spans="1:20" x14ac:dyDescent="0.25">
      <c r="B117" s="43"/>
      <c r="I117" s="43"/>
      <c r="J117" s="43"/>
      <c r="N117" s="42"/>
      <c r="Q117" s="42"/>
      <c r="R117" s="42"/>
      <c r="S117" s="42"/>
      <c r="T117" s="42"/>
    </row>
    <row r="118" spans="1:20" x14ac:dyDescent="0.25">
      <c r="B118" s="43"/>
      <c r="I118" s="43"/>
      <c r="J118" s="43"/>
      <c r="N118" s="42"/>
      <c r="Q118" s="42"/>
      <c r="R118" s="42"/>
      <c r="S118" s="42"/>
      <c r="T118" s="42"/>
    </row>
    <row r="119" spans="1:20" x14ac:dyDescent="0.25">
      <c r="B119" s="43"/>
      <c r="I119" s="43"/>
      <c r="J119" s="43"/>
      <c r="N119" s="42"/>
      <c r="Q119" s="42"/>
      <c r="R119" s="42"/>
      <c r="S119" s="42"/>
      <c r="T119" s="42"/>
    </row>
    <row r="120" spans="1:20" x14ac:dyDescent="0.25">
      <c r="B120" s="43"/>
      <c r="I120" s="43"/>
      <c r="J120" s="43"/>
      <c r="N120" s="42"/>
      <c r="Q120" s="42"/>
      <c r="R120" s="42"/>
      <c r="S120" s="42"/>
      <c r="T120" s="42"/>
    </row>
    <row r="121" spans="1:20" x14ac:dyDescent="0.25">
      <c r="B121" s="43"/>
      <c r="I121" s="43"/>
      <c r="J121" s="43"/>
      <c r="N121" s="42"/>
      <c r="Q121" s="42"/>
      <c r="R121" s="42"/>
      <c r="S121" s="42"/>
      <c r="T121" s="42"/>
    </row>
    <row r="122" spans="1:20" x14ac:dyDescent="0.25">
      <c r="B122" s="43"/>
      <c r="I122" s="43"/>
      <c r="J122" s="43"/>
      <c r="N122" s="42"/>
      <c r="Q122" s="42"/>
      <c r="R122" s="42"/>
      <c r="S122" s="42"/>
      <c r="T122" s="42"/>
    </row>
    <row r="123" spans="1:20" x14ac:dyDescent="0.25">
      <c r="B123" s="43"/>
      <c r="I123" s="43"/>
      <c r="N123" s="42"/>
      <c r="Q123" s="42"/>
      <c r="R123" s="42"/>
      <c r="S123" s="42"/>
      <c r="T123" s="42"/>
    </row>
    <row r="124" spans="1:20" x14ac:dyDescent="0.25">
      <c r="B124" s="43"/>
      <c r="N124" s="42"/>
      <c r="Q124" s="42"/>
      <c r="R124" s="42"/>
      <c r="S124" s="42"/>
    </row>
    <row r="125" spans="1:20" ht="13" x14ac:dyDescent="0.3">
      <c r="A125" s="46"/>
      <c r="B125" s="43"/>
    </row>
    <row r="126" spans="1:20" ht="13" x14ac:dyDescent="0.3">
      <c r="A126" s="46"/>
    </row>
    <row r="127" spans="1:20" ht="13" x14ac:dyDescent="0.3">
      <c r="C127" s="46"/>
      <c r="E127" s="42"/>
      <c r="F127" s="42"/>
      <c r="I127" s="42"/>
      <c r="J127" s="42"/>
      <c r="K127" s="42"/>
      <c r="L127" s="42"/>
      <c r="M127" s="42"/>
      <c r="N127" s="42"/>
    </row>
    <row r="128" spans="1:20" x14ac:dyDescent="0.25">
      <c r="C128" s="41"/>
      <c r="D128" s="41"/>
      <c r="E128" s="42"/>
      <c r="F128" s="42"/>
      <c r="I128" s="42"/>
      <c r="J128" s="42"/>
      <c r="K128" s="42"/>
      <c r="L128" s="42"/>
      <c r="M128" s="42"/>
      <c r="N128" s="42"/>
    </row>
    <row r="129" spans="2:19" x14ac:dyDescent="0.25">
      <c r="C129" s="41"/>
      <c r="D129" s="41"/>
      <c r="E129" s="42"/>
      <c r="F129" s="42"/>
      <c r="I129" s="42"/>
      <c r="J129" s="42"/>
      <c r="K129" s="42"/>
      <c r="L129" s="42"/>
      <c r="M129" s="42"/>
      <c r="N129" s="42"/>
    </row>
    <row r="130" spans="2:19" x14ac:dyDescent="0.25">
      <c r="C130" s="41"/>
      <c r="D130" s="41"/>
      <c r="E130" s="42"/>
      <c r="F130" s="42"/>
      <c r="I130" s="42"/>
      <c r="J130" s="42"/>
      <c r="K130" s="42"/>
      <c r="L130" s="42"/>
      <c r="M130" s="42"/>
      <c r="N130" s="42"/>
    </row>
    <row r="131" spans="2:19" x14ac:dyDescent="0.25">
      <c r="C131" s="41"/>
      <c r="D131" s="41"/>
      <c r="E131" s="42"/>
      <c r="F131" s="42"/>
      <c r="I131" s="42"/>
      <c r="J131" s="42"/>
      <c r="K131" s="42"/>
      <c r="L131" s="42"/>
      <c r="M131" s="42"/>
      <c r="N131" s="42"/>
    </row>
    <row r="132" spans="2:19" x14ac:dyDescent="0.25">
      <c r="C132" s="41"/>
      <c r="D132" s="41"/>
      <c r="E132" s="42"/>
      <c r="F132" s="42"/>
      <c r="I132" s="42"/>
      <c r="J132" s="42"/>
      <c r="K132" s="42"/>
      <c r="L132" s="42"/>
      <c r="M132" s="42"/>
      <c r="N132" s="42"/>
    </row>
    <row r="133" spans="2:19" x14ac:dyDescent="0.25">
      <c r="C133" s="41"/>
      <c r="D133" s="41"/>
      <c r="E133" s="42"/>
      <c r="F133" s="42"/>
      <c r="I133" s="42"/>
      <c r="J133" s="42"/>
      <c r="K133" s="42"/>
      <c r="L133" s="42"/>
      <c r="M133" s="42"/>
      <c r="N133" s="42"/>
    </row>
    <row r="134" spans="2:19" x14ac:dyDescent="0.25">
      <c r="C134" s="41"/>
      <c r="D134" s="41"/>
      <c r="E134" s="42"/>
      <c r="F134" s="42"/>
      <c r="I134" s="42"/>
      <c r="J134" s="42"/>
      <c r="K134" s="42"/>
      <c r="L134" s="42"/>
      <c r="M134" s="42"/>
      <c r="N134" s="42"/>
    </row>
    <row r="135" spans="2:19" x14ac:dyDescent="0.25">
      <c r="C135" s="41"/>
      <c r="D135" s="41"/>
      <c r="E135" s="42"/>
      <c r="F135" s="42"/>
      <c r="I135" s="42"/>
      <c r="J135" s="42"/>
      <c r="K135" s="42"/>
      <c r="L135" s="42"/>
      <c r="M135" s="42"/>
      <c r="N135" s="42"/>
    </row>
    <row r="136" spans="2:19" x14ac:dyDescent="0.25">
      <c r="C136" s="41"/>
      <c r="D136" s="41"/>
      <c r="E136" s="42"/>
      <c r="F136" s="42"/>
      <c r="I136" s="42"/>
      <c r="J136" s="42"/>
      <c r="K136" s="42"/>
      <c r="L136" s="42"/>
      <c r="M136" s="42"/>
      <c r="N136" s="42"/>
    </row>
    <row r="137" spans="2:19" x14ac:dyDescent="0.25">
      <c r="C137" s="41"/>
      <c r="D137" s="41"/>
      <c r="E137" s="42"/>
      <c r="F137" s="42"/>
      <c r="I137" s="42"/>
      <c r="J137" s="42"/>
      <c r="K137" s="42"/>
      <c r="L137" s="42"/>
      <c r="M137" s="42"/>
      <c r="N137" s="42"/>
    </row>
    <row r="138" spans="2:19" x14ac:dyDescent="0.25">
      <c r="C138" s="41"/>
      <c r="D138" s="41"/>
      <c r="E138" s="42"/>
      <c r="F138" s="42"/>
      <c r="I138" s="42"/>
      <c r="J138" s="42"/>
      <c r="K138" s="42"/>
      <c r="L138" s="42"/>
      <c r="M138" s="42"/>
      <c r="N138" s="42"/>
    </row>
    <row r="139" spans="2:19" x14ac:dyDescent="0.25">
      <c r="C139" s="41"/>
      <c r="D139" s="41"/>
      <c r="E139" s="42"/>
      <c r="F139" s="42"/>
      <c r="I139" s="42"/>
      <c r="J139" s="42"/>
      <c r="K139" s="42"/>
      <c r="L139" s="42"/>
      <c r="M139" s="42"/>
      <c r="N139" s="42"/>
    </row>
    <row r="140" spans="2:19" x14ac:dyDescent="0.25">
      <c r="C140" s="41"/>
      <c r="D140" s="41"/>
      <c r="E140" s="42"/>
      <c r="F140" s="42"/>
      <c r="I140" s="42"/>
      <c r="J140" s="42"/>
      <c r="K140" s="42"/>
      <c r="L140" s="42"/>
      <c r="M140" s="42"/>
      <c r="N140" s="42"/>
    </row>
    <row r="141" spans="2:19" x14ac:dyDescent="0.25">
      <c r="C141" s="41"/>
      <c r="D141" s="41"/>
      <c r="E141" s="42"/>
      <c r="F141" s="42"/>
      <c r="I141" s="42"/>
      <c r="J141" s="42"/>
      <c r="K141" s="42"/>
      <c r="L141" s="42"/>
      <c r="M141" s="42"/>
      <c r="N141" s="42"/>
    </row>
    <row r="142" spans="2:19" x14ac:dyDescent="0.25">
      <c r="C142" s="41"/>
      <c r="D142" s="41"/>
      <c r="E142" s="42"/>
      <c r="F142" s="42"/>
      <c r="I142" s="42"/>
      <c r="J142" s="42"/>
      <c r="L142" s="42"/>
      <c r="M142" s="42"/>
      <c r="N142" s="42"/>
      <c r="Q142" s="42"/>
      <c r="R142" s="42"/>
      <c r="S142" s="42"/>
    </row>
    <row r="143" spans="2:19" x14ac:dyDescent="0.25">
      <c r="B143" s="43"/>
      <c r="C143" s="41"/>
      <c r="E143" s="42"/>
      <c r="F143" s="42"/>
      <c r="I143" s="42"/>
      <c r="J143" s="42"/>
      <c r="L143" s="42"/>
      <c r="M143" s="42"/>
      <c r="N143" s="42"/>
    </row>
    <row r="144" spans="2:19" x14ac:dyDescent="0.25">
      <c r="C144" s="41"/>
      <c r="J144" s="42"/>
      <c r="L144" s="47"/>
      <c r="M144" s="47"/>
      <c r="N144" s="42"/>
    </row>
    <row r="145" spans="3:3" x14ac:dyDescent="0.25">
      <c r="C145" s="41"/>
    </row>
  </sheetData>
  <mergeCells count="1">
    <mergeCell ref="B3:D3"/>
  </mergeCells>
  <pageMargins left="0.15748031496062992" right="0.74803149606299213" top="0.59055118110236227" bottom="0.98425196850393704" header="0.15748031496062992" footer="0"/>
  <pageSetup scale="85" orientation="landscape" r:id="rId1"/>
  <headerFooter alignWithMargins="0">
    <oddHeader xml:space="preserve">&amp;C
&amp;R
</oddHeader>
  </headerFooter>
  <customProperties>
    <customPr name="_pios_id" r:id="rId2"/>
    <customPr name="EpmWorksheetKeyString_GUID" r:id="rId3"/>
  </customPropertie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B382-58C5-4F69-9445-889FB455AABE}">
  <sheetPr codeName="Hoja2"/>
  <dimension ref="B1:H25"/>
  <sheetViews>
    <sheetView showGridLines="0" topLeftCell="A6" zoomScale="96" zoomScaleNormal="96" workbookViewId="0">
      <selection activeCell="D10" sqref="D10:D17"/>
    </sheetView>
  </sheetViews>
  <sheetFormatPr defaultColWidth="11.453125" defaultRowHeight="12.5" x14ac:dyDescent="0.25"/>
  <cols>
    <col min="1" max="1" width="9" style="6" customWidth="1"/>
    <col min="2" max="2" width="26.54296875" style="6" customWidth="1"/>
    <col min="3" max="3" width="22.453125" style="6" customWidth="1"/>
    <col min="4" max="4" width="19.54296875" style="6" customWidth="1"/>
    <col min="5" max="5" width="12.1796875" style="6" customWidth="1"/>
    <col min="6" max="256" width="11.453125" style="6"/>
    <col min="257" max="257" width="9" style="6" customWidth="1"/>
    <col min="258" max="259" width="22.453125" style="6" customWidth="1"/>
    <col min="260" max="260" width="19.54296875" style="6" customWidth="1"/>
    <col min="261" max="261" width="20.54296875" style="6" customWidth="1"/>
    <col min="262" max="512" width="11.453125" style="6"/>
    <col min="513" max="513" width="9" style="6" customWidth="1"/>
    <col min="514" max="515" width="22.453125" style="6" customWidth="1"/>
    <col min="516" max="516" width="19.54296875" style="6" customWidth="1"/>
    <col min="517" max="517" width="20.54296875" style="6" customWidth="1"/>
    <col min="518" max="768" width="11.453125" style="6"/>
    <col min="769" max="769" width="9" style="6" customWidth="1"/>
    <col min="770" max="771" width="22.453125" style="6" customWidth="1"/>
    <col min="772" max="772" width="19.54296875" style="6" customWidth="1"/>
    <col min="773" max="773" width="20.54296875" style="6" customWidth="1"/>
    <col min="774" max="1024" width="11.453125" style="6"/>
    <col min="1025" max="1025" width="9" style="6" customWidth="1"/>
    <col min="1026" max="1027" width="22.453125" style="6" customWidth="1"/>
    <col min="1028" max="1028" width="19.54296875" style="6" customWidth="1"/>
    <col min="1029" max="1029" width="20.54296875" style="6" customWidth="1"/>
    <col min="1030" max="1280" width="11.453125" style="6"/>
    <col min="1281" max="1281" width="9" style="6" customWidth="1"/>
    <col min="1282" max="1283" width="22.453125" style="6" customWidth="1"/>
    <col min="1284" max="1284" width="19.54296875" style="6" customWidth="1"/>
    <col min="1285" max="1285" width="20.54296875" style="6" customWidth="1"/>
    <col min="1286" max="1536" width="11.453125" style="6"/>
    <col min="1537" max="1537" width="9" style="6" customWidth="1"/>
    <col min="1538" max="1539" width="22.453125" style="6" customWidth="1"/>
    <col min="1540" max="1540" width="19.54296875" style="6" customWidth="1"/>
    <col min="1541" max="1541" width="20.54296875" style="6" customWidth="1"/>
    <col min="1542" max="1792" width="11.453125" style="6"/>
    <col min="1793" max="1793" width="9" style="6" customWidth="1"/>
    <col min="1794" max="1795" width="22.453125" style="6" customWidth="1"/>
    <col min="1796" max="1796" width="19.54296875" style="6" customWidth="1"/>
    <col min="1797" max="1797" width="20.54296875" style="6" customWidth="1"/>
    <col min="1798" max="2048" width="11.453125" style="6"/>
    <col min="2049" max="2049" width="9" style="6" customWidth="1"/>
    <col min="2050" max="2051" width="22.453125" style="6" customWidth="1"/>
    <col min="2052" max="2052" width="19.54296875" style="6" customWidth="1"/>
    <col min="2053" max="2053" width="20.54296875" style="6" customWidth="1"/>
    <col min="2054" max="2304" width="11.453125" style="6"/>
    <col min="2305" max="2305" width="9" style="6" customWidth="1"/>
    <col min="2306" max="2307" width="22.453125" style="6" customWidth="1"/>
    <col min="2308" max="2308" width="19.54296875" style="6" customWidth="1"/>
    <col min="2309" max="2309" width="20.54296875" style="6" customWidth="1"/>
    <col min="2310" max="2560" width="11.453125" style="6"/>
    <col min="2561" max="2561" width="9" style="6" customWidth="1"/>
    <col min="2562" max="2563" width="22.453125" style="6" customWidth="1"/>
    <col min="2564" max="2564" width="19.54296875" style="6" customWidth="1"/>
    <col min="2565" max="2565" width="20.54296875" style="6" customWidth="1"/>
    <col min="2566" max="2816" width="11.453125" style="6"/>
    <col min="2817" max="2817" width="9" style="6" customWidth="1"/>
    <col min="2818" max="2819" width="22.453125" style="6" customWidth="1"/>
    <col min="2820" max="2820" width="19.54296875" style="6" customWidth="1"/>
    <col min="2821" max="2821" width="20.54296875" style="6" customWidth="1"/>
    <col min="2822" max="3072" width="11.453125" style="6"/>
    <col min="3073" max="3073" width="9" style="6" customWidth="1"/>
    <col min="3074" max="3075" width="22.453125" style="6" customWidth="1"/>
    <col min="3076" max="3076" width="19.54296875" style="6" customWidth="1"/>
    <col min="3077" max="3077" width="20.54296875" style="6" customWidth="1"/>
    <col min="3078" max="3328" width="11.453125" style="6"/>
    <col min="3329" max="3329" width="9" style="6" customWidth="1"/>
    <col min="3330" max="3331" width="22.453125" style="6" customWidth="1"/>
    <col min="3332" max="3332" width="19.54296875" style="6" customWidth="1"/>
    <col min="3333" max="3333" width="20.54296875" style="6" customWidth="1"/>
    <col min="3334" max="3584" width="11.453125" style="6"/>
    <col min="3585" max="3585" width="9" style="6" customWidth="1"/>
    <col min="3586" max="3587" width="22.453125" style="6" customWidth="1"/>
    <col min="3588" max="3588" width="19.54296875" style="6" customWidth="1"/>
    <col min="3589" max="3589" width="20.54296875" style="6" customWidth="1"/>
    <col min="3590" max="3840" width="11.453125" style="6"/>
    <col min="3841" max="3841" width="9" style="6" customWidth="1"/>
    <col min="3842" max="3843" width="22.453125" style="6" customWidth="1"/>
    <col min="3844" max="3844" width="19.54296875" style="6" customWidth="1"/>
    <col min="3845" max="3845" width="20.54296875" style="6" customWidth="1"/>
    <col min="3846" max="4096" width="11.453125" style="6"/>
    <col min="4097" max="4097" width="9" style="6" customWidth="1"/>
    <col min="4098" max="4099" width="22.453125" style="6" customWidth="1"/>
    <col min="4100" max="4100" width="19.54296875" style="6" customWidth="1"/>
    <col min="4101" max="4101" width="20.54296875" style="6" customWidth="1"/>
    <col min="4102" max="4352" width="11.453125" style="6"/>
    <col min="4353" max="4353" width="9" style="6" customWidth="1"/>
    <col min="4354" max="4355" width="22.453125" style="6" customWidth="1"/>
    <col min="4356" max="4356" width="19.54296875" style="6" customWidth="1"/>
    <col min="4357" max="4357" width="20.54296875" style="6" customWidth="1"/>
    <col min="4358" max="4608" width="11.453125" style="6"/>
    <col min="4609" max="4609" width="9" style="6" customWidth="1"/>
    <col min="4610" max="4611" width="22.453125" style="6" customWidth="1"/>
    <col min="4612" max="4612" width="19.54296875" style="6" customWidth="1"/>
    <col min="4613" max="4613" width="20.54296875" style="6" customWidth="1"/>
    <col min="4614" max="4864" width="11.453125" style="6"/>
    <col min="4865" max="4865" width="9" style="6" customWidth="1"/>
    <col min="4866" max="4867" width="22.453125" style="6" customWidth="1"/>
    <col min="4868" max="4868" width="19.54296875" style="6" customWidth="1"/>
    <col min="4869" max="4869" width="20.54296875" style="6" customWidth="1"/>
    <col min="4870" max="5120" width="11.453125" style="6"/>
    <col min="5121" max="5121" width="9" style="6" customWidth="1"/>
    <col min="5122" max="5123" width="22.453125" style="6" customWidth="1"/>
    <col min="5124" max="5124" width="19.54296875" style="6" customWidth="1"/>
    <col min="5125" max="5125" width="20.54296875" style="6" customWidth="1"/>
    <col min="5126" max="5376" width="11.453125" style="6"/>
    <col min="5377" max="5377" width="9" style="6" customWidth="1"/>
    <col min="5378" max="5379" width="22.453125" style="6" customWidth="1"/>
    <col min="5380" max="5380" width="19.54296875" style="6" customWidth="1"/>
    <col min="5381" max="5381" width="20.54296875" style="6" customWidth="1"/>
    <col min="5382" max="5632" width="11.453125" style="6"/>
    <col min="5633" max="5633" width="9" style="6" customWidth="1"/>
    <col min="5634" max="5635" width="22.453125" style="6" customWidth="1"/>
    <col min="5636" max="5636" width="19.54296875" style="6" customWidth="1"/>
    <col min="5637" max="5637" width="20.54296875" style="6" customWidth="1"/>
    <col min="5638" max="5888" width="11.453125" style="6"/>
    <col min="5889" max="5889" width="9" style="6" customWidth="1"/>
    <col min="5890" max="5891" width="22.453125" style="6" customWidth="1"/>
    <col min="5892" max="5892" width="19.54296875" style="6" customWidth="1"/>
    <col min="5893" max="5893" width="20.54296875" style="6" customWidth="1"/>
    <col min="5894" max="6144" width="11.453125" style="6"/>
    <col min="6145" max="6145" width="9" style="6" customWidth="1"/>
    <col min="6146" max="6147" width="22.453125" style="6" customWidth="1"/>
    <col min="6148" max="6148" width="19.54296875" style="6" customWidth="1"/>
    <col min="6149" max="6149" width="20.54296875" style="6" customWidth="1"/>
    <col min="6150" max="6400" width="11.453125" style="6"/>
    <col min="6401" max="6401" width="9" style="6" customWidth="1"/>
    <col min="6402" max="6403" width="22.453125" style="6" customWidth="1"/>
    <col min="6404" max="6404" width="19.54296875" style="6" customWidth="1"/>
    <col min="6405" max="6405" width="20.54296875" style="6" customWidth="1"/>
    <col min="6406" max="6656" width="11.453125" style="6"/>
    <col min="6657" max="6657" width="9" style="6" customWidth="1"/>
    <col min="6658" max="6659" width="22.453125" style="6" customWidth="1"/>
    <col min="6660" max="6660" width="19.54296875" style="6" customWidth="1"/>
    <col min="6661" max="6661" width="20.54296875" style="6" customWidth="1"/>
    <col min="6662" max="6912" width="11.453125" style="6"/>
    <col min="6913" max="6913" width="9" style="6" customWidth="1"/>
    <col min="6914" max="6915" width="22.453125" style="6" customWidth="1"/>
    <col min="6916" max="6916" width="19.54296875" style="6" customWidth="1"/>
    <col min="6917" max="6917" width="20.54296875" style="6" customWidth="1"/>
    <col min="6918" max="7168" width="11.453125" style="6"/>
    <col min="7169" max="7169" width="9" style="6" customWidth="1"/>
    <col min="7170" max="7171" width="22.453125" style="6" customWidth="1"/>
    <col min="7172" max="7172" width="19.54296875" style="6" customWidth="1"/>
    <col min="7173" max="7173" width="20.54296875" style="6" customWidth="1"/>
    <col min="7174" max="7424" width="11.453125" style="6"/>
    <col min="7425" max="7425" width="9" style="6" customWidth="1"/>
    <col min="7426" max="7427" width="22.453125" style="6" customWidth="1"/>
    <col min="7428" max="7428" width="19.54296875" style="6" customWidth="1"/>
    <col min="7429" max="7429" width="20.54296875" style="6" customWidth="1"/>
    <col min="7430" max="7680" width="11.453125" style="6"/>
    <col min="7681" max="7681" width="9" style="6" customWidth="1"/>
    <col min="7682" max="7683" width="22.453125" style="6" customWidth="1"/>
    <col min="7684" max="7684" width="19.54296875" style="6" customWidth="1"/>
    <col min="7685" max="7685" width="20.54296875" style="6" customWidth="1"/>
    <col min="7686" max="7936" width="11.453125" style="6"/>
    <col min="7937" max="7937" width="9" style="6" customWidth="1"/>
    <col min="7938" max="7939" width="22.453125" style="6" customWidth="1"/>
    <col min="7940" max="7940" width="19.54296875" style="6" customWidth="1"/>
    <col min="7941" max="7941" width="20.54296875" style="6" customWidth="1"/>
    <col min="7942" max="8192" width="11.453125" style="6"/>
    <col min="8193" max="8193" width="9" style="6" customWidth="1"/>
    <col min="8194" max="8195" width="22.453125" style="6" customWidth="1"/>
    <col min="8196" max="8196" width="19.54296875" style="6" customWidth="1"/>
    <col min="8197" max="8197" width="20.54296875" style="6" customWidth="1"/>
    <col min="8198" max="8448" width="11.453125" style="6"/>
    <col min="8449" max="8449" width="9" style="6" customWidth="1"/>
    <col min="8450" max="8451" width="22.453125" style="6" customWidth="1"/>
    <col min="8452" max="8452" width="19.54296875" style="6" customWidth="1"/>
    <col min="8453" max="8453" width="20.54296875" style="6" customWidth="1"/>
    <col min="8454" max="8704" width="11.453125" style="6"/>
    <col min="8705" max="8705" width="9" style="6" customWidth="1"/>
    <col min="8706" max="8707" width="22.453125" style="6" customWidth="1"/>
    <col min="8708" max="8708" width="19.54296875" style="6" customWidth="1"/>
    <col min="8709" max="8709" width="20.54296875" style="6" customWidth="1"/>
    <col min="8710" max="8960" width="11.453125" style="6"/>
    <col min="8961" max="8961" width="9" style="6" customWidth="1"/>
    <col min="8962" max="8963" width="22.453125" style="6" customWidth="1"/>
    <col min="8964" max="8964" width="19.54296875" style="6" customWidth="1"/>
    <col min="8965" max="8965" width="20.54296875" style="6" customWidth="1"/>
    <col min="8966" max="9216" width="11.453125" style="6"/>
    <col min="9217" max="9217" width="9" style="6" customWidth="1"/>
    <col min="9218" max="9219" width="22.453125" style="6" customWidth="1"/>
    <col min="9220" max="9220" width="19.54296875" style="6" customWidth="1"/>
    <col min="9221" max="9221" width="20.54296875" style="6" customWidth="1"/>
    <col min="9222" max="9472" width="11.453125" style="6"/>
    <col min="9473" max="9473" width="9" style="6" customWidth="1"/>
    <col min="9474" max="9475" width="22.453125" style="6" customWidth="1"/>
    <col min="9476" max="9476" width="19.54296875" style="6" customWidth="1"/>
    <col min="9477" max="9477" width="20.54296875" style="6" customWidth="1"/>
    <col min="9478" max="9728" width="11.453125" style="6"/>
    <col min="9729" max="9729" width="9" style="6" customWidth="1"/>
    <col min="9730" max="9731" width="22.453125" style="6" customWidth="1"/>
    <col min="9732" max="9732" width="19.54296875" style="6" customWidth="1"/>
    <col min="9733" max="9733" width="20.54296875" style="6" customWidth="1"/>
    <col min="9734" max="9984" width="11.453125" style="6"/>
    <col min="9985" max="9985" width="9" style="6" customWidth="1"/>
    <col min="9986" max="9987" width="22.453125" style="6" customWidth="1"/>
    <col min="9988" max="9988" width="19.54296875" style="6" customWidth="1"/>
    <col min="9989" max="9989" width="20.54296875" style="6" customWidth="1"/>
    <col min="9990" max="10240" width="11.453125" style="6"/>
    <col min="10241" max="10241" width="9" style="6" customWidth="1"/>
    <col min="10242" max="10243" width="22.453125" style="6" customWidth="1"/>
    <col min="10244" max="10244" width="19.54296875" style="6" customWidth="1"/>
    <col min="10245" max="10245" width="20.54296875" style="6" customWidth="1"/>
    <col min="10246" max="10496" width="11.453125" style="6"/>
    <col min="10497" max="10497" width="9" style="6" customWidth="1"/>
    <col min="10498" max="10499" width="22.453125" style="6" customWidth="1"/>
    <col min="10500" max="10500" width="19.54296875" style="6" customWidth="1"/>
    <col min="10501" max="10501" width="20.54296875" style="6" customWidth="1"/>
    <col min="10502" max="10752" width="11.453125" style="6"/>
    <col min="10753" max="10753" width="9" style="6" customWidth="1"/>
    <col min="10754" max="10755" width="22.453125" style="6" customWidth="1"/>
    <col min="10756" max="10756" width="19.54296875" style="6" customWidth="1"/>
    <col min="10757" max="10757" width="20.54296875" style="6" customWidth="1"/>
    <col min="10758" max="11008" width="11.453125" style="6"/>
    <col min="11009" max="11009" width="9" style="6" customWidth="1"/>
    <col min="11010" max="11011" width="22.453125" style="6" customWidth="1"/>
    <col min="11012" max="11012" width="19.54296875" style="6" customWidth="1"/>
    <col min="11013" max="11013" width="20.54296875" style="6" customWidth="1"/>
    <col min="11014" max="11264" width="11.453125" style="6"/>
    <col min="11265" max="11265" width="9" style="6" customWidth="1"/>
    <col min="11266" max="11267" width="22.453125" style="6" customWidth="1"/>
    <col min="11268" max="11268" width="19.54296875" style="6" customWidth="1"/>
    <col min="11269" max="11269" width="20.54296875" style="6" customWidth="1"/>
    <col min="11270" max="11520" width="11.453125" style="6"/>
    <col min="11521" max="11521" width="9" style="6" customWidth="1"/>
    <col min="11522" max="11523" width="22.453125" style="6" customWidth="1"/>
    <col min="11524" max="11524" width="19.54296875" style="6" customWidth="1"/>
    <col min="11525" max="11525" width="20.54296875" style="6" customWidth="1"/>
    <col min="11526" max="11776" width="11.453125" style="6"/>
    <col min="11777" max="11777" width="9" style="6" customWidth="1"/>
    <col min="11778" max="11779" width="22.453125" style="6" customWidth="1"/>
    <col min="11780" max="11780" width="19.54296875" style="6" customWidth="1"/>
    <col min="11781" max="11781" width="20.54296875" style="6" customWidth="1"/>
    <col min="11782" max="12032" width="11.453125" style="6"/>
    <col min="12033" max="12033" width="9" style="6" customWidth="1"/>
    <col min="12034" max="12035" width="22.453125" style="6" customWidth="1"/>
    <col min="12036" max="12036" width="19.54296875" style="6" customWidth="1"/>
    <col min="12037" max="12037" width="20.54296875" style="6" customWidth="1"/>
    <col min="12038" max="12288" width="11.453125" style="6"/>
    <col min="12289" max="12289" width="9" style="6" customWidth="1"/>
    <col min="12290" max="12291" width="22.453125" style="6" customWidth="1"/>
    <col min="12292" max="12292" width="19.54296875" style="6" customWidth="1"/>
    <col min="12293" max="12293" width="20.54296875" style="6" customWidth="1"/>
    <col min="12294" max="12544" width="11.453125" style="6"/>
    <col min="12545" max="12545" width="9" style="6" customWidth="1"/>
    <col min="12546" max="12547" width="22.453125" style="6" customWidth="1"/>
    <col min="12548" max="12548" width="19.54296875" style="6" customWidth="1"/>
    <col min="12549" max="12549" width="20.54296875" style="6" customWidth="1"/>
    <col min="12550" max="12800" width="11.453125" style="6"/>
    <col min="12801" max="12801" width="9" style="6" customWidth="1"/>
    <col min="12802" max="12803" width="22.453125" style="6" customWidth="1"/>
    <col min="12804" max="12804" width="19.54296875" style="6" customWidth="1"/>
    <col min="12805" max="12805" width="20.54296875" style="6" customWidth="1"/>
    <col min="12806" max="13056" width="11.453125" style="6"/>
    <col min="13057" max="13057" width="9" style="6" customWidth="1"/>
    <col min="13058" max="13059" width="22.453125" style="6" customWidth="1"/>
    <col min="13060" max="13060" width="19.54296875" style="6" customWidth="1"/>
    <col min="13061" max="13061" width="20.54296875" style="6" customWidth="1"/>
    <col min="13062" max="13312" width="11.453125" style="6"/>
    <col min="13313" max="13313" width="9" style="6" customWidth="1"/>
    <col min="13314" max="13315" width="22.453125" style="6" customWidth="1"/>
    <col min="13316" max="13316" width="19.54296875" style="6" customWidth="1"/>
    <col min="13317" max="13317" width="20.54296875" style="6" customWidth="1"/>
    <col min="13318" max="13568" width="11.453125" style="6"/>
    <col min="13569" max="13569" width="9" style="6" customWidth="1"/>
    <col min="13570" max="13571" width="22.453125" style="6" customWidth="1"/>
    <col min="13572" max="13572" width="19.54296875" style="6" customWidth="1"/>
    <col min="13573" max="13573" width="20.54296875" style="6" customWidth="1"/>
    <col min="13574" max="13824" width="11.453125" style="6"/>
    <col min="13825" max="13825" width="9" style="6" customWidth="1"/>
    <col min="13826" max="13827" width="22.453125" style="6" customWidth="1"/>
    <col min="13828" max="13828" width="19.54296875" style="6" customWidth="1"/>
    <col min="13829" max="13829" width="20.54296875" style="6" customWidth="1"/>
    <col min="13830" max="14080" width="11.453125" style="6"/>
    <col min="14081" max="14081" width="9" style="6" customWidth="1"/>
    <col min="14082" max="14083" width="22.453125" style="6" customWidth="1"/>
    <col min="14084" max="14084" width="19.54296875" style="6" customWidth="1"/>
    <col min="14085" max="14085" width="20.54296875" style="6" customWidth="1"/>
    <col min="14086" max="14336" width="11.453125" style="6"/>
    <col min="14337" max="14337" width="9" style="6" customWidth="1"/>
    <col min="14338" max="14339" width="22.453125" style="6" customWidth="1"/>
    <col min="14340" max="14340" width="19.54296875" style="6" customWidth="1"/>
    <col min="14341" max="14341" width="20.54296875" style="6" customWidth="1"/>
    <col min="14342" max="14592" width="11.453125" style="6"/>
    <col min="14593" max="14593" width="9" style="6" customWidth="1"/>
    <col min="14594" max="14595" width="22.453125" style="6" customWidth="1"/>
    <col min="14596" max="14596" width="19.54296875" style="6" customWidth="1"/>
    <col min="14597" max="14597" width="20.54296875" style="6" customWidth="1"/>
    <col min="14598" max="14848" width="11.453125" style="6"/>
    <col min="14849" max="14849" width="9" style="6" customWidth="1"/>
    <col min="14850" max="14851" width="22.453125" style="6" customWidth="1"/>
    <col min="14852" max="14852" width="19.54296875" style="6" customWidth="1"/>
    <col min="14853" max="14853" width="20.54296875" style="6" customWidth="1"/>
    <col min="14854" max="15104" width="11.453125" style="6"/>
    <col min="15105" max="15105" width="9" style="6" customWidth="1"/>
    <col min="15106" max="15107" width="22.453125" style="6" customWidth="1"/>
    <col min="15108" max="15108" width="19.54296875" style="6" customWidth="1"/>
    <col min="15109" max="15109" width="20.54296875" style="6" customWidth="1"/>
    <col min="15110" max="15360" width="11.453125" style="6"/>
    <col min="15361" max="15361" width="9" style="6" customWidth="1"/>
    <col min="15362" max="15363" width="22.453125" style="6" customWidth="1"/>
    <col min="15364" max="15364" width="19.54296875" style="6" customWidth="1"/>
    <col min="15365" max="15365" width="20.54296875" style="6" customWidth="1"/>
    <col min="15366" max="15616" width="11.453125" style="6"/>
    <col min="15617" max="15617" width="9" style="6" customWidth="1"/>
    <col min="15618" max="15619" width="22.453125" style="6" customWidth="1"/>
    <col min="15620" max="15620" width="19.54296875" style="6" customWidth="1"/>
    <col min="15621" max="15621" width="20.54296875" style="6" customWidth="1"/>
    <col min="15622" max="15872" width="11.453125" style="6"/>
    <col min="15873" max="15873" width="9" style="6" customWidth="1"/>
    <col min="15874" max="15875" width="22.453125" style="6" customWidth="1"/>
    <col min="15876" max="15876" width="19.54296875" style="6" customWidth="1"/>
    <col min="15877" max="15877" width="20.54296875" style="6" customWidth="1"/>
    <col min="15878" max="16128" width="11.453125" style="6"/>
    <col min="16129" max="16129" width="9" style="6" customWidth="1"/>
    <col min="16130" max="16131" width="22.453125" style="6" customWidth="1"/>
    <col min="16132" max="16132" width="19.54296875" style="6" customWidth="1"/>
    <col min="16133" max="16133" width="20.54296875" style="6" customWidth="1"/>
    <col min="16134" max="16384" width="11.453125" style="6"/>
  </cols>
  <sheetData>
    <row r="1" spans="2:8" ht="20" x14ac:dyDescent="0.4">
      <c r="B1" s="5"/>
    </row>
    <row r="3" spans="2:8" ht="18" x14ac:dyDescent="0.4">
      <c r="B3" s="312" t="s">
        <v>22</v>
      </c>
      <c r="C3" s="312"/>
      <c r="D3" s="312"/>
    </row>
    <row r="5" spans="2:8" ht="15.5" x14ac:dyDescent="0.35">
      <c r="B5" s="7"/>
    </row>
    <row r="6" spans="2:8" ht="13" thickBot="1" x14ac:dyDescent="0.3"/>
    <row r="7" spans="2:8" ht="20.5" thickBot="1" x14ac:dyDescent="0.45">
      <c r="B7" s="39">
        <v>46082</v>
      </c>
      <c r="C7" s="8"/>
      <c r="D7" s="9"/>
      <c r="E7" s="10"/>
    </row>
    <row r="8" spans="2:8" ht="34.5" customHeight="1" thickBot="1" x14ac:dyDescent="0.3">
      <c r="B8" s="10"/>
      <c r="C8" s="10"/>
      <c r="D8" s="10"/>
      <c r="E8" s="10"/>
    </row>
    <row r="9" spans="2:8" ht="35.25" customHeight="1" thickBot="1" x14ac:dyDescent="0.3">
      <c r="B9" s="11" t="s">
        <v>2</v>
      </c>
      <c r="C9" s="11" t="s">
        <v>3</v>
      </c>
      <c r="D9" s="13" t="s">
        <v>4</v>
      </c>
    </row>
    <row r="10" spans="2:8" ht="20.25" customHeight="1" x14ac:dyDescent="0.3">
      <c r="B10" s="14" t="s">
        <v>23</v>
      </c>
      <c r="C10" s="15">
        <v>24</v>
      </c>
      <c r="D10" s="260">
        <f>+VLOOKUP(C10,'HF Pricing'!$D$56:$EB$63,MATCH('HF List'!$B$7,'HF Pricing'!$D$2:$ZB$2,0),0)</f>
        <v>68103.093272799684</v>
      </c>
      <c r="E10" s="27"/>
      <c r="F10" s="36"/>
      <c r="G10" s="310"/>
    </row>
    <row r="11" spans="2:8" ht="20.25" customHeight="1" x14ac:dyDescent="0.3">
      <c r="B11" s="14" t="s">
        <v>23</v>
      </c>
      <c r="C11" s="28">
        <v>30</v>
      </c>
      <c r="D11" s="260">
        <f>+VLOOKUP(C11,'HF Pricing'!$D$56:$EB$63,MATCH('HF List'!$B$7,'HF Pricing'!$D$2:$ZB$2,0),0)</f>
        <v>80984.31322887518</v>
      </c>
      <c r="E11" s="27"/>
      <c r="F11" s="36"/>
      <c r="G11" s="310"/>
    </row>
    <row r="12" spans="2:8" ht="20.25" customHeight="1" x14ac:dyDescent="0.3">
      <c r="B12" s="14" t="s">
        <v>23</v>
      </c>
      <c r="C12" s="28" t="s">
        <v>24</v>
      </c>
      <c r="D12" s="260">
        <f>+VLOOKUP(C12,'HF Pricing'!$D$56:$EB$63,MATCH('HF List'!$B$7,'HF Pricing'!$D$2:$ZB$2,0),0)</f>
        <v>80141.789643642725</v>
      </c>
      <c r="E12" s="27"/>
      <c r="F12" s="36"/>
      <c r="G12" s="310"/>
    </row>
    <row r="13" spans="2:8" ht="20.25" customHeight="1" x14ac:dyDescent="0.35">
      <c r="B13" s="14" t="s">
        <v>23</v>
      </c>
      <c r="C13" s="28" t="s">
        <v>25</v>
      </c>
      <c r="D13" s="260">
        <f>+VLOOKUP(C13,'HF Pricing'!$D$56:$ZB$63,MATCH('HF List'!$B$7,'HF Pricing'!$D$2:$ZB$2,0),0)</f>
        <v>80141.789643642725</v>
      </c>
      <c r="E13" s="27"/>
      <c r="F13" s="36"/>
      <c r="G13" s="310"/>
      <c r="H13" s="17"/>
    </row>
    <row r="14" spans="2:8" ht="20.25" customHeight="1" x14ac:dyDescent="0.35">
      <c r="B14" s="14" t="s">
        <v>26</v>
      </c>
      <c r="C14" s="28" t="s">
        <v>27</v>
      </c>
      <c r="D14" s="260">
        <f>+VLOOKUP(C14,'HF Pricing'!$D$56:$ZB$63,MATCH('HF List'!$B$7,'HF Pricing'!$D$2:$ZB$2,0),0)</f>
        <v>87042.013995699381</v>
      </c>
      <c r="E14" s="27"/>
      <c r="F14" s="36"/>
      <c r="G14" s="310"/>
      <c r="H14" s="17"/>
    </row>
    <row r="15" spans="2:8" ht="20.25" customHeight="1" x14ac:dyDescent="0.35">
      <c r="B15" s="14" t="s">
        <v>26</v>
      </c>
      <c r="C15" s="28" t="s">
        <v>28</v>
      </c>
      <c r="D15" s="260">
        <f>+VLOOKUP(C15,'HF Pricing'!$D$56:$ZB$63,MATCH('HF List'!$B$7,'HF Pricing'!$D$2:$ZB$2,0),0)</f>
        <v>87042.013995699381</v>
      </c>
      <c r="E15" s="27"/>
      <c r="F15" s="36"/>
      <c r="G15" s="310"/>
      <c r="H15" s="17"/>
    </row>
    <row r="16" spans="2:8" ht="21" customHeight="1" x14ac:dyDescent="0.35">
      <c r="B16" s="14" t="s">
        <v>29</v>
      </c>
      <c r="C16" s="14">
        <v>44.8</v>
      </c>
      <c r="D16" s="260">
        <f>+VLOOKUP(C16,'HF Pricing'!$D$56:$ZB$63,MATCH('HF List'!$B$7,'HF Pricing'!$D$2:$ZB$2,0),0)</f>
        <v>117568.9486786646</v>
      </c>
      <c r="E16" s="27"/>
      <c r="F16" s="36"/>
      <c r="G16" s="310"/>
      <c r="H16" s="17"/>
    </row>
    <row r="17" spans="2:8" ht="21" customHeight="1" x14ac:dyDescent="0.35">
      <c r="B17" s="14" t="s">
        <v>30</v>
      </c>
      <c r="C17" s="14">
        <v>52</v>
      </c>
      <c r="D17" s="260">
        <f>+VLOOKUP(C17,'HF Pricing'!$D$56:$ZB$63,MATCH('HF List'!$B$7,'HF Pricing'!$D$2:$ZB$2,0),0)</f>
        <v>130943.10831411916</v>
      </c>
      <c r="E17" s="27"/>
      <c r="F17" s="36"/>
      <c r="G17" s="310"/>
      <c r="H17" s="17"/>
    </row>
    <row r="20" spans="2:8" ht="13" thickBot="1" x14ac:dyDescent="0.3"/>
    <row r="21" spans="2:8" ht="30" customHeight="1" thickBot="1" x14ac:dyDescent="0.3">
      <c r="B21" s="18" t="s">
        <v>31</v>
      </c>
      <c r="C21" s="19">
        <f>HLOOKUP(B7,'HF Pricing'!2:3,2,0)</f>
        <v>1287.431529648705</v>
      </c>
    </row>
    <row r="22" spans="2:8" ht="30" customHeight="1" thickBot="1" x14ac:dyDescent="0.3">
      <c r="B22" s="18" t="s">
        <v>32</v>
      </c>
      <c r="C22" s="19">
        <f>HLOOKUP(B7,'HF Pricing'!2:4,3,0)</f>
        <v>1293.8228356690543</v>
      </c>
    </row>
    <row r="23" spans="2:8" ht="13.5" thickBot="1" x14ac:dyDescent="0.3">
      <c r="B23" s="18" t="s">
        <v>33</v>
      </c>
      <c r="C23" s="19">
        <f>HLOOKUP(B7,'HF Pricing'!2:5,4,0)</f>
        <v>1287.431529648705</v>
      </c>
    </row>
    <row r="25" spans="2:8" ht="20.5" customHeight="1" x14ac:dyDescent="0.25"/>
  </sheetData>
  <mergeCells count="1">
    <mergeCell ref="B3:D3"/>
  </mergeCells>
  <pageMargins left="0.17" right="0.74803149606299213" top="0.61" bottom="0.98425196850393704" header="0.17" footer="0"/>
  <pageSetup orientation="landscape" horizontalDpi="4294967293" verticalDpi="4294967293" r:id="rId1"/>
  <headerFooter alignWithMargins="0">
    <oddHeader xml:space="preserve">&amp;C
&amp;R
</oddHeader>
  </headerFooter>
  <customProperties>
    <customPr name="_pios_id" r:id="rId2"/>
    <customPr name="EpmWorksheetKeyString_GUI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A9A2-1704-4EEF-B82F-8BC5D8F44129}">
  <dimension ref="A1:DG142"/>
  <sheetViews>
    <sheetView showGridLines="0" zoomScale="80" zoomScaleNormal="80" workbookViewId="0">
      <pane xSplit="4" ySplit="17" topLeftCell="CX117" activePane="bottomRight" state="frozen"/>
      <selection activeCell="N906" sqref="N906:O906"/>
      <selection pane="topRight" activeCell="N906" sqref="N906:O906"/>
      <selection pane="bottomLeft" activeCell="N906" sqref="N906:O906"/>
      <selection pane="bottomRight" activeCell="DG104" sqref="DG104:DG121"/>
    </sheetView>
  </sheetViews>
  <sheetFormatPr defaultColWidth="9.453125" defaultRowHeight="14.5" outlineLevelCol="2" x14ac:dyDescent="0.35"/>
  <cols>
    <col min="1" max="1" width="9.54296875" bestFit="1" customWidth="1"/>
    <col min="2" max="2" width="1.453125" customWidth="1"/>
    <col min="3" max="3" width="38.26953125" customWidth="1"/>
    <col min="4" max="4" width="14.453125" bestFit="1" customWidth="1"/>
    <col min="5" max="7" width="5.453125" customWidth="1" outlineLevel="1"/>
    <col min="8" max="8" width="4.1796875" customWidth="1" outlineLevel="1"/>
    <col min="9" max="9" width="7.453125" bestFit="1" customWidth="1" outlineLevel="1"/>
    <col min="10" max="10" width="5.453125" customWidth="1" outlineLevel="1"/>
    <col min="11" max="54" width="8.453125" customWidth="1" outlineLevel="2"/>
    <col min="55" max="58" width="9.453125" customWidth="1" outlineLevel="2"/>
    <col min="59" max="70" width="9.453125" customWidth="1" outlineLevel="1"/>
    <col min="71" max="71" width="2.54296875" customWidth="1"/>
    <col min="72" max="83" width="10.453125" bestFit="1" customWidth="1"/>
    <col min="84" max="89" width="10.81640625" bestFit="1" customWidth="1"/>
    <col min="90" max="91" width="10.81640625" customWidth="1"/>
    <col min="92" max="92" width="2.453125" customWidth="1"/>
    <col min="93" max="102" width="10.81640625" bestFit="1" customWidth="1"/>
    <col min="103" max="111" width="10.81640625" customWidth="1"/>
  </cols>
  <sheetData>
    <row r="1" spans="1:111" ht="3" customHeight="1" thickBot="1" x14ac:dyDescent="0.4"/>
    <row r="2" spans="1:111" ht="14.25" customHeight="1" thickBot="1" x14ac:dyDescent="0.4">
      <c r="C2" s="59" t="s">
        <v>34</v>
      </c>
      <c r="D2" s="60"/>
      <c r="E2" s="60"/>
      <c r="F2" s="60"/>
      <c r="G2" s="60"/>
      <c r="H2" s="60"/>
      <c r="I2" s="60"/>
      <c r="J2" s="60"/>
      <c r="K2" s="61">
        <v>43101</v>
      </c>
      <c r="L2" s="61">
        <v>43132</v>
      </c>
      <c r="M2" s="61">
        <v>43160</v>
      </c>
      <c r="N2" s="61">
        <v>43191</v>
      </c>
      <c r="O2" s="61">
        <v>43221</v>
      </c>
      <c r="P2" s="61">
        <v>43252</v>
      </c>
      <c r="Q2" s="61">
        <v>43282</v>
      </c>
      <c r="R2" s="61">
        <v>43313</v>
      </c>
      <c r="S2" s="61">
        <v>43344</v>
      </c>
      <c r="T2" s="61">
        <v>43374</v>
      </c>
      <c r="U2" s="61">
        <v>43405</v>
      </c>
      <c r="V2" s="61">
        <v>43435</v>
      </c>
      <c r="W2" s="61">
        <v>43466</v>
      </c>
      <c r="X2" s="61">
        <v>43497</v>
      </c>
      <c r="Y2" s="61">
        <v>43525</v>
      </c>
      <c r="Z2" s="61">
        <v>43556</v>
      </c>
      <c r="AA2" s="61">
        <v>43586</v>
      </c>
      <c r="AB2" s="61">
        <v>43617</v>
      </c>
      <c r="AC2" s="61">
        <v>43647</v>
      </c>
      <c r="AD2" s="61">
        <v>43678</v>
      </c>
      <c r="AE2" s="61">
        <v>43709</v>
      </c>
      <c r="AF2" s="61">
        <v>43739</v>
      </c>
      <c r="AG2" s="61">
        <v>43770</v>
      </c>
      <c r="AH2" s="61">
        <v>43800</v>
      </c>
      <c r="AI2" s="61">
        <v>43831</v>
      </c>
      <c r="AJ2" s="61">
        <v>43862</v>
      </c>
      <c r="AK2" s="61">
        <v>43891</v>
      </c>
      <c r="AL2" s="61">
        <v>43922</v>
      </c>
      <c r="AM2" s="61">
        <v>43952</v>
      </c>
      <c r="AN2" s="61">
        <v>43983</v>
      </c>
      <c r="AO2" s="61">
        <v>44013</v>
      </c>
      <c r="AP2" s="61">
        <v>44044</v>
      </c>
      <c r="AQ2" s="61">
        <v>44075</v>
      </c>
      <c r="AR2" s="61">
        <v>44105</v>
      </c>
      <c r="AS2" s="61">
        <v>44136</v>
      </c>
      <c r="AT2" s="61">
        <v>44166</v>
      </c>
      <c r="AU2" s="61">
        <v>44197</v>
      </c>
      <c r="AV2" s="61">
        <v>44228</v>
      </c>
      <c r="AW2" s="61">
        <v>44256</v>
      </c>
      <c r="AX2" s="61">
        <v>44287</v>
      </c>
      <c r="AY2" s="61">
        <v>44317</v>
      </c>
      <c r="AZ2" s="61">
        <v>44348</v>
      </c>
      <c r="BA2" s="61">
        <v>44378</v>
      </c>
      <c r="BB2" s="61">
        <v>44409</v>
      </c>
      <c r="BC2" s="61">
        <v>44440</v>
      </c>
      <c r="BD2" s="61">
        <v>44470</v>
      </c>
      <c r="BE2" s="61">
        <v>44501</v>
      </c>
      <c r="BF2" s="61">
        <v>44531</v>
      </c>
      <c r="BG2" s="61">
        <v>44562</v>
      </c>
      <c r="BH2" s="61">
        <v>44593</v>
      </c>
      <c r="BI2" s="61">
        <v>44621</v>
      </c>
      <c r="BJ2" s="61">
        <v>44652</v>
      </c>
      <c r="BK2" s="61">
        <v>44682</v>
      </c>
      <c r="BL2" s="61">
        <v>44713</v>
      </c>
      <c r="BM2" s="61">
        <v>44743</v>
      </c>
      <c r="BN2" s="61">
        <v>44774</v>
      </c>
      <c r="BO2" s="61">
        <v>44805</v>
      </c>
      <c r="BP2" s="61">
        <v>44835</v>
      </c>
      <c r="BQ2" s="61">
        <v>44866</v>
      </c>
      <c r="BR2" s="61">
        <v>44896</v>
      </c>
      <c r="BT2" s="61">
        <v>44927</v>
      </c>
      <c r="BU2" s="62">
        <v>44958</v>
      </c>
      <c r="BV2" s="61">
        <v>44986</v>
      </c>
      <c r="BW2" s="61">
        <v>45017</v>
      </c>
      <c r="BX2" s="61">
        <v>45047</v>
      </c>
      <c r="BY2" s="61">
        <v>45078</v>
      </c>
      <c r="BZ2" s="61">
        <v>45108</v>
      </c>
      <c r="CA2" s="61">
        <v>45139</v>
      </c>
      <c r="CB2" s="61">
        <v>45170</v>
      </c>
      <c r="CC2" s="61">
        <v>45200</v>
      </c>
      <c r="CD2" s="61">
        <v>45231</v>
      </c>
      <c r="CE2" s="61">
        <v>45261</v>
      </c>
      <c r="CF2" s="61">
        <v>45292</v>
      </c>
      <c r="CG2" s="61">
        <v>45323</v>
      </c>
      <c r="CH2" s="61">
        <v>45352</v>
      </c>
      <c r="CI2" s="61">
        <v>45383</v>
      </c>
      <c r="CJ2" s="61">
        <v>45413</v>
      </c>
      <c r="CK2" s="61">
        <v>45444</v>
      </c>
      <c r="CL2" s="61">
        <v>45474</v>
      </c>
      <c r="CM2" s="61">
        <v>45505</v>
      </c>
      <c r="CN2" s="108"/>
      <c r="CO2" s="61">
        <v>45536</v>
      </c>
      <c r="CP2" s="61">
        <v>45566</v>
      </c>
      <c r="CQ2" s="61">
        <v>45597</v>
      </c>
      <c r="CR2" s="61">
        <v>45627</v>
      </c>
      <c r="CS2" s="61">
        <v>45658</v>
      </c>
      <c r="CT2" s="61">
        <v>45689</v>
      </c>
      <c r="CU2" s="61">
        <v>45717</v>
      </c>
      <c r="CV2" s="61">
        <v>45748</v>
      </c>
      <c r="CW2" s="61">
        <v>45778</v>
      </c>
      <c r="CX2" s="61">
        <v>45809</v>
      </c>
      <c r="CY2" s="61">
        <v>45839</v>
      </c>
      <c r="CZ2" s="61">
        <v>45870</v>
      </c>
      <c r="DA2" s="61">
        <v>45901</v>
      </c>
      <c r="DB2" s="61">
        <v>45931</v>
      </c>
      <c r="DC2" s="61">
        <v>45962</v>
      </c>
      <c r="DD2" s="61">
        <v>45992</v>
      </c>
      <c r="DE2" s="61">
        <v>46023</v>
      </c>
      <c r="DF2" s="61">
        <v>46054</v>
      </c>
      <c r="DG2" s="61">
        <v>46082</v>
      </c>
    </row>
    <row r="3" spans="1:111" ht="14.25" customHeight="1" x14ac:dyDescent="0.35">
      <c r="C3" s="63" t="s">
        <v>35</v>
      </c>
      <c r="D3" s="64"/>
      <c r="E3" s="64"/>
      <c r="F3" s="64"/>
      <c r="G3" s="64"/>
      <c r="H3" s="64"/>
      <c r="I3" s="64"/>
      <c r="J3" s="64"/>
      <c r="K3" s="65">
        <v>1342.9441532275464</v>
      </c>
      <c r="L3" s="65">
        <v>1374.59975422102</v>
      </c>
      <c r="M3" s="65">
        <v>1390.1923099677815</v>
      </c>
      <c r="N3" s="65">
        <v>1432.5894934227322</v>
      </c>
      <c r="O3" s="65">
        <v>1463.5561660136323</v>
      </c>
      <c r="P3" s="65">
        <v>1494.6311520887741</v>
      </c>
      <c r="Q3" s="65">
        <v>1574.2419109803857</v>
      </c>
      <c r="R3" s="65">
        <v>1656.8327071723704</v>
      </c>
      <c r="S3" s="65">
        <v>1693.06929412146</v>
      </c>
      <c r="T3" s="65">
        <v>1694.1975128349802</v>
      </c>
      <c r="U3" s="65">
        <v>1694.0530692941745</v>
      </c>
      <c r="V3" s="65">
        <v>1711.9398425746335</v>
      </c>
      <c r="W3" s="65">
        <v>1695.6104618213833</v>
      </c>
      <c r="X3" s="65">
        <v>1676.6117331784806</v>
      </c>
      <c r="Y3" s="65">
        <v>1606.0030689676194</v>
      </c>
      <c r="Z3" s="65">
        <v>1544.9132052703287</v>
      </c>
      <c r="AA3" s="65">
        <v>1511.4640368762089</v>
      </c>
      <c r="AB3" s="65">
        <v>1491.7033681210646</v>
      </c>
      <c r="AC3" s="65">
        <v>1491.7033681210646</v>
      </c>
      <c r="AD3" s="65">
        <v>1223.0042465719109</v>
      </c>
      <c r="AE3" s="65">
        <v>1272.6946773395707</v>
      </c>
      <c r="AF3" s="65">
        <v>1178.2709595158904</v>
      </c>
      <c r="AG3" s="65">
        <v>1154.4432006449574</v>
      </c>
      <c r="AH3" s="65">
        <v>1124.4239311926287</v>
      </c>
      <c r="AI3" s="65">
        <v>1123.1620323287671</v>
      </c>
      <c r="AJ3" s="65">
        <v>1128.4456127054793</v>
      </c>
      <c r="AK3" s="65">
        <v>1145.5328163945205</v>
      </c>
      <c r="AL3" s="65">
        <v>1101.8412237842465</v>
      </c>
      <c r="AM3" s="65">
        <v>1021.2324289726027</v>
      </c>
      <c r="AN3" s="65">
        <v>927.68903066301368</v>
      </c>
      <c r="AO3" s="65">
        <v>943.27499214772604</v>
      </c>
      <c r="AP3" s="65">
        <v>952.71874008197256</v>
      </c>
      <c r="AQ3" s="65">
        <v>930.63903616438358</v>
      </c>
      <c r="AR3" s="65">
        <v>917.60359397260265</v>
      </c>
      <c r="AS3" s="65">
        <v>919.73460539178086</v>
      </c>
      <c r="AT3" s="65">
        <v>916.37866767123285</v>
      </c>
      <c r="AU3" s="65">
        <v>923.78501763698625</v>
      </c>
      <c r="AV3" s="65">
        <v>997.43550871232878</v>
      </c>
      <c r="AW3" s="65">
        <v>1160.6980058326574</v>
      </c>
      <c r="AX3" s="65" t="e">
        <v>#N/A</v>
      </c>
      <c r="AY3" s="65" t="e">
        <v>#N/A</v>
      </c>
      <c r="AZ3" s="65" t="e">
        <v>#N/A</v>
      </c>
      <c r="BA3" s="65" t="e">
        <v>#N/A</v>
      </c>
      <c r="BB3" s="65" t="e">
        <v>#N/A</v>
      </c>
      <c r="BC3" s="66">
        <v>1494.3255970958905</v>
      </c>
      <c r="BD3" s="66">
        <v>1501.9695981643836</v>
      </c>
      <c r="BE3" s="66">
        <v>1486.8851407671232</v>
      </c>
      <c r="BF3" s="66">
        <v>1664.4992116547949</v>
      </c>
      <c r="BG3" s="66">
        <v>1678.4033176107398</v>
      </c>
      <c r="BH3" s="66">
        <v>1570.4271205753423</v>
      </c>
      <c r="BI3" s="66">
        <v>1733.0951009452056</v>
      </c>
      <c r="BJ3" s="66">
        <v>1846.0530806575341</v>
      </c>
      <c r="BK3" s="66">
        <v>1966.1218090958903</v>
      </c>
      <c r="BL3" s="66">
        <v>2104.0935175753425</v>
      </c>
      <c r="BM3" s="66">
        <v>2154.5856111369862</v>
      </c>
      <c r="BN3" s="66">
        <v>2153.4699970958904</v>
      </c>
      <c r="BO3" s="66">
        <v>1937.5750231945206</v>
      </c>
      <c r="BP3" s="66">
        <v>1749.7902900958902</v>
      </c>
      <c r="BQ3" s="66">
        <v>1695.6645214246576</v>
      </c>
      <c r="BR3" s="66">
        <v>1622.6628363486302</v>
      </c>
      <c r="BT3" s="66">
        <v>1532.1838290712328</v>
      </c>
      <c r="BU3" s="66">
        <v>1517.9026202191781</v>
      </c>
      <c r="BV3" s="66">
        <v>1494.7580123620821</v>
      </c>
      <c r="BW3" s="66">
        <v>1522.7956067726027</v>
      </c>
      <c r="BX3" s="66">
        <v>1528.6676126849316</v>
      </c>
      <c r="BY3" s="66">
        <v>1585.5977605616438</v>
      </c>
      <c r="BZ3" s="66">
        <v>1494.2781578352876</v>
      </c>
      <c r="CA3" s="66">
        <v>1429.1769753424658</v>
      </c>
      <c r="CB3" s="66">
        <v>1247.7690102739725</v>
      </c>
      <c r="CC3" s="66">
        <v>1301.1493890410959</v>
      </c>
      <c r="CD3" s="66">
        <v>1312.793093077911</v>
      </c>
      <c r="CE3" s="66">
        <v>1285.055958770394</v>
      </c>
      <c r="CF3" s="66">
        <v>1800</v>
      </c>
      <c r="CG3" s="66">
        <v>1836</v>
      </c>
      <c r="CH3" s="66">
        <v>1748</v>
      </c>
      <c r="CI3" s="66">
        <v>1703</v>
      </c>
      <c r="CJ3" s="66">
        <v>1500.001085567123</v>
      </c>
      <c r="CK3" s="66">
        <v>1500.0033433273973</v>
      </c>
      <c r="CL3" s="66">
        <v>1499.9983517493149</v>
      </c>
      <c r="CM3" s="66">
        <v>1500</v>
      </c>
      <c r="CN3" s="105"/>
      <c r="CO3" s="97">
        <v>1801</v>
      </c>
      <c r="CP3" s="97">
        <f>'Balance Resinas'!C19</f>
        <v>1166.599653918749</v>
      </c>
      <c r="CQ3" s="97">
        <f>'Balance Resinas'!$C28</f>
        <v>1424.3202825326939</v>
      </c>
      <c r="CR3" s="97">
        <f>'Balance Resinas'!$C37</f>
        <v>1504.4159427398656</v>
      </c>
      <c r="CS3" s="97">
        <f>'Balance Resinas'!$C46</f>
        <v>1524.8198796687116</v>
      </c>
      <c r="CT3" s="97">
        <f>'Balance Resinas'!$C55</f>
        <v>1513.7983738735243</v>
      </c>
      <c r="CU3" s="97">
        <f>'Balance Resinas'!$C64</f>
        <v>1488.7116445424404</v>
      </c>
      <c r="CV3" s="97">
        <f>'Balance Resinas'!$C73</f>
        <v>1472.3492334302252</v>
      </c>
      <c r="CW3" s="97">
        <f>'Balance Resinas'!$C82</f>
        <v>1425.262730124437</v>
      </c>
      <c r="CX3" s="97">
        <f>'Balance Resinas'!$C91</f>
        <v>1382.0970958411001</v>
      </c>
      <c r="CY3" s="97">
        <f>'Balance Resinas'!$C100</f>
        <v>1321.4159298528577</v>
      </c>
      <c r="CZ3" s="97">
        <f>'Balance Resinas'!$C109</f>
        <v>1283.7639884963671</v>
      </c>
      <c r="DA3" s="97">
        <f>'Balance Resinas'!$C118</f>
        <v>1317.8329432350326</v>
      </c>
      <c r="DB3" s="306">
        <f>'Balance Resinas'!$C127</f>
        <v>1369.6512513903433</v>
      </c>
      <c r="DC3" s="306">
        <f>'Balance Resinas'!$C136</f>
        <v>1380.2020554261387</v>
      </c>
      <c r="DD3" s="306">
        <f>'Balance Resinas'!$C145</f>
        <v>1344.1450478003778</v>
      </c>
      <c r="DE3" s="306">
        <f>'Balance Resinas'!$C154</f>
        <v>1299.678992684866</v>
      </c>
      <c r="DF3" s="306">
        <f>'Balance Resinas'!$C163</f>
        <v>1279.5923084796357</v>
      </c>
      <c r="DG3" s="306">
        <f>+'Balance Resinas'!C172</f>
        <v>1257.4968458907499</v>
      </c>
    </row>
    <row r="4" spans="1:111" ht="14.5" hidden="1" customHeight="1" x14ac:dyDescent="0.35">
      <c r="C4" s="67" t="s">
        <v>36</v>
      </c>
      <c r="D4" s="1"/>
      <c r="E4" s="1"/>
      <c r="F4" s="1"/>
      <c r="G4" s="1"/>
      <c r="H4" s="1"/>
      <c r="I4" s="1"/>
      <c r="J4" s="1"/>
      <c r="K4" s="68">
        <v>8580</v>
      </c>
      <c r="L4" s="68">
        <v>8580</v>
      </c>
      <c r="M4" s="68">
        <v>8580</v>
      </c>
      <c r="N4" s="68">
        <v>8580</v>
      </c>
      <c r="O4" s="68">
        <v>8580</v>
      </c>
      <c r="P4" s="68">
        <v>8580</v>
      </c>
      <c r="Q4" s="68">
        <v>8580</v>
      </c>
      <c r="R4" s="68">
        <v>8580</v>
      </c>
      <c r="S4" s="68">
        <v>8580</v>
      </c>
      <c r="T4" s="68">
        <v>8580</v>
      </c>
      <c r="U4" s="68">
        <v>8580</v>
      </c>
      <c r="V4" s="68">
        <v>8580</v>
      </c>
      <c r="W4" s="68">
        <v>8580</v>
      </c>
      <c r="X4" s="68">
        <v>8580</v>
      </c>
      <c r="Y4" s="68">
        <v>8580</v>
      </c>
      <c r="Z4" s="68">
        <v>8580</v>
      </c>
      <c r="AA4" s="68">
        <v>8580</v>
      </c>
      <c r="AB4" s="68">
        <v>8580</v>
      </c>
      <c r="AC4" s="68">
        <v>8580</v>
      </c>
      <c r="AD4" s="68">
        <v>8580</v>
      </c>
      <c r="AE4" s="68">
        <v>8580</v>
      </c>
      <c r="AF4" s="68">
        <v>8580</v>
      </c>
      <c r="AG4" s="68">
        <v>8580</v>
      </c>
      <c r="AH4" s="68">
        <v>8580</v>
      </c>
      <c r="AI4" s="68">
        <v>8580</v>
      </c>
      <c r="AJ4" s="68">
        <v>8580</v>
      </c>
      <c r="AK4" s="68">
        <v>8580</v>
      </c>
      <c r="AL4" s="68">
        <v>8580</v>
      </c>
      <c r="AM4" s="68">
        <v>8580</v>
      </c>
      <c r="AN4" s="68">
        <v>8580</v>
      </c>
      <c r="AO4" s="68">
        <v>8580</v>
      </c>
      <c r="AP4" s="68">
        <v>8580</v>
      </c>
      <c r="AQ4" s="68">
        <v>8580</v>
      </c>
      <c r="AR4" s="68">
        <v>8580</v>
      </c>
      <c r="AS4" s="68">
        <v>8580</v>
      </c>
      <c r="AT4" s="68">
        <v>8580</v>
      </c>
      <c r="AU4" s="68">
        <v>8580</v>
      </c>
      <c r="AV4" s="68">
        <v>8580</v>
      </c>
      <c r="AW4" s="68">
        <v>8580</v>
      </c>
      <c r="AX4" s="68">
        <v>8580</v>
      </c>
      <c r="AY4" s="68">
        <v>8580</v>
      </c>
      <c r="AZ4" s="68">
        <v>8580</v>
      </c>
      <c r="BA4" s="68">
        <v>8580</v>
      </c>
      <c r="BB4" s="68">
        <v>8580</v>
      </c>
      <c r="BC4" s="68">
        <v>8580</v>
      </c>
      <c r="BD4" s="68">
        <v>8580</v>
      </c>
      <c r="BE4" s="68">
        <v>8580</v>
      </c>
      <c r="BF4" s="68">
        <v>8580</v>
      </c>
      <c r="BG4" s="68">
        <v>8580</v>
      </c>
      <c r="BH4" s="68">
        <v>8580</v>
      </c>
      <c r="BI4" s="68">
        <v>8580</v>
      </c>
      <c r="BJ4" s="68">
        <v>8580</v>
      </c>
      <c r="BK4" s="68">
        <v>8580</v>
      </c>
      <c r="BL4" s="68">
        <v>8580</v>
      </c>
      <c r="BM4" s="68">
        <v>8580</v>
      </c>
      <c r="BN4" s="68">
        <v>8580</v>
      </c>
      <c r="BO4" s="68">
        <v>8580</v>
      </c>
      <c r="BP4" s="68">
        <v>8580</v>
      </c>
      <c r="BQ4" s="68">
        <v>8580</v>
      </c>
      <c r="BR4" s="68">
        <v>8580</v>
      </c>
      <c r="BT4" s="68">
        <v>8580</v>
      </c>
      <c r="BU4" s="69">
        <v>8580</v>
      </c>
      <c r="BV4" s="68">
        <v>8580</v>
      </c>
      <c r="BW4" s="68">
        <v>8580</v>
      </c>
      <c r="BX4" s="68">
        <v>8580</v>
      </c>
      <c r="BY4" s="68">
        <v>8580</v>
      </c>
      <c r="BZ4" s="68">
        <v>8580</v>
      </c>
      <c r="CA4" s="68">
        <v>8580</v>
      </c>
      <c r="CB4" s="68">
        <v>8580</v>
      </c>
      <c r="CC4" s="68">
        <v>8580</v>
      </c>
      <c r="CD4" s="68">
        <v>8580</v>
      </c>
      <c r="CE4" s="68">
        <v>8580</v>
      </c>
      <c r="CF4" s="68">
        <v>8580</v>
      </c>
      <c r="CG4" s="68">
        <v>8580</v>
      </c>
      <c r="CH4" s="68">
        <v>8580</v>
      </c>
      <c r="CI4" s="68">
        <v>8580</v>
      </c>
      <c r="CJ4" s="68">
        <v>8580</v>
      </c>
      <c r="CK4" s="68">
        <v>8580</v>
      </c>
      <c r="CL4" s="68">
        <v>8580</v>
      </c>
      <c r="CM4" s="68">
        <v>8580</v>
      </c>
      <c r="CN4" s="106"/>
      <c r="CO4" s="68">
        <v>8580</v>
      </c>
      <c r="CP4" s="68">
        <v>8580</v>
      </c>
      <c r="CQ4" s="68">
        <v>8580</v>
      </c>
      <c r="CR4" s="68">
        <v>8580</v>
      </c>
      <c r="CS4" s="68">
        <v>8580</v>
      </c>
      <c r="CT4" s="68">
        <v>8580</v>
      </c>
      <c r="CU4" s="68">
        <v>8580</v>
      </c>
      <c r="CV4" s="68">
        <v>8580</v>
      </c>
      <c r="CW4" s="68">
        <v>8580</v>
      </c>
      <c r="CX4" s="68">
        <v>8580</v>
      </c>
      <c r="CY4" s="68">
        <v>8580</v>
      </c>
      <c r="CZ4" s="68">
        <v>8580</v>
      </c>
      <c r="DA4" s="68">
        <v>8580</v>
      </c>
      <c r="DB4" s="306">
        <v>8580</v>
      </c>
      <c r="DC4" s="306">
        <v>8580</v>
      </c>
      <c r="DD4" s="306">
        <v>8580</v>
      </c>
      <c r="DE4" s="306">
        <v>8580</v>
      </c>
      <c r="DF4" s="306">
        <v>8580</v>
      </c>
      <c r="DG4" s="306">
        <v>8580</v>
      </c>
    </row>
    <row r="5" spans="1:111" ht="14.25" hidden="1" customHeight="1" x14ac:dyDescent="0.35">
      <c r="C5" s="67" t="s">
        <v>37</v>
      </c>
      <c r="D5" s="1"/>
      <c r="E5" s="1"/>
      <c r="F5" s="1"/>
      <c r="G5" s="1"/>
      <c r="H5" s="1"/>
      <c r="I5" s="1"/>
      <c r="J5" s="1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>
        <v>995.71874008197256</v>
      </c>
      <c r="AQ5" s="68">
        <v>973.63903616438358</v>
      </c>
      <c r="AR5" s="68">
        <v>960.60359397260265</v>
      </c>
      <c r="AS5" s="68">
        <v>962.73460539178086</v>
      </c>
      <c r="AT5" s="68">
        <v>959.37866767123285</v>
      </c>
      <c r="AU5" s="68">
        <v>966.78501763698625</v>
      </c>
      <c r="AV5" s="68">
        <v>1040.4355087123288</v>
      </c>
      <c r="AW5" s="68">
        <v>1203.6980058326574</v>
      </c>
      <c r="AX5" s="68" t="e">
        <v>#N/A</v>
      </c>
      <c r="AY5" s="68" t="e">
        <v>#N/A</v>
      </c>
      <c r="AZ5" s="68" t="e">
        <v>#N/A</v>
      </c>
      <c r="BA5" s="68" t="e">
        <v>#N/A</v>
      </c>
      <c r="BB5" s="68" t="e">
        <v>#N/A</v>
      </c>
      <c r="BC5" s="68">
        <v>1609.3255970958905</v>
      </c>
      <c r="BD5" s="68">
        <v>1616.9695981643836</v>
      </c>
      <c r="BE5" s="68">
        <v>1601.8851407671232</v>
      </c>
      <c r="BF5" s="68">
        <v>1782.8556116547948</v>
      </c>
      <c r="BG5" s="68">
        <v>1797.1347176107397</v>
      </c>
      <c r="BH5" s="68">
        <v>1686.2221205753424</v>
      </c>
      <c r="BI5" s="68">
        <v>1850.3826009452055</v>
      </c>
      <c r="BJ5" s="68">
        <v>1923.1930806575342</v>
      </c>
      <c r="BK5" s="68">
        <v>2015.5118090958904</v>
      </c>
      <c r="BL5" s="68">
        <v>2183.0560175753426</v>
      </c>
      <c r="BM5" s="68">
        <v>2234.073111136986</v>
      </c>
      <c r="BN5" s="68">
        <v>2203.5199970958902</v>
      </c>
      <c r="BO5" s="68">
        <v>1984.3250231945206</v>
      </c>
      <c r="BP5" s="68">
        <v>1795.6777900958903</v>
      </c>
      <c r="BQ5" s="68">
        <v>1740.1045214246576</v>
      </c>
      <c r="BR5" s="68">
        <v>1665.6628363486302</v>
      </c>
      <c r="BT5" s="68">
        <v>1575.1838290712328</v>
      </c>
      <c r="BU5" s="68">
        <v>1560.9026202191781</v>
      </c>
      <c r="BV5" s="68">
        <v>1537.7580123620821</v>
      </c>
      <c r="BW5" s="68">
        <v>1565.7956067726027</v>
      </c>
      <c r="BX5" s="68">
        <v>1571.6676126849316</v>
      </c>
      <c r="BY5" s="68">
        <v>1629.1602605616438</v>
      </c>
      <c r="BZ5" s="68">
        <v>1537.2781578352876</v>
      </c>
      <c r="CA5" s="68">
        <v>1472.1769753424658</v>
      </c>
      <c r="CB5" s="68">
        <v>1290.7690102739725</v>
      </c>
      <c r="CC5" s="68">
        <v>1344.1493890410959</v>
      </c>
      <c r="CD5" s="68">
        <v>1355.793093077911</v>
      </c>
      <c r="CE5" s="97">
        <v>1328.055958770394</v>
      </c>
      <c r="CF5" s="97">
        <v>0</v>
      </c>
      <c r="CG5" s="97">
        <v>0</v>
      </c>
      <c r="CH5" s="97">
        <v>0</v>
      </c>
      <c r="CI5" s="97" t="e">
        <v>#N/A</v>
      </c>
      <c r="CJ5" s="97" t="e">
        <v>#N/A</v>
      </c>
      <c r="CK5" s="97" t="e">
        <v>#N/A</v>
      </c>
      <c r="CL5" s="97" t="e">
        <v>#N/A</v>
      </c>
      <c r="CM5" s="97" t="e">
        <v>#N/A</v>
      </c>
      <c r="CN5" s="105"/>
      <c r="CO5" s="97" t="e">
        <v>#N/A</v>
      </c>
      <c r="CP5" s="97" t="e">
        <v>#N/A</v>
      </c>
      <c r="CQ5" s="97" t="e">
        <v>#N/A</v>
      </c>
      <c r="CR5" s="97" t="e">
        <v>#N/A</v>
      </c>
      <c r="CS5" s="97" t="e">
        <v>#N/A</v>
      </c>
      <c r="CT5" s="97" t="e">
        <v>#N/A</v>
      </c>
      <c r="CU5" s="97" t="e">
        <v>#N/A</v>
      </c>
      <c r="CV5" s="97" t="e">
        <v>#N/A</v>
      </c>
      <c r="CW5" s="97" t="e">
        <v>#N/A</v>
      </c>
      <c r="CX5" s="97" t="e">
        <v>#N/A</v>
      </c>
      <c r="CY5" s="97" t="e">
        <v>#N/A</v>
      </c>
      <c r="CZ5" s="97" t="e">
        <v>#N/A</v>
      </c>
      <c r="DA5" s="97" t="e">
        <v>#N/A</v>
      </c>
      <c r="DB5" s="306" t="e">
        <v>#N/A</v>
      </c>
      <c r="DC5" s="306" t="e">
        <v>#N/A</v>
      </c>
      <c r="DD5" s="306" t="e">
        <v>#N/A</v>
      </c>
      <c r="DE5" s="306" t="e">
        <v>#N/A</v>
      </c>
      <c r="DF5" s="306" t="e">
        <v>#N/A</v>
      </c>
      <c r="DG5" s="306" t="e">
        <v>#N/A</v>
      </c>
    </row>
    <row r="6" spans="1:111" ht="14.25" customHeight="1" x14ac:dyDescent="0.35">
      <c r="C6" s="67" t="s">
        <v>38</v>
      </c>
      <c r="D6" s="1"/>
      <c r="E6" s="1"/>
      <c r="F6" s="1"/>
      <c r="G6" s="1"/>
      <c r="H6" s="1"/>
      <c r="I6" s="1"/>
      <c r="J6" s="1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97"/>
      <c r="CF6" s="97"/>
      <c r="CG6" s="97">
        <v>2450</v>
      </c>
      <c r="CH6" s="97">
        <v>2450</v>
      </c>
      <c r="CI6" s="97">
        <v>2450</v>
      </c>
      <c r="CJ6" s="97">
        <v>2450</v>
      </c>
      <c r="CK6" s="97">
        <v>2450</v>
      </c>
      <c r="CL6" s="97">
        <v>2450</v>
      </c>
      <c r="CM6" s="97">
        <v>2450</v>
      </c>
      <c r="CN6" s="105"/>
      <c r="CO6" s="97">
        <v>1801</v>
      </c>
      <c r="CP6" s="97">
        <f t="shared" ref="CP6:CX6" si="0">CP3</f>
        <v>1166.599653918749</v>
      </c>
      <c r="CQ6" s="97">
        <f t="shared" si="0"/>
        <v>1424.3202825326939</v>
      </c>
      <c r="CR6" s="97">
        <f t="shared" si="0"/>
        <v>1504.4159427398656</v>
      </c>
      <c r="CS6" s="97">
        <f t="shared" si="0"/>
        <v>1524.8198796687116</v>
      </c>
      <c r="CT6" s="97">
        <f t="shared" si="0"/>
        <v>1513.7983738735243</v>
      </c>
      <c r="CU6" s="97">
        <f t="shared" si="0"/>
        <v>1488.7116445424404</v>
      </c>
      <c r="CV6" s="97">
        <f t="shared" si="0"/>
        <v>1472.3492334302252</v>
      </c>
      <c r="CW6" s="97">
        <f t="shared" si="0"/>
        <v>1425.262730124437</v>
      </c>
      <c r="CX6" s="97">
        <f t="shared" si="0"/>
        <v>1382.0970958411001</v>
      </c>
      <c r="CY6" s="97">
        <f t="shared" ref="CY6:CZ6" si="1">CY3</f>
        <v>1321.4159298528577</v>
      </c>
      <c r="CZ6" s="97">
        <f t="shared" si="1"/>
        <v>1283.7639884963671</v>
      </c>
      <c r="DA6" s="97">
        <f t="shared" ref="DA6:DB6" si="2">DA3</f>
        <v>1317.8329432350326</v>
      </c>
      <c r="DB6" s="306">
        <f t="shared" si="2"/>
        <v>1369.6512513903433</v>
      </c>
      <c r="DC6" s="306">
        <f t="shared" ref="DC6:DD6" si="3">DC3</f>
        <v>1380.2020554261387</v>
      </c>
      <c r="DD6" s="306">
        <f t="shared" si="3"/>
        <v>1344.1450478003778</v>
      </c>
      <c r="DE6" s="306">
        <f t="shared" ref="DE6:DF6" si="4">DE3</f>
        <v>1299.678992684866</v>
      </c>
      <c r="DF6" s="306">
        <f t="shared" si="4"/>
        <v>1279.5923084796357</v>
      </c>
      <c r="DG6" s="306">
        <f t="shared" ref="DG6" si="5">DG3</f>
        <v>1257.4968458907499</v>
      </c>
    </row>
    <row r="7" spans="1:111" ht="14.25" customHeight="1" x14ac:dyDescent="0.35">
      <c r="C7" s="67" t="s">
        <v>39</v>
      </c>
      <c r="D7" s="1"/>
      <c r="E7" s="1"/>
      <c r="F7" s="1"/>
      <c r="G7" s="1"/>
      <c r="H7" s="1"/>
      <c r="I7" s="100"/>
      <c r="J7" s="1"/>
      <c r="K7" s="70">
        <v>5.0000000000000001E-3</v>
      </c>
      <c r="L7" s="70">
        <v>5.0000000000000001E-3</v>
      </c>
      <c r="M7" s="70">
        <v>5.0000000000000001E-3</v>
      </c>
      <c r="N7" s="70">
        <v>5.0000000000000001E-3</v>
      </c>
      <c r="O7" s="70">
        <v>5.0000000000000001E-3</v>
      </c>
      <c r="P7" s="70">
        <v>5.0000000000000001E-3</v>
      </c>
      <c r="Q7" s="70">
        <v>5.0000000000000001E-3</v>
      </c>
      <c r="R7" s="70">
        <v>5.0000000000000001E-3</v>
      </c>
      <c r="S7" s="70">
        <v>5.0000000000000001E-3</v>
      </c>
      <c r="T7" s="70">
        <v>5.0000000000000001E-3</v>
      </c>
      <c r="U7" s="70">
        <v>5.0000000000000001E-3</v>
      </c>
      <c r="V7" s="70">
        <v>5.0000000000000001E-3</v>
      </c>
      <c r="W7" s="70">
        <v>5.0000000000000001E-3</v>
      </c>
      <c r="X7" s="70">
        <v>5.0000000000000001E-3</v>
      </c>
      <c r="Y7" s="70">
        <v>5.0000000000000001E-3</v>
      </c>
      <c r="Z7" s="70">
        <v>5.0000000000000001E-3</v>
      </c>
      <c r="AA7" s="70">
        <v>5.0000000000000001E-3</v>
      </c>
      <c r="AB7" s="70">
        <v>5.0000000000000001E-3</v>
      </c>
      <c r="AC7" s="70">
        <f>+AB7</f>
        <v>5.0000000000000001E-3</v>
      </c>
      <c r="AD7" s="70">
        <v>5.0000000000000001E-3</v>
      </c>
      <c r="AE7" s="70">
        <v>5.0000000000000001E-3</v>
      </c>
      <c r="AF7" s="70">
        <v>5.0000000000000001E-3</v>
      </c>
      <c r="AG7" s="70">
        <v>5.0000000000000001E-3</v>
      </c>
      <c r="AH7" s="70">
        <v>5.0000000000000001E-3</v>
      </c>
      <c r="AI7" s="70">
        <v>5.0000000000000001E-3</v>
      </c>
      <c r="AJ7" s="70">
        <v>5.0000000000000001E-3</v>
      </c>
      <c r="AK7" s="70">
        <v>5.0000000000000001E-3</v>
      </c>
      <c r="AL7" s="70">
        <v>5.0000000000000001E-3</v>
      </c>
      <c r="AM7" s="70">
        <v>5.0000000000000001E-3</v>
      </c>
      <c r="AN7" s="70">
        <v>5.0000000000000001E-3</v>
      </c>
      <c r="AO7" s="70">
        <v>5.0000000000000001E-3</v>
      </c>
      <c r="AP7" s="70">
        <v>5.0000000000000001E-3</v>
      </c>
      <c r="AQ7" s="70">
        <v>5.0000000000000001E-3</v>
      </c>
      <c r="AR7" s="70">
        <v>5.0000000000000001E-3</v>
      </c>
      <c r="AS7" s="70">
        <v>5.0000000000000001E-3</v>
      </c>
      <c r="AT7" s="70">
        <v>5.0000000000000001E-3</v>
      </c>
      <c r="AU7" s="70">
        <v>5.0000000000000001E-3</v>
      </c>
      <c r="AV7" s="70">
        <v>5.0000000000000001E-3</v>
      </c>
      <c r="AW7" s="70">
        <v>5.0000000000000001E-3</v>
      </c>
      <c r="AX7" s="70">
        <v>5.0000000000000001E-3</v>
      </c>
      <c r="AY7" s="70">
        <v>5.0000000000000001E-3</v>
      </c>
      <c r="AZ7" s="70">
        <v>5.0000000000000001E-3</v>
      </c>
      <c r="BA7" s="70">
        <v>5.0000000000000001E-3</v>
      </c>
      <c r="BB7" s="70">
        <v>5.0000000000000001E-3</v>
      </c>
      <c r="BC7" s="70">
        <v>5.0000000000000001E-3</v>
      </c>
      <c r="BD7" s="70">
        <v>5.0000000000000001E-3</v>
      </c>
      <c r="BE7" s="70">
        <v>5.0000000000000001E-3</v>
      </c>
      <c r="BF7" s="70">
        <v>5.0000000000000001E-3</v>
      </c>
      <c r="BG7" s="70">
        <v>5.0000000000000001E-3</v>
      </c>
      <c r="BH7" s="70">
        <v>5.0000000000000001E-3</v>
      </c>
      <c r="BI7" s="70">
        <v>5.0000000000000001E-3</v>
      </c>
      <c r="BJ7" s="70">
        <v>5.0000000000000001E-3</v>
      </c>
      <c r="BK7" s="70">
        <v>5.0000000000000001E-3</v>
      </c>
      <c r="BL7" s="70">
        <v>5.0000000000000001E-3</v>
      </c>
      <c r="BM7" s="70">
        <v>5.0000000000000001E-3</v>
      </c>
      <c r="BN7" s="70">
        <v>5.0000000000000001E-3</v>
      </c>
      <c r="BO7" s="70">
        <v>5.0000000000000001E-3</v>
      </c>
      <c r="BP7" s="70">
        <v>5.0000000000000001E-3</v>
      </c>
      <c r="BQ7" s="70">
        <v>5.0000000000000001E-3</v>
      </c>
      <c r="BR7" s="70">
        <v>5.0000000000000001E-3</v>
      </c>
      <c r="BT7" s="70">
        <v>5.0000000000000001E-3</v>
      </c>
      <c r="BU7" s="71">
        <v>5.0000000000000001E-3</v>
      </c>
      <c r="BV7" s="70">
        <v>5.0000000000000001E-3</v>
      </c>
      <c r="BW7" s="70">
        <v>5.0000000000000001E-3</v>
      </c>
      <c r="BX7" s="70">
        <v>5.0000000000000001E-3</v>
      </c>
      <c r="BY7" s="70">
        <v>5.0000000000000001E-3</v>
      </c>
      <c r="BZ7" s="70">
        <v>5.0000000000000001E-3</v>
      </c>
      <c r="CA7" s="70">
        <v>5.0000000000000001E-3</v>
      </c>
      <c r="CB7" s="70">
        <v>5.0000000000000001E-3</v>
      </c>
      <c r="CC7" s="70">
        <v>5.0000000000000001E-3</v>
      </c>
      <c r="CD7" s="70">
        <v>5.0000000000000001E-3</v>
      </c>
      <c r="CE7" s="70">
        <v>5.0000000000000001E-3</v>
      </c>
      <c r="CF7" s="70">
        <v>5.0000000000000001E-3</v>
      </c>
      <c r="CG7" s="70">
        <v>5.0000000000000001E-3</v>
      </c>
      <c r="CH7" s="70">
        <v>5.0000000000000001E-3</v>
      </c>
      <c r="CI7" s="70">
        <v>5.0000000000000001E-3</v>
      </c>
      <c r="CJ7" s="70">
        <v>5.0000000000000001E-3</v>
      </c>
      <c r="CK7" s="70">
        <v>5.0000000000000001E-3</v>
      </c>
      <c r="CL7" s="70">
        <v>5.0000000000000001E-3</v>
      </c>
      <c r="CM7" s="70">
        <v>5.0000000000000001E-3</v>
      </c>
      <c r="CN7" s="109"/>
      <c r="CO7" s="70">
        <v>5.0000000000000001E-3</v>
      </c>
      <c r="CP7" s="70">
        <v>5.0000000000000001E-3</v>
      </c>
      <c r="CQ7" s="70">
        <v>5.0000000000000001E-3</v>
      </c>
      <c r="CR7" s="70">
        <v>5.0000000000000001E-3</v>
      </c>
      <c r="CS7" s="70">
        <v>5.0000000000000001E-3</v>
      </c>
      <c r="CT7" s="70">
        <v>5.0000000000000001E-3</v>
      </c>
      <c r="CU7" s="70">
        <v>5.0000000000000001E-3</v>
      </c>
      <c r="CV7" s="70">
        <v>5.0000000000000001E-3</v>
      </c>
      <c r="CW7" s="70">
        <v>5.0000000000000001E-3</v>
      </c>
      <c r="CX7" s="70">
        <v>5.0000000000000001E-3</v>
      </c>
      <c r="CY7" s="70">
        <v>5.0000000000000001E-3</v>
      </c>
      <c r="CZ7" s="70">
        <v>5.0000000000000001E-3</v>
      </c>
      <c r="DA7" s="70">
        <v>5.0000000000000001E-3</v>
      </c>
      <c r="DB7" s="70">
        <v>5.0000000000000001E-3</v>
      </c>
      <c r="DC7" s="70">
        <v>5.0000000000000001E-3</v>
      </c>
      <c r="DD7" s="70">
        <v>5.0000000000000001E-3</v>
      </c>
      <c r="DE7" s="70">
        <v>5.0000000000000001E-3</v>
      </c>
      <c r="DF7" s="70">
        <v>5.0000000000000001E-3</v>
      </c>
      <c r="DG7" s="70">
        <v>5.0000000000000001E-3</v>
      </c>
    </row>
    <row r="8" spans="1:111" ht="14.25" customHeight="1" x14ac:dyDescent="0.35">
      <c r="C8" s="67" t="s">
        <v>40</v>
      </c>
      <c r="D8" s="1"/>
      <c r="E8" s="1"/>
      <c r="F8" s="1"/>
      <c r="G8" s="1"/>
      <c r="H8" s="1"/>
      <c r="I8" s="1"/>
      <c r="J8" s="1"/>
      <c r="K8" s="70">
        <v>5.2705000000000002E-2</v>
      </c>
      <c r="L8" s="70">
        <v>5.2705000000000002E-2</v>
      </c>
      <c r="M8" s="70">
        <v>5.2705000000000002E-2</v>
      </c>
      <c r="N8" s="70">
        <v>5.2705000000000002E-2</v>
      </c>
      <c r="O8" s="70">
        <v>5.2705000000000002E-2</v>
      </c>
      <c r="P8" s="70">
        <v>5.2705000000000002E-2</v>
      </c>
      <c r="Q8" s="70">
        <v>5.2705000000000002E-2</v>
      </c>
      <c r="R8" s="70">
        <v>5.2705000000000002E-2</v>
      </c>
      <c r="S8" s="70">
        <v>5.2705000000000002E-2</v>
      </c>
      <c r="T8" s="70">
        <v>5.2705000000000002E-2</v>
      </c>
      <c r="U8" s="70">
        <v>5.2705000000000002E-2</v>
      </c>
      <c r="V8" s="70">
        <v>5.2705000000000002E-2</v>
      </c>
      <c r="W8" s="70">
        <v>5.2705000000000002E-2</v>
      </c>
      <c r="X8" s="70">
        <v>5.2705000000000002E-2</v>
      </c>
      <c r="Y8" s="70">
        <v>5.2705000000000002E-2</v>
      </c>
      <c r="Z8" s="70">
        <v>5.2705000000000002E-2</v>
      </c>
      <c r="AA8" s="70">
        <v>5.2705000000000002E-2</v>
      </c>
      <c r="AB8" s="70">
        <v>5.2705000000000002E-2</v>
      </c>
      <c r="AC8" s="70">
        <f>+AB8</f>
        <v>5.2705000000000002E-2</v>
      </c>
      <c r="AD8" s="70">
        <v>5.2705000000000002E-2</v>
      </c>
      <c r="AE8" s="70">
        <v>5.2705000000000002E-2</v>
      </c>
      <c r="AF8" s="70">
        <v>5.2705000000000002E-2</v>
      </c>
      <c r="AG8" s="70">
        <v>5.2705000000000002E-2</v>
      </c>
      <c r="AH8" s="70">
        <v>5.2705000000000002E-2</v>
      </c>
      <c r="AI8" s="70">
        <v>5.2705000000000002E-2</v>
      </c>
      <c r="AJ8" s="70">
        <v>5.2705000000000002E-2</v>
      </c>
      <c r="AK8" s="70">
        <v>5.2705000000000002E-2</v>
      </c>
      <c r="AL8" s="70">
        <v>5.2705000000000002E-2</v>
      </c>
      <c r="AM8" s="70">
        <v>5.2705000000000002E-2</v>
      </c>
      <c r="AN8" s="70">
        <v>5.2705000000000002E-2</v>
      </c>
      <c r="AO8" s="70">
        <v>5.2705000000000002E-2</v>
      </c>
      <c r="AP8" s="70">
        <v>5.2705000000000002E-2</v>
      </c>
      <c r="AQ8" s="70">
        <v>5.2705000000000002E-2</v>
      </c>
      <c r="AR8" s="70">
        <v>5.2705000000000002E-2</v>
      </c>
      <c r="AS8" s="70">
        <v>5.2705000000000002E-2</v>
      </c>
      <c r="AT8" s="70">
        <v>5.2705000000000002E-2</v>
      </c>
      <c r="AU8" s="70">
        <v>5.2705000000000002E-2</v>
      </c>
      <c r="AV8" s="70">
        <v>5.2705000000000002E-2</v>
      </c>
      <c r="AW8" s="70">
        <v>5.2705000000000002E-2</v>
      </c>
      <c r="AX8" s="70">
        <v>5.2705000000000002E-2</v>
      </c>
      <c r="AY8" s="70">
        <v>5.2705000000000002E-2</v>
      </c>
      <c r="AZ8" s="70">
        <v>5.2705000000000002E-2</v>
      </c>
      <c r="BA8" s="70">
        <v>5.2705000000000002E-2</v>
      </c>
      <c r="BB8" s="70">
        <v>5.2705000000000002E-2</v>
      </c>
      <c r="BC8" s="70">
        <v>5.2705000000000002E-2</v>
      </c>
      <c r="BD8" s="70">
        <v>5.2705000000000002E-2</v>
      </c>
      <c r="BE8" s="70">
        <v>5.2705000000000002E-2</v>
      </c>
      <c r="BF8" s="70">
        <v>5.2705000000000002E-2</v>
      </c>
      <c r="BG8" s="70">
        <v>5.2705000000000002E-2</v>
      </c>
      <c r="BH8" s="70">
        <v>5.2705000000000002E-2</v>
      </c>
      <c r="BI8" s="70">
        <v>5.2705000000000002E-2</v>
      </c>
      <c r="BJ8" s="70">
        <v>5.2705000000000002E-2</v>
      </c>
      <c r="BK8" s="70">
        <v>5.2705000000000002E-2</v>
      </c>
      <c r="BL8" s="70">
        <v>5.2705000000000002E-2</v>
      </c>
      <c r="BM8" s="70">
        <v>5.2705000000000002E-2</v>
      </c>
      <c r="BN8" s="70">
        <v>5.2705000000000002E-2</v>
      </c>
      <c r="BO8" s="70">
        <v>5.2705000000000002E-2</v>
      </c>
      <c r="BP8" s="70">
        <v>5.2705000000000002E-2</v>
      </c>
      <c r="BQ8" s="70">
        <v>5.2705000000000002E-2</v>
      </c>
      <c r="BR8" s="70">
        <v>5.2705000000000002E-2</v>
      </c>
      <c r="BT8" s="70">
        <v>5.2705000000000002E-2</v>
      </c>
      <c r="BU8" s="71">
        <v>5.2705000000000002E-2</v>
      </c>
      <c r="BV8" s="70">
        <v>5.2705000000000002E-2</v>
      </c>
      <c r="BW8" s="70">
        <v>5.2705000000000002E-2</v>
      </c>
      <c r="BX8" s="70">
        <v>5.2705000000000002E-2</v>
      </c>
      <c r="BY8" s="70">
        <v>5.2705000000000002E-2</v>
      </c>
      <c r="BZ8" s="70">
        <v>5.2705000000000002E-2</v>
      </c>
      <c r="CA8" s="70">
        <v>5.2705000000000002E-2</v>
      </c>
      <c r="CB8" s="70">
        <v>5.2705000000000002E-2</v>
      </c>
      <c r="CC8" s="70">
        <v>5.2705000000000002E-2</v>
      </c>
      <c r="CD8" s="70">
        <v>5.2705000000000002E-2</v>
      </c>
      <c r="CE8" s="70">
        <v>5.2705000000000002E-2</v>
      </c>
      <c r="CF8" s="70">
        <v>5.2705000000000002E-2</v>
      </c>
      <c r="CG8" s="70">
        <v>5.2705000000000002E-2</v>
      </c>
      <c r="CH8" s="70">
        <v>5.2705000000000002E-2</v>
      </c>
      <c r="CI8" s="70">
        <v>5.2705000000000002E-2</v>
      </c>
      <c r="CJ8" s="70">
        <v>5.2705000000000002E-2</v>
      </c>
      <c r="CK8" s="70">
        <v>5.2705000000000002E-2</v>
      </c>
      <c r="CL8" s="70">
        <v>5.2705000000000002E-2</v>
      </c>
      <c r="CM8" s="70">
        <v>5.2705000000000002E-2</v>
      </c>
      <c r="CN8" s="109"/>
      <c r="CO8" s="70">
        <v>5.2705000000000002E-2</v>
      </c>
      <c r="CP8" s="70">
        <v>5.2705000000000002E-2</v>
      </c>
      <c r="CQ8" s="70">
        <v>5.2705000000000002E-2</v>
      </c>
      <c r="CR8" s="70">
        <v>5.2499999999999998E-2</v>
      </c>
      <c r="CS8" s="70">
        <v>5.2499999999999998E-2</v>
      </c>
      <c r="CT8" s="70">
        <v>5.2499999999999998E-2</v>
      </c>
      <c r="CU8" s="70">
        <v>5.2499999999999998E-2</v>
      </c>
      <c r="CV8" s="70">
        <v>5.2499999999999998E-2</v>
      </c>
      <c r="CW8" s="70">
        <v>5.2499999999999998E-2</v>
      </c>
      <c r="CX8" s="70">
        <v>5.2499999999999998E-2</v>
      </c>
      <c r="CY8" s="70">
        <v>5.2499999999999998E-2</v>
      </c>
      <c r="CZ8" s="70">
        <v>5.2499999999999998E-2</v>
      </c>
      <c r="DA8" s="70">
        <v>5.2499999999999998E-2</v>
      </c>
      <c r="DB8" s="70">
        <v>5.2499999999999998E-2</v>
      </c>
      <c r="DC8" s="70">
        <v>5.2499999999999998E-2</v>
      </c>
      <c r="DD8" s="70">
        <v>5.2499999999999998E-2</v>
      </c>
      <c r="DE8" s="70">
        <v>5.2499999999999998E-2</v>
      </c>
      <c r="DF8" s="70">
        <v>5.2499999999999998E-2</v>
      </c>
      <c r="DG8" s="70">
        <v>5.2499999999999998E-2</v>
      </c>
    </row>
    <row r="9" spans="1:111" ht="14.25" customHeight="1" x14ac:dyDescent="0.35">
      <c r="C9" s="313" t="s">
        <v>41</v>
      </c>
      <c r="D9" s="314"/>
      <c r="E9" s="72">
        <v>1.7999999999999999E-2</v>
      </c>
      <c r="F9" s="72">
        <v>1.6E-2</v>
      </c>
      <c r="G9" s="72">
        <v>1.6E-2</v>
      </c>
      <c r="H9" s="72">
        <v>1.4999999999999999E-2</v>
      </c>
      <c r="I9" s="72">
        <v>1.2999999999999999E-2</v>
      </c>
      <c r="J9" s="72">
        <v>3.3000000000000002E-2</v>
      </c>
      <c r="K9" s="70">
        <v>1.6E-2</v>
      </c>
      <c r="L9" s="70">
        <v>2.5999999999999999E-2</v>
      </c>
      <c r="M9" s="70">
        <v>2.1000000000000001E-2</v>
      </c>
      <c r="N9" s="70">
        <v>0.03</v>
      </c>
      <c r="O9" s="70">
        <v>2.3E-2</v>
      </c>
      <c r="P9" s="70">
        <v>3.6999999999999998E-2</v>
      </c>
      <c r="Q9" s="70">
        <v>2.7E-2</v>
      </c>
      <c r="R9" s="70">
        <v>3.6999999999999998E-2</v>
      </c>
      <c r="S9" s="70">
        <v>0.06</v>
      </c>
      <c r="T9" s="70">
        <v>5.2999999999999999E-2</v>
      </c>
      <c r="U9" s="70">
        <v>2.8000000000000001E-2</v>
      </c>
      <c r="V9" s="70">
        <v>2.4E-2</v>
      </c>
      <c r="W9" s="70">
        <v>3.7999999999999999E-2</v>
      </c>
      <c r="X9" s="70">
        <v>3.4000000000000002E-2</v>
      </c>
      <c r="Y9" s="70">
        <v>0.04</v>
      </c>
      <c r="Z9" s="70">
        <v>3.6999999999999998E-2</v>
      </c>
      <c r="AA9" s="70">
        <v>3.1E-2</v>
      </c>
      <c r="AB9" s="70">
        <v>2.8000000000000001E-2</v>
      </c>
      <c r="AC9" s="70">
        <v>2.8000000000000001E-2</v>
      </c>
      <c r="AD9" s="70">
        <v>2.1999999999999999E-2</v>
      </c>
      <c r="AE9" s="70">
        <v>3.4000000000000002E-2</v>
      </c>
      <c r="AF9" s="70">
        <v>0.05</v>
      </c>
      <c r="AG9" s="70">
        <v>2.8000000000000001E-2</v>
      </c>
      <c r="AH9" s="70">
        <v>0.04</v>
      </c>
      <c r="AI9" s="70">
        <v>3.5000000000000003E-2</v>
      </c>
      <c r="AJ9" s="70">
        <v>2.4E-2</v>
      </c>
      <c r="AK9" s="70">
        <v>1.7999999999999999E-2</v>
      </c>
      <c r="AL9" s="70">
        <v>2.7E-2</v>
      </c>
      <c r="AM9" s="70">
        <v>0.02</v>
      </c>
      <c r="AN9" s="70">
        <v>0.01</v>
      </c>
      <c r="AO9" s="70">
        <v>1.4E-2</v>
      </c>
      <c r="AP9" s="70">
        <v>1.6E-2</v>
      </c>
      <c r="AQ9" s="70">
        <v>2.4E-2</v>
      </c>
      <c r="AR9" s="70">
        <v>2.1999999999999999E-2</v>
      </c>
      <c r="AS9" s="70">
        <v>2.5000000000000001E-2</v>
      </c>
      <c r="AT9" s="70">
        <v>3.1E-2</v>
      </c>
      <c r="AU9" s="70">
        <v>3.7999999999999999E-2</v>
      </c>
      <c r="AV9" s="70">
        <v>3.7999999999999999E-2</v>
      </c>
      <c r="AW9" s="70">
        <v>2.9000000000000001E-2</v>
      </c>
      <c r="AX9" s="70">
        <v>3.9E-2</v>
      </c>
      <c r="AY9" s="70">
        <v>0.04</v>
      </c>
      <c r="AZ9" s="70">
        <v>3.5999999999999997E-2</v>
      </c>
      <c r="BA9" s="70">
        <v>3.2000000000000001E-2</v>
      </c>
      <c r="BB9" s="70">
        <v>2.9000000000000001E-2</v>
      </c>
      <c r="BC9" s="70">
        <v>2.9000000000000001E-2</v>
      </c>
      <c r="BD9" s="70">
        <v>3.4000000000000002E-2</v>
      </c>
      <c r="BE9" s="70">
        <v>3.6999999999999998E-2</v>
      </c>
      <c r="BF9" s="70">
        <v>2.5000000000000001E-2</v>
      </c>
      <c r="BG9" s="70">
        <v>3.7999999999999999E-2</v>
      </c>
      <c r="BH9" s="70">
        <v>0.04</v>
      </c>
      <c r="BI9" s="70">
        <v>4.1000000000000002E-2</v>
      </c>
      <c r="BJ9" s="70">
        <v>5.8999999999999997E-2</v>
      </c>
      <c r="BK9" s="70">
        <v>5.2999999999999999E-2</v>
      </c>
      <c r="BL9" s="70">
        <v>5.5E-2</v>
      </c>
      <c r="BM9" s="70">
        <v>5.0999999999999997E-2</v>
      </c>
      <c r="BN9" s="70">
        <v>7.6999999999999999E-2</v>
      </c>
      <c r="BO9" s="70">
        <v>6.2E-2</v>
      </c>
      <c r="BP9" s="70">
        <v>5.6000000000000001E-2</v>
      </c>
      <c r="BQ9" s="70">
        <v>7.0000000000000007E-2</v>
      </c>
      <c r="BR9" s="70">
        <v>5.8000000000000003E-2</v>
      </c>
      <c r="BT9" s="70">
        <v>5.8000000000000003E-2</v>
      </c>
      <c r="BU9" s="71">
        <v>7.2999999999999995E-2</v>
      </c>
      <c r="BV9" s="70">
        <v>0.06</v>
      </c>
      <c r="BW9" s="70">
        <v>7.0999999999999994E-2</v>
      </c>
      <c r="BX9" s="70">
        <v>7.8E-2</v>
      </c>
      <c r="BY9" s="70">
        <v>7.4999999999999997E-2</v>
      </c>
      <c r="BZ9" s="70">
        <v>7.0999999999999994E-2</v>
      </c>
      <c r="CA9" s="70">
        <v>7.2999999999999995E-2</v>
      </c>
      <c r="CB9" s="70">
        <v>0.108</v>
      </c>
      <c r="CC9" s="70">
        <v>0.12</v>
      </c>
      <c r="CD9" s="70">
        <v>9.4E-2</v>
      </c>
      <c r="CE9" s="70">
        <v>0.11899999999999999</v>
      </c>
      <c r="CF9" s="70">
        <v>0.21099999999999999</v>
      </c>
      <c r="CG9" s="70">
        <v>0.217</v>
      </c>
      <c r="CH9" s="70">
        <v>0.14099999999999999</v>
      </c>
      <c r="CI9" s="70">
        <v>0.13200000000000001</v>
      </c>
      <c r="CJ9" s="70">
        <v>9.8000000000000004E-2</v>
      </c>
      <c r="CK9" s="70">
        <v>4.3999999999999997E-2</v>
      </c>
      <c r="CL9" s="70">
        <v>4.8000000000000001E-2</v>
      </c>
      <c r="CM9" s="70">
        <v>5.0999999999999997E-2</v>
      </c>
      <c r="CN9" s="109"/>
      <c r="CO9" s="70">
        <v>4.2000000000000003E-2</v>
      </c>
      <c r="CP9" s="70">
        <v>0.04</v>
      </c>
      <c r="CQ9" s="70">
        <v>3.2000000000000001E-2</v>
      </c>
      <c r="CR9" s="70">
        <v>3.2000000000000001E-2</v>
      </c>
      <c r="CS9" s="70">
        <v>3.3000000000000002E-2</v>
      </c>
      <c r="CT9" s="70">
        <v>3.1E-2</v>
      </c>
      <c r="CU9" s="70">
        <v>2.1000000000000001E-2</v>
      </c>
      <c r="CV9" s="70">
        <v>3.2000000000000001E-2</v>
      </c>
      <c r="CW9" s="70">
        <v>2.3E-2</v>
      </c>
      <c r="CX9" s="70">
        <v>1.6E-2</v>
      </c>
      <c r="CY9" s="70">
        <v>2.1000000000000001E-2</v>
      </c>
      <c r="CZ9" s="70">
        <v>2.5000000000000001E-2</v>
      </c>
      <c r="DA9" s="70">
        <v>1.6E-2</v>
      </c>
      <c r="DB9" s="70">
        <v>2.1999999999999999E-2</v>
      </c>
      <c r="DC9" s="70">
        <v>2.1999999999999999E-2</v>
      </c>
      <c r="DD9" s="70">
        <v>2.4E-2</v>
      </c>
      <c r="DE9" s="70">
        <v>2.7E-2</v>
      </c>
      <c r="DF9" s="70">
        <v>3.1E-2</v>
      </c>
      <c r="DG9" s="70"/>
    </row>
    <row r="10" spans="1:111" ht="14.25" customHeight="1" x14ac:dyDescent="0.35">
      <c r="C10" s="67" t="s">
        <v>42</v>
      </c>
      <c r="D10" s="1"/>
      <c r="E10" s="72">
        <v>1.7999999999999999E-2</v>
      </c>
      <c r="F10" s="72">
        <v>1.7999999999999999E-2</v>
      </c>
      <c r="G10" s="72">
        <v>1.4E-2</v>
      </c>
      <c r="H10" s="72">
        <v>8.9999999999999993E-3</v>
      </c>
      <c r="I10" s="72">
        <v>8.0000000000000002E-3</v>
      </c>
      <c r="J10" s="72">
        <v>1.9E-2</v>
      </c>
      <c r="K10" s="70">
        <v>2.5000000000000001E-2</v>
      </c>
      <c r="L10" s="70">
        <v>0.04</v>
      </c>
      <c r="M10" s="70">
        <v>2.4E-2</v>
      </c>
      <c r="N10" s="70">
        <v>1.6E-2</v>
      </c>
      <c r="O10" s="70">
        <v>9.7000000000000003E-2</v>
      </c>
      <c r="P10" s="70">
        <v>7.8488053093953347E-2</v>
      </c>
      <c r="Q10" s="70">
        <v>4.1000000000000002E-2</v>
      </c>
      <c r="R10" s="70">
        <v>4.1000000000000002E-2</v>
      </c>
      <c r="S10" s="70">
        <v>0.18099999999999999</v>
      </c>
      <c r="T10" s="70">
        <v>2.8000000000000001E-2</v>
      </c>
      <c r="U10" s="70">
        <v>6.0000000000000001E-3</v>
      </c>
      <c r="V10" s="70">
        <v>3.2000000000000001E-2</v>
      </c>
      <c r="W10" s="70">
        <v>1.2999999999999999E-2</v>
      </c>
      <c r="X10" s="70">
        <v>2.7E-2</v>
      </c>
      <c r="Y10" s="70">
        <v>2.5999999999999999E-2</v>
      </c>
      <c r="Z10" s="70">
        <v>5.1999999999999998E-2</v>
      </c>
      <c r="AA10" s="70">
        <v>0.04</v>
      </c>
      <c r="AB10" s="70">
        <v>1.0999999999999999E-2</v>
      </c>
      <c r="AC10" s="70">
        <v>1.0999999999999999E-2</v>
      </c>
      <c r="AD10" s="70">
        <v>6.0000000000000001E-3</v>
      </c>
      <c r="AE10" s="70">
        <v>0.13500000000000001</v>
      </c>
      <c r="AF10" s="70">
        <v>6.7000000000000004E-2</v>
      </c>
      <c r="AG10" s="70">
        <v>4.4999999999999998E-2</v>
      </c>
      <c r="AH10" s="70">
        <v>4.2999999999999997E-2</v>
      </c>
      <c r="AI10" s="70">
        <v>1.9E-2</v>
      </c>
      <c r="AJ10" s="70">
        <v>1.7000000000000001E-2</v>
      </c>
      <c r="AK10" s="70">
        <v>1.0999999999999999E-2</v>
      </c>
      <c r="AL10" s="70">
        <v>1.4E-2</v>
      </c>
      <c r="AM10" s="70">
        <v>1.0999999999999999E-2</v>
      </c>
      <c r="AN10" s="70">
        <v>4.9000000000000002E-2</v>
      </c>
      <c r="AO10" s="70">
        <v>2.5000000000000001E-2</v>
      </c>
      <c r="AP10" s="70">
        <v>4.5999999999999999E-2</v>
      </c>
      <c r="AQ10" s="70">
        <v>0.03</v>
      </c>
      <c r="AR10" s="70">
        <v>0.04</v>
      </c>
      <c r="AS10" s="70">
        <v>4.9000000000000002E-2</v>
      </c>
      <c r="AT10" s="70">
        <v>7.0000000000000007E-2</v>
      </c>
      <c r="AU10" s="70">
        <v>3.4000000000000002E-2</v>
      </c>
      <c r="AV10" s="70">
        <v>6.8000000000000005E-2</v>
      </c>
      <c r="AW10" s="70">
        <v>6.5000000000000002E-2</v>
      </c>
      <c r="AX10" s="70">
        <v>5.6000000000000001E-2</v>
      </c>
      <c r="AY10" s="70">
        <v>6.7000000000000004E-2</v>
      </c>
      <c r="AZ10" s="70">
        <v>4.1000000000000002E-2</v>
      </c>
      <c r="BA10" s="70">
        <v>3.4000000000000002E-2</v>
      </c>
      <c r="BB10" s="70">
        <v>3.5999999999999997E-2</v>
      </c>
      <c r="BC10" s="70">
        <v>2.7E-2</v>
      </c>
      <c r="BD10" s="70">
        <v>1.7999999999999999E-2</v>
      </c>
      <c r="BE10" s="70">
        <v>2.9000000000000001E-2</v>
      </c>
      <c r="BF10" s="70">
        <v>4.3999999999999997E-2</v>
      </c>
      <c r="BG10" s="70">
        <v>2.7E-2</v>
      </c>
      <c r="BH10" s="70">
        <v>3.1E-2</v>
      </c>
      <c r="BI10" s="70">
        <v>0.04</v>
      </c>
      <c r="BJ10" s="70">
        <v>5.0999999999999997E-2</v>
      </c>
      <c r="BK10" s="70">
        <v>4.5999999999999999E-2</v>
      </c>
      <c r="BL10" s="70">
        <v>5.3999999999999999E-2</v>
      </c>
      <c r="BM10" s="70">
        <v>4.5999999999999999E-2</v>
      </c>
      <c r="BN10" s="70">
        <v>9.4E-2</v>
      </c>
      <c r="BO10" s="70">
        <v>6.4000000000000001E-2</v>
      </c>
      <c r="BP10" s="70">
        <v>6.0999999999999999E-2</v>
      </c>
      <c r="BQ10" s="70">
        <v>7.0000000000000007E-2</v>
      </c>
      <c r="BR10" s="70">
        <v>5.7000000000000002E-2</v>
      </c>
      <c r="BT10" s="70">
        <v>6.0999999999999999E-2</v>
      </c>
      <c r="BU10" s="71">
        <v>6.4000000000000001E-2</v>
      </c>
      <c r="BV10" s="70">
        <v>6.2E-2</v>
      </c>
      <c r="BW10" s="70">
        <v>6.3E-2</v>
      </c>
      <c r="BX10" s="70">
        <v>6.9000000000000006E-2</v>
      </c>
      <c r="BY10" s="70">
        <v>8.1000000000000003E-2</v>
      </c>
      <c r="BZ10" s="70">
        <v>7.0999999999999994E-2</v>
      </c>
      <c r="CA10" s="70">
        <v>7.1999999999999995E-2</v>
      </c>
      <c r="CB10" s="70">
        <v>0.17</v>
      </c>
      <c r="CC10" s="70">
        <v>0.1</v>
      </c>
      <c r="CD10" s="70">
        <v>8.5999999999999993E-2</v>
      </c>
      <c r="CE10" s="70">
        <v>0.111</v>
      </c>
      <c r="CF10" s="70">
        <v>0.68300000000000005</v>
      </c>
      <c r="CG10" s="70">
        <v>0.122</v>
      </c>
      <c r="CH10" s="70">
        <v>0.17699999999999999</v>
      </c>
      <c r="CI10" s="70">
        <v>3.2000000000000001E-2</v>
      </c>
      <c r="CJ10" s="70">
        <v>1.4999999999999999E-2</v>
      </c>
      <c r="CK10" s="70">
        <v>2E-3</v>
      </c>
      <c r="CL10" s="70">
        <v>-4.0000000000000001E-3</v>
      </c>
      <c r="CM10" s="70">
        <v>4.0000000000000001E-3</v>
      </c>
      <c r="CN10" s="109"/>
      <c r="CO10" s="70">
        <v>-1E-3</v>
      </c>
      <c r="CP10" s="70">
        <v>2.7E-2</v>
      </c>
      <c r="CQ10" s="70">
        <v>0.02</v>
      </c>
      <c r="CR10" s="70">
        <v>0.01</v>
      </c>
      <c r="CS10" s="70">
        <v>-7.0000000000000001E-3</v>
      </c>
      <c r="CT10" s="70">
        <v>8.0000000000000002E-3</v>
      </c>
      <c r="CU10" s="70">
        <v>7.0000000000000001E-3</v>
      </c>
      <c r="CV10" s="70">
        <v>5.0000000000000001E-3</v>
      </c>
      <c r="CW10" s="70">
        <v>3.9E-2</v>
      </c>
      <c r="CX10" s="70">
        <v>4.0000000000000001E-3</v>
      </c>
      <c r="CY10" s="70">
        <v>1.2E-2</v>
      </c>
      <c r="CZ10" s="70">
        <v>0.03</v>
      </c>
      <c r="DA10" s="70">
        <v>3.2000000000000001E-2</v>
      </c>
      <c r="DB10" s="70">
        <v>0.04</v>
      </c>
      <c r="DC10" s="70">
        <v>1.2E-2</v>
      </c>
      <c r="DD10" s="70">
        <v>1.4E-2</v>
      </c>
      <c r="DE10" s="70">
        <v>0.01</v>
      </c>
      <c r="DF10" s="70">
        <v>1.2E-2</v>
      </c>
      <c r="DG10" s="70"/>
    </row>
    <row r="11" spans="1:111" ht="14.25" customHeight="1" x14ac:dyDescent="0.35">
      <c r="C11" s="67" t="s">
        <v>43</v>
      </c>
      <c r="D11" s="1"/>
      <c r="E11" s="73">
        <f t="shared" ref="E11:AB11" si="6">+(E9+E10)/2</f>
        <v>1.7999999999999999E-2</v>
      </c>
      <c r="F11" s="73">
        <f t="shared" si="6"/>
        <v>1.7000000000000001E-2</v>
      </c>
      <c r="G11" s="73">
        <f t="shared" si="6"/>
        <v>1.4999999999999999E-2</v>
      </c>
      <c r="H11" s="73">
        <f t="shared" si="6"/>
        <v>1.2E-2</v>
      </c>
      <c r="I11" s="73">
        <f t="shared" si="6"/>
        <v>1.0499999999999999E-2</v>
      </c>
      <c r="J11" s="73">
        <f t="shared" si="6"/>
        <v>2.6000000000000002E-2</v>
      </c>
      <c r="K11" s="73">
        <f t="shared" si="6"/>
        <v>2.0500000000000001E-2</v>
      </c>
      <c r="L11" s="73">
        <f t="shared" si="6"/>
        <v>3.3000000000000002E-2</v>
      </c>
      <c r="M11" s="73">
        <f t="shared" si="6"/>
        <v>2.2499999999999999E-2</v>
      </c>
      <c r="N11" s="73">
        <f t="shared" si="6"/>
        <v>2.3E-2</v>
      </c>
      <c r="O11" s="73">
        <f t="shared" si="6"/>
        <v>0.06</v>
      </c>
      <c r="P11" s="73">
        <f t="shared" si="6"/>
        <v>5.7744026546976676E-2</v>
      </c>
      <c r="Q11" s="73">
        <f t="shared" si="6"/>
        <v>3.4000000000000002E-2</v>
      </c>
      <c r="R11" s="73">
        <f t="shared" si="6"/>
        <v>3.9E-2</v>
      </c>
      <c r="S11" s="73">
        <f t="shared" si="6"/>
        <v>0.1205</v>
      </c>
      <c r="T11" s="73">
        <f t="shared" si="6"/>
        <v>4.0500000000000001E-2</v>
      </c>
      <c r="U11" s="73">
        <f t="shared" si="6"/>
        <v>1.7000000000000001E-2</v>
      </c>
      <c r="V11" s="73">
        <f t="shared" si="6"/>
        <v>2.8000000000000001E-2</v>
      </c>
      <c r="W11" s="73">
        <f t="shared" si="6"/>
        <v>2.5499999999999998E-2</v>
      </c>
      <c r="X11" s="73">
        <f t="shared" si="6"/>
        <v>3.0499999999999999E-2</v>
      </c>
      <c r="Y11" s="73">
        <f t="shared" si="6"/>
        <v>3.3000000000000002E-2</v>
      </c>
      <c r="Z11" s="73">
        <f t="shared" si="6"/>
        <v>4.4499999999999998E-2</v>
      </c>
      <c r="AA11" s="73">
        <f t="shared" si="6"/>
        <v>3.5500000000000004E-2</v>
      </c>
      <c r="AB11" s="73">
        <f t="shared" si="6"/>
        <v>1.95E-2</v>
      </c>
      <c r="AC11" s="73">
        <f>+AB11</f>
        <v>1.95E-2</v>
      </c>
      <c r="AD11" s="73">
        <f t="shared" ref="AD11:BR11" si="7">+(AD9+AD10)/2</f>
        <v>1.3999999999999999E-2</v>
      </c>
      <c r="AE11" s="73">
        <f t="shared" si="7"/>
        <v>8.4500000000000006E-2</v>
      </c>
      <c r="AF11" s="73">
        <f t="shared" si="7"/>
        <v>5.8500000000000003E-2</v>
      </c>
      <c r="AG11" s="73">
        <f t="shared" si="7"/>
        <v>3.6499999999999998E-2</v>
      </c>
      <c r="AH11" s="73">
        <f t="shared" si="7"/>
        <v>4.1499999999999995E-2</v>
      </c>
      <c r="AI11" s="73">
        <f t="shared" si="7"/>
        <v>2.7000000000000003E-2</v>
      </c>
      <c r="AJ11" s="73">
        <f t="shared" si="7"/>
        <v>2.0500000000000001E-2</v>
      </c>
      <c r="AK11" s="73">
        <f t="shared" si="7"/>
        <v>1.4499999999999999E-2</v>
      </c>
      <c r="AL11" s="73">
        <f t="shared" si="7"/>
        <v>2.0500000000000001E-2</v>
      </c>
      <c r="AM11" s="73">
        <f t="shared" si="7"/>
        <v>1.55E-2</v>
      </c>
      <c r="AN11" s="73">
        <f t="shared" si="7"/>
        <v>2.9500000000000002E-2</v>
      </c>
      <c r="AO11" s="73">
        <f t="shared" si="7"/>
        <v>1.95E-2</v>
      </c>
      <c r="AP11" s="73">
        <f t="shared" si="7"/>
        <v>3.1E-2</v>
      </c>
      <c r="AQ11" s="73">
        <f t="shared" si="7"/>
        <v>2.7E-2</v>
      </c>
      <c r="AR11" s="73">
        <f t="shared" si="7"/>
        <v>3.1E-2</v>
      </c>
      <c r="AS11" s="73">
        <f t="shared" si="7"/>
        <v>3.7000000000000005E-2</v>
      </c>
      <c r="AT11" s="73">
        <f t="shared" si="7"/>
        <v>5.0500000000000003E-2</v>
      </c>
      <c r="AU11" s="73">
        <f t="shared" si="7"/>
        <v>3.6000000000000004E-2</v>
      </c>
      <c r="AV11" s="73">
        <f t="shared" si="7"/>
        <v>5.3000000000000005E-2</v>
      </c>
      <c r="AW11" s="73">
        <f t="shared" si="7"/>
        <v>4.7E-2</v>
      </c>
      <c r="AX11" s="73">
        <f t="shared" si="7"/>
        <v>4.7500000000000001E-2</v>
      </c>
      <c r="AY11" s="73">
        <f t="shared" si="7"/>
        <v>5.3500000000000006E-2</v>
      </c>
      <c r="AZ11" s="73">
        <f t="shared" si="7"/>
        <v>3.85E-2</v>
      </c>
      <c r="BA11" s="73">
        <f t="shared" si="7"/>
        <v>3.3000000000000002E-2</v>
      </c>
      <c r="BB11" s="73">
        <f t="shared" si="7"/>
        <v>3.2500000000000001E-2</v>
      </c>
      <c r="BC11" s="73">
        <f t="shared" si="7"/>
        <v>2.8000000000000001E-2</v>
      </c>
      <c r="BD11" s="73">
        <f t="shared" si="7"/>
        <v>2.6000000000000002E-2</v>
      </c>
      <c r="BE11" s="73">
        <f t="shared" si="7"/>
        <v>3.3000000000000002E-2</v>
      </c>
      <c r="BF11" s="73">
        <f t="shared" si="7"/>
        <v>3.4500000000000003E-2</v>
      </c>
      <c r="BG11" s="73">
        <f t="shared" si="7"/>
        <v>3.2500000000000001E-2</v>
      </c>
      <c r="BH11" s="73">
        <f t="shared" si="7"/>
        <v>3.5500000000000004E-2</v>
      </c>
      <c r="BI11" s="73">
        <f t="shared" si="7"/>
        <v>4.0500000000000001E-2</v>
      </c>
      <c r="BJ11" s="73">
        <f t="shared" si="7"/>
        <v>5.4999999999999993E-2</v>
      </c>
      <c r="BK11" s="73">
        <f t="shared" si="7"/>
        <v>4.9500000000000002E-2</v>
      </c>
      <c r="BL11" s="73">
        <f t="shared" si="7"/>
        <v>5.45E-2</v>
      </c>
      <c r="BM11" s="70">
        <f t="shared" si="7"/>
        <v>4.8500000000000001E-2</v>
      </c>
      <c r="BN11" s="70">
        <f t="shared" si="7"/>
        <v>8.5499999999999993E-2</v>
      </c>
      <c r="BO11" s="70">
        <f t="shared" si="7"/>
        <v>6.3E-2</v>
      </c>
      <c r="BP11" s="70">
        <f t="shared" si="7"/>
        <v>5.8499999999999996E-2</v>
      </c>
      <c r="BQ11" s="70">
        <f t="shared" si="7"/>
        <v>7.0000000000000007E-2</v>
      </c>
      <c r="BR11" s="70">
        <f t="shared" si="7"/>
        <v>5.7500000000000002E-2</v>
      </c>
      <c r="BT11" s="73">
        <f t="shared" ref="BT11:CM11" si="8">+(BT9+BT10)/2</f>
        <v>5.9499999999999997E-2</v>
      </c>
      <c r="BU11" s="74">
        <f t="shared" si="8"/>
        <v>6.8500000000000005E-2</v>
      </c>
      <c r="BV11" s="73">
        <f t="shared" si="8"/>
        <v>6.0999999999999999E-2</v>
      </c>
      <c r="BW11" s="73">
        <f t="shared" si="8"/>
        <v>6.7000000000000004E-2</v>
      </c>
      <c r="BX11" s="73">
        <f t="shared" si="8"/>
        <v>7.350000000000001E-2</v>
      </c>
      <c r="BY11" s="73">
        <f t="shared" si="8"/>
        <v>7.8E-2</v>
      </c>
      <c r="BZ11" s="73">
        <f t="shared" si="8"/>
        <v>7.0999999999999994E-2</v>
      </c>
      <c r="CA11" s="73">
        <f t="shared" si="8"/>
        <v>7.2499999999999995E-2</v>
      </c>
      <c r="CB11" s="73">
        <f t="shared" si="8"/>
        <v>0.13900000000000001</v>
      </c>
      <c r="CC11" s="73">
        <f t="shared" si="8"/>
        <v>0.11</v>
      </c>
      <c r="CD11" s="73">
        <f t="shared" si="8"/>
        <v>0.09</v>
      </c>
      <c r="CE11" s="73">
        <f t="shared" si="8"/>
        <v>0.11499999999999999</v>
      </c>
      <c r="CF11" s="73">
        <f t="shared" si="8"/>
        <v>0.44700000000000001</v>
      </c>
      <c r="CG11" s="73">
        <f t="shared" si="8"/>
        <v>0.16949999999999998</v>
      </c>
      <c r="CH11" s="73">
        <f t="shared" si="8"/>
        <v>0.15899999999999997</v>
      </c>
      <c r="CI11" s="73">
        <f t="shared" si="8"/>
        <v>8.2000000000000003E-2</v>
      </c>
      <c r="CJ11" s="73">
        <f t="shared" si="8"/>
        <v>5.6500000000000002E-2</v>
      </c>
      <c r="CK11" s="73">
        <f t="shared" si="8"/>
        <v>2.3E-2</v>
      </c>
      <c r="CL11" s="70">
        <f t="shared" si="8"/>
        <v>2.1999999999999999E-2</v>
      </c>
      <c r="CM11" s="70">
        <f t="shared" si="8"/>
        <v>2.7499999999999997E-2</v>
      </c>
      <c r="CN11" s="110"/>
      <c r="CO11" s="70">
        <f t="shared" ref="CO11:CZ11" si="9">+(CO9+CO10)/2</f>
        <v>2.0500000000000001E-2</v>
      </c>
      <c r="CP11" s="70">
        <f t="shared" si="9"/>
        <v>3.3500000000000002E-2</v>
      </c>
      <c r="CQ11" s="70">
        <f t="shared" si="9"/>
        <v>2.6000000000000002E-2</v>
      </c>
      <c r="CR11" s="70">
        <f t="shared" si="9"/>
        <v>2.1000000000000001E-2</v>
      </c>
      <c r="CS11" s="70">
        <f t="shared" si="9"/>
        <v>1.3000000000000001E-2</v>
      </c>
      <c r="CT11" s="70">
        <f t="shared" si="9"/>
        <v>1.95E-2</v>
      </c>
      <c r="CU11" s="70">
        <f t="shared" si="9"/>
        <v>1.4E-2</v>
      </c>
      <c r="CV11" s="70">
        <f t="shared" si="9"/>
        <v>1.8499999999999999E-2</v>
      </c>
      <c r="CW11" s="70">
        <f t="shared" si="9"/>
        <v>3.1E-2</v>
      </c>
      <c r="CX11" s="70">
        <f t="shared" si="9"/>
        <v>0.01</v>
      </c>
      <c r="CY11" s="70">
        <f t="shared" si="9"/>
        <v>1.6500000000000001E-2</v>
      </c>
      <c r="CZ11" s="70">
        <f t="shared" si="9"/>
        <v>2.75E-2</v>
      </c>
      <c r="DA11" s="70">
        <f t="shared" ref="DA11:DB11" si="10">+(DA9+DA10)/2</f>
        <v>2.4E-2</v>
      </c>
      <c r="DB11" s="70">
        <f t="shared" si="10"/>
        <v>3.1E-2</v>
      </c>
      <c r="DC11" s="70">
        <f t="shared" ref="DC11:DF11" si="11">+(DC9+DC10)/2</f>
        <v>1.7000000000000001E-2</v>
      </c>
      <c r="DD11" s="70">
        <f t="shared" si="11"/>
        <v>1.9E-2</v>
      </c>
      <c r="DE11" s="70">
        <f t="shared" si="11"/>
        <v>1.8499999999999999E-2</v>
      </c>
      <c r="DF11" s="70">
        <f t="shared" si="11"/>
        <v>2.1499999999999998E-2</v>
      </c>
      <c r="DG11" s="70"/>
    </row>
    <row r="12" spans="1:111" ht="14.25" customHeight="1" x14ac:dyDescent="0.35">
      <c r="C12" s="67" t="s">
        <v>44</v>
      </c>
      <c r="D12" s="1"/>
      <c r="E12" s="1"/>
      <c r="F12" s="1"/>
      <c r="G12" s="1"/>
      <c r="H12" s="1"/>
      <c r="I12" s="1"/>
      <c r="J12" s="1"/>
      <c r="K12" s="73"/>
      <c r="L12" s="73"/>
      <c r="M12" s="73"/>
      <c r="N12" s="73"/>
      <c r="O12" s="73"/>
      <c r="P12" s="73">
        <f>+(((1+E$9)+(1+E$10))/2*((1+F$9)+(1+F$10))/2*((1+G$9)+(1+G$10))/2*((1+H$9)+(1+H$10))/2*((1+I$9)+(1+I$10))/2*((1+J$9)+(1+J$10))/2*((1+K$9)+(1+K$10))/2*((1+L$9)+(1+L$10))/2*((1+M$9)+(1+M$10))/2*((1+N$9)+(1+N$10))/2*((1+O$9)+(1+O$10))/2*((1+P$9)+(1+P$10))/2-1)</f>
        <v>0.36313130570202401</v>
      </c>
      <c r="Q12" s="73"/>
      <c r="R12" s="73"/>
      <c r="S12" s="73"/>
      <c r="T12" s="73"/>
      <c r="U12" s="73"/>
      <c r="V12" s="73">
        <f>+(((1+K$9)+(1+K$10))/2*((1+L$9)+(1+L$10))/2*((1+M$9)+(1+M$10))/2*((1+N$9)+(1+N$10))/2*((1+O$9)+(1+O$10))/2*((1+P$9)+(1+P$10))/2*((1+Q$9)+(1+Q$10))/2*((1+R$9)+(1+R$10))/2*((1+S$9)+(1+S$10))/2*((1+T$9)+(1+T$10))/2*((1+U$9)+(1+U$10))/2*((1+V$9)+(1+V$10))/2-1)</f>
        <v>0.61898500721142735</v>
      </c>
      <c r="W12" s="73"/>
      <c r="X12" s="73"/>
      <c r="Y12" s="73"/>
      <c r="Z12" s="73"/>
      <c r="AA12" s="73"/>
      <c r="AB12" s="73">
        <f>+(((1+Q$9)+(1+Q$10))/2*((1+R$9)+(1+R$10))/2*((1+S$9)+(1+S$10))/2*((1+T$9)+(1+T$10))/2*((1+U$9)+(1+U$10))/2*((1+V$9)+(1+V$10))/2*((1+W$9)+(1+W$10))/2*((1+X$9)+(1+X$10))/2*((1+Y$9)+(1+Y$10))/2*((1+Z$9)+(1+Z$10))/2*((1+AA$9)+(1+AA$10))/2*((1+AB$9)+(1+AB$10))/2-1)</f>
        <v>0.57628179333461915</v>
      </c>
      <c r="AC12" s="73"/>
      <c r="AD12" s="73"/>
      <c r="AE12" s="73"/>
      <c r="AF12" s="73"/>
      <c r="AG12" s="73"/>
      <c r="AH12" s="73">
        <f>+(((1+W$9)+(1+W$10))/2*((1+X$9)+(1+X$10))/2*((1+Y$9)+(1+Y$10))/2*((1+Z$9)+(1+Z$10))/2*((1+AA$9)+(1+AA$10))/2*((1+AB$9)+(1+AB$10))/2*((1+AC$9)+(1+AC$10))/2*((1+AD$9)+(1+AD$10))/2*((1+AE$9)+(1+AE$10))/2*((1+AF$9)+(1+AF$10))/2*((1+AG$9)+(1+AG$10))/2*((1+AH$9)+(1+AH$10))/2-1)</f>
        <v>0.54206948943169952</v>
      </c>
      <c r="AI12" s="73"/>
      <c r="AJ12" s="73"/>
      <c r="AK12" s="73"/>
      <c r="AL12" s="73"/>
      <c r="AM12" s="73"/>
      <c r="AN12" s="73">
        <f>(1+AC11)*(1+AD11)*(1+AE11)*(1+AF11)*(1+AG11)*(1+AH11)*(1+AI11)*(1+AJ11)*(1+AK11)*(1+AL11)*(1+AM11)*(1+AN11)-1</f>
        <v>0.453212002923983</v>
      </c>
      <c r="AO12" s="70"/>
      <c r="AP12" s="70"/>
      <c r="AQ12" s="70"/>
      <c r="AR12" s="70"/>
      <c r="AS12" s="70"/>
      <c r="AT12" s="73">
        <f>(1+AI11)*(1+AJ11)*(1+AK11)*(1+AL11)*(1+AM11)*(1+AN11)*(1+AO11)*(1+AP11)*(1+AQ11)*(1+AR11)*(1+AS11)*(1+AT11)-1</f>
        <v>0.37532269366858317</v>
      </c>
      <c r="AU12" s="70"/>
      <c r="AV12" s="70"/>
      <c r="AW12" s="70"/>
      <c r="AX12" s="70"/>
      <c r="AY12" s="70"/>
      <c r="AZ12" s="73">
        <f>(1+AO11)*(1+AP11)*(1+AQ11)*(1+AR11)*(1+AS11)*(1+AT11)*(1+AU11)*(1+AV11)*(1+AW11)*(1+AX11)*(1+AY11)*(1+AZ11)-1</f>
        <v>0.5870101272225392</v>
      </c>
      <c r="BA12" s="73"/>
      <c r="BB12" s="70"/>
      <c r="BC12" s="70"/>
      <c r="BD12" s="70"/>
      <c r="BE12" s="70"/>
      <c r="BF12" s="73">
        <f>(1+AU11)*(1+AV11)*(1+AW11)*(1+AX11)*(1+AY11)*(1+AZ11)*(1+BA11)*(1+BB11)*(1+BC11)*(1+BD11)*(1+BE11)*(1+BF11)-1</f>
        <v>0.57358988226947116</v>
      </c>
      <c r="BG12" s="73"/>
      <c r="BH12" s="73"/>
      <c r="BI12" s="73"/>
      <c r="BJ12" s="73"/>
      <c r="BK12" s="73"/>
      <c r="BL12" s="73">
        <f>(1+BA11)*(1+BB11)*(1+BC11)*(1+BD11)*(1+BE11)*(1+BF11)*(1+BG11)*(1+BH11)*(1+BI11)*(1+BJ11)*(1+BK11)*(1+BL11)-1</f>
        <v>0.56144038786709771</v>
      </c>
      <c r="BM12" s="73"/>
      <c r="BN12" s="73"/>
      <c r="BO12" s="73"/>
      <c r="BP12" s="73"/>
      <c r="BQ12" s="73"/>
      <c r="BR12" s="73">
        <f>(1+BG11)*(1+BH11)*(1+BI11)*(1+BJ11)*(1+BK11)*(1+BL11)*(1+BM11)*(1+BN11)*(1+BO11)*(1+BP11)*(1+BQ11)*(1+BR11)-1</f>
        <v>0.88213286372488264</v>
      </c>
      <c r="BT12" s="73"/>
      <c r="BU12" s="74"/>
      <c r="BV12" s="73"/>
      <c r="BW12" s="73"/>
      <c r="BX12" s="73"/>
      <c r="BY12" s="73">
        <f>(1+BM11)*(1+BN11)*(1+BO11)*(1+BP11)*(1+BQ11)*(1+BR11)*(1+BT11)*(1+BU11)*(1+BV11)*(1+BW11)*(1+BX11)*(1+BY11)-1</f>
        <v>1.1491297877854456</v>
      </c>
      <c r="BZ12" s="73"/>
      <c r="CA12" s="73"/>
      <c r="CB12" s="73"/>
      <c r="CC12" s="73"/>
      <c r="CD12" s="73"/>
      <c r="CE12" s="73">
        <f t="shared" ref="CE12:CM12" si="12">(1+BT11)*(1+BU11)*(1+BV11)*(1+BW11)*(1+BX11)*(1+BY11)*(1+BZ11)*(1+CA11)*(1+CB11)*(1+CC11)*(1+CD11)*(1+CE11)-1</f>
        <v>1.6176461593748654</v>
      </c>
      <c r="CF12" s="73">
        <f t="shared" si="12"/>
        <v>2.5750202856209823</v>
      </c>
      <c r="CG12" s="73">
        <f t="shared" si="12"/>
        <v>2.9129492035879641</v>
      </c>
      <c r="CH12" s="73">
        <f t="shared" si="12"/>
        <v>3.2743714674443449</v>
      </c>
      <c r="CI12" s="73">
        <f t="shared" si="12"/>
        <v>3.3344610382144166</v>
      </c>
      <c r="CJ12" s="73">
        <f t="shared" si="12"/>
        <v>3.2658202951779502</v>
      </c>
      <c r="CK12" s="73">
        <f t="shared" si="12"/>
        <v>3.0481764025668303</v>
      </c>
      <c r="CL12" s="73">
        <f t="shared" si="12"/>
        <v>2.8629657174820737</v>
      </c>
      <c r="CM12" s="73">
        <f t="shared" si="12"/>
        <v>2.7008832398254836</v>
      </c>
      <c r="CO12" s="73">
        <f>(1+CD11)*(1+CE11)*(1+CF11)*(1+CG11)*(1+CH11)*(1+CI11)*(1+CJ11)*(1+CK11)*(1+CL11)*(1+CM11)*(1+CO11)-1</f>
        <v>1.9872508255557713</v>
      </c>
      <c r="CP12" s="73">
        <f t="shared" ref="CP12:CZ12" si="13">(1+CE11)*(1+CF11)*(1+CG11)*(1+CH11)*(1+CI11)*(1+CJ11)*(1+CK11)*(1+CL11)*(1+CM11)*(1+CO11)*(1+CP11)-1</f>
        <v>1.8324070901026501</v>
      </c>
      <c r="CQ12" s="73">
        <f t="shared" si="13"/>
        <v>1.5539662694540564</v>
      </c>
      <c r="CR12" s="73">
        <f t="shared" si="13"/>
        <v>0.77940536740372357</v>
      </c>
      <c r="CS12" s="73">
        <f t="shared" si="13"/>
        <v>0.55255586310064064</v>
      </c>
      <c r="CT12" s="73">
        <f t="shared" si="13"/>
        <v>0.37237452724393671</v>
      </c>
      <c r="CU12" s="73">
        <f t="shared" si="13"/>
        <v>0.29628244449557206</v>
      </c>
      <c r="CV12" s="73">
        <f t="shared" si="13"/>
        <v>0.24169058069498428</v>
      </c>
      <c r="CW12" s="73">
        <f t="shared" si="13"/>
        <v>0.2581884477299341</v>
      </c>
      <c r="CX12" s="73">
        <f t="shared" si="13"/>
        <v>0.23792146354874633</v>
      </c>
      <c r="CY12" s="73">
        <f t="shared" si="13"/>
        <v>0.20982070679939024</v>
      </c>
      <c r="CZ12" s="73">
        <f t="shared" si="13"/>
        <v>0.26893721811851612</v>
      </c>
      <c r="DA12" s="73">
        <f t="shared" ref="DA12:DF12" si="14">(1+CP11)*(1+CQ11)*(1+CR11)*(1+CS11)*(1+CT11)*(1+CU11)*(1+CV11)*(1+CW11)*(1+CX11)*(1+CY11)*(1+CZ11)*(1+DA11)-1</f>
        <v>0.28602217390190465</v>
      </c>
      <c r="DB12" s="73">
        <f t="shared" si="14"/>
        <v>0.28291133168153171</v>
      </c>
      <c r="DC12" s="73">
        <f t="shared" si="14"/>
        <v>0.27165772350888662</v>
      </c>
      <c r="DD12" s="73">
        <f t="shared" si="14"/>
        <v>0.26916671915333534</v>
      </c>
      <c r="DE12" s="73">
        <f t="shared" si="14"/>
        <v>0.27605755523955788</v>
      </c>
      <c r="DF12" s="73">
        <f t="shared" si="14"/>
        <v>0.27856085598549174</v>
      </c>
      <c r="DG12" s="70"/>
    </row>
    <row r="13" spans="1:111" ht="14.25" customHeight="1" thickBot="1" x14ac:dyDescent="0.4">
      <c r="C13" s="75" t="s">
        <v>45</v>
      </c>
      <c r="D13" s="76"/>
      <c r="E13" s="76"/>
      <c r="F13" s="76"/>
      <c r="G13" s="76"/>
      <c r="H13" s="76"/>
      <c r="I13" s="76"/>
      <c r="J13" s="76"/>
      <c r="K13" s="77"/>
      <c r="L13" s="77"/>
      <c r="M13" s="77"/>
      <c r="N13" s="77"/>
      <c r="O13" s="77"/>
      <c r="P13" s="77">
        <f>+IF(P12=0,0,IF(P12&lt;=10%,50%,IF(P12&lt;=20%,15%,10%)))</f>
        <v>0.1</v>
      </c>
      <c r="Q13" s="77"/>
      <c r="R13" s="77"/>
      <c r="S13" s="77"/>
      <c r="T13" s="77"/>
      <c r="U13" s="77"/>
      <c r="V13" s="77">
        <f>+IF(V12=0,0,IF(V12&lt;=10%,50%,IF(V12&lt;=20%,15%,10%)))</f>
        <v>0.1</v>
      </c>
      <c r="W13" s="77"/>
      <c r="X13" s="77"/>
      <c r="Y13" s="77"/>
      <c r="Z13" s="77"/>
      <c r="AA13" s="77"/>
      <c r="AB13" s="77">
        <f>+IF(AB12=0,0,IF(AB12&lt;=10%,50%,IF(AB12&lt;=20%,15%,10%)))</f>
        <v>0.1</v>
      </c>
      <c r="AC13" s="77"/>
      <c r="AD13" s="77"/>
      <c r="AE13" s="77"/>
      <c r="AF13" s="77"/>
      <c r="AG13" s="77"/>
      <c r="AH13" s="77">
        <f>+IF(AH12=0,0,IF(AH12&lt;=10%,50%,IF(AH12&lt;=20%,15%,10%)))</f>
        <v>0.1</v>
      </c>
      <c r="AI13" s="77"/>
      <c r="AJ13" s="77"/>
      <c r="AK13" s="77"/>
      <c r="AL13" s="77"/>
      <c r="AM13" s="77"/>
      <c r="AN13" s="77">
        <f>+IF(AN12=0,0,IF(AN12&lt;=10%,50%,IF(AN12&lt;=20%,15%,10%)))</f>
        <v>0.1</v>
      </c>
      <c r="AO13" s="77"/>
      <c r="AP13" s="77"/>
      <c r="AQ13" s="77"/>
      <c r="AR13" s="77"/>
      <c r="AS13" s="77"/>
      <c r="AT13" s="77">
        <f>+IF(AT12=0,0,IF(AT12&lt;=10%,50%,IF(AT12&lt;=20%,15%,10%)))</f>
        <v>0.1</v>
      </c>
      <c r="AU13" s="77"/>
      <c r="AV13" s="77"/>
      <c r="AW13" s="77"/>
      <c r="AX13" s="77"/>
      <c r="AY13" s="77"/>
      <c r="AZ13" s="77">
        <f>+IF(AZ12=0,0,IF(AZ12&lt;=10%,50%,IF(AZ12&lt;=20%,15%,10%)))</f>
        <v>0.1</v>
      </c>
      <c r="BA13" s="77"/>
      <c r="BB13" s="77"/>
      <c r="BC13" s="77"/>
      <c r="BD13" s="77"/>
      <c r="BE13" s="77"/>
      <c r="BF13" s="77">
        <f>+IF(BF12=0,0,IF(BF12&lt;=10%,50%,IF(BF12&lt;=20%,15%,10%)))</f>
        <v>0.1</v>
      </c>
      <c r="BG13" s="77"/>
      <c r="BH13" s="77"/>
      <c r="BI13" s="77"/>
      <c r="BJ13" s="77"/>
      <c r="BK13" s="77"/>
      <c r="BL13" s="77">
        <f>+IF(BL12=0,0,IF(BL12&lt;=10%,50%,IF(BL12&lt;=20%,15%,10%)))</f>
        <v>0.1</v>
      </c>
      <c r="BM13" s="77"/>
      <c r="BN13" s="77"/>
      <c r="BO13" s="77"/>
      <c r="BP13" s="77"/>
      <c r="BQ13" s="77"/>
      <c r="BR13" s="77">
        <f>+IF(BR12=0,0,IF(BR12&lt;=10%,50%,IF(BR12&lt;=20%,15%,10%)))</f>
        <v>0.1</v>
      </c>
      <c r="BT13" s="77"/>
      <c r="BU13" s="78"/>
      <c r="BV13" s="77"/>
      <c r="BW13" s="77"/>
      <c r="BX13" s="77"/>
      <c r="BY13" s="77">
        <f>+IF(BY12=0,0,IF(BY12&lt;=10%,50%,IF(BY12&lt;=20%,15%,10%)))</f>
        <v>0.1</v>
      </c>
      <c r="BZ13" s="77"/>
      <c r="CA13" s="77"/>
      <c r="CB13" s="77"/>
      <c r="CC13" s="77"/>
      <c r="CD13" s="77"/>
      <c r="CE13" s="77">
        <f t="shared" ref="CE13:CL13" si="15">+IF(CE12=0,0,IF(CE12&lt;=10%,50%,IF(CE12&lt;=20%,15%,10%)))</f>
        <v>0.1</v>
      </c>
      <c r="CF13" s="77">
        <f t="shared" si="15"/>
        <v>0.1</v>
      </c>
      <c r="CG13" s="77">
        <f t="shared" si="15"/>
        <v>0.1</v>
      </c>
      <c r="CH13" s="77">
        <f t="shared" si="15"/>
        <v>0.1</v>
      </c>
      <c r="CI13" s="77">
        <f t="shared" si="15"/>
        <v>0.1</v>
      </c>
      <c r="CJ13" s="77">
        <f t="shared" si="15"/>
        <v>0.1</v>
      </c>
      <c r="CK13" s="77">
        <f t="shared" si="15"/>
        <v>0.1</v>
      </c>
      <c r="CL13" s="77">
        <f t="shared" si="15"/>
        <v>0.1</v>
      </c>
      <c r="CM13" s="77"/>
      <c r="CN13" s="110"/>
      <c r="CO13" s="77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</row>
    <row r="14" spans="1:111" ht="14.25" customHeight="1" x14ac:dyDescent="0.35">
      <c r="C14" s="63" t="s">
        <v>46</v>
      </c>
      <c r="D14" s="64"/>
      <c r="E14" s="64"/>
      <c r="F14" s="64"/>
      <c r="G14" s="64"/>
      <c r="H14" s="64"/>
      <c r="I14" s="64"/>
      <c r="J14" s="64"/>
      <c r="K14" s="79"/>
      <c r="L14" s="79"/>
      <c r="M14" s="79"/>
      <c r="N14" s="79"/>
      <c r="O14" s="79"/>
      <c r="P14" s="79"/>
      <c r="Q14" s="79">
        <f>+((1+$K$11)*(1+$L$11)*(1+$M$11)*(1+$N$11)*(1+$O$11)*(1+$P$11)-1)*(1-$P$13)</f>
        <v>0.21270806807899864</v>
      </c>
      <c r="R14" s="79">
        <f>+Q14</f>
        <v>0.21270806807899864</v>
      </c>
      <c r="S14" s="79">
        <f>+R14</f>
        <v>0.21270806807899864</v>
      </c>
      <c r="T14" s="79">
        <f>+S14</f>
        <v>0.21270806807899864</v>
      </c>
      <c r="U14" s="79">
        <f>+T14</f>
        <v>0.21270806807899864</v>
      </c>
      <c r="V14" s="79">
        <f>+U14</f>
        <v>0.21270806807899864</v>
      </c>
      <c r="W14" s="79">
        <f t="shared" ref="W14:AB14" si="16">(1+$Q$14)*((((1+$Q$11)*(1+$R$11)*(1+$S$11)*(1+$T$11)*(1+$U$11)*(1+$V$11)-1)*(1-$V$13))+1)-1</f>
        <v>0.55050328179515051</v>
      </c>
      <c r="X14" s="79">
        <f t="shared" si="16"/>
        <v>0.55050328179515051</v>
      </c>
      <c r="Y14" s="79">
        <f t="shared" si="16"/>
        <v>0.55050328179515051</v>
      </c>
      <c r="Z14" s="79">
        <f t="shared" si="16"/>
        <v>0.55050328179515051</v>
      </c>
      <c r="AA14" s="79">
        <f t="shared" si="16"/>
        <v>0.55050328179515051</v>
      </c>
      <c r="AB14" s="79">
        <f t="shared" si="16"/>
        <v>0.55050328179515051</v>
      </c>
      <c r="AC14" s="79">
        <f>+AB14</f>
        <v>0.55050328179515051</v>
      </c>
      <c r="AD14" s="79">
        <f>(1+$W$14)*((((1+$W$11)*(1+$X$11)*(1+$Y$11)*(1+$Z$11)*(1+$AA$11)*(1+$AB$11)-1)*(1-$AB$13))+1)-1</f>
        <v>0.83480152517169115</v>
      </c>
      <c r="AE14" s="79">
        <f>+AD14</f>
        <v>0.83480152517169115</v>
      </c>
      <c r="AF14" s="79">
        <f>+AE14</f>
        <v>0.83480152517169115</v>
      </c>
      <c r="AG14" s="79">
        <f>+AF14</f>
        <v>0.83480152517169115</v>
      </c>
      <c r="AH14" s="79">
        <f>+AG14</f>
        <v>0.83480152517169115</v>
      </c>
      <c r="AI14" s="79">
        <f t="shared" ref="AI14:AN14" si="17">(1+$AH$14)*((((1+$AC$11)*(1+$AD$11)*(1+$AE$11)*(1+$AF$11)*(1+$AG$11)*(1+$AH$11)-1)*(1-$AH$13))+1)-1</f>
        <v>1.2989448701704349</v>
      </c>
      <c r="AJ14" s="79">
        <f t="shared" si="17"/>
        <v>1.2989448701704349</v>
      </c>
      <c r="AK14" s="79">
        <f t="shared" si="17"/>
        <v>1.2989448701704349</v>
      </c>
      <c r="AL14" s="79">
        <f t="shared" si="17"/>
        <v>1.2989448701704349</v>
      </c>
      <c r="AM14" s="79">
        <f t="shared" si="17"/>
        <v>1.2989448701704349</v>
      </c>
      <c r="AN14" s="79">
        <f t="shared" si="17"/>
        <v>1.2989448701704349</v>
      </c>
      <c r="AO14" s="79">
        <f t="shared" ref="AO14:AT14" si="18">(1+$AN$14)*((((1+$AI$11)*(1+$AJ$11)*(1+$AK$11)*(1+$AL$11)*(1+$AM$11)*(1+$AN$11)-1)*(1-$AN$13))+1)-1</f>
        <v>1.5769634906278127</v>
      </c>
      <c r="AP14" s="79">
        <f t="shared" si="18"/>
        <v>1.5769634906278127</v>
      </c>
      <c r="AQ14" s="79">
        <f t="shared" si="18"/>
        <v>1.5769634906278127</v>
      </c>
      <c r="AR14" s="79">
        <f t="shared" si="18"/>
        <v>1.5769634906278127</v>
      </c>
      <c r="AS14" s="79">
        <f t="shared" si="18"/>
        <v>1.5769634906278127</v>
      </c>
      <c r="AT14" s="79">
        <f t="shared" si="18"/>
        <v>1.5769634906278127</v>
      </c>
      <c r="AU14" s="79">
        <f t="shared" ref="AU14:AZ14" si="19">(1+$AT$14)*((((1+$AO$11)*(1+$AP$11)*(1+$AQ$11)*(1+$AR$11)*(1+$AS$11)*(1+$AT$11)-1)*(1-$AT$13))+1)-1</f>
        <v>2.0696010159186327</v>
      </c>
      <c r="AV14" s="79">
        <f t="shared" si="19"/>
        <v>2.0696010159186327</v>
      </c>
      <c r="AW14" s="79">
        <f t="shared" si="19"/>
        <v>2.0696010159186327</v>
      </c>
      <c r="AX14" s="79">
        <f t="shared" si="19"/>
        <v>2.0696010159186327</v>
      </c>
      <c r="AY14" s="79">
        <f t="shared" si="19"/>
        <v>2.0696010159186327</v>
      </c>
      <c r="AZ14" s="79">
        <f t="shared" si="19"/>
        <v>2.0696010159186327</v>
      </c>
      <c r="BA14" s="79">
        <f t="shared" ref="BA14:BF14" si="20">(1+$AZ$14)*((((1+$AU$11)*(1+$AV$11)*(1+$AW$11)*(1+$AX$11)*(1+$AY$11)*(1+$AZ$11)-1)*(1-$AZ$13))+1)-1</f>
        <v>2.9231757409922974</v>
      </c>
      <c r="BB14" s="79">
        <f t="shared" si="20"/>
        <v>2.9231757409922974</v>
      </c>
      <c r="BC14" s="79">
        <f t="shared" si="20"/>
        <v>2.9231757409922974</v>
      </c>
      <c r="BD14" s="79">
        <f t="shared" si="20"/>
        <v>2.9231757409922974</v>
      </c>
      <c r="BE14" s="79">
        <f t="shared" si="20"/>
        <v>2.9231757409922974</v>
      </c>
      <c r="BF14" s="79">
        <f t="shared" si="20"/>
        <v>2.9231757409922974</v>
      </c>
      <c r="BG14" s="79">
        <f t="shared" ref="BG14:BL14" si="21">(1+$BF$14)*((((1+$BA$11)*(1+$BB$11)*(1+$BC$11)*(1+$BD$11)*(1+$BE$11)*(1+$BF$11)-1)*(1-$BF$13))+1)-1</f>
        <v>3.636968167748222</v>
      </c>
      <c r="BH14" s="79">
        <f t="shared" si="21"/>
        <v>3.636968167748222</v>
      </c>
      <c r="BI14" s="79">
        <f t="shared" si="21"/>
        <v>3.636968167748222</v>
      </c>
      <c r="BJ14" s="79">
        <f t="shared" si="21"/>
        <v>3.636968167748222</v>
      </c>
      <c r="BK14" s="79">
        <f t="shared" si="21"/>
        <v>3.636968167748222</v>
      </c>
      <c r="BL14" s="79">
        <f t="shared" si="21"/>
        <v>3.636968167748222</v>
      </c>
      <c r="BM14" s="79">
        <f t="shared" ref="BM14:BR14" si="22">(1+$BL$14)*((((1+$BG$11)*(1+$BH$11)*(1+$BI$11)*(1+$BJ$11)*(1+$BK$11)*(1+$BL$11)-1)*(1-$BL$13))+1)-1</f>
        <v>4.8842094220133809</v>
      </c>
      <c r="BN14" s="79">
        <f t="shared" si="22"/>
        <v>4.8842094220133809</v>
      </c>
      <c r="BO14" s="79">
        <f t="shared" si="22"/>
        <v>4.8842094220133809</v>
      </c>
      <c r="BP14" s="79">
        <f t="shared" si="22"/>
        <v>4.8842094220133809</v>
      </c>
      <c r="BQ14" s="79">
        <f t="shared" si="22"/>
        <v>4.8842094220133809</v>
      </c>
      <c r="BR14" s="79">
        <f t="shared" si="22"/>
        <v>4.8842094220133809</v>
      </c>
      <c r="BS14" s="58"/>
      <c r="BT14" s="79">
        <f t="shared" ref="BT14:BY14" si="23">(1+$BR$14)*((((1+$BM$11)*(1+$BN$11)*(1+$BO$11)*(1+$BP$11)*(1+$BQ$11)*(1+$BR$11)-1)*(1-$BR$13))+1)-1</f>
        <v>7.2623392871361094</v>
      </c>
      <c r="BU14" s="80">
        <f t="shared" si="23"/>
        <v>7.2623392871361094</v>
      </c>
      <c r="BV14" s="79">
        <f t="shared" si="23"/>
        <v>7.2623392871361094</v>
      </c>
      <c r="BW14" s="79">
        <f t="shared" si="23"/>
        <v>7.2623392871361094</v>
      </c>
      <c r="BX14" s="79">
        <f t="shared" si="23"/>
        <v>7.2623392871361094</v>
      </c>
      <c r="BY14" s="79">
        <f t="shared" si="23"/>
        <v>7.2623392871361094</v>
      </c>
      <c r="BZ14" s="98">
        <f t="shared" ref="BZ14:CE14" si="24">(1+$BY$14)*((((1+$BT$11)*(1+$BU$11)*(1+$BV$11)*(1+$BW$11)*(1+$BX$11)*(1+$BY$11)-1)*(1-$BY$13))+1)-1</f>
        <v>10.854865659004314</v>
      </c>
      <c r="CA14" s="79">
        <f t="shared" si="24"/>
        <v>10.854865659004314</v>
      </c>
      <c r="CB14" s="79">
        <f t="shared" si="24"/>
        <v>10.854865659004314</v>
      </c>
      <c r="CC14" s="79">
        <f t="shared" si="24"/>
        <v>10.854865659004314</v>
      </c>
      <c r="CD14" s="79">
        <f t="shared" si="24"/>
        <v>10.854865659004314</v>
      </c>
      <c r="CE14" s="79">
        <f t="shared" si="24"/>
        <v>10.854865659004314</v>
      </c>
      <c r="CF14" s="98">
        <f>(1+$CE$14)*((((1+$BZ$11)*(1+$CA$11)*(1+$CB$11)*(1+$CC$11)*(1+$CD$11)*(1+$CE$11)-1)*(1-$CE$13))+1)-1</f>
        <v>19.016512703505771</v>
      </c>
      <c r="CG14" s="98">
        <f t="shared" ref="CG14:CM14" si="25">+CF14*(1+(CF11*(1-CF13)))</f>
        <v>26.66685576412614</v>
      </c>
      <c r="CH14" s="98">
        <f t="shared" si="25"/>
        <v>30.734884610943581</v>
      </c>
      <c r="CI14" s="98">
        <f t="shared" si="25"/>
        <v>35.13304659876961</v>
      </c>
      <c r="CJ14" s="98">
        <f t="shared" si="25"/>
        <v>37.725865437758813</v>
      </c>
      <c r="CK14" s="98">
        <f t="shared" si="25"/>
        <v>39.644225695268851</v>
      </c>
      <c r="CL14" s="98">
        <f t="shared" si="25"/>
        <v>40.464861167160912</v>
      </c>
      <c r="CM14" s="98">
        <f t="shared" si="25"/>
        <v>41.266065418270699</v>
      </c>
      <c r="CN14" s="109"/>
      <c r="CO14" s="121">
        <f>1*(1+(CM11))-1</f>
        <v>2.750000000000008E-2</v>
      </c>
      <c r="CP14" s="121">
        <f t="shared" ref="CP14:CX14" si="26">1*(1+(CO11))-1</f>
        <v>2.0499999999999963E-2</v>
      </c>
      <c r="CQ14" s="121">
        <f t="shared" si="26"/>
        <v>3.3500000000000085E-2</v>
      </c>
      <c r="CR14" s="121">
        <f t="shared" si="26"/>
        <v>2.6000000000000023E-2</v>
      </c>
      <c r="CS14" s="121">
        <f t="shared" si="26"/>
        <v>2.0999999999999908E-2</v>
      </c>
      <c r="CT14" s="121">
        <f t="shared" si="26"/>
        <v>1.2999999999999901E-2</v>
      </c>
      <c r="CU14" s="121">
        <f t="shared" si="26"/>
        <v>1.9500000000000073E-2</v>
      </c>
      <c r="CV14" s="121">
        <f t="shared" si="26"/>
        <v>1.4000000000000012E-2</v>
      </c>
      <c r="CW14" s="121">
        <f t="shared" si="26"/>
        <v>1.8499999999999961E-2</v>
      </c>
      <c r="CX14" s="121">
        <f t="shared" si="26"/>
        <v>3.0999999999999917E-2</v>
      </c>
      <c r="CY14" s="121">
        <f t="shared" ref="CY14:DC14" si="27">1*(1+(CX11))-1</f>
        <v>1.0000000000000009E-2</v>
      </c>
      <c r="CZ14" s="121">
        <f t="shared" si="27"/>
        <v>1.6499999999999959E-2</v>
      </c>
      <c r="DA14" s="121">
        <f t="shared" si="27"/>
        <v>2.750000000000008E-2</v>
      </c>
      <c r="DB14" s="121">
        <f t="shared" si="27"/>
        <v>2.4000000000000021E-2</v>
      </c>
      <c r="DC14" s="121">
        <f t="shared" si="27"/>
        <v>3.0999999999999917E-2</v>
      </c>
      <c r="DD14" s="121">
        <f>1*(1+(DC11))-1</f>
        <v>1.6999999999999904E-2</v>
      </c>
      <c r="DE14" s="121">
        <f>1*(1+(DD11))-1</f>
        <v>1.8999999999999906E-2</v>
      </c>
      <c r="DF14" s="121">
        <f>1*(1+(DE11))-1</f>
        <v>1.8499999999999961E-2</v>
      </c>
      <c r="DG14" s="121">
        <f>1*(1+(DF11))-1</f>
        <v>2.1500000000000075E-2</v>
      </c>
    </row>
    <row r="15" spans="1:111" ht="14.25" customHeight="1" x14ac:dyDescent="0.35">
      <c r="C15" s="67"/>
      <c r="D15" s="1"/>
      <c r="E15" s="1"/>
      <c r="F15" s="1"/>
      <c r="G15" s="1"/>
      <c r="H15" s="1"/>
      <c r="I15" s="1"/>
      <c r="J15" s="1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58"/>
      <c r="BT15" s="90">
        <f t="shared" ref="BT15:CM15" si="28">1+(((1+BT11)-1))</f>
        <v>1.0594999999999999</v>
      </c>
      <c r="BU15" s="90">
        <f t="shared" si="28"/>
        <v>1.0685</v>
      </c>
      <c r="BV15" s="90">
        <f t="shared" si="28"/>
        <v>1.0609999999999999</v>
      </c>
      <c r="BW15" s="90">
        <f t="shared" si="28"/>
        <v>1.0669999999999999</v>
      </c>
      <c r="BX15" s="90">
        <f t="shared" si="28"/>
        <v>1.0735000000000001</v>
      </c>
      <c r="BY15" s="90">
        <f t="shared" si="28"/>
        <v>1.0780000000000001</v>
      </c>
      <c r="BZ15" s="90">
        <f t="shared" si="28"/>
        <v>1.071</v>
      </c>
      <c r="CA15" s="90">
        <f t="shared" si="28"/>
        <v>1.0725</v>
      </c>
      <c r="CB15" s="90">
        <f t="shared" si="28"/>
        <v>1.139</v>
      </c>
      <c r="CC15" s="90">
        <f t="shared" si="28"/>
        <v>1.1100000000000001</v>
      </c>
      <c r="CD15" s="90">
        <f t="shared" si="28"/>
        <v>1.0900000000000001</v>
      </c>
      <c r="CE15" s="90">
        <f t="shared" si="28"/>
        <v>1.115</v>
      </c>
      <c r="CF15" s="90">
        <f t="shared" si="28"/>
        <v>1.4470000000000001</v>
      </c>
      <c r="CG15" s="90">
        <f t="shared" si="28"/>
        <v>1.1695</v>
      </c>
      <c r="CH15" s="90">
        <f t="shared" si="28"/>
        <v>1.159</v>
      </c>
      <c r="CI15" s="90">
        <f t="shared" si="28"/>
        <v>1.0820000000000001</v>
      </c>
      <c r="CJ15" s="90">
        <f t="shared" si="28"/>
        <v>1.0565</v>
      </c>
      <c r="CK15" s="90">
        <f t="shared" si="28"/>
        <v>1.0229999999999999</v>
      </c>
      <c r="CL15" s="90">
        <f t="shared" si="28"/>
        <v>1.022</v>
      </c>
      <c r="CM15" s="90">
        <f t="shared" si="28"/>
        <v>1.0275000000000001</v>
      </c>
      <c r="CN15" s="109"/>
      <c r="CO15" s="90">
        <f t="shared" ref="CO15:CX15" si="29">1+(((1+CO11)-1))</f>
        <v>1.0205</v>
      </c>
      <c r="CP15" s="90">
        <f t="shared" si="29"/>
        <v>1.0335000000000001</v>
      </c>
      <c r="CQ15" s="90">
        <f t="shared" si="29"/>
        <v>1.026</v>
      </c>
      <c r="CR15" s="90">
        <f t="shared" si="29"/>
        <v>1.0209999999999999</v>
      </c>
      <c r="CS15" s="90">
        <f t="shared" si="29"/>
        <v>1.0129999999999999</v>
      </c>
      <c r="CT15" s="90">
        <f t="shared" si="29"/>
        <v>1.0195000000000001</v>
      </c>
      <c r="CU15" s="90">
        <f t="shared" si="29"/>
        <v>1.014</v>
      </c>
      <c r="CV15" s="90">
        <f t="shared" si="29"/>
        <v>1.0185</v>
      </c>
      <c r="CW15" s="90">
        <f t="shared" si="29"/>
        <v>1.0309999999999999</v>
      </c>
      <c r="CX15" s="90">
        <f t="shared" si="29"/>
        <v>1.01</v>
      </c>
      <c r="CY15" s="90">
        <f t="shared" ref="CY15:CZ15" si="30">1+(((1+CY11)-1))</f>
        <v>1.0165</v>
      </c>
      <c r="CZ15" s="90">
        <f t="shared" si="30"/>
        <v>1.0275000000000001</v>
      </c>
      <c r="DA15" s="90">
        <f t="shared" ref="DA15:DB15" si="31">1+(((1+DA11)-1))</f>
        <v>1.024</v>
      </c>
      <c r="DB15" s="90">
        <f t="shared" si="31"/>
        <v>1.0309999999999999</v>
      </c>
      <c r="DC15" s="90">
        <f t="shared" ref="DC15:DD15" si="32">1+(((1+DC11)-1))</f>
        <v>1.0169999999999999</v>
      </c>
      <c r="DD15" s="90">
        <f t="shared" si="32"/>
        <v>1.0189999999999999</v>
      </c>
      <c r="DE15" s="90">
        <f t="shared" ref="DE15:DF15" si="33">1+(((1+DE11)-1))</f>
        <v>1.0185</v>
      </c>
      <c r="DF15" s="90">
        <f t="shared" si="33"/>
        <v>1.0215000000000001</v>
      </c>
      <c r="DG15" s="90">
        <f t="shared" ref="DG15" si="34">1+(((1+DG11)-1))</f>
        <v>1</v>
      </c>
    </row>
    <row r="16" spans="1:111" ht="14.25" customHeight="1" x14ac:dyDescent="0.35">
      <c r="A16" s="292">
        <v>17.399999999999999</v>
      </c>
      <c r="C16" s="67" t="s">
        <v>47</v>
      </c>
      <c r="D16" s="1"/>
      <c r="E16" s="1"/>
      <c r="F16" s="1"/>
      <c r="G16" s="1"/>
      <c r="H16" s="1"/>
      <c r="I16" s="1"/>
      <c r="J16" s="1"/>
      <c r="K16" s="291">
        <v>18.6678</v>
      </c>
      <c r="L16" s="291">
        <v>19.637799999999999</v>
      </c>
      <c r="M16" s="291">
        <v>20.200800000000001</v>
      </c>
      <c r="N16" s="291">
        <v>20.188300000000002</v>
      </c>
      <c r="O16" s="291">
        <v>22.3873</v>
      </c>
      <c r="P16" s="291">
        <v>25.5732</v>
      </c>
      <c r="Q16" s="291">
        <v>27.6313</v>
      </c>
      <c r="R16" s="291">
        <v>28.155799999999999</v>
      </c>
      <c r="S16" s="291">
        <v>36.040100000000002</v>
      </c>
      <c r="T16" s="291">
        <v>37.741900000000001</v>
      </c>
      <c r="U16" s="291">
        <v>36.0974</v>
      </c>
      <c r="V16" s="291">
        <v>37.6768</v>
      </c>
      <c r="W16" s="291">
        <v>37.540588235294123</v>
      </c>
      <c r="X16" s="291">
        <v>37.842599999999997</v>
      </c>
      <c r="Y16" s="291">
        <v>40.278833333333331</v>
      </c>
      <c r="Z16" s="291">
        <v>42.749499999999998</v>
      </c>
      <c r="AA16" s="291">
        <v>44.629800000000003</v>
      </c>
      <c r="AB16" s="291">
        <v>44.501399999999997</v>
      </c>
      <c r="AC16" s="291">
        <f>+AB16</f>
        <v>44.501399999999997</v>
      </c>
      <c r="AD16" s="291">
        <v>42.363300000000002</v>
      </c>
      <c r="AE16" s="291">
        <v>57.9</v>
      </c>
      <c r="AF16" s="291">
        <v>56.358899999999998</v>
      </c>
      <c r="AG16" s="291">
        <v>60</v>
      </c>
      <c r="AH16" s="291">
        <v>59.85</v>
      </c>
      <c r="AI16" s="291">
        <v>59.814999999999998</v>
      </c>
      <c r="AJ16" s="291">
        <v>60.35</v>
      </c>
      <c r="AK16" s="291">
        <v>62.21</v>
      </c>
      <c r="AL16" s="291">
        <v>64.409000000000006</v>
      </c>
      <c r="AM16" s="291">
        <v>66.84</v>
      </c>
      <c r="AN16" s="291">
        <v>68.540000000000006</v>
      </c>
      <c r="AO16" s="291">
        <v>70.459999999999994</v>
      </c>
      <c r="AP16" s="291">
        <v>72.319999999999993</v>
      </c>
      <c r="AQ16" s="291">
        <v>74.180000000000007</v>
      </c>
      <c r="AR16" s="291">
        <v>76.180000000000007</v>
      </c>
      <c r="AS16" s="291">
        <v>78.319999999999993</v>
      </c>
      <c r="AT16" s="291">
        <v>81.31</v>
      </c>
      <c r="AU16" s="291">
        <v>84.15</v>
      </c>
      <c r="AV16" s="291">
        <v>87.33</v>
      </c>
      <c r="AW16" s="291">
        <v>89.82</v>
      </c>
      <c r="AX16" s="291">
        <v>92</v>
      </c>
      <c r="AY16" s="291">
        <v>93.56</v>
      </c>
      <c r="AZ16" s="291">
        <v>94.73</v>
      </c>
      <c r="BA16" s="291">
        <v>95.72</v>
      </c>
      <c r="BB16" s="291">
        <v>96.69</v>
      </c>
      <c r="BC16" s="291">
        <v>97.74</v>
      </c>
      <c r="BD16" s="291">
        <v>98.74</v>
      </c>
      <c r="BE16" s="291">
        <v>99.72</v>
      </c>
      <c r="BF16" s="291">
        <v>100.96</v>
      </c>
      <c r="BG16" s="291">
        <v>102.72</v>
      </c>
      <c r="BH16" s="291">
        <v>105.02</v>
      </c>
      <c r="BI16" s="291">
        <v>107.45</v>
      </c>
      <c r="BJ16" s="291">
        <v>110.89</v>
      </c>
      <c r="BK16" s="291">
        <v>115.73</v>
      </c>
      <c r="BL16" s="291">
        <v>120.2</v>
      </c>
      <c r="BM16" s="291">
        <v>125.45</v>
      </c>
      <c r="BN16" s="291">
        <v>132.41999999999999</v>
      </c>
      <c r="BO16" s="291">
        <v>141.15</v>
      </c>
      <c r="BP16" s="291">
        <v>150.69</v>
      </c>
      <c r="BQ16" s="291">
        <v>157.28</v>
      </c>
      <c r="BR16" s="291">
        <v>166.96</v>
      </c>
      <c r="BT16" s="291">
        <v>176.05</v>
      </c>
      <c r="BU16" s="289">
        <v>187.57</v>
      </c>
      <c r="BV16" s="289">
        <v>197.15</v>
      </c>
      <c r="BW16" s="289">
        <v>211.22</v>
      </c>
      <c r="BX16" s="289">
        <v>225.2</v>
      </c>
      <c r="BY16" s="289">
        <v>240.25</v>
      </c>
      <c r="BZ16" s="289">
        <v>257.89999999999998</v>
      </c>
      <c r="CA16" s="289">
        <v>276.14999999999998</v>
      </c>
      <c r="CB16" s="289">
        <v>350.1</v>
      </c>
      <c r="CC16" s="289">
        <v>350</v>
      </c>
      <c r="CD16" s="289">
        <v>350</v>
      </c>
      <c r="CE16" s="289">
        <v>361.1</v>
      </c>
      <c r="CF16" s="289">
        <v>807.95</v>
      </c>
      <c r="CG16" s="289">
        <v>825.7</v>
      </c>
      <c r="CH16" s="289">
        <v>848</v>
      </c>
      <c r="CI16" s="289">
        <v>858</v>
      </c>
      <c r="CJ16" s="289">
        <v>890.5</v>
      </c>
      <c r="CK16" s="289">
        <v>907.5</v>
      </c>
      <c r="CL16" s="289">
        <v>914.5</v>
      </c>
      <c r="CM16" s="289">
        <v>931.5</v>
      </c>
      <c r="CN16" s="290"/>
      <c r="CO16" s="289">
        <v>953.5</v>
      </c>
      <c r="CP16" s="289">
        <v>975.5</v>
      </c>
      <c r="CQ16" s="289">
        <v>998</v>
      </c>
      <c r="CR16" s="289">
        <v>1013</v>
      </c>
      <c r="CS16" s="289">
        <v>1035.5</v>
      </c>
      <c r="CT16" s="289">
        <v>1054.75</v>
      </c>
      <c r="CU16" s="289">
        <v>1064.5</v>
      </c>
      <c r="CV16" s="289">
        <v>1076</v>
      </c>
      <c r="CW16" s="289">
        <v>1170</v>
      </c>
      <c r="CX16" s="289">
        <v>1188</v>
      </c>
      <c r="CY16" s="289">
        <v>1205</v>
      </c>
      <c r="CZ16" s="289">
        <v>1374</v>
      </c>
      <c r="DA16" s="289">
        <v>1342</v>
      </c>
      <c r="DB16" s="289">
        <v>1401.7</v>
      </c>
      <c r="DC16" s="289">
        <v>1434.43</v>
      </c>
      <c r="DD16" s="289">
        <v>1428.15</v>
      </c>
      <c r="DE16" s="289">
        <v>1447.578947368421</v>
      </c>
      <c r="DF16" s="289">
        <v>1448.952380952381</v>
      </c>
      <c r="DG16" s="289">
        <v>1407.5</v>
      </c>
    </row>
    <row r="17" spans="1:111" ht="15" thickBot="1" x14ac:dyDescent="0.4">
      <c r="C17" s="75" t="s">
        <v>2</v>
      </c>
      <c r="D17" s="76" t="s">
        <v>48</v>
      </c>
      <c r="E17" s="76"/>
      <c r="F17" s="76"/>
      <c r="G17" s="76"/>
      <c r="H17" s="76"/>
      <c r="I17" s="76"/>
      <c r="J17" s="76"/>
      <c r="K17" s="76" t="s">
        <v>49</v>
      </c>
      <c r="L17" s="76" t="s">
        <v>49</v>
      </c>
      <c r="M17" s="76" t="s">
        <v>49</v>
      </c>
      <c r="N17" s="76" t="s">
        <v>49</v>
      </c>
      <c r="O17" s="76" t="s">
        <v>49</v>
      </c>
      <c r="P17" s="76" t="s">
        <v>49</v>
      </c>
      <c r="Q17" s="76" t="s">
        <v>49</v>
      </c>
      <c r="R17" s="76" t="s">
        <v>49</v>
      </c>
      <c r="S17" s="76" t="s">
        <v>49</v>
      </c>
      <c r="T17" s="76" t="s">
        <v>49</v>
      </c>
      <c r="U17" s="76" t="s">
        <v>49</v>
      </c>
      <c r="V17" s="76" t="s">
        <v>49</v>
      </c>
      <c r="W17" s="76" t="s">
        <v>49</v>
      </c>
      <c r="X17" s="76" t="s">
        <v>49</v>
      </c>
      <c r="Y17" s="76" t="s">
        <v>49</v>
      </c>
      <c r="Z17" s="76" t="s">
        <v>49</v>
      </c>
      <c r="AA17" s="76" t="s">
        <v>49</v>
      </c>
      <c r="AB17" s="76" t="s">
        <v>49</v>
      </c>
      <c r="AC17" s="76" t="str">
        <f>+AB17</f>
        <v>AR$</v>
      </c>
      <c r="AD17" s="76" t="s">
        <v>49</v>
      </c>
      <c r="AE17" s="76" t="s">
        <v>49</v>
      </c>
      <c r="AF17" s="76" t="s">
        <v>49</v>
      </c>
      <c r="AG17" s="76" t="s">
        <v>49</v>
      </c>
      <c r="AH17" s="76" t="s">
        <v>49</v>
      </c>
      <c r="AI17" s="76" t="s">
        <v>49</v>
      </c>
      <c r="AJ17" s="76" t="s">
        <v>49</v>
      </c>
      <c r="AK17" s="76" t="s">
        <v>49</v>
      </c>
      <c r="AL17" s="76" t="s">
        <v>49</v>
      </c>
      <c r="AM17" s="76" t="s">
        <v>49</v>
      </c>
      <c r="AN17" s="76" t="s">
        <v>49</v>
      </c>
      <c r="AO17" s="76" t="s">
        <v>49</v>
      </c>
      <c r="AP17" s="76" t="s">
        <v>49</v>
      </c>
      <c r="AQ17" s="76" t="s">
        <v>49</v>
      </c>
      <c r="AR17" s="76" t="s">
        <v>49</v>
      </c>
      <c r="AS17" s="76" t="s">
        <v>49</v>
      </c>
      <c r="AT17" s="76" t="s">
        <v>49</v>
      </c>
      <c r="AU17" s="76" t="s">
        <v>49</v>
      </c>
      <c r="AV17" s="76" t="s">
        <v>49</v>
      </c>
      <c r="AW17" s="76" t="s">
        <v>49</v>
      </c>
      <c r="AX17" s="76" t="s">
        <v>49</v>
      </c>
      <c r="AY17" s="76" t="s">
        <v>49</v>
      </c>
      <c r="AZ17" s="76" t="s">
        <v>49</v>
      </c>
      <c r="BA17" s="76" t="s">
        <v>49</v>
      </c>
      <c r="BB17" s="76" t="s">
        <v>49</v>
      </c>
      <c r="BC17" s="76" t="s">
        <v>49</v>
      </c>
      <c r="BD17" s="76" t="s">
        <v>49</v>
      </c>
      <c r="BE17" s="76" t="s">
        <v>49</v>
      </c>
      <c r="BF17" s="76" t="s">
        <v>49</v>
      </c>
      <c r="BG17" s="76" t="s">
        <v>49</v>
      </c>
      <c r="BH17" s="76" t="s">
        <v>49</v>
      </c>
      <c r="BI17" s="76" t="s">
        <v>49</v>
      </c>
      <c r="BJ17" s="76" t="s">
        <v>49</v>
      </c>
      <c r="BK17" s="76" t="s">
        <v>49</v>
      </c>
      <c r="BL17" s="76" t="s">
        <v>49</v>
      </c>
      <c r="BM17" s="76" t="s">
        <v>49</v>
      </c>
      <c r="BN17" s="76" t="s">
        <v>49</v>
      </c>
      <c r="BO17" s="76" t="s">
        <v>49</v>
      </c>
      <c r="BP17" s="76" t="s">
        <v>49</v>
      </c>
      <c r="BQ17" s="76" t="s">
        <v>49</v>
      </c>
      <c r="BR17" s="76" t="s">
        <v>49</v>
      </c>
      <c r="BT17" s="76" t="s">
        <v>49</v>
      </c>
      <c r="BU17" s="83" t="s">
        <v>49</v>
      </c>
      <c r="BV17" s="76" t="s">
        <v>49</v>
      </c>
      <c r="BW17" s="76" t="s">
        <v>49</v>
      </c>
      <c r="BX17" s="76" t="s">
        <v>49</v>
      </c>
      <c r="BY17" s="76" t="s">
        <v>49</v>
      </c>
      <c r="BZ17" s="76" t="s">
        <v>49</v>
      </c>
      <c r="CA17" s="76" t="s">
        <v>49</v>
      </c>
      <c r="CB17" s="76" t="s">
        <v>49</v>
      </c>
      <c r="CC17" s="76" t="s">
        <v>49</v>
      </c>
      <c r="CD17" s="76" t="s">
        <v>49</v>
      </c>
      <c r="CE17" s="76" t="s">
        <v>49</v>
      </c>
      <c r="CF17" s="76" t="s">
        <v>49</v>
      </c>
      <c r="CG17" s="76" t="s">
        <v>49</v>
      </c>
      <c r="CH17" s="76" t="s">
        <v>49</v>
      </c>
      <c r="CI17" s="76" t="s">
        <v>49</v>
      </c>
      <c r="CJ17" s="76" t="s">
        <v>49</v>
      </c>
      <c r="CK17" s="76" t="s">
        <v>49</v>
      </c>
      <c r="CL17" s="76" t="s">
        <v>49</v>
      </c>
      <c r="CM17" s="76" t="s">
        <v>49</v>
      </c>
      <c r="CN17" s="112"/>
      <c r="CO17" s="76" t="s">
        <v>49</v>
      </c>
      <c r="CP17" s="76" t="s">
        <v>49</v>
      </c>
      <c r="CQ17" s="76" t="s">
        <v>49</v>
      </c>
      <c r="CR17" s="76" t="s">
        <v>49</v>
      </c>
      <c r="CS17" s="76" t="s">
        <v>49</v>
      </c>
      <c r="CT17" s="76" t="s">
        <v>49</v>
      </c>
      <c r="CU17" s="76" t="s">
        <v>49</v>
      </c>
      <c r="CV17" s="76" t="s">
        <v>49</v>
      </c>
      <c r="CW17" s="76" t="s">
        <v>49</v>
      </c>
      <c r="CX17" s="76" t="s">
        <v>49</v>
      </c>
      <c r="CY17" s="76" t="s">
        <v>49</v>
      </c>
      <c r="CZ17" s="76" t="s">
        <v>49</v>
      </c>
      <c r="DA17" s="76" t="s">
        <v>49</v>
      </c>
      <c r="DB17" s="76" t="s">
        <v>49</v>
      </c>
      <c r="DC17" s="76" t="s">
        <v>49</v>
      </c>
      <c r="DD17" s="76" t="s">
        <v>49</v>
      </c>
      <c r="DE17" s="76" t="s">
        <v>49</v>
      </c>
      <c r="DF17" s="76" t="s">
        <v>49</v>
      </c>
      <c r="DG17" s="76" t="s">
        <v>49</v>
      </c>
    </row>
    <row r="18" spans="1:111" s="29" customFormat="1" x14ac:dyDescent="0.35">
      <c r="C18" s="91" t="s">
        <v>50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112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</row>
    <row r="19" spans="1:111" s="92" customFormat="1" hidden="1" x14ac:dyDescent="0.35">
      <c r="A19" s="288"/>
      <c r="C19" s="93" t="s">
        <v>51</v>
      </c>
      <c r="D19" s="93">
        <v>12.5</v>
      </c>
      <c r="E19" s="93"/>
      <c r="F19" s="93"/>
      <c r="G19" s="93"/>
      <c r="H19" s="93"/>
      <c r="I19" s="93"/>
      <c r="J19" s="93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  <c r="BL19" s="287"/>
      <c r="BM19" s="287"/>
      <c r="BN19" s="287"/>
      <c r="BO19" s="286"/>
      <c r="BP19" s="286"/>
      <c r="BQ19" s="286"/>
      <c r="BR19" s="286"/>
      <c r="BT19" s="286">
        <f>((+(7*BT$3*(1+BT$7)*0/1000*(1+BT$8))+(95%*$D19*BT$3*(1+BT$7)/1000*(1+BT$8))+(5%*$D19*BT$4*(1+BT$7)/1000*(1+BT$8)))*BT$16)</f>
        <v>4387.6515670541175</v>
      </c>
      <c r="BU19" s="286">
        <f>((+(7*BU$3*(1+BU$7)*0/1000*(1+BU$8))+(95%*$D19*BU$3*(1+BU$7)/1000*(1+BU$8))+(5%*$D19*BU$4*(1+BU$7)/1000*(1+BU$8)))*BU$16)</f>
        <v>4641.1078937049797</v>
      </c>
      <c r="BV19" s="286">
        <f t="shared" ref="BV19:CM19" si="35">((95%*$D19*BV$3*(1+BV$7)/1000*(1+BV$8))+(5%*$D19*BV$4*(1+BV$7)/1000*(1+BV$8)))*BV$16</f>
        <v>4820.8228948064816</v>
      </c>
      <c r="BW19" s="286">
        <f t="shared" si="35"/>
        <v>5239.2720423910414</v>
      </c>
      <c r="BX19" s="286">
        <f t="shared" si="35"/>
        <v>5602.656794939011</v>
      </c>
      <c r="BY19" s="286">
        <f t="shared" si="35"/>
        <v>6148.9146393908177</v>
      </c>
      <c r="BZ19" s="286">
        <f t="shared" si="35"/>
        <v>6304.7613535484479</v>
      </c>
      <c r="CA19" s="286">
        <f t="shared" si="35"/>
        <v>6525.0501129639961</v>
      </c>
      <c r="CB19" s="286">
        <f t="shared" si="35"/>
        <v>7474.4766655168478</v>
      </c>
      <c r="CC19" s="286">
        <f t="shared" si="35"/>
        <v>7707.0649344370331</v>
      </c>
      <c r="CD19" s="286">
        <f t="shared" si="35"/>
        <v>7758.2644165387101</v>
      </c>
      <c r="CE19" s="286">
        <f t="shared" si="35"/>
        <v>7878.4789722036885</v>
      </c>
      <c r="CF19" s="286">
        <f t="shared" si="35"/>
        <v>22854.831845575638</v>
      </c>
      <c r="CG19" s="286">
        <f t="shared" si="35"/>
        <v>23730.382660327759</v>
      </c>
      <c r="CH19" s="286">
        <f t="shared" si="35"/>
        <v>23433.748916303997</v>
      </c>
      <c r="CI19" s="286">
        <f t="shared" si="35"/>
        <v>23225.018338624777</v>
      </c>
      <c r="CJ19" s="286">
        <f t="shared" si="35"/>
        <v>21833.665659786875</v>
      </c>
      <c r="CK19" s="286">
        <f t="shared" si="35"/>
        <v>22250.504782597131</v>
      </c>
      <c r="CL19" s="286">
        <f t="shared" si="35"/>
        <v>22422.076671312941</v>
      </c>
      <c r="CM19" s="286">
        <f t="shared" si="35"/>
        <v>22838.908758044057</v>
      </c>
      <c r="CN19" s="270"/>
      <c r="CO19" s="285">
        <f t="shared" ref="CO19:DG19" si="36">((95%*$D19*CO$3*(1+CO$7)/1000*(1+CO$8))+(5%*$D19*CO$4*(1+CO$7)/1000*(1+CO$8)))*CO$16</f>
        <v>26984.046961597753</v>
      </c>
      <c r="CP19" s="285">
        <f t="shared" si="36"/>
        <v>19831.706811116968</v>
      </c>
      <c r="CQ19" s="285">
        <f t="shared" si="36"/>
        <v>23520.492547415986</v>
      </c>
      <c r="CR19" s="285">
        <f t="shared" si="36"/>
        <v>24888.512769448353</v>
      </c>
      <c r="CS19" s="285">
        <f t="shared" si="36"/>
        <v>25706.70863875181</v>
      </c>
      <c r="CT19" s="285">
        <f t="shared" si="36"/>
        <v>26038.577748725784</v>
      </c>
      <c r="CU19" s="285">
        <f t="shared" si="36"/>
        <v>25943.83826185108</v>
      </c>
      <c r="CV19" s="285">
        <f t="shared" si="36"/>
        <v>26002.967424625262</v>
      </c>
      <c r="CW19" s="285">
        <f t="shared" si="36"/>
        <v>27582.605324302087</v>
      </c>
      <c r="CX19" s="285">
        <f t="shared" si="36"/>
        <v>27362.81890790871</v>
      </c>
      <c r="CY19" s="285">
        <f t="shared" si="36"/>
        <v>26835.909106834377</v>
      </c>
      <c r="CZ19" s="285">
        <f t="shared" si="36"/>
        <v>29949.793305907857</v>
      </c>
      <c r="DA19" s="285">
        <f t="shared" si="36"/>
        <v>29826.565100461397</v>
      </c>
      <c r="DB19" s="285">
        <f t="shared" si="36"/>
        <v>32065.772045505993</v>
      </c>
      <c r="DC19" s="285">
        <f t="shared" si="36"/>
        <v>33004.616806609978</v>
      </c>
      <c r="DD19" s="285">
        <f t="shared" si="36"/>
        <v>32213.298332048049</v>
      </c>
      <c r="DE19" s="285">
        <f t="shared" si="36"/>
        <v>31843.013451460414</v>
      </c>
      <c r="DF19" s="285">
        <f t="shared" si="36"/>
        <v>31507.644009159765</v>
      </c>
      <c r="DG19" s="285">
        <f t="shared" si="36"/>
        <v>30215.620074154449</v>
      </c>
    </row>
    <row r="20" spans="1:111" x14ac:dyDescent="0.35">
      <c r="A20" s="284"/>
      <c r="C20" s="1" t="s">
        <v>5</v>
      </c>
      <c r="D20" s="1">
        <v>19.5</v>
      </c>
      <c r="E20" s="1"/>
      <c r="F20" s="1"/>
      <c r="G20" s="1"/>
      <c r="H20" s="1"/>
      <c r="I20" s="1"/>
      <c r="J20" s="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1"/>
      <c r="BK20" s="271"/>
      <c r="BL20" s="271"/>
      <c r="BM20" s="271"/>
      <c r="BN20" s="271"/>
      <c r="BO20" s="271"/>
      <c r="BP20" s="271"/>
      <c r="BQ20" s="271"/>
      <c r="BR20" s="271"/>
      <c r="BT20" s="271">
        <f>((3.14*BT$3*(1+BT$7)*0/1000*(1+BT$8))+($D20*BT$3*(1+BT$7)/1000*(1+BT$8)))*BT$16</f>
        <v>5564.8602529930831</v>
      </c>
      <c r="BU20" s="271">
        <f>((3.14*BU$3*(1+BU$7)*0/1000*(1+BU$8))+($D20*BU$3*(1+BU$7)/1000*(1+BU$8)))*BU$16</f>
        <v>5873.7390428443696</v>
      </c>
      <c r="BV20" s="271">
        <f t="shared" ref="BV20:CL20" si="37">(($D20*BV$3*(1+BV$7)/1000*(1+BV$8)))*BV$16</f>
        <v>6079.6003352146217</v>
      </c>
      <c r="BW20" s="271">
        <f t="shared" si="37"/>
        <v>6635.6582720470151</v>
      </c>
      <c r="BX20" s="271">
        <f t="shared" si="37"/>
        <v>7102.1331383063061</v>
      </c>
      <c r="BY20" s="271">
        <f t="shared" si="37"/>
        <v>7858.9364858028448</v>
      </c>
      <c r="BZ20" s="271">
        <f t="shared" si="37"/>
        <v>7950.4214163854667</v>
      </c>
      <c r="CA20" s="271">
        <f t="shared" si="37"/>
        <v>8142.1372197942128</v>
      </c>
      <c r="CB20" s="271">
        <f t="shared" si="37"/>
        <v>9012.25901165902</v>
      </c>
      <c r="CC20" s="271">
        <f t="shared" si="37"/>
        <v>9395.1250570117354</v>
      </c>
      <c r="CD20" s="271">
        <f t="shared" si="37"/>
        <v>9479.1999960418561</v>
      </c>
      <c r="CE20" s="271">
        <f t="shared" si="37"/>
        <v>9573.1945966871353</v>
      </c>
      <c r="CF20" s="271">
        <f t="shared" si="37"/>
        <v>30002.977009058624</v>
      </c>
      <c r="CG20" s="271">
        <f t="shared" si="37"/>
        <v>31275.360206333684</v>
      </c>
      <c r="CH20" s="271">
        <f t="shared" si="37"/>
        <v>30580.504041391196</v>
      </c>
      <c r="CI20" s="271">
        <f t="shared" si="37"/>
        <v>30144.583980192823</v>
      </c>
      <c r="CJ20" s="271">
        <f t="shared" si="37"/>
        <v>27557.058360083898</v>
      </c>
      <c r="CK20" s="271">
        <f t="shared" si="37"/>
        <v>28083.17585982486</v>
      </c>
      <c r="CL20" s="271">
        <f t="shared" si="37"/>
        <v>28299.701224588498</v>
      </c>
      <c r="CM20" s="271">
        <v>28825.80717034687</v>
      </c>
      <c r="CN20" s="270"/>
      <c r="CO20" s="271">
        <f t="shared" ref="CO20:CX20" si="38">(($D20*CO$3*(1+CO$7)/1000*(1+CO$8)))*CO$16</f>
        <v>35427.602972698704</v>
      </c>
      <c r="CP20" s="271">
        <f t="shared" si="38"/>
        <v>23477.750109478115</v>
      </c>
      <c r="CQ20" s="271">
        <f t="shared" si="38"/>
        <v>29325.508999445487</v>
      </c>
      <c r="CR20" s="271">
        <f t="shared" si="38"/>
        <v>31434.036282179659</v>
      </c>
      <c r="CS20" s="271">
        <f t="shared" si="38"/>
        <v>32568.025262973366</v>
      </c>
      <c r="CT20" s="271">
        <f t="shared" si="38"/>
        <v>32933.686422794119</v>
      </c>
      <c r="CU20" s="271">
        <f t="shared" si="38"/>
        <v>32687.298482358754</v>
      </c>
      <c r="CV20" s="271">
        <f t="shared" si="38"/>
        <v>32677.278802042532</v>
      </c>
      <c r="CW20" s="271">
        <f t="shared" si="38"/>
        <v>34395.653725498691</v>
      </c>
      <c r="CX20" s="271">
        <f t="shared" si="38"/>
        <v>33867.08148438167</v>
      </c>
      <c r="CY20" s="271">
        <f t="shared" ref="CY20:DG20" si="39">(($D20*CY$3*(1+CY$7)/1000*(1+CY$8)))*CY$16</f>
        <v>32843.494750729355</v>
      </c>
      <c r="CZ20" s="271">
        <f t="shared" si="39"/>
        <v>36382.681055793437</v>
      </c>
      <c r="DA20" s="271">
        <f t="shared" si="39"/>
        <v>36478.38925548135</v>
      </c>
      <c r="DB20" s="271">
        <f t="shared" si="39"/>
        <v>39599.331062115758</v>
      </c>
      <c r="DC20" s="271">
        <f t="shared" si="39"/>
        <v>40836.151564453423</v>
      </c>
      <c r="DD20" s="271">
        <f t="shared" si="39"/>
        <v>39595.217977358843</v>
      </c>
      <c r="DE20" s="271">
        <f t="shared" si="39"/>
        <v>38806.201580298446</v>
      </c>
      <c r="DF20" s="271">
        <f t="shared" si="39"/>
        <v>38242.696897676644</v>
      </c>
      <c r="DG20" s="271">
        <f t="shared" si="39"/>
        <v>36507.163055766119</v>
      </c>
    </row>
    <row r="21" spans="1:111" x14ac:dyDescent="0.35">
      <c r="A21" s="284"/>
      <c r="C21" s="99" t="s">
        <v>6</v>
      </c>
      <c r="D21" s="1">
        <v>19.5</v>
      </c>
      <c r="E21" s="1"/>
      <c r="F21" s="1"/>
      <c r="G21" s="1"/>
      <c r="H21" s="1"/>
      <c r="I21" s="1"/>
      <c r="J21" s="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/>
      <c r="BO21" s="271"/>
      <c r="BP21" s="271"/>
      <c r="BQ21" s="271"/>
      <c r="BR21" s="271"/>
      <c r="BT21" s="271"/>
      <c r="BU21" s="271"/>
      <c r="BV21" s="271"/>
      <c r="BW21" s="271"/>
      <c r="BX21" s="271"/>
      <c r="BY21" s="271"/>
      <c r="BZ21" s="271"/>
      <c r="CA21" s="271"/>
      <c r="CB21" s="271"/>
      <c r="CC21" s="271"/>
      <c r="CD21" s="271"/>
      <c r="CE21" s="271"/>
      <c r="CF21" s="271">
        <f t="shared" ref="CF21:CL21" si="40">(($D21*CF$6*(1+CF$7)/1000*(1+CF$8)))*CF$16</f>
        <v>0</v>
      </c>
      <c r="CG21" s="271">
        <f t="shared" si="40"/>
        <v>41734.549294944183</v>
      </c>
      <c r="CH21" s="271">
        <f t="shared" si="40"/>
        <v>42861.690447029992</v>
      </c>
      <c r="CI21" s="271">
        <f t="shared" si="40"/>
        <v>43367.134909848741</v>
      </c>
      <c r="CJ21" s="271">
        <f t="shared" si="40"/>
        <v>45009.829414009677</v>
      </c>
      <c r="CK21" s="271">
        <f t="shared" si="40"/>
        <v>45869.085000801555</v>
      </c>
      <c r="CL21" s="271">
        <f t="shared" si="40"/>
        <v>46222.896124774677</v>
      </c>
      <c r="CM21" s="271">
        <v>47082.151711566556</v>
      </c>
      <c r="CN21" s="270"/>
      <c r="CO21" s="271">
        <f t="shared" ref="CO21:DG21" si="41">(($D21*CO$6*(1+CO$7)/1000*(1+CO$8)))*CO$16</f>
        <v>35427.602972698704</v>
      </c>
      <c r="CP21" s="271">
        <f t="shared" si="41"/>
        <v>23477.750109478115</v>
      </c>
      <c r="CQ21" s="271">
        <f t="shared" si="41"/>
        <v>29325.508999445487</v>
      </c>
      <c r="CR21" s="271">
        <f t="shared" si="41"/>
        <v>31434.036282179659</v>
      </c>
      <c r="CS21" s="271">
        <f t="shared" si="41"/>
        <v>32568.025262973366</v>
      </c>
      <c r="CT21" s="271">
        <f t="shared" si="41"/>
        <v>32933.686422794119</v>
      </c>
      <c r="CU21" s="271">
        <f t="shared" si="41"/>
        <v>32687.298482358754</v>
      </c>
      <c r="CV21" s="271">
        <f t="shared" si="41"/>
        <v>32677.278802042532</v>
      </c>
      <c r="CW21" s="271">
        <f t="shared" si="41"/>
        <v>34395.653725498691</v>
      </c>
      <c r="CX21" s="271">
        <f t="shared" si="41"/>
        <v>33867.08148438167</v>
      </c>
      <c r="CY21" s="271">
        <f t="shared" si="41"/>
        <v>32843.494750729355</v>
      </c>
      <c r="CZ21" s="271">
        <f t="shared" si="41"/>
        <v>36382.681055793437</v>
      </c>
      <c r="DA21" s="271">
        <f t="shared" si="41"/>
        <v>36478.38925548135</v>
      </c>
      <c r="DB21" s="271">
        <f t="shared" si="41"/>
        <v>39599.331062115758</v>
      </c>
      <c r="DC21" s="271">
        <f t="shared" si="41"/>
        <v>40836.151564453423</v>
      </c>
      <c r="DD21" s="271">
        <f t="shared" si="41"/>
        <v>39595.217977358843</v>
      </c>
      <c r="DE21" s="271">
        <f t="shared" si="41"/>
        <v>38806.201580298446</v>
      </c>
      <c r="DF21" s="271">
        <f t="shared" si="41"/>
        <v>38242.696897676644</v>
      </c>
      <c r="DG21" s="271">
        <f t="shared" si="41"/>
        <v>36507.163055766119</v>
      </c>
    </row>
    <row r="22" spans="1:111" x14ac:dyDescent="0.35">
      <c r="A22" s="284"/>
      <c r="C22" s="1" t="s">
        <v>5</v>
      </c>
      <c r="D22" s="1">
        <v>22.1</v>
      </c>
      <c r="E22" s="1"/>
      <c r="F22" s="1"/>
      <c r="G22" s="1"/>
      <c r="H22" s="1"/>
      <c r="I22" s="1"/>
      <c r="J22" s="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1"/>
      <c r="BK22" s="271"/>
      <c r="BL22" s="271"/>
      <c r="BM22" s="271"/>
      <c r="BN22" s="271"/>
      <c r="BO22" s="271"/>
      <c r="BP22" s="271"/>
      <c r="BQ22" s="271"/>
      <c r="BR22" s="271"/>
      <c r="BT22" s="271">
        <f t="shared" ref="BT22:CL22" si="42">+($D22*BT$3*(1+BT$7)/1000*(1+BT$8))*BT$16</f>
        <v>6306.8416200588299</v>
      </c>
      <c r="BU22" s="271">
        <f t="shared" si="42"/>
        <v>6656.9042485569526</v>
      </c>
      <c r="BV22" s="271">
        <f t="shared" si="42"/>
        <v>6890.2137132432372</v>
      </c>
      <c r="BW22" s="271">
        <f t="shared" si="42"/>
        <v>7520.412708319951</v>
      </c>
      <c r="BX22" s="271">
        <f t="shared" si="42"/>
        <v>8049.0842234138154</v>
      </c>
      <c r="BY22" s="271">
        <f t="shared" si="42"/>
        <v>8906.7946839098931</v>
      </c>
      <c r="BZ22" s="271">
        <f t="shared" si="42"/>
        <v>9010.4776052368616</v>
      </c>
      <c r="CA22" s="271">
        <f t="shared" si="42"/>
        <v>9227.7555157667739</v>
      </c>
      <c r="CB22" s="271">
        <f t="shared" si="42"/>
        <v>10213.893546546889</v>
      </c>
      <c r="CC22" s="271">
        <f t="shared" si="42"/>
        <v>10647.808397946632</v>
      </c>
      <c r="CD22" s="271">
        <f t="shared" si="42"/>
        <v>10743.093328847437</v>
      </c>
      <c r="CE22" s="271">
        <f t="shared" si="42"/>
        <v>10849.620542912087</v>
      </c>
      <c r="CF22" s="271">
        <f t="shared" si="42"/>
        <v>34003.37394359977</v>
      </c>
      <c r="CG22" s="271">
        <f t="shared" si="42"/>
        <v>35445.408233844842</v>
      </c>
      <c r="CH22" s="271">
        <f t="shared" si="42"/>
        <v>34657.904580243361</v>
      </c>
      <c r="CI22" s="271">
        <f t="shared" si="42"/>
        <v>34163.86184421854</v>
      </c>
      <c r="CJ22" s="271">
        <f t="shared" si="42"/>
        <v>31231.332808095081</v>
      </c>
      <c r="CK22" s="271">
        <f t="shared" si="42"/>
        <v>31827.599307801505</v>
      </c>
      <c r="CL22" s="271">
        <f t="shared" si="42"/>
        <v>32072.994721200295</v>
      </c>
      <c r="CM22" s="271">
        <v>32669.248126393126</v>
      </c>
      <c r="CN22" s="270"/>
      <c r="CO22" s="271">
        <f t="shared" ref="CO22:DG22" si="43">+($D22*CO$3*(1+CO$7)/1000*(1+CO$8))*CO$16</f>
        <v>40151.283369058539</v>
      </c>
      <c r="CP22" s="271">
        <f t="shared" si="43"/>
        <v>26608.116790741871</v>
      </c>
      <c r="CQ22" s="271">
        <f t="shared" si="43"/>
        <v>33235.576866038224</v>
      </c>
      <c r="CR22" s="271">
        <f t="shared" si="43"/>
        <v>35625.241119803606</v>
      </c>
      <c r="CS22" s="271">
        <f t="shared" si="43"/>
        <v>36910.428631369825</v>
      </c>
      <c r="CT22" s="271">
        <f t="shared" si="43"/>
        <v>37324.844612500005</v>
      </c>
      <c r="CU22" s="271">
        <f t="shared" si="43"/>
        <v>37045.604946673266</v>
      </c>
      <c r="CV22" s="271">
        <f t="shared" si="43"/>
        <v>37034.249308981547</v>
      </c>
      <c r="CW22" s="271">
        <f t="shared" si="43"/>
        <v>38981.740888898516</v>
      </c>
      <c r="CX22" s="271">
        <f t="shared" si="43"/>
        <v>38382.692348965895</v>
      </c>
      <c r="CY22" s="271">
        <f t="shared" si="43"/>
        <v>37222.62738415994</v>
      </c>
      <c r="CZ22" s="271">
        <f t="shared" si="43"/>
        <v>41233.705196565897</v>
      </c>
      <c r="DA22" s="271">
        <f t="shared" si="43"/>
        <v>41342.174489545534</v>
      </c>
      <c r="DB22" s="271">
        <f t="shared" si="43"/>
        <v>44879.241870397876</v>
      </c>
      <c r="DC22" s="271">
        <f t="shared" si="43"/>
        <v>46280.971773047226</v>
      </c>
      <c r="DD22" s="271">
        <f t="shared" si="43"/>
        <v>44874.580374340025</v>
      </c>
      <c r="DE22" s="271">
        <f t="shared" si="43"/>
        <v>43980.3617910049</v>
      </c>
      <c r="DF22" s="271">
        <f t="shared" si="43"/>
        <v>43341.7231507002</v>
      </c>
      <c r="DG22" s="271">
        <f t="shared" si="43"/>
        <v>41374.784796534936</v>
      </c>
    </row>
    <row r="23" spans="1:111" x14ac:dyDescent="0.35">
      <c r="A23" s="284"/>
      <c r="C23" s="1" t="s">
        <v>5</v>
      </c>
      <c r="D23" s="1">
        <v>22</v>
      </c>
      <c r="E23" s="1"/>
      <c r="F23" s="1"/>
      <c r="G23" s="1"/>
      <c r="H23" s="1"/>
      <c r="I23" s="1"/>
      <c r="J23" s="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T23" s="271">
        <f>+($D23*BT$3*(1+BT$7)/1000*(1+BT$8))*BT$16</f>
        <v>6278.3038751716822</v>
      </c>
      <c r="BU23" s="271">
        <f>+($D23*BU$3*(1+BU$7)/1000*(1+BU$8))*BU$16</f>
        <v>6626.7825098756985</v>
      </c>
      <c r="BV23" s="271">
        <f t="shared" ref="BV23:CL23" si="44">+($D23*BV$3*(1+BV$7)/1000*(1+BV$8))*BV$16*0</f>
        <v>0</v>
      </c>
      <c r="BW23" s="271">
        <f t="shared" si="44"/>
        <v>0</v>
      </c>
      <c r="BX23" s="271">
        <f t="shared" si="44"/>
        <v>0</v>
      </c>
      <c r="BY23" s="271">
        <f t="shared" si="44"/>
        <v>0</v>
      </c>
      <c r="BZ23" s="271">
        <f t="shared" si="44"/>
        <v>0</v>
      </c>
      <c r="CA23" s="271">
        <f t="shared" si="44"/>
        <v>0</v>
      </c>
      <c r="CB23" s="271">
        <f t="shared" si="44"/>
        <v>0</v>
      </c>
      <c r="CC23" s="271">
        <f t="shared" si="44"/>
        <v>0</v>
      </c>
      <c r="CD23" s="271">
        <f t="shared" si="44"/>
        <v>0</v>
      </c>
      <c r="CE23" s="271">
        <f t="shared" si="44"/>
        <v>0</v>
      </c>
      <c r="CF23" s="271">
        <f t="shared" si="44"/>
        <v>0</v>
      </c>
      <c r="CG23" s="271">
        <f t="shared" si="44"/>
        <v>0</v>
      </c>
      <c r="CH23" s="271">
        <f t="shared" si="44"/>
        <v>0</v>
      </c>
      <c r="CI23" s="271">
        <f t="shared" si="44"/>
        <v>0</v>
      </c>
      <c r="CJ23" s="271">
        <f t="shared" si="44"/>
        <v>0</v>
      </c>
      <c r="CK23" s="271">
        <f t="shared" si="44"/>
        <v>0</v>
      </c>
      <c r="CL23" s="271">
        <f t="shared" si="44"/>
        <v>0</v>
      </c>
      <c r="CM23" s="271">
        <v>0</v>
      </c>
      <c r="CN23" s="270"/>
      <c r="CO23" s="271">
        <f t="shared" ref="CO23:DG23" si="45">+($D23*CO$3*(1+CO$7)/1000*(1+CO$8))*CO$16*0</f>
        <v>0</v>
      </c>
      <c r="CP23" s="271">
        <f t="shared" si="45"/>
        <v>0</v>
      </c>
      <c r="CQ23" s="271">
        <f t="shared" si="45"/>
        <v>0</v>
      </c>
      <c r="CR23" s="271">
        <f t="shared" si="45"/>
        <v>0</v>
      </c>
      <c r="CS23" s="271">
        <f t="shared" si="45"/>
        <v>0</v>
      </c>
      <c r="CT23" s="271">
        <f t="shared" si="45"/>
        <v>0</v>
      </c>
      <c r="CU23" s="271">
        <f t="shared" si="45"/>
        <v>0</v>
      </c>
      <c r="CV23" s="271">
        <f t="shared" si="45"/>
        <v>0</v>
      </c>
      <c r="CW23" s="271">
        <f t="shared" si="45"/>
        <v>0</v>
      </c>
      <c r="CX23" s="271">
        <f t="shared" si="45"/>
        <v>0</v>
      </c>
      <c r="CY23" s="271">
        <f t="shared" si="45"/>
        <v>0</v>
      </c>
      <c r="CZ23" s="271">
        <f t="shared" si="45"/>
        <v>0</v>
      </c>
      <c r="DA23" s="271">
        <f t="shared" si="45"/>
        <v>0</v>
      </c>
      <c r="DB23" s="271">
        <f t="shared" si="45"/>
        <v>0</v>
      </c>
      <c r="DC23" s="271">
        <f t="shared" si="45"/>
        <v>0</v>
      </c>
      <c r="DD23" s="271">
        <f t="shared" si="45"/>
        <v>0</v>
      </c>
      <c r="DE23" s="271">
        <f t="shared" si="45"/>
        <v>0</v>
      </c>
      <c r="DF23" s="271">
        <f t="shared" si="45"/>
        <v>0</v>
      </c>
      <c r="DG23" s="271">
        <f t="shared" si="45"/>
        <v>0</v>
      </c>
    </row>
    <row r="24" spans="1:111" x14ac:dyDescent="0.35">
      <c r="A24" s="284"/>
      <c r="C24" s="1" t="s">
        <v>5</v>
      </c>
      <c r="D24" s="1">
        <v>25</v>
      </c>
      <c r="E24" s="1"/>
      <c r="F24" s="1"/>
      <c r="G24" s="1"/>
      <c r="H24" s="1"/>
      <c r="I24" s="1"/>
      <c r="J24" s="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1"/>
      <c r="BK24" s="271"/>
      <c r="BL24" s="271"/>
      <c r="BM24" s="271"/>
      <c r="BN24" s="271"/>
      <c r="BO24" s="271"/>
      <c r="BP24" s="271"/>
      <c r="BQ24" s="271"/>
      <c r="BR24" s="271"/>
      <c r="BT24" s="271">
        <f>+($D24*BT$3*(1+BT$7)/1000*(1+BT$8))*BT$16</f>
        <v>7134.4362217860034</v>
      </c>
      <c r="BU24" s="271">
        <f>+($D24*BU$3*(1+BU$7)/1000*(1+BU$8))*BU$16</f>
        <v>7530.4346703132933</v>
      </c>
      <c r="BV24" s="271">
        <f t="shared" ref="BV24:CL24" si="46">+($D24*BV$3*(1+BV$7)/1000*(1+BV$8))*BV$16</f>
        <v>7794.3594041213109</v>
      </c>
      <c r="BW24" s="271">
        <f t="shared" si="46"/>
        <v>8507.2541949320712</v>
      </c>
      <c r="BX24" s="271">
        <f t="shared" si="46"/>
        <v>9105.2988952644955</v>
      </c>
      <c r="BY24" s="271">
        <f t="shared" si="46"/>
        <v>10075.559597183137</v>
      </c>
      <c r="BZ24" s="271">
        <f t="shared" si="46"/>
        <v>10192.847969724957</v>
      </c>
      <c r="CA24" s="271">
        <f t="shared" si="46"/>
        <v>10438.637461274629</v>
      </c>
      <c r="CB24" s="271">
        <f t="shared" si="46"/>
        <v>11554.178220075664</v>
      </c>
      <c r="CC24" s="271">
        <f t="shared" si="46"/>
        <v>12045.032124374018</v>
      </c>
      <c r="CD24" s="271">
        <f t="shared" si="46"/>
        <v>12152.820507745968</v>
      </c>
      <c r="CE24" s="271">
        <f t="shared" si="46"/>
        <v>12273.326406009146</v>
      </c>
      <c r="CF24" s="271">
        <f t="shared" si="46"/>
        <v>38465.355139818748</v>
      </c>
      <c r="CG24" s="271">
        <f t="shared" si="46"/>
        <v>40096.615649145751</v>
      </c>
      <c r="CH24" s="271">
        <f t="shared" si="46"/>
        <v>39205.774412039995</v>
      </c>
      <c r="CI24" s="271">
        <f t="shared" si="46"/>
        <v>38646.902538708746</v>
      </c>
      <c r="CJ24" s="271">
        <f t="shared" si="46"/>
        <v>35329.562000107559</v>
      </c>
      <c r="CK24" s="271">
        <f t="shared" si="46"/>
        <v>36004.071615160079</v>
      </c>
      <c r="CL24" s="271">
        <f t="shared" si="46"/>
        <v>36281.668236651924</v>
      </c>
      <c r="CM24" s="271">
        <v>36956.163038906241</v>
      </c>
      <c r="CN24" s="270"/>
      <c r="CO24" s="271">
        <f t="shared" ref="CO24:DG24" si="47">+($D24*CO$3*(1+CO$7)/1000*(1+CO$8))*CO$16</f>
        <v>45420.003811152179</v>
      </c>
      <c r="CP24" s="271">
        <f t="shared" si="47"/>
        <v>30099.67962753605</v>
      </c>
      <c r="CQ24" s="271">
        <f t="shared" si="47"/>
        <v>37596.806409545497</v>
      </c>
      <c r="CR24" s="271">
        <f t="shared" si="47"/>
        <v>40300.046515614944</v>
      </c>
      <c r="CS24" s="271">
        <f t="shared" si="47"/>
        <v>41753.878542273553</v>
      </c>
      <c r="CT24" s="271">
        <f t="shared" si="47"/>
        <v>42222.674901018101</v>
      </c>
      <c r="CU24" s="271">
        <f t="shared" si="47"/>
        <v>41906.79292610097</v>
      </c>
      <c r="CV24" s="271">
        <f t="shared" si="47"/>
        <v>41893.947182105818</v>
      </c>
      <c r="CW24" s="271">
        <f t="shared" si="47"/>
        <v>44096.99195576756</v>
      </c>
      <c r="CX24" s="271">
        <f t="shared" si="47"/>
        <v>43419.33523638676</v>
      </c>
      <c r="CY24" s="271">
        <f t="shared" si="47"/>
        <v>42107.044552217121</v>
      </c>
      <c r="CZ24" s="271">
        <f t="shared" si="47"/>
        <v>46644.462892042859</v>
      </c>
      <c r="DA24" s="271">
        <f t="shared" si="47"/>
        <v>46767.165712155584</v>
      </c>
      <c r="DB24" s="271">
        <f t="shared" si="47"/>
        <v>50768.373156558657</v>
      </c>
      <c r="DC24" s="271">
        <f t="shared" si="47"/>
        <v>52354.040467247978</v>
      </c>
      <c r="DD24" s="271">
        <f t="shared" si="47"/>
        <v>50763.099970972871</v>
      </c>
      <c r="DE24" s="271">
        <f t="shared" si="47"/>
        <v>49751.54048756211</v>
      </c>
      <c r="DF24" s="271">
        <f t="shared" si="47"/>
        <v>49029.098586764929</v>
      </c>
      <c r="DG24" s="271">
        <f t="shared" si="47"/>
        <v>46804.055199700153</v>
      </c>
    </row>
    <row r="25" spans="1:111" x14ac:dyDescent="0.35">
      <c r="A25" s="284"/>
      <c r="C25" s="1" t="s">
        <v>7</v>
      </c>
      <c r="D25" s="1">
        <v>25</v>
      </c>
      <c r="E25" s="1"/>
      <c r="F25" s="1"/>
      <c r="G25" s="1"/>
      <c r="H25" s="1"/>
      <c r="I25" s="1"/>
      <c r="J25" s="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1"/>
      <c r="BK25" s="271"/>
      <c r="BL25" s="271"/>
      <c r="BM25" s="271"/>
      <c r="BN25" s="271"/>
      <c r="BO25" s="271"/>
      <c r="BP25" s="271"/>
      <c r="BQ25" s="271"/>
      <c r="BR25" s="271"/>
      <c r="BT25" s="271"/>
      <c r="BU25" s="271"/>
      <c r="BV25" s="271"/>
      <c r="BW25" s="271"/>
      <c r="BX25" s="271"/>
      <c r="BY25" s="271"/>
      <c r="BZ25" s="271"/>
      <c r="CA25" s="271"/>
      <c r="CB25" s="271"/>
      <c r="CC25" s="271"/>
      <c r="CD25" s="271"/>
      <c r="CE25" s="271"/>
      <c r="CF25" s="271">
        <f t="shared" ref="CF25:CL25" si="48">+($D25*CF$6*(1+CF$7)/1000*(1+CF$8))*CF$16</f>
        <v>0</v>
      </c>
      <c r="CG25" s="271">
        <f t="shared" si="48"/>
        <v>53505.832429415612</v>
      </c>
      <c r="CH25" s="271">
        <f t="shared" si="48"/>
        <v>54950.885188499989</v>
      </c>
      <c r="CI25" s="271">
        <f t="shared" si="48"/>
        <v>55598.890910062488</v>
      </c>
      <c r="CJ25" s="271">
        <f t="shared" si="48"/>
        <v>57704.909505140611</v>
      </c>
      <c r="CK25" s="271">
        <f t="shared" si="48"/>
        <v>58806.519231796861</v>
      </c>
      <c r="CL25" s="271">
        <f t="shared" si="48"/>
        <v>59260.123236890613</v>
      </c>
      <c r="CM25" s="271">
        <v>60361.732963546863</v>
      </c>
      <c r="CN25" s="270"/>
      <c r="CO25" s="271">
        <f t="shared" ref="CO25:DG25" si="49">+($D25*CO$6*(1+CO$7)/1000*(1+CO$8))*CO$16</f>
        <v>45420.003811152179</v>
      </c>
      <c r="CP25" s="271">
        <f t="shared" si="49"/>
        <v>30099.67962753605</v>
      </c>
      <c r="CQ25" s="271">
        <f t="shared" si="49"/>
        <v>37596.806409545497</v>
      </c>
      <c r="CR25" s="271">
        <f t="shared" si="49"/>
        <v>40300.046515614944</v>
      </c>
      <c r="CS25" s="271">
        <f t="shared" si="49"/>
        <v>41753.878542273553</v>
      </c>
      <c r="CT25" s="271">
        <f t="shared" si="49"/>
        <v>42222.674901018101</v>
      </c>
      <c r="CU25" s="271">
        <f t="shared" si="49"/>
        <v>41906.79292610097</v>
      </c>
      <c r="CV25" s="271">
        <f t="shared" si="49"/>
        <v>41893.947182105818</v>
      </c>
      <c r="CW25" s="271">
        <f t="shared" si="49"/>
        <v>44096.99195576756</v>
      </c>
      <c r="CX25" s="271">
        <f t="shared" si="49"/>
        <v>43419.33523638676</v>
      </c>
      <c r="CY25" s="271">
        <f t="shared" si="49"/>
        <v>42107.044552217121</v>
      </c>
      <c r="CZ25" s="271">
        <f t="shared" si="49"/>
        <v>46644.462892042859</v>
      </c>
      <c r="DA25" s="271">
        <f t="shared" si="49"/>
        <v>46767.165712155584</v>
      </c>
      <c r="DB25" s="271">
        <f t="shared" si="49"/>
        <v>50768.373156558657</v>
      </c>
      <c r="DC25" s="271">
        <f t="shared" si="49"/>
        <v>52354.040467247978</v>
      </c>
      <c r="DD25" s="271">
        <f t="shared" si="49"/>
        <v>50763.099970972871</v>
      </c>
      <c r="DE25" s="271">
        <f t="shared" si="49"/>
        <v>49751.54048756211</v>
      </c>
      <c r="DF25" s="271">
        <f t="shared" si="49"/>
        <v>49029.098586764929</v>
      </c>
      <c r="DG25" s="271">
        <f t="shared" si="49"/>
        <v>46804.055199700153</v>
      </c>
    </row>
    <row r="26" spans="1:111" x14ac:dyDescent="0.35">
      <c r="A26" s="284"/>
      <c r="C26" s="1" t="s">
        <v>8</v>
      </c>
      <c r="D26" s="1">
        <v>37.200000000000003</v>
      </c>
      <c r="E26" s="1"/>
      <c r="F26" s="1"/>
      <c r="G26" s="1"/>
      <c r="H26" s="1"/>
      <c r="I26" s="1"/>
      <c r="J26" s="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1"/>
      <c r="BK26" s="271"/>
      <c r="BL26" s="271"/>
      <c r="BM26" s="271"/>
      <c r="BN26" s="271"/>
      <c r="BO26" s="271"/>
      <c r="BP26" s="271"/>
      <c r="BQ26" s="271"/>
      <c r="BR26" s="271"/>
      <c r="BT26" s="271">
        <f>+(4.62*BT$3*(1+BT$7)*0/1000*(1+BT$8))+($D$26*BT$3*(1+BT$7)/1000*(1+BT$8))*BT$16</f>
        <v>10616.041098017575</v>
      </c>
      <c r="BU26" s="271">
        <f>+(4.62*BU$3*(1+BU$7)*0/1000*(1+BU$8))+($D$26*BU$3*(1+BU$7)/1000*(1+BU$8))*BU$16</f>
        <v>11205.286789426182</v>
      </c>
      <c r="BV26" s="271">
        <f>+(+(D26*BV$3*(1+BV$7)/1000*(1+BV$8))*BV$16)</f>
        <v>11598.00679333251</v>
      </c>
      <c r="BW26" s="271">
        <f t="shared" ref="BW26:CL26" si="50">+(+($D$26*BW$3*(1+BW$7)/1000*(1+BW$8))*BW$16)</f>
        <v>12658.794242058922</v>
      </c>
      <c r="BX26" s="271">
        <f t="shared" si="50"/>
        <v>13548.684756153571</v>
      </c>
      <c r="BY26" s="271">
        <f t="shared" si="50"/>
        <v>14992.432680608506</v>
      </c>
      <c r="BZ26" s="271">
        <f t="shared" si="50"/>
        <v>15166.957778950737</v>
      </c>
      <c r="CA26" s="271">
        <f t="shared" si="50"/>
        <v>15532.692542376652</v>
      </c>
      <c r="CB26" s="271">
        <f t="shared" si="50"/>
        <v>17192.617191472593</v>
      </c>
      <c r="CC26" s="271">
        <f t="shared" si="50"/>
        <v>17923.007801068543</v>
      </c>
      <c r="CD26" s="271">
        <f t="shared" si="50"/>
        <v>18083.396915526002</v>
      </c>
      <c r="CE26" s="271">
        <f t="shared" si="50"/>
        <v>18262.709692141609</v>
      </c>
      <c r="CF26" s="271">
        <f t="shared" si="50"/>
        <v>57236.448448050302</v>
      </c>
      <c r="CG26" s="271">
        <f t="shared" si="50"/>
        <v>59663.76408592888</v>
      </c>
      <c r="CH26" s="271">
        <f t="shared" si="50"/>
        <v>58338.192325115509</v>
      </c>
      <c r="CI26" s="271">
        <f t="shared" si="50"/>
        <v>57506.590977598622</v>
      </c>
      <c r="CJ26" s="271">
        <f t="shared" si="50"/>
        <v>52570.388256160055</v>
      </c>
      <c r="CK26" s="271">
        <f t="shared" si="50"/>
        <v>53574.058563358194</v>
      </c>
      <c r="CL26" s="271">
        <f t="shared" si="50"/>
        <v>53987.122336138062</v>
      </c>
      <c r="CM26" s="271">
        <v>54990.770601892502</v>
      </c>
      <c r="CN26" s="270"/>
      <c r="CO26" s="271">
        <f t="shared" ref="CO26:DG26" si="51">+(+($D$26*CO$3*(1+CO$7)/1000*(1+CO$8))*CO$16)</f>
        <v>67584.965670994468</v>
      </c>
      <c r="CP26" s="271">
        <f t="shared" si="51"/>
        <v>44788.323285773651</v>
      </c>
      <c r="CQ26" s="271">
        <f t="shared" si="51"/>
        <v>55944.047937403702</v>
      </c>
      <c r="CR26" s="271">
        <f t="shared" si="51"/>
        <v>59966.46921523504</v>
      </c>
      <c r="CS26" s="271">
        <f t="shared" si="51"/>
        <v>62129.771270903053</v>
      </c>
      <c r="CT26" s="271">
        <f t="shared" si="51"/>
        <v>62827.340252714945</v>
      </c>
      <c r="CU26" s="271">
        <f t="shared" si="51"/>
        <v>62357.307874038248</v>
      </c>
      <c r="CV26" s="271">
        <f t="shared" si="51"/>
        <v>62338.193406973463</v>
      </c>
      <c r="CW26" s="271">
        <f t="shared" si="51"/>
        <v>65616.324030182121</v>
      </c>
      <c r="CX26" s="271">
        <f t="shared" si="51"/>
        <v>64607.970831743492</v>
      </c>
      <c r="CY26" s="271">
        <f t="shared" si="51"/>
        <v>62655.282293699078</v>
      </c>
      <c r="CZ26" s="271">
        <f t="shared" si="51"/>
        <v>69406.960783359784</v>
      </c>
      <c r="DA26" s="271">
        <f t="shared" si="51"/>
        <v>69589.542579687506</v>
      </c>
      <c r="DB26" s="271">
        <f t="shared" si="51"/>
        <v>75543.339256959298</v>
      </c>
      <c r="DC26" s="271">
        <f t="shared" si="51"/>
        <v>77902.812215265003</v>
      </c>
      <c r="DD26" s="271">
        <f t="shared" si="51"/>
        <v>75535.492756807653</v>
      </c>
      <c r="DE26" s="271">
        <f t="shared" si="51"/>
        <v>74030.292245492397</v>
      </c>
      <c r="DF26" s="271">
        <f t="shared" si="51"/>
        <v>72955.298697106206</v>
      </c>
      <c r="DG26" s="271">
        <f t="shared" si="51"/>
        <v>69644.434137153847</v>
      </c>
    </row>
    <row r="27" spans="1:111" x14ac:dyDescent="0.35">
      <c r="A27" s="284"/>
      <c r="C27" s="1" t="s">
        <v>8</v>
      </c>
      <c r="D27" s="1">
        <v>40</v>
      </c>
      <c r="E27" s="1"/>
      <c r="F27" s="1"/>
      <c r="G27" s="1"/>
      <c r="H27" s="1"/>
      <c r="I27" s="1"/>
      <c r="J27" s="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T27" s="271">
        <f>+($D27*BT$3*(1+BT$7)/1000*(1+BT$8))*BT$16</f>
        <v>11415.097954857607</v>
      </c>
      <c r="BU27" s="271">
        <f>+($D27*BU$3*(1+BU$7)/1000*(1+BU$8))*BU$16</f>
        <v>12048.695472501269</v>
      </c>
      <c r="BV27" s="271">
        <f t="shared" ref="BV27:CL27" si="52">+($D27*BV$3*(1+BV$7)/1000*(1+BV$8))*BV$16*0</f>
        <v>0</v>
      </c>
      <c r="BW27" s="271">
        <f t="shared" si="52"/>
        <v>0</v>
      </c>
      <c r="BX27" s="271">
        <f t="shared" si="52"/>
        <v>0</v>
      </c>
      <c r="BY27" s="271">
        <f t="shared" si="52"/>
        <v>0</v>
      </c>
      <c r="BZ27" s="271">
        <f t="shared" si="52"/>
        <v>0</v>
      </c>
      <c r="CA27" s="271">
        <f t="shared" si="52"/>
        <v>0</v>
      </c>
      <c r="CB27" s="271">
        <f t="shared" si="52"/>
        <v>0</v>
      </c>
      <c r="CC27" s="271">
        <f t="shared" si="52"/>
        <v>0</v>
      </c>
      <c r="CD27" s="271">
        <f t="shared" si="52"/>
        <v>0</v>
      </c>
      <c r="CE27" s="271">
        <f t="shared" si="52"/>
        <v>0</v>
      </c>
      <c r="CF27" s="271">
        <f t="shared" si="52"/>
        <v>0</v>
      </c>
      <c r="CG27" s="271">
        <f t="shared" si="52"/>
        <v>0</v>
      </c>
      <c r="CH27" s="271">
        <f t="shared" si="52"/>
        <v>0</v>
      </c>
      <c r="CI27" s="271">
        <f t="shared" si="52"/>
        <v>0</v>
      </c>
      <c r="CJ27" s="271">
        <f t="shared" si="52"/>
        <v>0</v>
      </c>
      <c r="CK27" s="271">
        <f t="shared" si="52"/>
        <v>0</v>
      </c>
      <c r="CL27" s="271">
        <f t="shared" si="52"/>
        <v>0</v>
      </c>
      <c r="CM27" s="271">
        <v>0</v>
      </c>
      <c r="CN27" s="270"/>
      <c r="CO27" s="271">
        <f t="shared" ref="CO27:DG27" si="53">+($D27*CO$3*(1+CO$7)/1000*(1+CO$8))*CO$16*0</f>
        <v>0</v>
      </c>
      <c r="CP27" s="271">
        <f t="shared" si="53"/>
        <v>0</v>
      </c>
      <c r="CQ27" s="271">
        <f t="shared" si="53"/>
        <v>0</v>
      </c>
      <c r="CR27" s="271">
        <f t="shared" si="53"/>
        <v>0</v>
      </c>
      <c r="CS27" s="271">
        <f t="shared" si="53"/>
        <v>0</v>
      </c>
      <c r="CT27" s="271">
        <f t="shared" si="53"/>
        <v>0</v>
      </c>
      <c r="CU27" s="271">
        <f t="shared" si="53"/>
        <v>0</v>
      </c>
      <c r="CV27" s="271">
        <f t="shared" si="53"/>
        <v>0</v>
      </c>
      <c r="CW27" s="271">
        <f t="shared" si="53"/>
        <v>0</v>
      </c>
      <c r="CX27" s="271">
        <f t="shared" si="53"/>
        <v>0</v>
      </c>
      <c r="CY27" s="271">
        <f t="shared" si="53"/>
        <v>0</v>
      </c>
      <c r="CZ27" s="271">
        <f t="shared" si="53"/>
        <v>0</v>
      </c>
      <c r="DA27" s="271">
        <f t="shared" si="53"/>
        <v>0</v>
      </c>
      <c r="DB27" s="271">
        <f t="shared" si="53"/>
        <v>0</v>
      </c>
      <c r="DC27" s="271">
        <f t="shared" si="53"/>
        <v>0</v>
      </c>
      <c r="DD27" s="271">
        <f t="shared" si="53"/>
        <v>0</v>
      </c>
      <c r="DE27" s="271">
        <f t="shared" si="53"/>
        <v>0</v>
      </c>
      <c r="DF27" s="271">
        <f t="shared" si="53"/>
        <v>0</v>
      </c>
      <c r="DG27" s="271">
        <f t="shared" si="53"/>
        <v>0</v>
      </c>
    </row>
    <row r="28" spans="1:111" x14ac:dyDescent="0.35">
      <c r="A28" s="284"/>
      <c r="C28" s="1" t="s">
        <v>8</v>
      </c>
      <c r="D28" s="1">
        <v>44</v>
      </c>
      <c r="E28" s="1"/>
      <c r="F28" s="1"/>
      <c r="G28" s="1"/>
      <c r="H28" s="1"/>
      <c r="I28" s="1"/>
      <c r="J28" s="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T28" s="271">
        <f>+($D28*BT$3*(1+BT$7)/1000*(1+BT$8))*BT$16</f>
        <v>12556.607750343364</v>
      </c>
      <c r="BU28" s="271">
        <f>+($D28*BU$3*(1+BU$7)/1000*(1+BU$8))*BU$16</f>
        <v>13253.565019751397</v>
      </c>
      <c r="BV28" s="271">
        <f t="shared" ref="BV28:CL28" si="54">+($D28*BV$3*(1+BV$7)/1000*(1+BV$8))*BV$16</f>
        <v>13718.072551253505</v>
      </c>
      <c r="BW28" s="271">
        <f t="shared" si="54"/>
        <v>14972.767383080443</v>
      </c>
      <c r="BX28" s="271">
        <f t="shared" si="54"/>
        <v>16025.326055665515</v>
      </c>
      <c r="BY28" s="271">
        <f t="shared" si="54"/>
        <v>17732.984891042317</v>
      </c>
      <c r="BZ28" s="271">
        <f t="shared" si="54"/>
        <v>17939.41242671592</v>
      </c>
      <c r="CA28" s="271">
        <f t="shared" si="54"/>
        <v>18372.001931843348</v>
      </c>
      <c r="CB28" s="271">
        <f t="shared" si="54"/>
        <v>20335.353667333173</v>
      </c>
      <c r="CC28" s="271">
        <f t="shared" si="54"/>
        <v>21199.256538898273</v>
      </c>
      <c r="CD28" s="271">
        <f t="shared" si="54"/>
        <v>21388.964093632909</v>
      </c>
      <c r="CE28" s="271">
        <f t="shared" si="54"/>
        <v>21601.054474576096</v>
      </c>
      <c r="CF28" s="271">
        <f t="shared" si="54"/>
        <v>67699.025046080991</v>
      </c>
      <c r="CG28" s="271">
        <f t="shared" si="54"/>
        <v>70570.043542496511</v>
      </c>
      <c r="CH28" s="271">
        <f t="shared" si="54"/>
        <v>69002.162965190393</v>
      </c>
      <c r="CI28" s="271">
        <f t="shared" si="54"/>
        <v>68018.548468127396</v>
      </c>
      <c r="CJ28" s="271">
        <f t="shared" si="54"/>
        <v>62180.029120189312</v>
      </c>
      <c r="CK28" s="271">
        <f t="shared" si="54"/>
        <v>63367.166042681733</v>
      </c>
      <c r="CL28" s="271">
        <f t="shared" si="54"/>
        <v>63855.736096507375</v>
      </c>
      <c r="CM28" s="271">
        <v>65042.846948474995</v>
      </c>
      <c r="CN28" s="270"/>
      <c r="CO28" s="271">
        <f t="shared" ref="CO28:DG28" si="55">+($D28*CO$3*(1+CO$7)/1000*(1+CO$8))*CO$16</f>
        <v>79939.206707627833</v>
      </c>
      <c r="CP28" s="271">
        <f t="shared" si="55"/>
        <v>52975.436144463456</v>
      </c>
      <c r="CQ28" s="271">
        <f t="shared" si="55"/>
        <v>66170.379280800087</v>
      </c>
      <c r="CR28" s="271">
        <f t="shared" si="55"/>
        <v>70928.081867482309</v>
      </c>
      <c r="CS28" s="271">
        <f t="shared" si="55"/>
        <v>73486.826234401437</v>
      </c>
      <c r="CT28" s="271">
        <f t="shared" si="55"/>
        <v>74311.907825791874</v>
      </c>
      <c r="CU28" s="271">
        <f t="shared" si="55"/>
        <v>73755.955549937702</v>
      </c>
      <c r="CV28" s="271">
        <f t="shared" si="55"/>
        <v>73733.34704050624</v>
      </c>
      <c r="CW28" s="271">
        <f t="shared" si="55"/>
        <v>77610.705842150885</v>
      </c>
      <c r="CX28" s="271">
        <f t="shared" si="55"/>
        <v>76418.030016040691</v>
      </c>
      <c r="CY28" s="271">
        <f t="shared" si="55"/>
        <v>74108.398411902133</v>
      </c>
      <c r="CZ28" s="271">
        <f t="shared" si="55"/>
        <v>82094.254689995447</v>
      </c>
      <c r="DA28" s="271">
        <f t="shared" si="55"/>
        <v>82310.211653393824</v>
      </c>
      <c r="DB28" s="271">
        <f t="shared" si="55"/>
        <v>89352.336755543263</v>
      </c>
      <c r="DC28" s="271">
        <f t="shared" si="55"/>
        <v>92143.111222356456</v>
      </c>
      <c r="DD28" s="271">
        <f t="shared" si="55"/>
        <v>89343.055948912253</v>
      </c>
      <c r="DE28" s="271">
        <f t="shared" si="55"/>
        <v>87562.711258109295</v>
      </c>
      <c r="DF28" s="271">
        <f t="shared" si="55"/>
        <v>86291.213512706279</v>
      </c>
      <c r="DG28" s="271">
        <f t="shared" si="55"/>
        <v>82375.13715147227</v>
      </c>
    </row>
    <row r="29" spans="1:111" x14ac:dyDescent="0.35">
      <c r="A29" s="284"/>
      <c r="C29" s="1" t="s">
        <v>9</v>
      </c>
      <c r="D29" s="1">
        <v>42.6</v>
      </c>
      <c r="E29" s="1"/>
      <c r="F29" s="1"/>
      <c r="G29" s="1"/>
      <c r="H29" s="1"/>
      <c r="I29" s="1"/>
      <c r="J29" s="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T29" s="271">
        <f>(4*BT$3*(1+BT$7)*0/1000*(1+BT$8))+($D29*BT$3*(1+BT$7)/1000*(1+BT$8))*BT$16</f>
        <v>12157.079321923349</v>
      </c>
      <c r="BU29" s="271">
        <f>(4*BU$3*(1+BU$7)*0/1000*(1+BU$8))+($D29*BU$3*(1+BU$7)/1000*(1+BU$8))*BU$16</f>
        <v>12831.860678213854</v>
      </c>
      <c r="BV29" s="271">
        <f t="shared" ref="BV29:CL29" si="56">(4*BV$3*(1+BV$7)*0/1000*(1+BV$8))+($D29*BV$3*(1+BV$7)/1000*(1+BV$8))*BV$16*0</f>
        <v>0</v>
      </c>
      <c r="BW29" s="271">
        <f t="shared" si="56"/>
        <v>0</v>
      </c>
      <c r="BX29" s="271">
        <f t="shared" si="56"/>
        <v>0</v>
      </c>
      <c r="BY29" s="271">
        <f t="shared" si="56"/>
        <v>0</v>
      </c>
      <c r="BZ29" s="271">
        <f t="shared" si="56"/>
        <v>0</v>
      </c>
      <c r="CA29" s="271">
        <f t="shared" si="56"/>
        <v>0</v>
      </c>
      <c r="CB29" s="271">
        <f t="shared" si="56"/>
        <v>0</v>
      </c>
      <c r="CC29" s="271">
        <f t="shared" si="56"/>
        <v>0</v>
      </c>
      <c r="CD29" s="271">
        <f t="shared" si="56"/>
        <v>0</v>
      </c>
      <c r="CE29" s="271">
        <f t="shared" si="56"/>
        <v>0</v>
      </c>
      <c r="CF29" s="271">
        <f t="shared" si="56"/>
        <v>0</v>
      </c>
      <c r="CG29" s="271">
        <f t="shared" si="56"/>
        <v>0</v>
      </c>
      <c r="CH29" s="271">
        <f t="shared" si="56"/>
        <v>0</v>
      </c>
      <c r="CI29" s="271">
        <f t="shared" si="56"/>
        <v>0</v>
      </c>
      <c r="CJ29" s="271">
        <f t="shared" si="56"/>
        <v>0</v>
      </c>
      <c r="CK29" s="271">
        <f t="shared" si="56"/>
        <v>0</v>
      </c>
      <c r="CL29" s="271">
        <f t="shared" si="56"/>
        <v>0</v>
      </c>
      <c r="CM29" s="271">
        <v>0</v>
      </c>
      <c r="CN29" s="270"/>
      <c r="CO29" s="271">
        <f t="shared" ref="CO29:DG29" si="57">(4*CO$3*(1+CO$7)*0/1000*(1+CO$8))+($D29*CO$3*(1+CO$7)/1000*(1+CO$8))*CO$16*0</f>
        <v>0</v>
      </c>
      <c r="CP29" s="271">
        <f t="shared" si="57"/>
        <v>0</v>
      </c>
      <c r="CQ29" s="271">
        <f t="shared" si="57"/>
        <v>0</v>
      </c>
      <c r="CR29" s="271">
        <f t="shared" si="57"/>
        <v>0</v>
      </c>
      <c r="CS29" s="271">
        <f t="shared" si="57"/>
        <v>0</v>
      </c>
      <c r="CT29" s="271">
        <f t="shared" si="57"/>
        <v>0</v>
      </c>
      <c r="CU29" s="271">
        <f t="shared" si="57"/>
        <v>0</v>
      </c>
      <c r="CV29" s="271">
        <f t="shared" si="57"/>
        <v>0</v>
      </c>
      <c r="CW29" s="271">
        <f t="shared" si="57"/>
        <v>0</v>
      </c>
      <c r="CX29" s="271">
        <f t="shared" si="57"/>
        <v>0</v>
      </c>
      <c r="CY29" s="271">
        <f t="shared" si="57"/>
        <v>0</v>
      </c>
      <c r="CZ29" s="271">
        <f t="shared" si="57"/>
        <v>0</v>
      </c>
      <c r="DA29" s="271">
        <f t="shared" si="57"/>
        <v>0</v>
      </c>
      <c r="DB29" s="271">
        <f t="shared" si="57"/>
        <v>0</v>
      </c>
      <c r="DC29" s="271">
        <f t="shared" si="57"/>
        <v>0</v>
      </c>
      <c r="DD29" s="271">
        <f t="shared" si="57"/>
        <v>0</v>
      </c>
      <c r="DE29" s="271">
        <f t="shared" si="57"/>
        <v>0</v>
      </c>
      <c r="DF29" s="271">
        <f t="shared" si="57"/>
        <v>0</v>
      </c>
      <c r="DG29" s="271">
        <f t="shared" si="57"/>
        <v>0</v>
      </c>
    </row>
    <row r="30" spans="1:111" x14ac:dyDescent="0.35">
      <c r="A30" s="284"/>
      <c r="C30" s="1" t="s">
        <v>9</v>
      </c>
      <c r="D30" s="1">
        <v>46.6</v>
      </c>
      <c r="E30" s="1"/>
      <c r="F30" s="1"/>
      <c r="G30" s="1"/>
      <c r="H30" s="1"/>
      <c r="I30" s="1"/>
      <c r="J30" s="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  <c r="BT30" s="271">
        <f>(4.833*BT$3*(1+BT$7)*0/1000*(1+BT$8))+($D30*BT$3*(1+BT$7)/1000*(1+BT$8))*BT$16</f>
        <v>13298.589117409112</v>
      </c>
      <c r="BU30" s="271">
        <f>(4.833*BU$3*(1+BU$7)*0/1000*(1+BU$8))+($D30*BU$3*(1+BU$7)/1000*(1+BU$8))*BU$16</f>
        <v>14036.730225463978</v>
      </c>
      <c r="BV30" s="271">
        <f t="shared" ref="BV30:CL30" si="58">(+($D30*BV$3*(1+BV$7)/1000*(1+BV$8))*BV$16)</f>
        <v>14528.685929282123</v>
      </c>
      <c r="BW30" s="271">
        <f t="shared" si="58"/>
        <v>15857.521819353384</v>
      </c>
      <c r="BX30" s="271">
        <f t="shared" si="58"/>
        <v>16972.277140773025</v>
      </c>
      <c r="BY30" s="271">
        <f t="shared" si="58"/>
        <v>18780.843089149366</v>
      </c>
      <c r="BZ30" s="271">
        <f t="shared" si="58"/>
        <v>18999.468615567319</v>
      </c>
      <c r="CA30" s="271">
        <f t="shared" si="58"/>
        <v>19457.620227815914</v>
      </c>
      <c r="CB30" s="271">
        <f t="shared" si="58"/>
        <v>21536.98820222104</v>
      </c>
      <c r="CC30" s="271">
        <f t="shared" si="58"/>
        <v>22451.939879833171</v>
      </c>
      <c r="CD30" s="271">
        <f t="shared" si="58"/>
        <v>22652.857426438488</v>
      </c>
      <c r="CE30" s="271">
        <f t="shared" si="58"/>
        <v>22877.48042080105</v>
      </c>
      <c r="CF30" s="271">
        <f t="shared" si="58"/>
        <v>71699.421980622152</v>
      </c>
      <c r="CG30" s="271">
        <f t="shared" si="58"/>
        <v>74740.091570007673</v>
      </c>
      <c r="CH30" s="271">
        <f t="shared" si="58"/>
        <v>73079.56350404254</v>
      </c>
      <c r="CI30" s="271">
        <f t="shared" si="58"/>
        <v>72037.826332153098</v>
      </c>
      <c r="CJ30" s="271">
        <f t="shared" si="58"/>
        <v>65854.303568200485</v>
      </c>
      <c r="CK30" s="271">
        <f t="shared" si="58"/>
        <v>67111.589490658371</v>
      </c>
      <c r="CL30" s="271">
        <f t="shared" si="58"/>
        <v>67629.029593119165</v>
      </c>
      <c r="CM30" s="271">
        <v>68886.287904521232</v>
      </c>
      <c r="CN30" s="270"/>
      <c r="CO30" s="271">
        <f t="shared" ref="CO30:DG30" si="59">(+($D30*CO$3*(1+CO$7)/1000*(1+CO$8))*CO$16)</f>
        <v>84662.887103987683</v>
      </c>
      <c r="CP30" s="271">
        <f t="shared" si="59"/>
        <v>56105.802825727194</v>
      </c>
      <c r="CQ30" s="271">
        <f t="shared" si="59"/>
        <v>70080.447147392813</v>
      </c>
      <c r="CR30" s="271">
        <f t="shared" si="59"/>
        <v>75119.286705106264</v>
      </c>
      <c r="CS30" s="271">
        <f t="shared" si="59"/>
        <v>77829.229602797903</v>
      </c>
      <c r="CT30" s="271">
        <f t="shared" si="59"/>
        <v>78703.066015497738</v>
      </c>
      <c r="CU30" s="271">
        <f t="shared" si="59"/>
        <v>78114.262014252206</v>
      </c>
      <c r="CV30" s="271">
        <f t="shared" si="59"/>
        <v>78090.317547445244</v>
      </c>
      <c r="CW30" s="271">
        <f t="shared" si="59"/>
        <v>82196.793005550731</v>
      </c>
      <c r="CX30" s="271">
        <f t="shared" si="59"/>
        <v>80933.640880624909</v>
      </c>
      <c r="CY30" s="271">
        <f t="shared" si="59"/>
        <v>78487.531045332711</v>
      </c>
      <c r="CZ30" s="271">
        <f t="shared" si="59"/>
        <v>86945.278830767915</v>
      </c>
      <c r="DA30" s="271">
        <f t="shared" si="59"/>
        <v>87173.996887458008</v>
      </c>
      <c r="DB30" s="271">
        <f t="shared" si="59"/>
        <v>94632.247563825367</v>
      </c>
      <c r="DC30" s="271">
        <f t="shared" si="59"/>
        <v>97587.931430950266</v>
      </c>
      <c r="DD30" s="271">
        <f t="shared" si="59"/>
        <v>94622.418345893457</v>
      </c>
      <c r="DE30" s="271">
        <f t="shared" si="59"/>
        <v>92736.871468815763</v>
      </c>
      <c r="DF30" s="271">
        <f t="shared" si="59"/>
        <v>91390.239765729828</v>
      </c>
      <c r="DG30" s="271">
        <f t="shared" si="59"/>
        <v>87242.758892241094</v>
      </c>
    </row>
    <row r="31" spans="1:111" x14ac:dyDescent="0.35">
      <c r="A31" s="284"/>
      <c r="C31" s="99" t="s">
        <v>10</v>
      </c>
      <c r="D31" s="1">
        <v>46.6</v>
      </c>
      <c r="E31" s="1"/>
      <c r="F31" s="1"/>
      <c r="G31" s="1"/>
      <c r="H31" s="1"/>
      <c r="I31" s="1"/>
      <c r="J31" s="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T31" s="271"/>
      <c r="BU31" s="271"/>
      <c r="BV31" s="271"/>
      <c r="BW31" s="271"/>
      <c r="BX31" s="271"/>
      <c r="BY31" s="271"/>
      <c r="BZ31" s="271"/>
      <c r="CA31" s="271"/>
      <c r="CB31" s="271"/>
      <c r="CC31" s="271"/>
      <c r="CD31" s="271"/>
      <c r="CE31" s="271"/>
      <c r="CF31" s="271"/>
      <c r="CG31" s="271">
        <f t="shared" ref="CG31:CL31" si="60">(+((($D31*CG$3*0.8)+($D31*CG$6*0.2))*(1+CG$7)/1000*(1+CG$8))*CG$16)</f>
        <v>79739.047585692286</v>
      </c>
      <c r="CH31" s="271">
        <f t="shared" si="60"/>
        <v>78949.340801506842</v>
      </c>
      <c r="CI31" s="271">
        <f t="shared" si="60"/>
        <v>78357.527596993779</v>
      </c>
      <c r="CJ31" s="271">
        <f t="shared" si="60"/>
        <v>74195.833118076815</v>
      </c>
      <c r="CK31" s="271">
        <f t="shared" si="60"/>
        <v>75612.341962140563</v>
      </c>
      <c r="CL31" s="271">
        <f t="shared" si="60"/>
        <v>76195.39761720816</v>
      </c>
      <c r="CM31" s="271">
        <v>77611.884372427259</v>
      </c>
      <c r="CN31" s="270"/>
      <c r="CO31" s="271">
        <f>(+((($D31*CO$3*0.8)+($D31*CO$6*0.2))*(1+CO$7)/1000*(1+CO$8))*CO$16)*0</f>
        <v>0</v>
      </c>
      <c r="CP31" s="271">
        <f>(+((($D31*CP$3*0.8)+($D31*CP$6*0.2))*(1+CP$7)/1000*(1+CP$8))*CP$16)*0</f>
        <v>0</v>
      </c>
      <c r="CQ31" s="271">
        <f>(+((($D31*CQ$3*0.8)+($D31*CQ$6*0.2))*(1+CQ$7)/1000*(1+CQ$8))*CQ$16)*0</f>
        <v>0</v>
      </c>
      <c r="CR31" s="271">
        <f>(+((($D31*CR$3*0.8)+($D31*CR$6*0.2))*(1+CR$7)/1000*(1+CR$8))*CR$16)*0</f>
        <v>0</v>
      </c>
      <c r="CS31" s="271">
        <f t="shared" ref="CS31:DG31" si="61">(+($D31*CS$3*(1+CS$7)/1000*(1+CS$8))*CS$16)</f>
        <v>77829.229602797903</v>
      </c>
      <c r="CT31" s="271">
        <f t="shared" si="61"/>
        <v>78703.066015497738</v>
      </c>
      <c r="CU31" s="271">
        <f t="shared" si="61"/>
        <v>78114.262014252206</v>
      </c>
      <c r="CV31" s="271">
        <f t="shared" si="61"/>
        <v>78090.317547445244</v>
      </c>
      <c r="CW31" s="271">
        <f t="shared" si="61"/>
        <v>82196.793005550731</v>
      </c>
      <c r="CX31" s="271">
        <f t="shared" si="61"/>
        <v>80933.640880624909</v>
      </c>
      <c r="CY31" s="271">
        <f t="shared" si="61"/>
        <v>78487.531045332711</v>
      </c>
      <c r="CZ31" s="271">
        <f t="shared" si="61"/>
        <v>86945.278830767915</v>
      </c>
      <c r="DA31" s="271">
        <f t="shared" si="61"/>
        <v>87173.996887458008</v>
      </c>
      <c r="DB31" s="271">
        <f t="shared" si="61"/>
        <v>94632.247563825367</v>
      </c>
      <c r="DC31" s="271">
        <f t="shared" si="61"/>
        <v>97587.931430950266</v>
      </c>
      <c r="DD31" s="271">
        <f t="shared" si="61"/>
        <v>94622.418345893457</v>
      </c>
      <c r="DE31" s="271">
        <f t="shared" si="61"/>
        <v>92736.871468815763</v>
      </c>
      <c r="DF31" s="271">
        <f t="shared" si="61"/>
        <v>91390.239765729828</v>
      </c>
      <c r="DG31" s="271">
        <f t="shared" si="61"/>
        <v>87242.758892241094</v>
      </c>
    </row>
    <row r="32" spans="1:111" x14ac:dyDescent="0.35">
      <c r="A32" s="284"/>
      <c r="C32" s="1" t="s">
        <v>9</v>
      </c>
      <c r="D32" s="1">
        <v>48</v>
      </c>
      <c r="E32" s="1"/>
      <c r="F32" s="1"/>
      <c r="G32" s="1"/>
      <c r="H32" s="1"/>
      <c r="I32" s="1"/>
      <c r="J32" s="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1"/>
      <c r="BJ32" s="271"/>
      <c r="BK32" s="271"/>
      <c r="BL32" s="271"/>
      <c r="BM32" s="271"/>
      <c r="BN32" s="271"/>
      <c r="BO32" s="271"/>
      <c r="BP32" s="271"/>
      <c r="BQ32" s="271"/>
      <c r="BR32" s="271"/>
      <c r="BT32" s="271">
        <f>+(4*BT$3*(1+BT$7)*0/1000*(1+BT$8))+($D32*BT$3*(1+BT$7)/1000*(1+BT$8))*BT$16</f>
        <v>13698.117545829125</v>
      </c>
      <c r="BU32" s="271">
        <f>+(4*BU$3*(1+BU$7)*0/1000*(1+BU$8))+($D32*BU$3*(1+BU$7)/1000*(1+BU$8))*BU$16</f>
        <v>14458.434567001525</v>
      </c>
      <c r="BV32" s="271">
        <f t="shared" ref="BV32:CL32" si="62">+(+($D32*BV$3*(1+BV$7)/1000*(1+BV$8))*BV$16)</f>
        <v>14965.170055912915</v>
      </c>
      <c r="BW32" s="271">
        <f t="shared" si="62"/>
        <v>16333.92805426958</v>
      </c>
      <c r="BX32" s="271">
        <f t="shared" si="62"/>
        <v>17482.17387890783</v>
      </c>
      <c r="BY32" s="271">
        <f t="shared" si="62"/>
        <v>19345.074426591622</v>
      </c>
      <c r="BZ32" s="271">
        <f t="shared" si="62"/>
        <v>19570.268101871916</v>
      </c>
      <c r="CA32" s="271">
        <f t="shared" si="62"/>
        <v>20042.183925647292</v>
      </c>
      <c r="CB32" s="271">
        <f t="shared" si="62"/>
        <v>22184.022182545279</v>
      </c>
      <c r="CC32" s="271">
        <f t="shared" si="62"/>
        <v>23126.461678798118</v>
      </c>
      <c r="CD32" s="271">
        <f t="shared" si="62"/>
        <v>23333.415374872264</v>
      </c>
      <c r="CE32" s="271">
        <f t="shared" si="62"/>
        <v>23564.786699537563</v>
      </c>
      <c r="CF32" s="271">
        <f t="shared" si="62"/>
        <v>73853.481868451985</v>
      </c>
      <c r="CG32" s="271">
        <f t="shared" si="62"/>
        <v>76985.502046359834</v>
      </c>
      <c r="CH32" s="271">
        <f t="shared" si="62"/>
        <v>75275.086871116786</v>
      </c>
      <c r="CI32" s="271">
        <f t="shared" si="62"/>
        <v>74202.052874320783</v>
      </c>
      <c r="CJ32" s="271">
        <f t="shared" si="62"/>
        <v>67832.759040206525</v>
      </c>
      <c r="CK32" s="271">
        <f t="shared" si="62"/>
        <v>69127.817501107347</v>
      </c>
      <c r="CL32" s="271">
        <f t="shared" si="62"/>
        <v>69660.80301437169</v>
      </c>
      <c r="CM32" s="271">
        <v>70955.833034699986</v>
      </c>
      <c r="CN32" s="270"/>
      <c r="CO32" s="271">
        <f t="shared" ref="CO32:DG32" si="63">+(+($D32*CO$3*(1+CO$7)/1000*(1+CO$8))*CO$16)</f>
        <v>87206.407317412188</v>
      </c>
      <c r="CP32" s="271">
        <f t="shared" si="63"/>
        <v>57791.384884869214</v>
      </c>
      <c r="CQ32" s="271">
        <f t="shared" si="63"/>
        <v>72185.868306327364</v>
      </c>
      <c r="CR32" s="271">
        <f t="shared" si="63"/>
        <v>77376.089309980714</v>
      </c>
      <c r="CS32" s="271">
        <f t="shared" si="63"/>
        <v>80167.446801165206</v>
      </c>
      <c r="CT32" s="271">
        <f t="shared" si="63"/>
        <v>81067.535809954759</v>
      </c>
      <c r="CU32" s="271">
        <f t="shared" si="63"/>
        <v>80461.042418113866</v>
      </c>
      <c r="CV32" s="271">
        <f t="shared" si="63"/>
        <v>80436.378589643151</v>
      </c>
      <c r="CW32" s="271">
        <f t="shared" si="63"/>
        <v>84666.224555073699</v>
      </c>
      <c r="CX32" s="271">
        <f t="shared" si="63"/>
        <v>83365.123653862567</v>
      </c>
      <c r="CY32" s="271">
        <f t="shared" si="63"/>
        <v>80845.525540256887</v>
      </c>
      <c r="CZ32" s="271">
        <f t="shared" si="63"/>
        <v>89557.368752722294</v>
      </c>
      <c r="DA32" s="271">
        <f t="shared" si="63"/>
        <v>89792.9581673387</v>
      </c>
      <c r="DB32" s="271">
        <f t="shared" si="63"/>
        <v>97475.276460592664</v>
      </c>
      <c r="DC32" s="271">
        <f t="shared" si="63"/>
        <v>100519.75769711615</v>
      </c>
      <c r="DD32" s="271">
        <f t="shared" si="63"/>
        <v>97465.151944267913</v>
      </c>
      <c r="DE32" s="271">
        <f t="shared" si="63"/>
        <v>95522.957736119235</v>
      </c>
      <c r="DF32" s="271">
        <f t="shared" si="63"/>
        <v>94135.869286588655</v>
      </c>
      <c r="DG32" s="271">
        <f t="shared" si="63"/>
        <v>89863.785983424299</v>
      </c>
    </row>
    <row r="33" spans="1:111" x14ac:dyDescent="0.35">
      <c r="A33" s="284"/>
      <c r="C33" s="1" t="s">
        <v>9</v>
      </c>
      <c r="D33" s="1">
        <v>49.6</v>
      </c>
      <c r="E33" s="1"/>
      <c r="F33" s="1"/>
      <c r="G33" s="1"/>
      <c r="H33" s="1"/>
      <c r="I33" s="1"/>
      <c r="J33" s="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1"/>
      <c r="BJ33" s="271"/>
      <c r="BK33" s="271"/>
      <c r="BL33" s="271"/>
      <c r="BM33" s="271"/>
      <c r="BN33" s="271"/>
      <c r="BO33" s="271"/>
      <c r="BP33" s="271"/>
      <c r="BQ33" s="271"/>
      <c r="BR33" s="271"/>
      <c r="BT33" s="271">
        <f>+(4.833*BT$3*(1+BT$7)*0/1000*(1+BT$8))+($D33*BT$3*(1+BT$7)/1000*(1+BT$8))*BT$16</f>
        <v>14154.721464023434</v>
      </c>
      <c r="BU33" s="271">
        <f>+(4.833*BU$3*(1+BU$7)*0/1000*(1+BU$8))+($D33*BU$3*(1+BU$7)/1000*(1+BU$8))*BU$16</f>
        <v>14940.382385901574</v>
      </c>
      <c r="BV33" s="271">
        <f t="shared" ref="BV33:CL33" si="64">+(($D33*BV$3*(1+BV$7)/1000*(1+BV$8))*BV$16)*0</f>
        <v>0</v>
      </c>
      <c r="BW33" s="271">
        <f t="shared" si="64"/>
        <v>0</v>
      </c>
      <c r="BX33" s="271">
        <f t="shared" si="64"/>
        <v>0</v>
      </c>
      <c r="BY33" s="271">
        <f t="shared" si="64"/>
        <v>0</v>
      </c>
      <c r="BZ33" s="271">
        <f t="shared" si="64"/>
        <v>0</v>
      </c>
      <c r="CA33" s="271">
        <f t="shared" si="64"/>
        <v>0</v>
      </c>
      <c r="CB33" s="271">
        <f t="shared" si="64"/>
        <v>0</v>
      </c>
      <c r="CC33" s="271">
        <f t="shared" si="64"/>
        <v>0</v>
      </c>
      <c r="CD33" s="271">
        <f t="shared" si="64"/>
        <v>0</v>
      </c>
      <c r="CE33" s="271">
        <f t="shared" si="64"/>
        <v>0</v>
      </c>
      <c r="CF33" s="271">
        <f t="shared" si="64"/>
        <v>0</v>
      </c>
      <c r="CG33" s="271">
        <f t="shared" si="64"/>
        <v>0</v>
      </c>
      <c r="CH33" s="271">
        <f t="shared" si="64"/>
        <v>0</v>
      </c>
      <c r="CI33" s="271">
        <f t="shared" si="64"/>
        <v>0</v>
      </c>
      <c r="CJ33" s="271">
        <f t="shared" si="64"/>
        <v>0</v>
      </c>
      <c r="CK33" s="271">
        <f t="shared" si="64"/>
        <v>0</v>
      </c>
      <c r="CL33" s="271">
        <f t="shared" si="64"/>
        <v>0</v>
      </c>
      <c r="CM33" s="271">
        <v>0</v>
      </c>
      <c r="CN33" s="270"/>
      <c r="CO33" s="271">
        <f t="shared" ref="CO33:DG33" si="65">+(($D33*CO$3*(1+CO$7)/1000*(1+CO$8))*CO$16)*0</f>
        <v>0</v>
      </c>
      <c r="CP33" s="271">
        <f t="shared" si="65"/>
        <v>0</v>
      </c>
      <c r="CQ33" s="271">
        <f t="shared" si="65"/>
        <v>0</v>
      </c>
      <c r="CR33" s="271">
        <f t="shared" si="65"/>
        <v>0</v>
      </c>
      <c r="CS33" s="271">
        <f t="shared" si="65"/>
        <v>0</v>
      </c>
      <c r="CT33" s="271">
        <f t="shared" si="65"/>
        <v>0</v>
      </c>
      <c r="CU33" s="271">
        <f t="shared" si="65"/>
        <v>0</v>
      </c>
      <c r="CV33" s="271">
        <f t="shared" si="65"/>
        <v>0</v>
      </c>
      <c r="CW33" s="271">
        <f t="shared" si="65"/>
        <v>0</v>
      </c>
      <c r="CX33" s="271">
        <f t="shared" si="65"/>
        <v>0</v>
      </c>
      <c r="CY33" s="271">
        <f t="shared" si="65"/>
        <v>0</v>
      </c>
      <c r="CZ33" s="271">
        <f t="shared" si="65"/>
        <v>0</v>
      </c>
      <c r="DA33" s="271">
        <f t="shared" si="65"/>
        <v>0</v>
      </c>
      <c r="DB33" s="271">
        <f t="shared" si="65"/>
        <v>0</v>
      </c>
      <c r="DC33" s="271">
        <f t="shared" si="65"/>
        <v>0</v>
      </c>
      <c r="DD33" s="271">
        <f t="shared" si="65"/>
        <v>0</v>
      </c>
      <c r="DE33" s="271">
        <f t="shared" si="65"/>
        <v>0</v>
      </c>
      <c r="DF33" s="271">
        <f t="shared" si="65"/>
        <v>0</v>
      </c>
      <c r="DG33" s="271">
        <f t="shared" si="65"/>
        <v>0</v>
      </c>
    </row>
    <row r="34" spans="1:111" x14ac:dyDescent="0.35">
      <c r="A34" s="284"/>
      <c r="C34" s="1" t="s">
        <v>9</v>
      </c>
      <c r="D34" s="1">
        <v>52</v>
      </c>
      <c r="E34" s="1"/>
      <c r="F34" s="1"/>
      <c r="G34" s="1"/>
      <c r="H34" s="1"/>
      <c r="I34" s="1"/>
      <c r="J34" s="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  <c r="BP34" s="271"/>
      <c r="BQ34" s="271"/>
      <c r="BR34" s="271"/>
      <c r="BT34" s="271">
        <f t="shared" ref="BT34:CL34" si="66">+($D34*BT$3*(1+BT$7)/1000*(1+BT$8))*BT$16</f>
        <v>14839.627341314888</v>
      </c>
      <c r="BU34" s="271">
        <f t="shared" si="66"/>
        <v>15663.30411425165</v>
      </c>
      <c r="BV34" s="271">
        <f t="shared" si="66"/>
        <v>16212.267560572331</v>
      </c>
      <c r="BW34" s="271">
        <f t="shared" si="66"/>
        <v>17695.088725458714</v>
      </c>
      <c r="BX34" s="271">
        <f t="shared" si="66"/>
        <v>18939.021702150152</v>
      </c>
      <c r="BY34" s="271">
        <f t="shared" si="66"/>
        <v>20957.163962140919</v>
      </c>
      <c r="BZ34" s="271">
        <f t="shared" si="66"/>
        <v>21201.123777027911</v>
      </c>
      <c r="CA34" s="271">
        <f t="shared" si="66"/>
        <v>21712.365919451233</v>
      </c>
      <c r="CB34" s="271">
        <f t="shared" si="66"/>
        <v>24032.690697757382</v>
      </c>
      <c r="CC34" s="271">
        <f t="shared" si="66"/>
        <v>25053.666818697962</v>
      </c>
      <c r="CD34" s="271">
        <f t="shared" si="66"/>
        <v>25277.866656111615</v>
      </c>
      <c r="CE34" s="271">
        <f t="shared" si="66"/>
        <v>25528.518924499025</v>
      </c>
      <c r="CF34" s="271">
        <f t="shared" si="66"/>
        <v>80007.938690822979</v>
      </c>
      <c r="CG34" s="271">
        <f t="shared" si="66"/>
        <v>83400.960550223142</v>
      </c>
      <c r="CH34" s="271">
        <f t="shared" si="66"/>
        <v>81548.010777043193</v>
      </c>
      <c r="CI34" s="271">
        <f t="shared" si="66"/>
        <v>80385.557280514186</v>
      </c>
      <c r="CJ34" s="271">
        <f t="shared" si="66"/>
        <v>73485.488960223738</v>
      </c>
      <c r="CK34" s="271">
        <f t="shared" si="66"/>
        <v>74888.468959532955</v>
      </c>
      <c r="CL34" s="271">
        <f t="shared" si="66"/>
        <v>75465.86993223599</v>
      </c>
      <c r="CM34" s="271">
        <v>76868.819120924993</v>
      </c>
      <c r="CN34" s="270"/>
      <c r="CO34" s="271">
        <f t="shared" ref="CO34:DG34" si="67">+($D34*CO$3*(1+CO$7)/1000*(1+CO$8))*CO$16</f>
        <v>94473.607927196557</v>
      </c>
      <c r="CP34" s="271">
        <f t="shared" si="67"/>
        <v>62607.333625274994</v>
      </c>
      <c r="CQ34" s="271">
        <f t="shared" si="67"/>
        <v>78201.357331854626</v>
      </c>
      <c r="CR34" s="271">
        <f t="shared" si="67"/>
        <v>83824.09675247909</v>
      </c>
      <c r="CS34" s="271">
        <f t="shared" si="67"/>
        <v>86848.06736792899</v>
      </c>
      <c r="CT34" s="271">
        <f t="shared" si="67"/>
        <v>87823.16379411766</v>
      </c>
      <c r="CU34" s="271">
        <f t="shared" si="67"/>
        <v>87166.12928629003</v>
      </c>
      <c r="CV34" s="271">
        <f t="shared" si="67"/>
        <v>87139.410138780091</v>
      </c>
      <c r="CW34" s="271">
        <f t="shared" si="67"/>
        <v>91721.743267996528</v>
      </c>
      <c r="CX34" s="271">
        <f t="shared" si="67"/>
        <v>90312.217291684443</v>
      </c>
      <c r="CY34" s="271">
        <f t="shared" si="67"/>
        <v>87582.652668611612</v>
      </c>
      <c r="CZ34" s="271">
        <f t="shared" si="67"/>
        <v>97020.482815449155</v>
      </c>
      <c r="DA34" s="271">
        <f t="shared" si="67"/>
        <v>97275.704681283605</v>
      </c>
      <c r="DB34" s="271">
        <f t="shared" si="67"/>
        <v>105598.21616564204</v>
      </c>
      <c r="DC34" s="271">
        <f t="shared" si="67"/>
        <v>108896.40417187582</v>
      </c>
      <c r="DD34" s="271">
        <f t="shared" si="67"/>
        <v>105587.24793962359</v>
      </c>
      <c r="DE34" s="271">
        <f t="shared" si="67"/>
        <v>103483.20421412915</v>
      </c>
      <c r="DF34" s="271">
        <f t="shared" si="67"/>
        <v>101980.52506047106</v>
      </c>
      <c r="DG34" s="271">
        <f t="shared" si="67"/>
        <v>97352.434815376342</v>
      </c>
    </row>
    <row r="35" spans="1:111" x14ac:dyDescent="0.35">
      <c r="A35" s="284"/>
      <c r="C35" s="1" t="s">
        <v>11</v>
      </c>
      <c r="D35" s="1">
        <v>54.7</v>
      </c>
      <c r="E35" s="1"/>
      <c r="F35" s="1"/>
      <c r="G35" s="1"/>
      <c r="H35" s="1"/>
      <c r="I35" s="1"/>
      <c r="J35" s="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T35" s="271">
        <f>+(5.18*BT$3*(1+BT$7)*0/1000*(1+BT$8))+($D35*BT$3*(1+BT$7)/1000*(1+BT$8))*BT$16</f>
        <v>15610.146453267776</v>
      </c>
      <c r="BU35" s="271">
        <f>+(5.18*BU$3*(1+BU$7)*0/1000*(1+BU$8))+($D35*BU$3*(1+BU$7)/1000*(1+BU$8))*BU$16</f>
        <v>16476.591058645488</v>
      </c>
      <c r="BV35" s="271">
        <f t="shared" ref="BV35:CL35" si="68">+(+($D35*BV$3*(1+BV$7)/1000*(1+BV$8))*BV$16)</f>
        <v>17054.058376217428</v>
      </c>
      <c r="BW35" s="271">
        <f t="shared" si="68"/>
        <v>18613.872178511378</v>
      </c>
      <c r="BX35" s="271">
        <f t="shared" si="68"/>
        <v>19922.393982838719</v>
      </c>
      <c r="BY35" s="271">
        <f t="shared" si="68"/>
        <v>22045.324398636705</v>
      </c>
      <c r="BZ35" s="271">
        <f t="shared" si="68"/>
        <v>22301.951357758207</v>
      </c>
      <c r="CA35" s="271">
        <f t="shared" si="68"/>
        <v>22839.738765268892</v>
      </c>
      <c r="CB35" s="271">
        <f t="shared" si="68"/>
        <v>25280.541945525561</v>
      </c>
      <c r="CC35" s="271">
        <f t="shared" si="68"/>
        <v>26354.530288130347</v>
      </c>
      <c r="CD35" s="271">
        <f t="shared" si="68"/>
        <v>26590.371270948181</v>
      </c>
      <c r="CE35" s="271">
        <f t="shared" si="68"/>
        <v>26854.038176348018</v>
      </c>
      <c r="CF35" s="271">
        <f t="shared" si="68"/>
        <v>84162.197045923414</v>
      </c>
      <c r="CG35" s="271">
        <f t="shared" si="68"/>
        <v>87731.395040330914</v>
      </c>
      <c r="CH35" s="271">
        <f t="shared" si="68"/>
        <v>85782.234413543512</v>
      </c>
      <c r="CI35" s="271">
        <f t="shared" si="68"/>
        <v>84559.422754694737</v>
      </c>
      <c r="CJ35" s="271">
        <f t="shared" si="68"/>
        <v>77301.081656235358</v>
      </c>
      <c r="CK35" s="271">
        <f t="shared" si="68"/>
        <v>78776.908693970254</v>
      </c>
      <c r="CL35" s="271">
        <f t="shared" si="68"/>
        <v>79384.290101794395</v>
      </c>
      <c r="CM35" s="271">
        <v>80860.084729126858</v>
      </c>
      <c r="CN35" s="270"/>
      <c r="CO35" s="271">
        <f t="shared" ref="CO35:DG35" si="69">+(+($D35*CO$3*(1+CO$7)/1000*(1+CO$8))*CO$16)</f>
        <v>99378.968338800987</v>
      </c>
      <c r="CP35" s="271">
        <f t="shared" si="69"/>
        <v>65858.099025048868</v>
      </c>
      <c r="CQ35" s="271">
        <f t="shared" si="69"/>
        <v>82261.812424085554</v>
      </c>
      <c r="CR35" s="271">
        <f t="shared" si="69"/>
        <v>88176.501776165504</v>
      </c>
      <c r="CS35" s="271">
        <f t="shared" si="69"/>
        <v>91357.486250494534</v>
      </c>
      <c r="CT35" s="271">
        <f t="shared" si="69"/>
        <v>92383.212683427613</v>
      </c>
      <c r="CU35" s="271">
        <f t="shared" si="69"/>
        <v>91692.062922308935</v>
      </c>
      <c r="CV35" s="271">
        <f t="shared" si="69"/>
        <v>91663.956434447507</v>
      </c>
      <c r="CW35" s="271">
        <f t="shared" si="69"/>
        <v>96484.218399219419</v>
      </c>
      <c r="CX35" s="271">
        <f t="shared" si="69"/>
        <v>95001.505497214239</v>
      </c>
      <c r="CY35" s="271">
        <f t="shared" si="69"/>
        <v>92130.21348025107</v>
      </c>
      <c r="CZ35" s="271">
        <f t="shared" si="69"/>
        <v>102058.0848077898</v>
      </c>
      <c r="DA35" s="271">
        <f t="shared" si="69"/>
        <v>102326.55857819642</v>
      </c>
      <c r="DB35" s="271">
        <f t="shared" si="69"/>
        <v>111081.20046655039</v>
      </c>
      <c r="DC35" s="271">
        <f t="shared" si="69"/>
        <v>114550.64054233859</v>
      </c>
      <c r="DD35" s="271">
        <f t="shared" si="69"/>
        <v>111069.66273648864</v>
      </c>
      <c r="DE35" s="271">
        <f t="shared" si="69"/>
        <v>108856.3705867859</v>
      </c>
      <c r="DF35" s="271">
        <f t="shared" si="69"/>
        <v>107275.66770784165</v>
      </c>
      <c r="DG35" s="271">
        <f t="shared" si="69"/>
        <v>102407.27277694397</v>
      </c>
    </row>
    <row r="36" spans="1:111" x14ac:dyDescent="0.35">
      <c r="A36" s="284"/>
      <c r="C36" s="1" t="s">
        <v>11</v>
      </c>
      <c r="D36" s="1">
        <v>58</v>
      </c>
      <c r="E36" s="1"/>
      <c r="F36" s="1"/>
      <c r="G36" s="1"/>
      <c r="H36" s="1"/>
      <c r="I36" s="1"/>
      <c r="J36" s="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T36" s="271">
        <f>+(5.18*BT$3*(1+BT$7)*0/1000*(1+BT$8))+($D36*BT$3*(1+BT$7)/1000*(1+BT$8))*BT$16</f>
        <v>16551.892034543529</v>
      </c>
      <c r="BU36" s="271">
        <f>+(5.18*BU$3*(1+BU$7)*0/1000*(1+BU$8))+($D36*BU$3*(1+BU$7)/1000*(1+BU$8))*BU$16</f>
        <v>17470.60843512684</v>
      </c>
      <c r="BV36" s="271">
        <f t="shared" ref="BV36:CL36" si="70">+(($D36*BV$3*(1+BV$7)/1000*(1+BV$8))*BV$16)*0</f>
        <v>0</v>
      </c>
      <c r="BW36" s="271">
        <f t="shared" si="70"/>
        <v>0</v>
      </c>
      <c r="BX36" s="271">
        <f t="shared" si="70"/>
        <v>0</v>
      </c>
      <c r="BY36" s="271">
        <f t="shared" si="70"/>
        <v>0</v>
      </c>
      <c r="BZ36" s="271">
        <f t="shared" si="70"/>
        <v>0</v>
      </c>
      <c r="CA36" s="271">
        <f t="shared" si="70"/>
        <v>0</v>
      </c>
      <c r="CB36" s="271">
        <f t="shared" si="70"/>
        <v>0</v>
      </c>
      <c r="CC36" s="271">
        <f t="shared" si="70"/>
        <v>0</v>
      </c>
      <c r="CD36" s="271">
        <f t="shared" si="70"/>
        <v>0</v>
      </c>
      <c r="CE36" s="271">
        <f t="shared" si="70"/>
        <v>0</v>
      </c>
      <c r="CF36" s="271">
        <f t="shared" si="70"/>
        <v>0</v>
      </c>
      <c r="CG36" s="271">
        <f t="shared" si="70"/>
        <v>0</v>
      </c>
      <c r="CH36" s="271">
        <f t="shared" si="70"/>
        <v>0</v>
      </c>
      <c r="CI36" s="271">
        <f t="shared" si="70"/>
        <v>0</v>
      </c>
      <c r="CJ36" s="271">
        <f t="shared" si="70"/>
        <v>0</v>
      </c>
      <c r="CK36" s="271">
        <f t="shared" si="70"/>
        <v>0</v>
      </c>
      <c r="CL36" s="271">
        <f t="shared" si="70"/>
        <v>0</v>
      </c>
      <c r="CM36" s="271">
        <v>0</v>
      </c>
      <c r="CN36" s="270"/>
      <c r="CO36" s="271">
        <f t="shared" ref="CO36:CX36" si="71">+(($D36*CO$3*(1+CO$7)/1000*(1+CO$8))*CO$16)*0</f>
        <v>0</v>
      </c>
      <c r="CP36" s="271">
        <f t="shared" si="71"/>
        <v>0</v>
      </c>
      <c r="CQ36" s="271">
        <f t="shared" si="71"/>
        <v>0</v>
      </c>
      <c r="CR36" s="271">
        <f t="shared" si="71"/>
        <v>0</v>
      </c>
      <c r="CS36" s="271">
        <f t="shared" si="71"/>
        <v>0</v>
      </c>
      <c r="CT36" s="271">
        <f t="shared" si="71"/>
        <v>0</v>
      </c>
      <c r="CU36" s="271">
        <f t="shared" si="71"/>
        <v>0</v>
      </c>
      <c r="CV36" s="271">
        <f t="shared" si="71"/>
        <v>0</v>
      </c>
      <c r="CW36" s="271">
        <f t="shared" si="71"/>
        <v>0</v>
      </c>
      <c r="CX36" s="271">
        <f t="shared" si="71"/>
        <v>0</v>
      </c>
      <c r="CY36" s="271">
        <f t="shared" ref="CY36:DG36" si="72">+(+($D36*CY$3*(1+CY$7)/1000*(1+CY$8))*CY$16)</f>
        <v>97688.343361143692</v>
      </c>
      <c r="CZ36" s="271">
        <f t="shared" si="72"/>
        <v>108215.15390953945</v>
      </c>
      <c r="DA36" s="271">
        <f t="shared" si="72"/>
        <v>108499.82445220095</v>
      </c>
      <c r="DB36" s="271">
        <f t="shared" si="72"/>
        <v>117782.62572321612</v>
      </c>
      <c r="DC36" s="271">
        <f t="shared" si="72"/>
        <v>121461.37388401532</v>
      </c>
      <c r="DD36" s="271">
        <f t="shared" si="72"/>
        <v>117770.39193265706</v>
      </c>
      <c r="DE36" s="271">
        <f t="shared" si="72"/>
        <v>115423.57393114408</v>
      </c>
      <c r="DF36" s="271">
        <f t="shared" si="72"/>
        <v>113747.50872129462</v>
      </c>
      <c r="DG36" s="271">
        <f t="shared" si="72"/>
        <v>108585.40806330435</v>
      </c>
    </row>
    <row r="37" spans="1:111" x14ac:dyDescent="0.35">
      <c r="A37" s="284"/>
      <c r="C37" s="1" t="s">
        <v>11</v>
      </c>
      <c r="D37" s="1">
        <v>62</v>
      </c>
      <c r="E37" s="1"/>
      <c r="F37" s="1"/>
      <c r="G37" s="1"/>
      <c r="H37" s="1"/>
      <c r="I37" s="1"/>
      <c r="J37" s="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T37" s="271">
        <f t="shared" ref="BT37:CL37" si="73">+($D37*BT$3*(1+BT$7)/1000*(1+BT$8))*BT$16</f>
        <v>17693.401830029288</v>
      </c>
      <c r="BU37" s="271">
        <f t="shared" si="73"/>
        <v>18675.477982376971</v>
      </c>
      <c r="BV37" s="271">
        <f t="shared" si="73"/>
        <v>19330.011322220849</v>
      </c>
      <c r="BW37" s="271">
        <f t="shared" si="73"/>
        <v>21097.990403431537</v>
      </c>
      <c r="BX37" s="271">
        <f t="shared" si="73"/>
        <v>22581.14126025595</v>
      </c>
      <c r="BY37" s="271">
        <f t="shared" si="73"/>
        <v>24987.387801014178</v>
      </c>
      <c r="BZ37" s="271">
        <f t="shared" si="73"/>
        <v>25278.262964917896</v>
      </c>
      <c r="CA37" s="271">
        <f t="shared" si="73"/>
        <v>25887.820903961085</v>
      </c>
      <c r="CB37" s="271">
        <f t="shared" si="73"/>
        <v>28654.361985787647</v>
      </c>
      <c r="CC37" s="271">
        <f t="shared" si="73"/>
        <v>29871.67966844757</v>
      </c>
      <c r="CD37" s="271">
        <f t="shared" si="73"/>
        <v>30138.994859210005</v>
      </c>
      <c r="CE37" s="271">
        <f t="shared" si="73"/>
        <v>30437.84948690268</v>
      </c>
      <c r="CF37" s="271">
        <f t="shared" si="73"/>
        <v>95394.080746750493</v>
      </c>
      <c r="CG37" s="271">
        <f t="shared" si="73"/>
        <v>99439.606809881458</v>
      </c>
      <c r="CH37" s="271">
        <f t="shared" si="73"/>
        <v>97230.320541859197</v>
      </c>
      <c r="CI37" s="271">
        <f t="shared" si="73"/>
        <v>95844.318295997698</v>
      </c>
      <c r="CJ37" s="271">
        <f t="shared" si="73"/>
        <v>87617.313760266756</v>
      </c>
      <c r="CK37" s="271">
        <f t="shared" si="73"/>
        <v>89290.09760559698</v>
      </c>
      <c r="CL37" s="271">
        <f t="shared" si="73"/>
        <v>89978.537226896762</v>
      </c>
      <c r="CM37" s="271">
        <v>91651.284336487501</v>
      </c>
      <c r="CN37" s="270"/>
      <c r="CO37" s="271">
        <f t="shared" ref="CO37:DG37" si="74">+($D37*CO$3*(1+CO$7)/1000*(1+CO$8))*CO$16</f>
        <v>112641.60945165741</v>
      </c>
      <c r="CP37" s="271">
        <f t="shared" si="74"/>
        <v>74647.205476289411</v>
      </c>
      <c r="CQ37" s="271">
        <f t="shared" si="74"/>
        <v>93240.079895672825</v>
      </c>
      <c r="CR37" s="271">
        <f t="shared" si="74"/>
        <v>99944.115358725059</v>
      </c>
      <c r="CS37" s="271">
        <f t="shared" si="74"/>
        <v>103549.6187848384</v>
      </c>
      <c r="CT37" s="271">
        <f t="shared" si="74"/>
        <v>104712.23375452487</v>
      </c>
      <c r="CU37" s="271">
        <f t="shared" si="74"/>
        <v>103928.84645673042</v>
      </c>
      <c r="CV37" s="271">
        <f t="shared" si="74"/>
        <v>103896.98901162241</v>
      </c>
      <c r="CW37" s="271">
        <f t="shared" si="74"/>
        <v>109360.54005030352</v>
      </c>
      <c r="CX37" s="271">
        <f t="shared" si="74"/>
        <v>107679.95138623918</v>
      </c>
      <c r="CY37" s="271">
        <f t="shared" si="74"/>
        <v>104425.47048949845</v>
      </c>
      <c r="CZ37" s="271">
        <f t="shared" si="74"/>
        <v>115678.26797226633</v>
      </c>
      <c r="DA37" s="271">
        <f t="shared" si="74"/>
        <v>115982.57096614584</v>
      </c>
      <c r="DB37" s="271">
        <f t="shared" si="74"/>
        <v>125905.56542826552</v>
      </c>
      <c r="DC37" s="271">
        <f t="shared" si="74"/>
        <v>129838.02035877503</v>
      </c>
      <c r="DD37" s="271">
        <f t="shared" si="74"/>
        <v>125892.48792801274</v>
      </c>
      <c r="DE37" s="271">
        <f t="shared" si="74"/>
        <v>123383.82040915401</v>
      </c>
      <c r="DF37" s="271">
        <f t="shared" si="74"/>
        <v>121592.16449517701</v>
      </c>
      <c r="DG37" s="271">
        <f t="shared" si="74"/>
        <v>116074.05689525638</v>
      </c>
    </row>
    <row r="38" spans="1:111" s="29" customFormat="1" x14ac:dyDescent="0.35">
      <c r="A38" s="277"/>
      <c r="C38" s="112"/>
      <c r="D38" s="31"/>
      <c r="E38" s="31"/>
      <c r="F38" s="31"/>
      <c r="G38" s="31"/>
      <c r="H38" s="31"/>
      <c r="I38" s="31"/>
      <c r="J38" s="31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113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</row>
    <row r="39" spans="1:111" s="29" customFormat="1" x14ac:dyDescent="0.35">
      <c r="A39" s="277"/>
      <c r="C39" s="91" t="s">
        <v>52</v>
      </c>
      <c r="D39" s="31"/>
      <c r="E39" s="31"/>
      <c r="F39" s="31"/>
      <c r="G39" s="31"/>
      <c r="H39" s="31"/>
      <c r="I39" s="31"/>
      <c r="J39" s="31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276"/>
      <c r="AI39" s="276"/>
      <c r="AJ39" s="276"/>
      <c r="AK39" s="276"/>
      <c r="AL39" s="276"/>
      <c r="AM39" s="276"/>
      <c r="AN39" s="276"/>
      <c r="AO39" s="276"/>
      <c r="AP39" s="276"/>
      <c r="AQ39" s="276"/>
      <c r="AR39" s="276"/>
      <c r="AS39" s="276"/>
      <c r="AT39" s="276"/>
      <c r="AU39" s="276"/>
      <c r="AV39" s="276"/>
      <c r="AW39" s="276"/>
      <c r="AX39" s="276"/>
      <c r="AY39" s="276"/>
      <c r="AZ39" s="276"/>
      <c r="BA39" s="276"/>
      <c r="BB39" s="276"/>
      <c r="BC39" s="276"/>
      <c r="BD39" s="276"/>
      <c r="BE39" s="276"/>
      <c r="BF39" s="276"/>
      <c r="BG39" s="276"/>
      <c r="BH39" s="276"/>
      <c r="BI39" s="276"/>
      <c r="BJ39" s="276"/>
      <c r="BK39" s="276"/>
      <c r="BL39" s="276"/>
      <c r="BM39" s="276"/>
      <c r="BN39" s="276"/>
      <c r="BO39" s="276"/>
      <c r="BP39" s="276"/>
      <c r="BQ39" s="276"/>
      <c r="BR39" s="276"/>
      <c r="BT39" s="275"/>
      <c r="BU39" s="275"/>
      <c r="BV39" s="275"/>
      <c r="BW39" s="275"/>
      <c r="BX39" s="275"/>
      <c r="BY39" s="275"/>
      <c r="BZ39" s="275"/>
      <c r="CA39" s="275"/>
      <c r="CB39" s="275"/>
      <c r="CC39" s="275"/>
      <c r="CD39" s="275"/>
      <c r="CE39" s="275"/>
      <c r="CF39" s="275"/>
      <c r="CG39" s="275"/>
      <c r="CH39" s="275"/>
      <c r="CI39" s="275"/>
      <c r="CJ39" s="275"/>
      <c r="CK39" s="275"/>
      <c r="CL39" s="275"/>
      <c r="CM39" s="275"/>
      <c r="CN39" s="270"/>
      <c r="CO39" s="275"/>
      <c r="CP39" s="275"/>
      <c r="CQ39" s="275"/>
      <c r="CR39" s="275"/>
      <c r="CS39" s="275"/>
      <c r="CT39" s="275"/>
      <c r="CU39" s="275"/>
      <c r="CV39" s="275"/>
      <c r="CW39" s="297"/>
      <c r="CX39" s="297"/>
      <c r="CY39" s="297"/>
      <c r="CZ39" s="297"/>
      <c r="DA39" s="297"/>
      <c r="DB39" s="297"/>
      <c r="DC39" s="297"/>
      <c r="DD39" s="297"/>
      <c r="DE39" s="297"/>
      <c r="DF39" s="297"/>
      <c r="DG39" s="297"/>
    </row>
    <row r="40" spans="1:111" ht="14.9" hidden="1" customHeight="1" x14ac:dyDescent="0.35">
      <c r="C40" s="1" t="s">
        <v>51</v>
      </c>
      <c r="D40" s="1">
        <v>12.5</v>
      </c>
      <c r="E40" s="1"/>
      <c r="F40" s="1"/>
      <c r="G40" s="1"/>
      <c r="H40" s="1"/>
      <c r="I40" s="1"/>
      <c r="J40" s="1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T40" s="283">
        <f t="shared" ref="BT40:CL40" si="75">((+(169/$A$16)*0.3*BT$16+((169)*(1+BT$14)*0.7))*0.95)-5.05</f>
        <v>1410.837612853757</v>
      </c>
      <c r="BU40" s="283">
        <f t="shared" si="75"/>
        <v>1442.7261645778951</v>
      </c>
      <c r="BV40" s="283">
        <f t="shared" si="75"/>
        <v>1469.2445956123779</v>
      </c>
      <c r="BW40" s="283">
        <f t="shared" si="75"/>
        <v>1508.1918111296193</v>
      </c>
      <c r="BX40" s="283">
        <f t="shared" si="75"/>
        <v>1546.8898973365158</v>
      </c>
      <c r="BY40" s="283">
        <f t="shared" si="75"/>
        <v>1588.5498542330674</v>
      </c>
      <c r="BZ40" s="283">
        <f t="shared" si="75"/>
        <v>2041.1529563975444</v>
      </c>
      <c r="CA40" s="283">
        <f t="shared" si="75"/>
        <v>2091.6708443285788</v>
      </c>
      <c r="CB40" s="283">
        <f t="shared" si="75"/>
        <v>2296.3720943285794</v>
      </c>
      <c r="CC40" s="283">
        <f t="shared" si="75"/>
        <v>2296.095283983751</v>
      </c>
      <c r="CD40" s="283">
        <f t="shared" si="75"/>
        <v>2296.095283983751</v>
      </c>
      <c r="CE40" s="283">
        <f t="shared" si="75"/>
        <v>2326.8212322596132</v>
      </c>
      <c r="CF40" s="283">
        <f t="shared" si="75"/>
        <v>4480.9949612179789</v>
      </c>
      <c r="CG40" s="283">
        <f t="shared" si="75"/>
        <v>5389.9126022926948</v>
      </c>
      <c r="CH40" s="283">
        <f t="shared" si="75"/>
        <v>5908.8267311388254</v>
      </c>
      <c r="CI40" s="283">
        <f t="shared" si="75"/>
        <v>6430.7952006234109</v>
      </c>
      <c r="CJ40" s="283">
        <f t="shared" si="75"/>
        <v>6812.1525079121793</v>
      </c>
      <c r="CK40" s="283">
        <f t="shared" si="75"/>
        <v>7074.8051840731341</v>
      </c>
      <c r="CL40" s="283">
        <f t="shared" si="75"/>
        <v>7186.4090257196549</v>
      </c>
      <c r="CM40" s="283">
        <v>7323.5101241013181</v>
      </c>
      <c r="CN40" s="270"/>
      <c r="CO40" s="282">
        <f t="shared" ref="CO40:DG40" si="76">((+(169/$A$16)*0.3*CO$16+((169)*(1+CO$14)*0.7))*0.95)-5.05</f>
        <v>2749.8122254310347</v>
      </c>
      <c r="CP40" s="282">
        <f t="shared" si="76"/>
        <v>2809.9238062931036</v>
      </c>
      <c r="CQ40" s="282">
        <f t="shared" si="76"/>
        <v>2873.6671388793102</v>
      </c>
      <c r="CR40" s="282">
        <f t="shared" si="76"/>
        <v>2914.3458031034479</v>
      </c>
      <c r="CS40" s="282">
        <f t="shared" si="76"/>
        <v>2976.0662056896554</v>
      </c>
      <c r="CT40" s="282">
        <f t="shared" si="76"/>
        <v>3028.4531170689656</v>
      </c>
      <c r="CU40" s="282">
        <f t="shared" si="76"/>
        <v>3056.1726281896554</v>
      </c>
      <c r="CV40" s="282">
        <f t="shared" si="76"/>
        <v>3087.3877003448274</v>
      </c>
      <c r="CW40" s="282">
        <f t="shared" si="76"/>
        <v>3348.0951569827589</v>
      </c>
      <c r="CX40" s="282">
        <f t="shared" si="76"/>
        <v>3399.3258315517241</v>
      </c>
      <c r="CY40" s="282">
        <f t="shared" si="76"/>
        <v>3444.0235051724144</v>
      </c>
      <c r="CZ40" s="282">
        <f t="shared" si="76"/>
        <v>3912.563490431035</v>
      </c>
      <c r="DA40" s="282">
        <f t="shared" si="76"/>
        <v>3825.2204150862067</v>
      </c>
      <c r="DB40" s="282">
        <f t="shared" si="76"/>
        <v>3990.0828434482755</v>
      </c>
      <c r="DC40" s="282">
        <f t="shared" si="76"/>
        <v>4081.4695643103455</v>
      </c>
      <c r="DD40" s="282">
        <f t="shared" si="76"/>
        <v>4062.5124846551726</v>
      </c>
      <c r="DE40" s="282">
        <f t="shared" si="76"/>
        <v>4116.5185908620697</v>
      </c>
      <c r="DF40" s="282">
        <f t="shared" si="76"/>
        <v>4120.2642046018073</v>
      </c>
      <c r="DG40" s="282">
        <f t="shared" si="76"/>
        <v>4005.8568809482758</v>
      </c>
    </row>
    <row r="41" spans="1:111" x14ac:dyDescent="0.35">
      <c r="C41" s="1" t="s">
        <v>5</v>
      </c>
      <c r="D41" s="1">
        <v>19.5</v>
      </c>
      <c r="E41" s="1"/>
      <c r="F41" s="1"/>
      <c r="G41" s="1"/>
      <c r="H41" s="1"/>
      <c r="I41" s="1"/>
      <c r="J41" s="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1"/>
      <c r="BK41" s="271"/>
      <c r="BL41" s="271"/>
      <c r="BM41" s="271"/>
      <c r="BN41" s="271"/>
      <c r="BO41" s="271"/>
      <c r="BP41" s="271"/>
      <c r="BQ41" s="271"/>
      <c r="BR41" s="271"/>
      <c r="BS41" s="258"/>
      <c r="BT41" s="271">
        <f t="shared" ref="BT41:CM41" si="77">BT83*0.7</f>
        <v>1116.6080404647771</v>
      </c>
      <c r="BU41" s="271">
        <f t="shared" si="77"/>
        <v>1141.8358473613289</v>
      </c>
      <c r="BV41" s="271">
        <f t="shared" si="77"/>
        <v>1166.3502214992598</v>
      </c>
      <c r="BW41" s="271">
        <f t="shared" si="77"/>
        <v>1197.1623085682252</v>
      </c>
      <c r="BX41" s="271">
        <f t="shared" si="77"/>
        <v>1227.7773033958117</v>
      </c>
      <c r="BY41" s="271">
        <f t="shared" si="77"/>
        <v>1260.7355059820184</v>
      </c>
      <c r="BZ41" s="271">
        <f t="shared" si="77"/>
        <v>1618.8008004162818</v>
      </c>
      <c r="CA41" s="271">
        <f t="shared" si="77"/>
        <v>1658.76672714042</v>
      </c>
      <c r="CB41" s="271">
        <f t="shared" si="77"/>
        <v>1820.7108521404202</v>
      </c>
      <c r="CC41" s="271">
        <f t="shared" si="77"/>
        <v>1820.4918607611096</v>
      </c>
      <c r="CD41" s="271">
        <f t="shared" si="77"/>
        <v>1820.4918607611096</v>
      </c>
      <c r="CE41" s="271">
        <f t="shared" si="77"/>
        <v>1844.799903864558</v>
      </c>
      <c r="CF41" s="271">
        <f t="shared" si="77"/>
        <v>3549.0190018629805</v>
      </c>
      <c r="CG41" s="271">
        <f t="shared" si="77"/>
        <v>4268.0857983818541</v>
      </c>
      <c r="CH41" s="271">
        <f t="shared" si="77"/>
        <v>4678.6113547530231</v>
      </c>
      <c r="CI41" s="271">
        <f t="shared" si="77"/>
        <v>5091.5532741026627</v>
      </c>
      <c r="CJ41" s="271">
        <f t="shared" si="77"/>
        <v>5393.2542917624742</v>
      </c>
      <c r="CK41" s="271">
        <f t="shared" si="77"/>
        <v>5601.0451959205793</v>
      </c>
      <c r="CL41" s="271">
        <f t="shared" si="77"/>
        <v>5689.3377025959626</v>
      </c>
      <c r="CM41" s="271">
        <f t="shared" si="77"/>
        <v>5797.8017076470178</v>
      </c>
      <c r="CN41" s="279"/>
      <c r="CO41" s="271">
        <f t="shared" ref="CO41:CV41" si="78">CO83*0.7</f>
        <v>5950.4888229083499</v>
      </c>
      <c r="CP41" s="271">
        <f t="shared" si="78"/>
        <v>6077.0668285828351</v>
      </c>
      <c r="CQ41" s="271">
        <f t="shared" si="78"/>
        <v>6261.6244825074991</v>
      </c>
      <c r="CR41" s="271">
        <f t="shared" si="78"/>
        <v>6403.8198258158736</v>
      </c>
      <c r="CS41" s="271">
        <f t="shared" si="78"/>
        <v>6540.6270372990548</v>
      </c>
      <c r="CT41" s="271">
        <f t="shared" si="78"/>
        <v>6636.6239245460092</v>
      </c>
      <c r="CU41" s="271">
        <f t="shared" si="78"/>
        <v>6745.6183208309685</v>
      </c>
      <c r="CV41" s="271">
        <f t="shared" si="78"/>
        <v>6833.5876473613653</v>
      </c>
      <c r="CW41" s="271">
        <v>6833.5876473613653</v>
      </c>
      <c r="CX41" s="271">
        <v>6833.5876473613653</v>
      </c>
      <c r="CY41" s="271">
        <f>CV41*(1+$CW$14)*(1+$CX$14)*(1+$CY$14)</f>
        <v>7247.5269914057299</v>
      </c>
      <c r="CZ41" s="271">
        <f t="shared" ref="CZ41:DG41" si="79">CY41*(1+CZ$14)</f>
        <v>7367.1111867639238</v>
      </c>
      <c r="DA41" s="271">
        <f t="shared" si="79"/>
        <v>7569.7067443999322</v>
      </c>
      <c r="DB41" s="271">
        <f t="shared" si="79"/>
        <v>7751.3797062655303</v>
      </c>
      <c r="DC41" s="271">
        <f t="shared" si="79"/>
        <v>7991.672477159761</v>
      </c>
      <c r="DD41" s="271">
        <f t="shared" si="79"/>
        <v>8127.530909271476</v>
      </c>
      <c r="DE41" s="271">
        <f t="shared" si="79"/>
        <v>8281.9539965476342</v>
      </c>
      <c r="DF41" s="271">
        <f t="shared" si="79"/>
        <v>8435.1701454837657</v>
      </c>
      <c r="DG41" s="271">
        <f t="shared" si="79"/>
        <v>8616.5263036116667</v>
      </c>
    </row>
    <row r="42" spans="1:111" x14ac:dyDescent="0.35">
      <c r="C42" s="99" t="s">
        <v>6</v>
      </c>
      <c r="D42" s="1">
        <v>19.5</v>
      </c>
      <c r="E42" s="1"/>
      <c r="F42" s="1"/>
      <c r="G42" s="1"/>
      <c r="H42" s="1"/>
      <c r="I42" s="1"/>
      <c r="J42" s="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271"/>
      <c r="BM42" s="271"/>
      <c r="BN42" s="271"/>
      <c r="BO42" s="271"/>
      <c r="BP42" s="271"/>
      <c r="BQ42" s="271"/>
      <c r="BR42" s="271"/>
      <c r="BT42" s="271">
        <f t="shared" ref="BT42:CM42" si="80">BT84*0.7</f>
        <v>0</v>
      </c>
      <c r="BU42" s="271">
        <f t="shared" si="80"/>
        <v>0</v>
      </c>
      <c r="BV42" s="271">
        <f t="shared" si="80"/>
        <v>0</v>
      </c>
      <c r="BW42" s="271">
        <f t="shared" si="80"/>
        <v>0</v>
      </c>
      <c r="BX42" s="271">
        <f t="shared" si="80"/>
        <v>0</v>
      </c>
      <c r="BY42" s="271">
        <f t="shared" si="80"/>
        <v>0</v>
      </c>
      <c r="BZ42" s="271">
        <f t="shared" si="80"/>
        <v>0</v>
      </c>
      <c r="CA42" s="271">
        <f t="shared" si="80"/>
        <v>0</v>
      </c>
      <c r="CB42" s="271">
        <f t="shared" si="80"/>
        <v>0</v>
      </c>
      <c r="CC42" s="271">
        <f t="shared" si="80"/>
        <v>0</v>
      </c>
      <c r="CD42" s="271">
        <f t="shared" si="80"/>
        <v>0</v>
      </c>
      <c r="CE42" s="271">
        <f t="shared" si="80"/>
        <v>0</v>
      </c>
      <c r="CF42" s="271">
        <f t="shared" si="80"/>
        <v>0</v>
      </c>
      <c r="CG42" s="271">
        <f t="shared" si="80"/>
        <v>4268.0857983818541</v>
      </c>
      <c r="CH42" s="271">
        <f t="shared" si="80"/>
        <v>4678.6113547530231</v>
      </c>
      <c r="CI42" s="271">
        <f t="shared" si="80"/>
        <v>5091.5532741026627</v>
      </c>
      <c r="CJ42" s="271">
        <f t="shared" si="80"/>
        <v>5393.2542917624742</v>
      </c>
      <c r="CK42" s="271">
        <f t="shared" si="80"/>
        <v>5601.0451959205793</v>
      </c>
      <c r="CL42" s="271">
        <f t="shared" si="80"/>
        <v>5689.3377025959626</v>
      </c>
      <c r="CM42" s="271">
        <f t="shared" si="80"/>
        <v>5797.8017076470178</v>
      </c>
      <c r="CN42" s="270"/>
      <c r="CO42" s="271">
        <f t="shared" ref="CO42:CV42" si="81">CO84*0.7</f>
        <v>5950.4888229083499</v>
      </c>
      <c r="CP42" s="271">
        <f t="shared" si="81"/>
        <v>6077.0668285828351</v>
      </c>
      <c r="CQ42" s="271">
        <f t="shared" si="81"/>
        <v>6261.6244825074991</v>
      </c>
      <c r="CR42" s="271">
        <f t="shared" si="81"/>
        <v>6403.8198258158736</v>
      </c>
      <c r="CS42" s="271">
        <f t="shared" si="81"/>
        <v>6540.6270372990548</v>
      </c>
      <c r="CT42" s="271">
        <f t="shared" si="81"/>
        <v>6636.6239245460092</v>
      </c>
      <c r="CU42" s="271">
        <f t="shared" si="81"/>
        <v>6745.6183208309685</v>
      </c>
      <c r="CV42" s="271">
        <f t="shared" si="81"/>
        <v>6833.5876473613653</v>
      </c>
      <c r="CW42" s="271">
        <v>6833.5876473613653</v>
      </c>
      <c r="CX42" s="271">
        <v>6833.5876473613653</v>
      </c>
      <c r="CY42" s="271">
        <f>CV42*(1+$CW$14)*(1+$CX$14)*(1+$CY$14)</f>
        <v>7247.5269914057299</v>
      </c>
      <c r="CZ42" s="271">
        <f t="shared" ref="CZ42:DC58" si="82">CY42*(1+CZ$14)</f>
        <v>7367.1111867639238</v>
      </c>
      <c r="DA42" s="271">
        <f t="shared" si="82"/>
        <v>7569.7067443999322</v>
      </c>
      <c r="DB42" s="271">
        <f t="shared" si="82"/>
        <v>7751.3797062655303</v>
      </c>
      <c r="DC42" s="271">
        <f t="shared" si="82"/>
        <v>7991.672477159761</v>
      </c>
      <c r="DD42" s="271">
        <f t="shared" ref="DD42:DG58" si="83">DC42*(1+DD$14)</f>
        <v>8127.530909271476</v>
      </c>
      <c r="DE42" s="271">
        <f t="shared" si="83"/>
        <v>8281.9539965476342</v>
      </c>
      <c r="DF42" s="271">
        <f t="shared" si="83"/>
        <v>8435.1701454837657</v>
      </c>
      <c r="DG42" s="271">
        <f t="shared" si="83"/>
        <v>8616.5263036116667</v>
      </c>
    </row>
    <row r="43" spans="1:111" x14ac:dyDescent="0.35">
      <c r="A43" s="29"/>
      <c r="B43" s="29"/>
      <c r="C43" s="1" t="s">
        <v>5</v>
      </c>
      <c r="D43" s="1">
        <v>22.1</v>
      </c>
      <c r="E43" s="1"/>
      <c r="F43" s="1"/>
      <c r="G43" s="1"/>
      <c r="H43" s="1"/>
      <c r="I43" s="1"/>
      <c r="J43" s="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1"/>
      <c r="BK43" s="271"/>
      <c r="BL43" s="271"/>
      <c r="BM43" s="271"/>
      <c r="BN43" s="271"/>
      <c r="BO43" s="271"/>
      <c r="BP43" s="271"/>
      <c r="BQ43" s="271"/>
      <c r="BR43" s="271"/>
      <c r="BT43" s="271">
        <f t="shared" ref="BT43:CM43" si="84">BT85*0.7</f>
        <v>1116.6080404647771</v>
      </c>
      <c r="BU43" s="271">
        <f t="shared" si="84"/>
        <v>1141.8358473613289</v>
      </c>
      <c r="BV43" s="271">
        <f t="shared" si="84"/>
        <v>1166.3502214992598</v>
      </c>
      <c r="BW43" s="271">
        <f t="shared" si="84"/>
        <v>1197.1623085682252</v>
      </c>
      <c r="BX43" s="271">
        <f t="shared" si="84"/>
        <v>1227.7773033958117</v>
      </c>
      <c r="BY43" s="271">
        <f t="shared" si="84"/>
        <v>1260.7355059820184</v>
      </c>
      <c r="BZ43" s="271">
        <f t="shared" si="84"/>
        <v>1618.8008004162818</v>
      </c>
      <c r="CA43" s="271">
        <f t="shared" si="84"/>
        <v>1658.76672714042</v>
      </c>
      <c r="CB43" s="271">
        <f t="shared" si="84"/>
        <v>1820.7108521404202</v>
      </c>
      <c r="CC43" s="271">
        <f t="shared" si="84"/>
        <v>1820.4918607611096</v>
      </c>
      <c r="CD43" s="271">
        <f t="shared" si="84"/>
        <v>1820.4918607611096</v>
      </c>
      <c r="CE43" s="271">
        <f t="shared" si="84"/>
        <v>1844.799903864558</v>
      </c>
      <c r="CF43" s="271">
        <f t="shared" si="84"/>
        <v>3549.0190018629805</v>
      </c>
      <c r="CG43" s="271">
        <f t="shared" si="84"/>
        <v>4268.0857983818541</v>
      </c>
      <c r="CH43" s="271">
        <f t="shared" si="84"/>
        <v>4678.6113547530231</v>
      </c>
      <c r="CI43" s="271">
        <f t="shared" si="84"/>
        <v>5091.5532741026627</v>
      </c>
      <c r="CJ43" s="271">
        <f t="shared" si="84"/>
        <v>5393.2542917624742</v>
      </c>
      <c r="CK43" s="271">
        <f t="shared" si="84"/>
        <v>5601.0451959205793</v>
      </c>
      <c r="CL43" s="271">
        <f t="shared" si="84"/>
        <v>5689.3377025959626</v>
      </c>
      <c r="CM43" s="271">
        <f t="shared" si="84"/>
        <v>5797.8017076470178</v>
      </c>
      <c r="CN43" s="270"/>
      <c r="CO43" s="271">
        <f t="shared" ref="CO43:CV43" si="85">CO85*0.7</f>
        <v>5950.4888229083499</v>
      </c>
      <c r="CP43" s="271">
        <f t="shared" si="85"/>
        <v>6077.0668285828351</v>
      </c>
      <c r="CQ43" s="271">
        <f t="shared" si="85"/>
        <v>6261.6244825074991</v>
      </c>
      <c r="CR43" s="271">
        <f t="shared" si="85"/>
        <v>6403.8198258158736</v>
      </c>
      <c r="CS43" s="271">
        <f t="shared" si="85"/>
        <v>6540.6270372990548</v>
      </c>
      <c r="CT43" s="271">
        <f t="shared" si="85"/>
        <v>6636.6239245460092</v>
      </c>
      <c r="CU43" s="271">
        <f t="shared" si="85"/>
        <v>6745.6183208309685</v>
      </c>
      <c r="CV43" s="271">
        <f t="shared" si="85"/>
        <v>6833.5876473613653</v>
      </c>
      <c r="CW43" s="271">
        <v>6833.5876473613653</v>
      </c>
      <c r="CX43" s="271">
        <v>6833.5876473613653</v>
      </c>
      <c r="CY43" s="271">
        <f>CV43*(1+$CW$14)*(1+$CX$14)*(1+$CY$14)</f>
        <v>7247.5269914057299</v>
      </c>
      <c r="CZ43" s="271">
        <f t="shared" si="82"/>
        <v>7367.1111867639238</v>
      </c>
      <c r="DA43" s="271">
        <f t="shared" si="82"/>
        <v>7569.7067443999322</v>
      </c>
      <c r="DB43" s="271">
        <f t="shared" si="82"/>
        <v>7751.3797062655303</v>
      </c>
      <c r="DC43" s="271">
        <f t="shared" si="82"/>
        <v>7991.672477159761</v>
      </c>
      <c r="DD43" s="271">
        <f t="shared" si="83"/>
        <v>8127.530909271476</v>
      </c>
      <c r="DE43" s="271">
        <f t="shared" si="83"/>
        <v>8281.9539965476342</v>
      </c>
      <c r="DF43" s="271">
        <f t="shared" si="83"/>
        <v>8435.1701454837657</v>
      </c>
      <c r="DG43" s="271">
        <f t="shared" si="83"/>
        <v>8616.5263036116667</v>
      </c>
    </row>
    <row r="44" spans="1:111" x14ac:dyDescent="0.35">
      <c r="A44" s="29"/>
      <c r="B44" s="29"/>
      <c r="C44" s="1" t="s">
        <v>5</v>
      </c>
      <c r="D44" s="1">
        <v>22</v>
      </c>
      <c r="E44" s="1"/>
      <c r="F44" s="1"/>
      <c r="G44" s="1"/>
      <c r="H44" s="1"/>
      <c r="I44" s="1"/>
      <c r="J44" s="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1"/>
      <c r="BK44" s="271"/>
      <c r="BL44" s="271"/>
      <c r="BM44" s="271"/>
      <c r="BN44" s="271"/>
      <c r="BO44" s="271"/>
      <c r="BP44" s="271"/>
      <c r="BQ44" s="271"/>
      <c r="BR44" s="271"/>
      <c r="BT44" s="271">
        <f t="shared" ref="BT44:CM44" si="86">BT86*0.7</f>
        <v>1116.6080404647771</v>
      </c>
      <c r="BU44" s="271">
        <f t="shared" si="86"/>
        <v>1141.8358473613289</v>
      </c>
      <c r="BV44" s="271">
        <f t="shared" si="86"/>
        <v>0</v>
      </c>
      <c r="BW44" s="271">
        <f t="shared" si="86"/>
        <v>0</v>
      </c>
      <c r="BX44" s="271">
        <f t="shared" si="86"/>
        <v>0</v>
      </c>
      <c r="BY44" s="271">
        <f t="shared" si="86"/>
        <v>0</v>
      </c>
      <c r="BZ44" s="271">
        <f t="shared" si="86"/>
        <v>0</v>
      </c>
      <c r="CA44" s="271">
        <f t="shared" si="86"/>
        <v>0</v>
      </c>
      <c r="CB44" s="271">
        <f t="shared" si="86"/>
        <v>0</v>
      </c>
      <c r="CC44" s="271">
        <f t="shared" si="86"/>
        <v>0</v>
      </c>
      <c r="CD44" s="271">
        <f t="shared" si="86"/>
        <v>0</v>
      </c>
      <c r="CE44" s="271">
        <f t="shared" si="86"/>
        <v>0</v>
      </c>
      <c r="CF44" s="271">
        <f t="shared" si="86"/>
        <v>0</v>
      </c>
      <c r="CG44" s="271">
        <f t="shared" si="86"/>
        <v>0</v>
      </c>
      <c r="CH44" s="271">
        <f t="shared" si="86"/>
        <v>0</v>
      </c>
      <c r="CI44" s="271">
        <f t="shared" si="86"/>
        <v>0</v>
      </c>
      <c r="CJ44" s="271">
        <f t="shared" si="86"/>
        <v>0</v>
      </c>
      <c r="CK44" s="271">
        <f t="shared" si="86"/>
        <v>0</v>
      </c>
      <c r="CL44" s="271">
        <f t="shared" si="86"/>
        <v>0</v>
      </c>
      <c r="CM44" s="271">
        <f t="shared" si="86"/>
        <v>0</v>
      </c>
      <c r="CN44" s="270"/>
      <c r="CO44" s="271">
        <f t="shared" ref="CO44:CV44" si="87">CO86*0.7</f>
        <v>0</v>
      </c>
      <c r="CP44" s="271">
        <f t="shared" si="87"/>
        <v>0</v>
      </c>
      <c r="CQ44" s="271">
        <f t="shared" si="87"/>
        <v>0</v>
      </c>
      <c r="CR44" s="271">
        <f t="shared" si="87"/>
        <v>0</v>
      </c>
      <c r="CS44" s="271">
        <f t="shared" si="87"/>
        <v>0</v>
      </c>
      <c r="CT44" s="271">
        <f t="shared" si="87"/>
        <v>0</v>
      </c>
      <c r="CU44" s="271">
        <f t="shared" si="87"/>
        <v>0</v>
      </c>
      <c r="CV44" s="271">
        <f t="shared" si="87"/>
        <v>0</v>
      </c>
      <c r="CW44" s="271">
        <v>0</v>
      </c>
      <c r="CX44" s="271">
        <v>0</v>
      </c>
      <c r="CY44" s="271">
        <v>0</v>
      </c>
      <c r="CZ44" s="271">
        <f t="shared" si="82"/>
        <v>0</v>
      </c>
      <c r="DA44" s="271">
        <f t="shared" si="82"/>
        <v>0</v>
      </c>
      <c r="DB44" s="271">
        <f t="shared" si="82"/>
        <v>0</v>
      </c>
      <c r="DC44" s="271">
        <f t="shared" si="82"/>
        <v>0</v>
      </c>
      <c r="DD44" s="271">
        <f t="shared" si="83"/>
        <v>0</v>
      </c>
      <c r="DE44" s="271">
        <f t="shared" si="83"/>
        <v>0</v>
      </c>
      <c r="DF44" s="271">
        <f t="shared" si="83"/>
        <v>0</v>
      </c>
      <c r="DG44" s="271">
        <f t="shared" si="83"/>
        <v>0</v>
      </c>
    </row>
    <row r="45" spans="1:111" x14ac:dyDescent="0.35">
      <c r="C45" s="1" t="s">
        <v>5</v>
      </c>
      <c r="D45" s="1">
        <v>25</v>
      </c>
      <c r="E45" s="1"/>
      <c r="F45" s="1"/>
      <c r="G45" s="1"/>
      <c r="H45" s="1"/>
      <c r="I45" s="1"/>
      <c r="J45" s="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1"/>
      <c r="BK45" s="271"/>
      <c r="BL45" s="271"/>
      <c r="BM45" s="271"/>
      <c r="BN45" s="271"/>
      <c r="BO45" s="271"/>
      <c r="BP45" s="271"/>
      <c r="BQ45" s="271"/>
      <c r="BR45" s="271"/>
      <c r="BT45" s="271">
        <f t="shared" ref="BT45:CM45" si="88">BT87*0.7</f>
        <v>1116.6080404647771</v>
      </c>
      <c r="BU45" s="271">
        <f t="shared" si="88"/>
        <v>1141.8358473613289</v>
      </c>
      <c r="BV45" s="271">
        <f t="shared" si="88"/>
        <v>1166.3502214992598</v>
      </c>
      <c r="BW45" s="271">
        <f t="shared" si="88"/>
        <v>1197.1623085682252</v>
      </c>
      <c r="BX45" s="271">
        <f t="shared" si="88"/>
        <v>1227.7773033958117</v>
      </c>
      <c r="BY45" s="271">
        <f t="shared" si="88"/>
        <v>1260.7355059820184</v>
      </c>
      <c r="BZ45" s="271">
        <f t="shared" si="88"/>
        <v>1618.8008004162818</v>
      </c>
      <c r="CA45" s="271">
        <f t="shared" si="88"/>
        <v>1658.76672714042</v>
      </c>
      <c r="CB45" s="271">
        <f t="shared" si="88"/>
        <v>1820.7108521404202</v>
      </c>
      <c r="CC45" s="271">
        <f t="shared" si="88"/>
        <v>1820.4918607611096</v>
      </c>
      <c r="CD45" s="271">
        <f t="shared" si="88"/>
        <v>1820.4918607611096</v>
      </c>
      <c r="CE45" s="271">
        <f t="shared" si="88"/>
        <v>1844.799903864558</v>
      </c>
      <c r="CF45" s="271">
        <f t="shared" si="88"/>
        <v>3549.0190018629805</v>
      </c>
      <c r="CG45" s="271">
        <f t="shared" si="88"/>
        <v>4268.0857983818541</v>
      </c>
      <c r="CH45" s="271">
        <f t="shared" si="88"/>
        <v>4678.6113547530231</v>
      </c>
      <c r="CI45" s="271">
        <f t="shared" si="88"/>
        <v>5091.5532741026627</v>
      </c>
      <c r="CJ45" s="271">
        <f t="shared" si="88"/>
        <v>5393.2542917624742</v>
      </c>
      <c r="CK45" s="271">
        <f t="shared" si="88"/>
        <v>5601.0451959205793</v>
      </c>
      <c r="CL45" s="271">
        <f t="shared" si="88"/>
        <v>5689.3377025959626</v>
      </c>
      <c r="CM45" s="271">
        <f t="shared" si="88"/>
        <v>5797.8017076470178</v>
      </c>
      <c r="CN45" s="270"/>
      <c r="CO45" s="271">
        <f t="shared" ref="CO45:CV45" si="89">CO87*0.7</f>
        <v>5950.4888229083499</v>
      </c>
      <c r="CP45" s="271">
        <f t="shared" si="89"/>
        <v>6077.0668285828351</v>
      </c>
      <c r="CQ45" s="271">
        <f t="shared" si="89"/>
        <v>6261.6244825074991</v>
      </c>
      <c r="CR45" s="271">
        <f t="shared" si="89"/>
        <v>6403.8198258158736</v>
      </c>
      <c r="CS45" s="271">
        <f t="shared" si="89"/>
        <v>6540.6270372990548</v>
      </c>
      <c r="CT45" s="271">
        <f t="shared" si="89"/>
        <v>6636.6239245460092</v>
      </c>
      <c r="CU45" s="271">
        <f t="shared" si="89"/>
        <v>6745.6183208309685</v>
      </c>
      <c r="CV45" s="271">
        <f t="shared" si="89"/>
        <v>6833.5876473613653</v>
      </c>
      <c r="CW45" s="271">
        <v>6833.5876473613653</v>
      </c>
      <c r="CX45" s="271">
        <v>6833.5876473613653</v>
      </c>
      <c r="CY45" s="271">
        <f>CV45*(1+$CW$14)*(1+$CX$14)*(1+$CY$14)</f>
        <v>7247.5269914057299</v>
      </c>
      <c r="CZ45" s="271">
        <f t="shared" si="82"/>
        <v>7367.1111867639238</v>
      </c>
      <c r="DA45" s="271">
        <f t="shared" si="82"/>
        <v>7569.7067443999322</v>
      </c>
      <c r="DB45" s="271">
        <f t="shared" si="82"/>
        <v>7751.3797062655303</v>
      </c>
      <c r="DC45" s="271">
        <f t="shared" si="82"/>
        <v>7991.672477159761</v>
      </c>
      <c r="DD45" s="271">
        <f t="shared" si="83"/>
        <v>8127.530909271476</v>
      </c>
      <c r="DE45" s="271">
        <f t="shared" si="83"/>
        <v>8281.9539965476342</v>
      </c>
      <c r="DF45" s="271">
        <f t="shared" si="83"/>
        <v>8435.1701454837657</v>
      </c>
      <c r="DG45" s="271">
        <f t="shared" si="83"/>
        <v>8616.5263036116667</v>
      </c>
    </row>
    <row r="46" spans="1:111" x14ac:dyDescent="0.35">
      <c r="C46" s="1" t="s">
        <v>7</v>
      </c>
      <c r="D46" s="1">
        <v>25</v>
      </c>
      <c r="E46" s="1"/>
      <c r="F46" s="1"/>
      <c r="G46" s="1"/>
      <c r="H46" s="1"/>
      <c r="I46" s="1"/>
      <c r="J46" s="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T46" s="271">
        <f t="shared" ref="BT46:CM46" si="90">BT88*0.7</f>
        <v>0</v>
      </c>
      <c r="BU46" s="271">
        <f t="shared" si="90"/>
        <v>0</v>
      </c>
      <c r="BV46" s="271">
        <f t="shared" si="90"/>
        <v>0</v>
      </c>
      <c r="BW46" s="271">
        <f t="shared" si="90"/>
        <v>0</v>
      </c>
      <c r="BX46" s="271">
        <f t="shared" si="90"/>
        <v>0</v>
      </c>
      <c r="BY46" s="271">
        <f t="shared" si="90"/>
        <v>0</v>
      </c>
      <c r="BZ46" s="271">
        <f t="shared" si="90"/>
        <v>0</v>
      </c>
      <c r="CA46" s="271">
        <f t="shared" si="90"/>
        <v>0</v>
      </c>
      <c r="CB46" s="271">
        <f t="shared" si="90"/>
        <v>0</v>
      </c>
      <c r="CC46" s="271">
        <f t="shared" si="90"/>
        <v>0</v>
      </c>
      <c r="CD46" s="271">
        <f t="shared" si="90"/>
        <v>0</v>
      </c>
      <c r="CE46" s="271">
        <f t="shared" si="90"/>
        <v>0</v>
      </c>
      <c r="CF46" s="271">
        <f t="shared" si="90"/>
        <v>0</v>
      </c>
      <c r="CG46" s="271">
        <f t="shared" si="90"/>
        <v>4268.0857983818541</v>
      </c>
      <c r="CH46" s="271">
        <f t="shared" si="90"/>
        <v>4678.6113547530231</v>
      </c>
      <c r="CI46" s="271">
        <f t="shared" si="90"/>
        <v>5091.5532741026627</v>
      </c>
      <c r="CJ46" s="271">
        <f t="shared" si="90"/>
        <v>5393.2542917624742</v>
      </c>
      <c r="CK46" s="271">
        <f t="shared" si="90"/>
        <v>5601.0451959205793</v>
      </c>
      <c r="CL46" s="271">
        <f t="shared" si="90"/>
        <v>5689.3377025959626</v>
      </c>
      <c r="CM46" s="271">
        <f t="shared" si="90"/>
        <v>5797.8017076470178</v>
      </c>
      <c r="CN46" s="270"/>
      <c r="CO46" s="271">
        <f t="shared" ref="CO46:CV46" si="91">CO88*0.7</f>
        <v>5950.4888229083499</v>
      </c>
      <c r="CP46" s="271">
        <f t="shared" si="91"/>
        <v>6077.0668285828351</v>
      </c>
      <c r="CQ46" s="271">
        <f t="shared" si="91"/>
        <v>6261.6244825074991</v>
      </c>
      <c r="CR46" s="271">
        <f t="shared" si="91"/>
        <v>6403.8198258158736</v>
      </c>
      <c r="CS46" s="271">
        <f t="shared" si="91"/>
        <v>6540.6270372990548</v>
      </c>
      <c r="CT46" s="271">
        <f t="shared" si="91"/>
        <v>6636.6239245460092</v>
      </c>
      <c r="CU46" s="271">
        <f t="shared" si="91"/>
        <v>6745.6183208309685</v>
      </c>
      <c r="CV46" s="271">
        <f t="shared" si="91"/>
        <v>6833.5876473613653</v>
      </c>
      <c r="CW46" s="271">
        <v>6833.5876473613653</v>
      </c>
      <c r="CX46" s="271">
        <v>6833.5876473613653</v>
      </c>
      <c r="CY46" s="271">
        <f>CV46*(1+$CW$14)*(1+$CX$14)*(1+$CY$14)</f>
        <v>7247.5269914057299</v>
      </c>
      <c r="CZ46" s="271">
        <f t="shared" si="82"/>
        <v>7367.1111867639238</v>
      </c>
      <c r="DA46" s="271">
        <f t="shared" si="82"/>
        <v>7569.7067443999322</v>
      </c>
      <c r="DB46" s="271">
        <f t="shared" si="82"/>
        <v>7751.3797062655303</v>
      </c>
      <c r="DC46" s="271">
        <f t="shared" si="82"/>
        <v>7991.672477159761</v>
      </c>
      <c r="DD46" s="271">
        <f t="shared" si="83"/>
        <v>8127.530909271476</v>
      </c>
      <c r="DE46" s="271">
        <f t="shared" si="83"/>
        <v>8281.9539965476342</v>
      </c>
      <c r="DF46" s="271">
        <f t="shared" si="83"/>
        <v>8435.1701454837657</v>
      </c>
      <c r="DG46" s="271">
        <f t="shared" si="83"/>
        <v>8616.5263036116667</v>
      </c>
    </row>
    <row r="47" spans="1:111" x14ac:dyDescent="0.35">
      <c r="C47" s="1" t="s">
        <v>8</v>
      </c>
      <c r="D47" s="1">
        <v>37.200000000000003</v>
      </c>
      <c r="E47" s="1"/>
      <c r="F47" s="1"/>
      <c r="G47" s="1"/>
      <c r="H47" s="1"/>
      <c r="I47" s="1"/>
      <c r="J47" s="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T47" s="271">
        <f t="shared" ref="BT47:CM47" si="92">BT89*0.7</f>
        <v>1568.1840305997919</v>
      </c>
      <c r="BU47" s="271">
        <f t="shared" si="92"/>
        <v>1603.5822099101365</v>
      </c>
      <c r="BV47" s="271">
        <f t="shared" si="92"/>
        <v>1636.5542374963438</v>
      </c>
      <c r="BW47" s="271">
        <f t="shared" si="92"/>
        <v>1679.7879512894469</v>
      </c>
      <c r="BX47" s="271">
        <f t="shared" si="92"/>
        <v>1722.7451168066887</v>
      </c>
      <c r="BY47" s="271">
        <f t="shared" si="92"/>
        <v>1768.9901340480676</v>
      </c>
      <c r="BZ47" s="271">
        <f t="shared" si="92"/>
        <v>2271.4063586992861</v>
      </c>
      <c r="CA47" s="271">
        <f t="shared" si="92"/>
        <v>2327.4842035268725</v>
      </c>
      <c r="CB47" s="271">
        <f t="shared" si="92"/>
        <v>2554.7147035268722</v>
      </c>
      <c r="CC47" s="271">
        <f t="shared" si="92"/>
        <v>2554.4074276648034</v>
      </c>
      <c r="CD47" s="271">
        <f t="shared" si="92"/>
        <v>2554.4074276648034</v>
      </c>
      <c r="CE47" s="271">
        <f t="shared" si="92"/>
        <v>2588.5150483544585</v>
      </c>
      <c r="CF47" s="271">
        <f t="shared" si="92"/>
        <v>4979.7753533993664</v>
      </c>
      <c r="CG47" s="271">
        <f t="shared" si="92"/>
        <v>5988.727717101242</v>
      </c>
      <c r="CH47" s="271">
        <f t="shared" si="92"/>
        <v>6564.7531050984826</v>
      </c>
      <c r="CI47" s="271">
        <f t="shared" si="92"/>
        <v>7144.1689919346263</v>
      </c>
      <c r="CJ47" s="271">
        <f t="shared" si="92"/>
        <v>7567.4981685462999</v>
      </c>
      <c r="CK47" s="271">
        <f t="shared" si="92"/>
        <v>7859.0581806634309</v>
      </c>
      <c r="CL47" s="271">
        <f t="shared" si="92"/>
        <v>7982.9450486686819</v>
      </c>
      <c r="CM47" s="271">
        <f t="shared" si="92"/>
        <v>8135.1353803633547</v>
      </c>
      <c r="CN47" s="270"/>
      <c r="CO47" s="271">
        <f t="shared" ref="CO47:CV47" si="93">CO89*0.7</f>
        <v>8349.3769871174736</v>
      </c>
      <c r="CP47" s="271">
        <f t="shared" si="93"/>
        <v>8526.9838223047118</v>
      </c>
      <c r="CQ47" s="271">
        <f t="shared" si="93"/>
        <v>8785.944300062878</v>
      </c>
      <c r="CR47" s="271">
        <f t="shared" si="93"/>
        <v>8985.4644676369317</v>
      </c>
      <c r="CS47" s="271">
        <f t="shared" si="93"/>
        <v>9177.4243245871548</v>
      </c>
      <c r="CT47" s="271">
        <f t="shared" si="93"/>
        <v>9312.1215276352395</v>
      </c>
      <c r="CU47" s="271">
        <f t="shared" si="93"/>
        <v>9465.056073207852</v>
      </c>
      <c r="CV47" s="271">
        <f t="shared" si="93"/>
        <v>9588.4894737845334</v>
      </c>
      <c r="CW47" s="271">
        <v>9588.4894737845334</v>
      </c>
      <c r="CX47" s="271">
        <v>9588.4894737845334</v>
      </c>
      <c r="CY47" s="271">
        <f>CV47*(1+$CW$14)*(1+$CX$14)*(1+$CY$14)</f>
        <v>10169.304888464581</v>
      </c>
      <c r="CZ47" s="271">
        <f t="shared" si="82"/>
        <v>10337.098419124246</v>
      </c>
      <c r="DA47" s="271">
        <f t="shared" si="82"/>
        <v>10621.368625650164</v>
      </c>
      <c r="DB47" s="271">
        <f t="shared" si="82"/>
        <v>10876.281472665769</v>
      </c>
      <c r="DC47" s="271">
        <f t="shared" si="82"/>
        <v>11213.446198318406</v>
      </c>
      <c r="DD47" s="271">
        <f t="shared" si="83"/>
        <v>11404.074783689819</v>
      </c>
      <c r="DE47" s="271">
        <f t="shared" si="83"/>
        <v>11620.752204579925</v>
      </c>
      <c r="DF47" s="271">
        <f t="shared" si="83"/>
        <v>11835.736120364652</v>
      </c>
      <c r="DG47" s="271">
        <f t="shared" si="83"/>
        <v>12090.204446952494</v>
      </c>
    </row>
    <row r="48" spans="1:111" x14ac:dyDescent="0.35">
      <c r="C48" s="1" t="s">
        <v>8</v>
      </c>
      <c r="D48" s="1">
        <v>40</v>
      </c>
      <c r="E48" s="1"/>
      <c r="F48" s="1"/>
      <c r="G48" s="1"/>
      <c r="H48" s="1"/>
      <c r="I48" s="1"/>
      <c r="J48" s="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  <c r="BF48" s="271"/>
      <c r="BG48" s="271"/>
      <c r="BH48" s="271"/>
      <c r="BI48" s="271"/>
      <c r="BJ48" s="271"/>
      <c r="BK48" s="271"/>
      <c r="BL48" s="271"/>
      <c r="BM48" s="271"/>
      <c r="BN48" s="271"/>
      <c r="BO48" s="271"/>
      <c r="BP48" s="271"/>
      <c r="BQ48" s="271"/>
      <c r="BR48" s="271"/>
      <c r="BT48" s="271">
        <f t="shared" ref="BT48:CM48" si="94">BT90*0.7</f>
        <v>1568.1840305997919</v>
      </c>
      <c r="BU48" s="271">
        <f t="shared" si="94"/>
        <v>1603.5822099101365</v>
      </c>
      <c r="BV48" s="271">
        <f t="shared" si="94"/>
        <v>0</v>
      </c>
      <c r="BW48" s="271">
        <f t="shared" si="94"/>
        <v>0</v>
      </c>
      <c r="BX48" s="271">
        <f t="shared" si="94"/>
        <v>0</v>
      </c>
      <c r="BY48" s="271">
        <f t="shared" si="94"/>
        <v>0</v>
      </c>
      <c r="BZ48" s="271">
        <f t="shared" si="94"/>
        <v>0</v>
      </c>
      <c r="CA48" s="271">
        <f t="shared" si="94"/>
        <v>0</v>
      </c>
      <c r="CB48" s="271">
        <f t="shared" si="94"/>
        <v>0</v>
      </c>
      <c r="CC48" s="271">
        <f t="shared" si="94"/>
        <v>0</v>
      </c>
      <c r="CD48" s="271">
        <f t="shared" si="94"/>
        <v>0</v>
      </c>
      <c r="CE48" s="271">
        <f t="shared" si="94"/>
        <v>0</v>
      </c>
      <c r="CF48" s="271">
        <f t="shared" si="94"/>
        <v>0</v>
      </c>
      <c r="CG48" s="271">
        <f t="shared" si="94"/>
        <v>0</v>
      </c>
      <c r="CH48" s="271">
        <f t="shared" si="94"/>
        <v>0</v>
      </c>
      <c r="CI48" s="271">
        <f t="shared" si="94"/>
        <v>0</v>
      </c>
      <c r="CJ48" s="271">
        <f t="shared" si="94"/>
        <v>0</v>
      </c>
      <c r="CK48" s="271">
        <f t="shared" si="94"/>
        <v>0</v>
      </c>
      <c r="CL48" s="271">
        <f t="shared" si="94"/>
        <v>0</v>
      </c>
      <c r="CM48" s="271">
        <f t="shared" si="94"/>
        <v>0</v>
      </c>
      <c r="CN48" s="270"/>
      <c r="CO48" s="271">
        <f t="shared" ref="CO48:CV48" si="95">CO90*0.7</f>
        <v>0</v>
      </c>
      <c r="CP48" s="271">
        <f t="shared" si="95"/>
        <v>0</v>
      </c>
      <c r="CQ48" s="271">
        <f t="shared" si="95"/>
        <v>0</v>
      </c>
      <c r="CR48" s="271">
        <f t="shared" si="95"/>
        <v>0</v>
      </c>
      <c r="CS48" s="271">
        <f t="shared" si="95"/>
        <v>0</v>
      </c>
      <c r="CT48" s="271">
        <f t="shared" si="95"/>
        <v>0</v>
      </c>
      <c r="CU48" s="271">
        <f t="shared" si="95"/>
        <v>0</v>
      </c>
      <c r="CV48" s="271">
        <f t="shared" si="95"/>
        <v>0</v>
      </c>
      <c r="CW48" s="271">
        <v>0</v>
      </c>
      <c r="CX48" s="271">
        <v>0</v>
      </c>
      <c r="CY48" s="271">
        <f t="shared" ref="CY48" si="96">CY90*0.7</f>
        <v>0</v>
      </c>
      <c r="CZ48" s="271">
        <f t="shared" si="82"/>
        <v>0</v>
      </c>
      <c r="DA48" s="271">
        <f t="shared" si="82"/>
        <v>0</v>
      </c>
      <c r="DB48" s="271">
        <f t="shared" si="82"/>
        <v>0</v>
      </c>
      <c r="DC48" s="271">
        <f t="shared" si="82"/>
        <v>0</v>
      </c>
      <c r="DD48" s="271">
        <f t="shared" si="83"/>
        <v>0</v>
      </c>
      <c r="DE48" s="271">
        <f t="shared" si="83"/>
        <v>0</v>
      </c>
      <c r="DF48" s="271">
        <f t="shared" si="83"/>
        <v>0</v>
      </c>
      <c r="DG48" s="271">
        <f t="shared" si="83"/>
        <v>0</v>
      </c>
    </row>
    <row r="49" spans="1:111" x14ac:dyDescent="0.35">
      <c r="C49" s="1" t="s">
        <v>8</v>
      </c>
      <c r="D49" s="1">
        <v>44</v>
      </c>
      <c r="E49" s="1"/>
      <c r="F49" s="1"/>
      <c r="G49" s="1"/>
      <c r="H49" s="1"/>
      <c r="I49" s="1"/>
      <c r="J49" s="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T49" s="271">
        <f t="shared" ref="BT49:CM49" si="97">BT91*0.7</f>
        <v>1568.1840305997919</v>
      </c>
      <c r="BU49" s="271">
        <f t="shared" si="97"/>
        <v>1603.5822099101365</v>
      </c>
      <c r="BV49" s="271">
        <f t="shared" si="97"/>
        <v>1636.5542374963438</v>
      </c>
      <c r="BW49" s="271">
        <f t="shared" si="97"/>
        <v>1679.7879512894469</v>
      </c>
      <c r="BX49" s="271">
        <f t="shared" si="97"/>
        <v>1722.7451168066887</v>
      </c>
      <c r="BY49" s="271">
        <f t="shared" si="97"/>
        <v>1768.9901340480676</v>
      </c>
      <c r="BZ49" s="271">
        <f t="shared" si="97"/>
        <v>2271.4063586992861</v>
      </c>
      <c r="CA49" s="271">
        <f t="shared" si="97"/>
        <v>2327.4842035268725</v>
      </c>
      <c r="CB49" s="271">
        <f t="shared" si="97"/>
        <v>2554.7147035268722</v>
      </c>
      <c r="CC49" s="271">
        <f t="shared" si="97"/>
        <v>2554.4074276648034</v>
      </c>
      <c r="CD49" s="271">
        <f t="shared" si="97"/>
        <v>2554.4074276648034</v>
      </c>
      <c r="CE49" s="271">
        <f t="shared" si="97"/>
        <v>2588.5150483544585</v>
      </c>
      <c r="CF49" s="271">
        <f t="shared" si="97"/>
        <v>4979.7753533993664</v>
      </c>
      <c r="CG49" s="271">
        <f t="shared" si="97"/>
        <v>5988.727717101242</v>
      </c>
      <c r="CH49" s="271">
        <f t="shared" si="97"/>
        <v>6564.7531050984826</v>
      </c>
      <c r="CI49" s="271">
        <f t="shared" si="97"/>
        <v>7144.1689919346263</v>
      </c>
      <c r="CJ49" s="271">
        <f t="shared" si="97"/>
        <v>7567.4981685462999</v>
      </c>
      <c r="CK49" s="271">
        <f t="shared" si="97"/>
        <v>7859.0581806634309</v>
      </c>
      <c r="CL49" s="271">
        <f t="shared" si="97"/>
        <v>7982.9450486686819</v>
      </c>
      <c r="CM49" s="271">
        <f t="shared" si="97"/>
        <v>8135.1353803633547</v>
      </c>
      <c r="CN49" s="270"/>
      <c r="CO49" s="271">
        <f t="shared" ref="CO49:CV49" si="98">CO91*0.7</f>
        <v>8349.3769871174736</v>
      </c>
      <c r="CP49" s="271">
        <f t="shared" si="98"/>
        <v>8526.9838223047118</v>
      </c>
      <c r="CQ49" s="271">
        <f t="shared" si="98"/>
        <v>8785.944300062878</v>
      </c>
      <c r="CR49" s="271">
        <f t="shared" si="98"/>
        <v>8985.4644676369317</v>
      </c>
      <c r="CS49" s="271">
        <f t="shared" si="98"/>
        <v>9177.4243245871548</v>
      </c>
      <c r="CT49" s="271">
        <f t="shared" si="98"/>
        <v>9312.1215276352395</v>
      </c>
      <c r="CU49" s="271">
        <f t="shared" si="98"/>
        <v>9465.056073207852</v>
      </c>
      <c r="CV49" s="271">
        <f t="shared" si="98"/>
        <v>9588.4894737845334</v>
      </c>
      <c r="CW49" s="271">
        <v>9588.4894737845334</v>
      </c>
      <c r="CX49" s="271">
        <v>9588.4894737845334</v>
      </c>
      <c r="CY49" s="271">
        <f>CV49*(1+$CW$14)*(1+$CX$14)*(1+$CY$14)</f>
        <v>10169.304888464581</v>
      </c>
      <c r="CZ49" s="271">
        <f t="shared" si="82"/>
        <v>10337.098419124246</v>
      </c>
      <c r="DA49" s="271">
        <f t="shared" si="82"/>
        <v>10621.368625650164</v>
      </c>
      <c r="DB49" s="271">
        <f t="shared" si="82"/>
        <v>10876.281472665769</v>
      </c>
      <c r="DC49" s="271">
        <f t="shared" si="82"/>
        <v>11213.446198318406</v>
      </c>
      <c r="DD49" s="271">
        <f t="shared" si="83"/>
        <v>11404.074783689819</v>
      </c>
      <c r="DE49" s="271">
        <f t="shared" si="83"/>
        <v>11620.752204579925</v>
      </c>
      <c r="DF49" s="271">
        <f t="shared" si="83"/>
        <v>11835.736120364652</v>
      </c>
      <c r="DG49" s="271">
        <f t="shared" si="83"/>
        <v>12090.204446952494</v>
      </c>
    </row>
    <row r="50" spans="1:111" x14ac:dyDescent="0.35">
      <c r="C50" s="1" t="s">
        <v>9</v>
      </c>
      <c r="D50" s="1">
        <v>42.6</v>
      </c>
      <c r="E50" s="1"/>
      <c r="F50" s="1"/>
      <c r="G50" s="1"/>
      <c r="H50" s="1"/>
      <c r="I50" s="1"/>
      <c r="J50" s="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  <c r="BC50" s="271"/>
      <c r="BD50" s="271"/>
      <c r="BE50" s="271"/>
      <c r="BF50" s="271"/>
      <c r="BG50" s="271"/>
      <c r="BH50" s="271"/>
      <c r="BI50" s="271"/>
      <c r="BJ50" s="271"/>
      <c r="BK50" s="271"/>
      <c r="BL50" s="271"/>
      <c r="BM50" s="271"/>
      <c r="BN50" s="271"/>
      <c r="BO50" s="271"/>
      <c r="BP50" s="271"/>
      <c r="BQ50" s="271"/>
      <c r="BR50" s="271"/>
      <c r="BT50" s="271">
        <f t="shared" ref="BT50:CM50" si="99">BT92*0.7</f>
        <v>1744.1227280549924</v>
      </c>
      <c r="BU50" s="271">
        <f t="shared" si="99"/>
        <v>1783.4833901239579</v>
      </c>
      <c r="BV50" s="271">
        <f t="shared" si="99"/>
        <v>0</v>
      </c>
      <c r="BW50" s="271">
        <f t="shared" si="99"/>
        <v>0</v>
      </c>
      <c r="BX50" s="271">
        <f t="shared" si="99"/>
        <v>0</v>
      </c>
      <c r="BY50" s="271">
        <f t="shared" si="99"/>
        <v>0</v>
      </c>
      <c r="BZ50" s="271">
        <f t="shared" si="99"/>
        <v>0</v>
      </c>
      <c r="CA50" s="271">
        <f t="shared" si="99"/>
        <v>0</v>
      </c>
      <c r="CB50" s="271">
        <f t="shared" si="99"/>
        <v>0</v>
      </c>
      <c r="CC50" s="271">
        <f t="shared" si="99"/>
        <v>0</v>
      </c>
      <c r="CD50" s="271">
        <f t="shared" si="99"/>
        <v>0</v>
      </c>
      <c r="CE50" s="271">
        <f t="shared" si="99"/>
        <v>0</v>
      </c>
      <c r="CF50" s="271">
        <f t="shared" si="99"/>
        <v>0</v>
      </c>
      <c r="CG50" s="271">
        <f t="shared" si="99"/>
        <v>0</v>
      </c>
      <c r="CH50" s="271">
        <f t="shared" si="99"/>
        <v>0</v>
      </c>
      <c r="CI50" s="271">
        <f t="shared" si="99"/>
        <v>0</v>
      </c>
      <c r="CJ50" s="271">
        <f t="shared" si="99"/>
        <v>0</v>
      </c>
      <c r="CK50" s="271">
        <f t="shared" si="99"/>
        <v>0</v>
      </c>
      <c r="CL50" s="271">
        <f t="shared" si="99"/>
        <v>0</v>
      </c>
      <c r="CM50" s="271">
        <f t="shared" si="99"/>
        <v>0</v>
      </c>
      <c r="CN50" s="270"/>
      <c r="CO50" s="271">
        <f t="shared" ref="CO50:CV50" si="100">CO92*0.7</f>
        <v>0</v>
      </c>
      <c r="CP50" s="271">
        <f t="shared" si="100"/>
        <v>0</v>
      </c>
      <c r="CQ50" s="271">
        <f t="shared" si="100"/>
        <v>0</v>
      </c>
      <c r="CR50" s="271">
        <f t="shared" si="100"/>
        <v>0</v>
      </c>
      <c r="CS50" s="271">
        <f t="shared" si="100"/>
        <v>0</v>
      </c>
      <c r="CT50" s="271">
        <f t="shared" si="100"/>
        <v>0</v>
      </c>
      <c r="CU50" s="271">
        <f t="shared" si="100"/>
        <v>0</v>
      </c>
      <c r="CV50" s="271">
        <f t="shared" si="100"/>
        <v>0</v>
      </c>
      <c r="CW50" s="271">
        <v>0</v>
      </c>
      <c r="CX50" s="271">
        <v>0</v>
      </c>
      <c r="CY50" s="271">
        <v>0</v>
      </c>
      <c r="CZ50" s="271">
        <f t="shared" si="82"/>
        <v>0</v>
      </c>
      <c r="DA50" s="271">
        <f t="shared" si="82"/>
        <v>0</v>
      </c>
      <c r="DB50" s="271">
        <f t="shared" si="82"/>
        <v>0</v>
      </c>
      <c r="DC50" s="271">
        <f t="shared" si="82"/>
        <v>0</v>
      </c>
      <c r="DD50" s="271">
        <f t="shared" si="83"/>
        <v>0</v>
      </c>
      <c r="DE50" s="271">
        <f t="shared" si="83"/>
        <v>0</v>
      </c>
      <c r="DF50" s="271">
        <f t="shared" si="83"/>
        <v>0</v>
      </c>
      <c r="DG50" s="271">
        <f t="shared" si="83"/>
        <v>0</v>
      </c>
    </row>
    <row r="51" spans="1:111" x14ac:dyDescent="0.35">
      <c r="C51" s="1" t="s">
        <v>9</v>
      </c>
      <c r="D51" s="1">
        <v>46.6</v>
      </c>
      <c r="E51" s="1"/>
      <c r="F51" s="1"/>
      <c r="G51" s="1"/>
      <c r="H51" s="1"/>
      <c r="I51" s="1"/>
      <c r="J51" s="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  <c r="BC51" s="271"/>
      <c r="BD51" s="271"/>
      <c r="BE51" s="271"/>
      <c r="BF51" s="271"/>
      <c r="BG51" s="271"/>
      <c r="BH51" s="271"/>
      <c r="BI51" s="271"/>
      <c r="BJ51" s="271"/>
      <c r="BK51" s="271"/>
      <c r="BL51" s="271"/>
      <c r="BM51" s="271"/>
      <c r="BN51" s="271"/>
      <c r="BO51" s="271"/>
      <c r="BP51" s="271"/>
      <c r="BQ51" s="271"/>
      <c r="BR51" s="271"/>
      <c r="BT51" s="271">
        <f t="shared" ref="BT51:CM51" si="101">BT93*0.7</f>
        <v>1744.1227280549924</v>
      </c>
      <c r="BU51" s="271">
        <f t="shared" si="101"/>
        <v>1783.4833901239579</v>
      </c>
      <c r="BV51" s="271">
        <f t="shared" si="101"/>
        <v>1819.7506073653374</v>
      </c>
      <c r="BW51" s="271">
        <f t="shared" si="101"/>
        <v>1867.8239159860268</v>
      </c>
      <c r="BX51" s="271">
        <f t="shared" si="101"/>
        <v>1915.5897194343029</v>
      </c>
      <c r="BY51" s="271">
        <f t="shared" si="101"/>
        <v>1967.011417710165</v>
      </c>
      <c r="BZ51" s="271">
        <f t="shared" si="101"/>
        <v>2525.6682645238325</v>
      </c>
      <c r="CA51" s="271">
        <f t="shared" si="101"/>
        <v>2588.0234800410744</v>
      </c>
      <c r="CB51" s="271">
        <f t="shared" si="101"/>
        <v>2840.6902300410743</v>
      </c>
      <c r="CC51" s="271">
        <f t="shared" si="101"/>
        <v>2840.3485576272806</v>
      </c>
      <c r="CD51" s="271">
        <f t="shared" si="101"/>
        <v>2840.3485576272806</v>
      </c>
      <c r="CE51" s="271">
        <f t="shared" si="101"/>
        <v>2878.2741955583156</v>
      </c>
      <c r="CF51" s="271">
        <f t="shared" si="101"/>
        <v>5537.2128929589953</v>
      </c>
      <c r="CG51" s="271">
        <f t="shared" si="101"/>
        <v>6659.1076854334679</v>
      </c>
      <c r="CH51" s="271">
        <f t="shared" si="101"/>
        <v>7299.6135273109994</v>
      </c>
      <c r="CI51" s="271">
        <f t="shared" si="101"/>
        <v>7943.8894014795469</v>
      </c>
      <c r="CJ51" s="271">
        <f t="shared" si="101"/>
        <v>8414.6061724880492</v>
      </c>
      <c r="CK51" s="271">
        <f t="shared" si="101"/>
        <v>8738.8034993944129</v>
      </c>
      <c r="CL51" s="271">
        <f t="shared" si="101"/>
        <v>8876.5583003853244</v>
      </c>
      <c r="CM51" s="271">
        <f t="shared" si="101"/>
        <v>9045.7848632398509</v>
      </c>
      <c r="CN51" s="270"/>
      <c r="CO51" s="271">
        <f t="shared" ref="CO51:CV51" si="102">CO93*0.7</f>
        <v>9284.0087394067432</v>
      </c>
      <c r="CP51" s="271">
        <f t="shared" si="102"/>
        <v>9481.4969367418071</v>
      </c>
      <c r="CQ51" s="271">
        <f t="shared" si="102"/>
        <v>9769.4455276818589</v>
      </c>
      <c r="CR51" s="271">
        <f t="shared" si="102"/>
        <v>9991.3000423724097</v>
      </c>
      <c r="CS51" s="271">
        <f t="shared" si="102"/>
        <v>10204.747943011093</v>
      </c>
      <c r="CT51" s="271">
        <f t="shared" si="102"/>
        <v>10354.523191176499</v>
      </c>
      <c r="CU51" s="271">
        <f t="shared" si="102"/>
        <v>10524.577275432614</v>
      </c>
      <c r="CV51" s="271">
        <f t="shared" si="102"/>
        <v>10661.82784771564</v>
      </c>
      <c r="CW51" s="271">
        <v>10661.82784771564</v>
      </c>
      <c r="CX51" s="271">
        <v>10661.82784771564</v>
      </c>
      <c r="CY51" s="271">
        <f>CV51*(1+$CW$14)*(1+$CX$14)*(1+$CY$14)</f>
        <v>11307.659913292711</v>
      </c>
      <c r="CZ51" s="271">
        <f t="shared" si="82"/>
        <v>11494.23630186204</v>
      </c>
      <c r="DA51" s="271">
        <f t="shared" si="82"/>
        <v>11810.327800163246</v>
      </c>
      <c r="DB51" s="271">
        <f t="shared" si="82"/>
        <v>12093.775667367165</v>
      </c>
      <c r="DC51" s="271">
        <f t="shared" si="82"/>
        <v>12468.682713055547</v>
      </c>
      <c r="DD51" s="271">
        <f t="shared" si="83"/>
        <v>12680.65031917749</v>
      </c>
      <c r="DE51" s="271">
        <f t="shared" si="83"/>
        <v>12921.582675241862</v>
      </c>
      <c r="DF51" s="271">
        <f t="shared" si="83"/>
        <v>13160.631954733835</v>
      </c>
      <c r="DG51" s="271">
        <f t="shared" si="83"/>
        <v>13443.585541760614</v>
      </c>
    </row>
    <row r="52" spans="1:111" x14ac:dyDescent="0.35">
      <c r="C52" s="99" t="s">
        <v>10</v>
      </c>
      <c r="D52" s="1">
        <v>46.6</v>
      </c>
      <c r="E52" s="1"/>
      <c r="F52" s="1"/>
      <c r="G52" s="1"/>
      <c r="H52" s="1"/>
      <c r="I52" s="1"/>
      <c r="J52" s="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1"/>
      <c r="BC52" s="271"/>
      <c r="BD52" s="271"/>
      <c r="BE52" s="271"/>
      <c r="BF52" s="271"/>
      <c r="BG52" s="271"/>
      <c r="BH52" s="271"/>
      <c r="BI52" s="271"/>
      <c r="BJ52" s="271"/>
      <c r="BK52" s="271"/>
      <c r="BL52" s="271"/>
      <c r="BM52" s="271"/>
      <c r="BN52" s="271"/>
      <c r="BO52" s="271"/>
      <c r="BP52" s="271"/>
      <c r="BQ52" s="271"/>
      <c r="BR52" s="271"/>
      <c r="BT52" s="271">
        <f t="shared" ref="BT52:CM52" si="103">BT94*0.7</f>
        <v>0</v>
      </c>
      <c r="BU52" s="271">
        <f t="shared" si="103"/>
        <v>0</v>
      </c>
      <c r="BV52" s="271">
        <f t="shared" si="103"/>
        <v>0</v>
      </c>
      <c r="BW52" s="271">
        <f t="shared" si="103"/>
        <v>0</v>
      </c>
      <c r="BX52" s="271">
        <f t="shared" si="103"/>
        <v>0</v>
      </c>
      <c r="BY52" s="271">
        <f t="shared" si="103"/>
        <v>0</v>
      </c>
      <c r="BZ52" s="271">
        <f t="shared" si="103"/>
        <v>0</v>
      </c>
      <c r="CA52" s="271">
        <f t="shared" si="103"/>
        <v>0</v>
      </c>
      <c r="CB52" s="271">
        <f t="shared" si="103"/>
        <v>0</v>
      </c>
      <c r="CC52" s="271">
        <f t="shared" si="103"/>
        <v>0</v>
      </c>
      <c r="CD52" s="271">
        <f t="shared" si="103"/>
        <v>0</v>
      </c>
      <c r="CE52" s="271">
        <f t="shared" si="103"/>
        <v>0</v>
      </c>
      <c r="CF52" s="271">
        <f t="shared" si="103"/>
        <v>0</v>
      </c>
      <c r="CG52" s="271">
        <f t="shared" si="103"/>
        <v>6659.1076854334679</v>
      </c>
      <c r="CH52" s="271">
        <f t="shared" si="103"/>
        <v>7299.6135273109994</v>
      </c>
      <c r="CI52" s="271">
        <f t="shared" si="103"/>
        <v>7943.8894014795469</v>
      </c>
      <c r="CJ52" s="271">
        <f t="shared" si="103"/>
        <v>8414.6061724880492</v>
      </c>
      <c r="CK52" s="271">
        <f t="shared" si="103"/>
        <v>8738.8034993944129</v>
      </c>
      <c r="CL52" s="271">
        <f t="shared" si="103"/>
        <v>8876.5583003853244</v>
      </c>
      <c r="CM52" s="271">
        <f t="shared" si="103"/>
        <v>9045.7848632398509</v>
      </c>
      <c r="CN52" s="270"/>
      <c r="CO52" s="271">
        <f t="shared" ref="CO52:CU52" si="104">CO94*0.7</f>
        <v>9284.0087394067432</v>
      </c>
      <c r="CP52" s="271">
        <f t="shared" si="104"/>
        <v>9481.4969367418071</v>
      </c>
      <c r="CQ52" s="271">
        <f t="shared" si="104"/>
        <v>9769.4455276818589</v>
      </c>
      <c r="CR52" s="271">
        <f t="shared" si="104"/>
        <v>9991.3000423724097</v>
      </c>
      <c r="CS52" s="271">
        <f t="shared" si="104"/>
        <v>10204.747943011093</v>
      </c>
      <c r="CT52" s="271">
        <f t="shared" si="104"/>
        <v>10354.523191176499</v>
      </c>
      <c r="CU52" s="271">
        <f t="shared" si="104"/>
        <v>10524.577275432614</v>
      </c>
      <c r="CV52" s="271">
        <f>CV94*0.7</f>
        <v>10661.82784771564</v>
      </c>
      <c r="CW52" s="271">
        <v>10661.82784771564</v>
      </c>
      <c r="CX52" s="271">
        <v>10661.82784771564</v>
      </c>
      <c r="CY52" s="271">
        <f>CV52*(1+$CW$14)*(1+$CX$14)*(1+$CY$14)</f>
        <v>11307.659913292711</v>
      </c>
      <c r="CZ52" s="271">
        <f t="shared" si="82"/>
        <v>11494.23630186204</v>
      </c>
      <c r="DA52" s="271">
        <f t="shared" si="82"/>
        <v>11810.327800163246</v>
      </c>
      <c r="DB52" s="271">
        <f t="shared" si="82"/>
        <v>12093.775667367165</v>
      </c>
      <c r="DC52" s="271">
        <f t="shared" si="82"/>
        <v>12468.682713055547</v>
      </c>
      <c r="DD52" s="271">
        <f t="shared" si="83"/>
        <v>12680.65031917749</v>
      </c>
      <c r="DE52" s="271">
        <f t="shared" si="83"/>
        <v>12921.582675241862</v>
      </c>
      <c r="DF52" s="271">
        <f t="shared" si="83"/>
        <v>13160.631954733835</v>
      </c>
      <c r="DG52" s="271">
        <f t="shared" si="83"/>
        <v>13443.585541760614</v>
      </c>
    </row>
    <row r="53" spans="1:111" x14ac:dyDescent="0.35">
      <c r="C53" s="1" t="s">
        <v>9</v>
      </c>
      <c r="D53" s="1">
        <v>48</v>
      </c>
      <c r="E53" s="1"/>
      <c r="F53" s="1"/>
      <c r="G53" s="1"/>
      <c r="H53" s="1"/>
      <c r="I53" s="1"/>
      <c r="J53" s="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  <c r="BC53" s="271"/>
      <c r="BD53" s="271"/>
      <c r="BE53" s="271"/>
      <c r="BF53" s="271"/>
      <c r="BG53" s="271"/>
      <c r="BH53" s="271"/>
      <c r="BI53" s="271"/>
      <c r="BJ53" s="271"/>
      <c r="BK53" s="271"/>
      <c r="BL53" s="271"/>
      <c r="BM53" s="271"/>
      <c r="BN53" s="271"/>
      <c r="BO53" s="271"/>
      <c r="BP53" s="271"/>
      <c r="BQ53" s="271"/>
      <c r="BR53" s="271"/>
      <c r="BT53" s="271">
        <f t="shared" ref="BT53:CM53" si="105">BT95*0.7</f>
        <v>1744.1227280549924</v>
      </c>
      <c r="BU53" s="271">
        <f t="shared" si="105"/>
        <v>1783.4833901239579</v>
      </c>
      <c r="BV53" s="271">
        <f t="shared" si="105"/>
        <v>1819.7506073653374</v>
      </c>
      <c r="BW53" s="271">
        <f t="shared" si="105"/>
        <v>1867.8239159860268</v>
      </c>
      <c r="BX53" s="271">
        <f t="shared" si="105"/>
        <v>1915.5897194343029</v>
      </c>
      <c r="BY53" s="271">
        <f t="shared" si="105"/>
        <v>1967.011417710165</v>
      </c>
      <c r="BZ53" s="271">
        <f t="shared" si="105"/>
        <v>2525.6682645238325</v>
      </c>
      <c r="CA53" s="271">
        <f t="shared" si="105"/>
        <v>2588.0234800410744</v>
      </c>
      <c r="CB53" s="271">
        <f t="shared" si="105"/>
        <v>2840.6902300410743</v>
      </c>
      <c r="CC53" s="271">
        <f t="shared" si="105"/>
        <v>2840.3485576272806</v>
      </c>
      <c r="CD53" s="271">
        <f t="shared" si="105"/>
        <v>2840.3485576272806</v>
      </c>
      <c r="CE53" s="271">
        <f t="shared" si="105"/>
        <v>2878.2741955583156</v>
      </c>
      <c r="CF53" s="271">
        <f t="shared" si="105"/>
        <v>5537.2128929589953</v>
      </c>
      <c r="CG53" s="271">
        <f t="shared" si="105"/>
        <v>6659.1076854334679</v>
      </c>
      <c r="CH53" s="271">
        <f t="shared" si="105"/>
        <v>7299.6135273109994</v>
      </c>
      <c r="CI53" s="271">
        <f t="shared" si="105"/>
        <v>7943.8894014795469</v>
      </c>
      <c r="CJ53" s="271">
        <f t="shared" si="105"/>
        <v>8414.6061724880492</v>
      </c>
      <c r="CK53" s="271">
        <f t="shared" si="105"/>
        <v>8738.8034993944129</v>
      </c>
      <c r="CL53" s="271">
        <f t="shared" si="105"/>
        <v>8876.5583003853244</v>
      </c>
      <c r="CM53" s="271">
        <f t="shared" si="105"/>
        <v>9045.7848632398509</v>
      </c>
      <c r="CN53" s="270"/>
      <c r="CO53" s="271">
        <f t="shared" ref="CO53:CV53" si="106">CO95*0.7</f>
        <v>9284.0087394067432</v>
      </c>
      <c r="CP53" s="271">
        <f t="shared" si="106"/>
        <v>9481.4969367418071</v>
      </c>
      <c r="CQ53" s="271">
        <f t="shared" si="106"/>
        <v>9769.4455276818589</v>
      </c>
      <c r="CR53" s="271">
        <f t="shared" si="106"/>
        <v>9991.3000423724097</v>
      </c>
      <c r="CS53" s="271">
        <f t="shared" si="106"/>
        <v>10204.747943011093</v>
      </c>
      <c r="CT53" s="271">
        <f t="shared" si="106"/>
        <v>10354.523191176499</v>
      </c>
      <c r="CU53" s="271">
        <f t="shared" si="106"/>
        <v>10524.577275432614</v>
      </c>
      <c r="CV53" s="271">
        <f t="shared" si="106"/>
        <v>10661.82784771564</v>
      </c>
      <c r="CW53" s="271">
        <v>10661.82784771564</v>
      </c>
      <c r="CX53" s="271">
        <v>10661.82784771564</v>
      </c>
      <c r="CY53" s="271">
        <f>CV53*(1+$CW$14)*(1+$CX$14)*(1+$CY$14)</f>
        <v>11307.659913292711</v>
      </c>
      <c r="CZ53" s="271">
        <f t="shared" si="82"/>
        <v>11494.23630186204</v>
      </c>
      <c r="DA53" s="271">
        <f t="shared" si="82"/>
        <v>11810.327800163246</v>
      </c>
      <c r="DB53" s="271">
        <f t="shared" si="82"/>
        <v>12093.775667367165</v>
      </c>
      <c r="DC53" s="271">
        <f t="shared" si="82"/>
        <v>12468.682713055547</v>
      </c>
      <c r="DD53" s="271">
        <f t="shared" si="83"/>
        <v>12680.65031917749</v>
      </c>
      <c r="DE53" s="271">
        <f t="shared" si="83"/>
        <v>12921.582675241862</v>
      </c>
      <c r="DF53" s="271">
        <f t="shared" si="83"/>
        <v>13160.631954733835</v>
      </c>
      <c r="DG53" s="271">
        <f t="shared" si="83"/>
        <v>13443.585541760614</v>
      </c>
    </row>
    <row r="54" spans="1:111" x14ac:dyDescent="0.35">
      <c r="C54" s="1" t="s">
        <v>9</v>
      </c>
      <c r="D54" s="1">
        <v>49.6</v>
      </c>
      <c r="E54" s="1"/>
      <c r="F54" s="1"/>
      <c r="G54" s="1"/>
      <c r="H54" s="1"/>
      <c r="I54" s="1"/>
      <c r="J54" s="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1"/>
      <c r="BJ54" s="271"/>
      <c r="BK54" s="271"/>
      <c r="BL54" s="271"/>
      <c r="BM54" s="271"/>
      <c r="BN54" s="271"/>
      <c r="BO54" s="271"/>
      <c r="BP54" s="272"/>
      <c r="BQ54" s="272"/>
      <c r="BR54" s="272"/>
      <c r="BT54" s="271">
        <f t="shared" ref="BT54:CM54" si="107">BT96*0.7</f>
        <v>1744.1227280549924</v>
      </c>
      <c r="BU54" s="271">
        <f t="shared" si="107"/>
        <v>1783.4833901239579</v>
      </c>
      <c r="BV54" s="271">
        <f t="shared" si="107"/>
        <v>0</v>
      </c>
      <c r="BW54" s="271">
        <f t="shared" si="107"/>
        <v>0</v>
      </c>
      <c r="BX54" s="271">
        <f t="shared" si="107"/>
        <v>0</v>
      </c>
      <c r="BY54" s="271">
        <f t="shared" si="107"/>
        <v>0</v>
      </c>
      <c r="BZ54" s="271">
        <f t="shared" si="107"/>
        <v>0</v>
      </c>
      <c r="CA54" s="271">
        <f t="shared" si="107"/>
        <v>0</v>
      </c>
      <c r="CB54" s="271">
        <f t="shared" si="107"/>
        <v>0</v>
      </c>
      <c r="CC54" s="271">
        <f t="shared" si="107"/>
        <v>0</v>
      </c>
      <c r="CD54" s="271">
        <f t="shared" si="107"/>
        <v>0</v>
      </c>
      <c r="CE54" s="271">
        <f t="shared" si="107"/>
        <v>0</v>
      </c>
      <c r="CF54" s="271">
        <f t="shared" si="107"/>
        <v>0</v>
      </c>
      <c r="CG54" s="271">
        <f t="shared" si="107"/>
        <v>0</v>
      </c>
      <c r="CH54" s="271">
        <f t="shared" si="107"/>
        <v>0</v>
      </c>
      <c r="CI54" s="271">
        <f t="shared" si="107"/>
        <v>0</v>
      </c>
      <c r="CJ54" s="271">
        <f t="shared" si="107"/>
        <v>0</v>
      </c>
      <c r="CK54" s="271">
        <f t="shared" si="107"/>
        <v>0</v>
      </c>
      <c r="CL54" s="271">
        <f t="shared" si="107"/>
        <v>0</v>
      </c>
      <c r="CM54" s="271">
        <f t="shared" si="107"/>
        <v>0</v>
      </c>
      <c r="CN54" s="270"/>
      <c r="CO54" s="271">
        <f t="shared" ref="CO54:CV54" si="108">CO96*0.7</f>
        <v>0</v>
      </c>
      <c r="CP54" s="271">
        <f t="shared" si="108"/>
        <v>0</v>
      </c>
      <c r="CQ54" s="271">
        <f t="shared" si="108"/>
        <v>0</v>
      </c>
      <c r="CR54" s="271">
        <f t="shared" si="108"/>
        <v>0</v>
      </c>
      <c r="CS54" s="271">
        <f t="shared" si="108"/>
        <v>0</v>
      </c>
      <c r="CT54" s="271">
        <f t="shared" si="108"/>
        <v>0</v>
      </c>
      <c r="CU54" s="271">
        <f t="shared" si="108"/>
        <v>0</v>
      </c>
      <c r="CV54" s="271">
        <f t="shared" si="108"/>
        <v>0</v>
      </c>
      <c r="CW54" s="271">
        <v>0</v>
      </c>
      <c r="CX54" s="271">
        <v>0</v>
      </c>
      <c r="CY54" s="271">
        <f t="shared" ref="CY54" si="109">CY96*0.7</f>
        <v>0</v>
      </c>
      <c r="CZ54" s="271">
        <f t="shared" si="82"/>
        <v>0</v>
      </c>
      <c r="DA54" s="271">
        <f t="shared" si="82"/>
        <v>0</v>
      </c>
      <c r="DB54" s="271">
        <f t="shared" si="82"/>
        <v>0</v>
      </c>
      <c r="DC54" s="271">
        <f t="shared" si="82"/>
        <v>0</v>
      </c>
      <c r="DD54" s="271">
        <f t="shared" si="83"/>
        <v>0</v>
      </c>
      <c r="DE54" s="271">
        <f t="shared" si="83"/>
        <v>0</v>
      </c>
      <c r="DF54" s="271">
        <f t="shared" si="83"/>
        <v>0</v>
      </c>
      <c r="DG54" s="271">
        <f t="shared" si="83"/>
        <v>0</v>
      </c>
    </row>
    <row r="55" spans="1:111" x14ac:dyDescent="0.35">
      <c r="C55" s="1" t="s">
        <v>9</v>
      </c>
      <c r="D55" s="1">
        <v>52</v>
      </c>
      <c r="E55" s="1"/>
      <c r="F55" s="1"/>
      <c r="G55" s="1"/>
      <c r="H55" s="1"/>
      <c r="I55" s="1"/>
      <c r="J55" s="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  <c r="BF55" s="271"/>
      <c r="BG55" s="271"/>
      <c r="BH55" s="271"/>
      <c r="BI55" s="271"/>
      <c r="BJ55" s="271"/>
      <c r="BK55" s="271"/>
      <c r="BL55" s="271"/>
      <c r="BM55" s="271"/>
      <c r="BN55" s="271"/>
      <c r="BO55" s="271"/>
      <c r="BP55" s="271"/>
      <c r="BQ55" s="271"/>
      <c r="BR55" s="271"/>
      <c r="BT55" s="271">
        <f t="shared" ref="BT55:CM55" si="110">BT97*0.7</f>
        <v>1744.1227280549924</v>
      </c>
      <c r="BU55" s="271">
        <f t="shared" si="110"/>
        <v>1783.4833901239579</v>
      </c>
      <c r="BV55" s="271">
        <f t="shared" si="110"/>
        <v>1819.7506073653374</v>
      </c>
      <c r="BW55" s="271">
        <f t="shared" si="110"/>
        <v>1867.8239159860268</v>
      </c>
      <c r="BX55" s="271">
        <f t="shared" si="110"/>
        <v>1915.5897194343029</v>
      </c>
      <c r="BY55" s="271">
        <f t="shared" si="110"/>
        <v>1967.011417710165</v>
      </c>
      <c r="BZ55" s="271">
        <f t="shared" si="110"/>
        <v>2525.6682645238325</v>
      </c>
      <c r="CA55" s="271">
        <f t="shared" si="110"/>
        <v>2588.0234800410744</v>
      </c>
      <c r="CB55" s="271">
        <f t="shared" si="110"/>
        <v>2840.6902300410743</v>
      </c>
      <c r="CC55" s="271">
        <f t="shared" si="110"/>
        <v>2840.3485576272806</v>
      </c>
      <c r="CD55" s="271">
        <f t="shared" si="110"/>
        <v>2840.3485576272806</v>
      </c>
      <c r="CE55" s="271">
        <f t="shared" si="110"/>
        <v>2878.2741955583156</v>
      </c>
      <c r="CF55" s="271">
        <f t="shared" si="110"/>
        <v>5537.2128929589953</v>
      </c>
      <c r="CG55" s="271">
        <f t="shared" si="110"/>
        <v>6659.1076854334679</v>
      </c>
      <c r="CH55" s="271">
        <f t="shared" si="110"/>
        <v>7299.6135273109994</v>
      </c>
      <c r="CI55" s="271">
        <f t="shared" si="110"/>
        <v>7943.8894014795469</v>
      </c>
      <c r="CJ55" s="271">
        <f t="shared" si="110"/>
        <v>8414.6061724880492</v>
      </c>
      <c r="CK55" s="271">
        <f t="shared" si="110"/>
        <v>8738.8034993944129</v>
      </c>
      <c r="CL55" s="271">
        <f t="shared" si="110"/>
        <v>8876.5583003853244</v>
      </c>
      <c r="CM55" s="271">
        <f t="shared" si="110"/>
        <v>9045.7848632398509</v>
      </c>
      <c r="CN55" s="270"/>
      <c r="CO55" s="271">
        <f t="shared" ref="CO55:CV55" si="111">CO97*0.7</f>
        <v>9284.0087394067432</v>
      </c>
      <c r="CP55" s="271">
        <f t="shared" si="111"/>
        <v>9481.4969367418071</v>
      </c>
      <c r="CQ55" s="271">
        <f t="shared" si="111"/>
        <v>9769.4455276818589</v>
      </c>
      <c r="CR55" s="271">
        <f t="shared" si="111"/>
        <v>9991.3000423724097</v>
      </c>
      <c r="CS55" s="271">
        <f t="shared" si="111"/>
        <v>10204.747943011093</v>
      </c>
      <c r="CT55" s="271">
        <f t="shared" si="111"/>
        <v>10354.523191176499</v>
      </c>
      <c r="CU55" s="271">
        <f t="shared" si="111"/>
        <v>10524.577275432614</v>
      </c>
      <c r="CV55" s="271">
        <f t="shared" si="111"/>
        <v>10661.82784771564</v>
      </c>
      <c r="CW55" s="271">
        <v>10661.82784771564</v>
      </c>
      <c r="CX55" s="271">
        <v>10661.82784771564</v>
      </c>
      <c r="CY55" s="271">
        <f>CV55*(1+$CW$14)*(1+$CX$14)*(1+$CY$14)</f>
        <v>11307.659913292711</v>
      </c>
      <c r="CZ55" s="271">
        <f t="shared" si="82"/>
        <v>11494.23630186204</v>
      </c>
      <c r="DA55" s="271">
        <f t="shared" si="82"/>
        <v>11810.327800163246</v>
      </c>
      <c r="DB55" s="271">
        <f t="shared" si="82"/>
        <v>12093.775667367165</v>
      </c>
      <c r="DC55" s="271">
        <f t="shared" si="82"/>
        <v>12468.682713055547</v>
      </c>
      <c r="DD55" s="271">
        <f t="shared" si="83"/>
        <v>12680.65031917749</v>
      </c>
      <c r="DE55" s="271">
        <f t="shared" si="83"/>
        <v>12921.582675241862</v>
      </c>
      <c r="DF55" s="271">
        <f t="shared" si="83"/>
        <v>13160.631954733835</v>
      </c>
      <c r="DG55" s="271">
        <f t="shared" si="83"/>
        <v>13443.585541760614</v>
      </c>
    </row>
    <row r="56" spans="1:111" x14ac:dyDescent="0.35">
      <c r="C56" s="1" t="s">
        <v>11</v>
      </c>
      <c r="D56" s="1">
        <v>54.7</v>
      </c>
      <c r="E56" s="1"/>
      <c r="F56" s="1"/>
      <c r="G56" s="1"/>
      <c r="H56" s="1"/>
      <c r="I56" s="1"/>
      <c r="J56" s="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  <c r="BF56" s="271"/>
      <c r="BG56" s="271"/>
      <c r="BH56" s="271"/>
      <c r="BI56" s="271"/>
      <c r="BJ56" s="271"/>
      <c r="BK56" s="271"/>
      <c r="BL56" s="271"/>
      <c r="BM56" s="271"/>
      <c r="BN56" s="271"/>
      <c r="BO56" s="271"/>
      <c r="BP56" s="271"/>
      <c r="BQ56" s="271"/>
      <c r="BR56" s="271"/>
      <c r="BT56" s="271">
        <f t="shared" ref="BT56:CM56" si="112">BT98*0.7</f>
        <v>1791.0397140430457</v>
      </c>
      <c r="BU56" s="271">
        <f t="shared" si="112"/>
        <v>1831.457038180977</v>
      </c>
      <c r="BV56" s="271">
        <f t="shared" si="112"/>
        <v>1868.6029726637357</v>
      </c>
      <c r="BW56" s="271">
        <f t="shared" si="112"/>
        <v>1917.9668399051152</v>
      </c>
      <c r="BX56" s="271">
        <f t="shared" si="112"/>
        <v>1967.0149468016666</v>
      </c>
      <c r="BY56" s="271">
        <f t="shared" si="112"/>
        <v>2019.8170933533909</v>
      </c>
      <c r="BZ56" s="271">
        <f t="shared" si="112"/>
        <v>2593.4714394103789</v>
      </c>
      <c r="CA56" s="271">
        <f t="shared" si="112"/>
        <v>2657.5006204448614</v>
      </c>
      <c r="CB56" s="271">
        <f t="shared" si="112"/>
        <v>2916.9503704448616</v>
      </c>
      <c r="CC56" s="271">
        <f t="shared" si="112"/>
        <v>2916.5995256172755</v>
      </c>
      <c r="CD56" s="271">
        <f t="shared" si="112"/>
        <v>2916.5995256172755</v>
      </c>
      <c r="CE56" s="271">
        <f t="shared" si="112"/>
        <v>2955.5433014793443</v>
      </c>
      <c r="CF56" s="271">
        <f t="shared" si="112"/>
        <v>5685.8629035082313</v>
      </c>
      <c r="CG56" s="271">
        <f t="shared" si="112"/>
        <v>6837.8756769887314</v>
      </c>
      <c r="CH56" s="271">
        <f t="shared" si="112"/>
        <v>7495.5763065676711</v>
      </c>
      <c r="CI56" s="271">
        <f t="shared" si="112"/>
        <v>8157.1481773581927</v>
      </c>
      <c r="CJ56" s="271">
        <f t="shared" si="112"/>
        <v>8640.50164020585</v>
      </c>
      <c r="CK56" s="271">
        <f t="shared" si="112"/>
        <v>8973.402251056008</v>
      </c>
      <c r="CL56" s="271">
        <f t="shared" si="112"/>
        <v>9114.8551675097624</v>
      </c>
      <c r="CM56" s="271">
        <f t="shared" si="112"/>
        <v>9288.6247253402489</v>
      </c>
      <c r="CN56" s="270"/>
      <c r="CO56" s="271">
        <f t="shared" ref="CO56:CV56" si="113">CO98*0.7</f>
        <v>9533.2438733505496</v>
      </c>
      <c r="CP56" s="271">
        <f t="shared" si="113"/>
        <v>9736.0337672583664</v>
      </c>
      <c r="CQ56" s="271">
        <f t="shared" si="113"/>
        <v>10031.712521713589</v>
      </c>
      <c r="CR56" s="271">
        <f t="shared" si="113"/>
        <v>10259.522862301872</v>
      </c>
      <c r="CS56" s="271">
        <f t="shared" si="113"/>
        <v>10478.700907924143</v>
      </c>
      <c r="CT56" s="271">
        <f t="shared" si="113"/>
        <v>10632.496968120837</v>
      </c>
      <c r="CU56" s="271">
        <f t="shared" si="113"/>
        <v>10807.116262692551</v>
      </c>
      <c r="CV56" s="271">
        <f t="shared" si="113"/>
        <v>10948.05141409727</v>
      </c>
      <c r="CW56" s="271">
        <v>10948.05141409727</v>
      </c>
      <c r="CX56" s="271">
        <v>10948.05141409727</v>
      </c>
      <c r="CY56" s="271">
        <f>CV56*(1+$CW$14)*(1+$CX$14)*(1+$CY$14)</f>
        <v>11611.22125324688</v>
      </c>
      <c r="CZ56" s="271">
        <f t="shared" si="82"/>
        <v>11802.806403925453</v>
      </c>
      <c r="DA56" s="271">
        <f t="shared" si="82"/>
        <v>12127.383580033404</v>
      </c>
      <c r="DB56" s="271">
        <f t="shared" si="82"/>
        <v>12418.440785954206</v>
      </c>
      <c r="DC56" s="271">
        <f t="shared" si="82"/>
        <v>12803.412450318785</v>
      </c>
      <c r="DD56" s="271">
        <f t="shared" si="83"/>
        <v>13021.070461974203</v>
      </c>
      <c r="DE56" s="271">
        <f t="shared" si="83"/>
        <v>13268.470800751711</v>
      </c>
      <c r="DF56" s="271">
        <f t="shared" si="83"/>
        <v>13513.937510565616</v>
      </c>
      <c r="DG56" s="271">
        <f t="shared" si="83"/>
        <v>13804.487167042778</v>
      </c>
    </row>
    <row r="57" spans="1:111" x14ac:dyDescent="0.35">
      <c r="C57" s="1" t="s">
        <v>11</v>
      </c>
      <c r="D57" s="1">
        <v>58</v>
      </c>
      <c r="E57" s="1"/>
      <c r="F57" s="1"/>
      <c r="G57" s="1"/>
      <c r="H57" s="1"/>
      <c r="I57" s="1"/>
      <c r="J57" s="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  <c r="BT57" s="271">
        <f t="shared" ref="BT57:CM57" si="114">BT99*0.7</f>
        <v>1791.0397140430457</v>
      </c>
      <c r="BU57" s="271">
        <f t="shared" si="114"/>
        <v>1831.457038180977</v>
      </c>
      <c r="BV57" s="271">
        <f t="shared" si="114"/>
        <v>0</v>
      </c>
      <c r="BW57" s="271">
        <f t="shared" si="114"/>
        <v>0</v>
      </c>
      <c r="BX57" s="271">
        <f t="shared" si="114"/>
        <v>0</v>
      </c>
      <c r="BY57" s="271">
        <f t="shared" si="114"/>
        <v>0</v>
      </c>
      <c r="BZ57" s="271">
        <f t="shared" si="114"/>
        <v>0</v>
      </c>
      <c r="CA57" s="271">
        <f t="shared" si="114"/>
        <v>0</v>
      </c>
      <c r="CB57" s="271">
        <f t="shared" si="114"/>
        <v>0</v>
      </c>
      <c r="CC57" s="271">
        <f t="shared" si="114"/>
        <v>0</v>
      </c>
      <c r="CD57" s="271">
        <f t="shared" si="114"/>
        <v>0</v>
      </c>
      <c r="CE57" s="271">
        <f t="shared" si="114"/>
        <v>0</v>
      </c>
      <c r="CF57" s="271">
        <f t="shared" si="114"/>
        <v>0</v>
      </c>
      <c r="CG57" s="271">
        <f t="shared" si="114"/>
        <v>0</v>
      </c>
      <c r="CH57" s="271">
        <f t="shared" si="114"/>
        <v>0</v>
      </c>
      <c r="CI57" s="271">
        <f t="shared" si="114"/>
        <v>0</v>
      </c>
      <c r="CJ57" s="271">
        <f t="shared" si="114"/>
        <v>0</v>
      </c>
      <c r="CK57" s="271">
        <f t="shared" si="114"/>
        <v>0</v>
      </c>
      <c r="CL57" s="271">
        <f t="shared" si="114"/>
        <v>0</v>
      </c>
      <c r="CM57" s="271">
        <f t="shared" si="114"/>
        <v>0</v>
      </c>
      <c r="CN57" s="270"/>
      <c r="CO57" s="271">
        <f t="shared" ref="CO57:CV57" si="115">CO99*0.7</f>
        <v>0</v>
      </c>
      <c r="CP57" s="271">
        <f t="shared" si="115"/>
        <v>0</v>
      </c>
      <c r="CQ57" s="271">
        <f t="shared" si="115"/>
        <v>0</v>
      </c>
      <c r="CR57" s="271">
        <f t="shared" si="115"/>
        <v>0</v>
      </c>
      <c r="CS57" s="271">
        <f t="shared" si="115"/>
        <v>0</v>
      </c>
      <c r="CT57" s="271">
        <f t="shared" si="115"/>
        <v>0</v>
      </c>
      <c r="CU57" s="271">
        <f t="shared" si="115"/>
        <v>0</v>
      </c>
      <c r="CV57" s="271">
        <f t="shared" si="115"/>
        <v>0</v>
      </c>
      <c r="CW57" s="271">
        <v>0</v>
      </c>
      <c r="CX57" s="271">
        <v>0</v>
      </c>
      <c r="CY57" s="271">
        <v>0</v>
      </c>
      <c r="CZ57" s="271">
        <f t="shared" si="82"/>
        <v>0</v>
      </c>
      <c r="DA57" s="271">
        <f t="shared" si="82"/>
        <v>0</v>
      </c>
      <c r="DB57" s="271">
        <f t="shared" si="82"/>
        <v>0</v>
      </c>
      <c r="DC57" s="271">
        <f t="shared" si="82"/>
        <v>0</v>
      </c>
      <c r="DD57" s="271">
        <f t="shared" si="83"/>
        <v>0</v>
      </c>
      <c r="DE57" s="271">
        <f t="shared" si="83"/>
        <v>0</v>
      </c>
      <c r="DF57" s="271">
        <f t="shared" si="83"/>
        <v>0</v>
      </c>
      <c r="DG57" s="271">
        <f t="shared" si="83"/>
        <v>0</v>
      </c>
    </row>
    <row r="58" spans="1:111" x14ac:dyDescent="0.35">
      <c r="C58" s="1" t="s">
        <v>11</v>
      </c>
      <c r="D58" s="1">
        <v>62</v>
      </c>
      <c r="E58" s="1"/>
      <c r="F58" s="1"/>
      <c r="G58" s="1"/>
      <c r="H58" s="1"/>
      <c r="I58" s="1"/>
      <c r="J58" s="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1"/>
      <c r="BJ58" s="271"/>
      <c r="BK58" s="271"/>
      <c r="BL58" s="271"/>
      <c r="BM58" s="271"/>
      <c r="BN58" s="271"/>
      <c r="BO58" s="271"/>
      <c r="BP58" s="271"/>
      <c r="BQ58" s="271"/>
      <c r="BR58" s="271"/>
      <c r="BS58" s="259"/>
      <c r="BT58" s="271">
        <f t="shared" ref="BT58:CM58" si="116">BT100*0.7</f>
        <v>1791.0397140430457</v>
      </c>
      <c r="BU58" s="271">
        <f t="shared" si="116"/>
        <v>1831.457038180977</v>
      </c>
      <c r="BV58" s="271">
        <f t="shared" si="116"/>
        <v>1868.6029726637357</v>
      </c>
      <c r="BW58" s="271">
        <f t="shared" si="116"/>
        <v>1917.9668399051152</v>
      </c>
      <c r="BX58" s="271">
        <f t="shared" si="116"/>
        <v>1967.0149468016666</v>
      </c>
      <c r="BY58" s="271">
        <f t="shared" si="116"/>
        <v>2019.8170933533909</v>
      </c>
      <c r="BZ58" s="271">
        <f t="shared" si="116"/>
        <v>2593.4714394103789</v>
      </c>
      <c r="CA58" s="271">
        <f t="shared" si="116"/>
        <v>2657.5006204448614</v>
      </c>
      <c r="CB58" s="271">
        <f t="shared" si="116"/>
        <v>2916.9503704448616</v>
      </c>
      <c r="CC58" s="271">
        <f t="shared" si="116"/>
        <v>2916.5995256172755</v>
      </c>
      <c r="CD58" s="271">
        <f t="shared" si="116"/>
        <v>2916.5995256172755</v>
      </c>
      <c r="CE58" s="271">
        <f t="shared" si="116"/>
        <v>2955.5433014793443</v>
      </c>
      <c r="CF58" s="271">
        <f t="shared" si="116"/>
        <v>5685.8629035082313</v>
      </c>
      <c r="CG58" s="271">
        <f t="shared" si="116"/>
        <v>6837.8756769887314</v>
      </c>
      <c r="CH58" s="271">
        <f t="shared" si="116"/>
        <v>7495.5763065676711</v>
      </c>
      <c r="CI58" s="271">
        <f t="shared" si="116"/>
        <v>8157.1481773581927</v>
      </c>
      <c r="CJ58" s="271">
        <f t="shared" si="116"/>
        <v>8640.50164020585</v>
      </c>
      <c r="CK58" s="271">
        <f t="shared" si="116"/>
        <v>8973.402251056008</v>
      </c>
      <c r="CL58" s="271">
        <f t="shared" si="116"/>
        <v>9114.8551675097624</v>
      </c>
      <c r="CM58" s="271">
        <f t="shared" si="116"/>
        <v>9288.6247253402489</v>
      </c>
      <c r="CN58" s="281"/>
      <c r="CO58" s="271">
        <f t="shared" ref="CO58:CV58" si="117">CO100*0.7</f>
        <v>9533.2438733505496</v>
      </c>
      <c r="CP58" s="271">
        <f t="shared" si="117"/>
        <v>9736.0337672583664</v>
      </c>
      <c r="CQ58" s="271">
        <f t="shared" si="117"/>
        <v>10031.712521713589</v>
      </c>
      <c r="CR58" s="271">
        <f t="shared" si="117"/>
        <v>10259.522862301872</v>
      </c>
      <c r="CS58" s="271">
        <f t="shared" si="117"/>
        <v>10478.700907924143</v>
      </c>
      <c r="CT58" s="271">
        <f t="shared" si="117"/>
        <v>10632.496968120837</v>
      </c>
      <c r="CU58" s="271">
        <f t="shared" si="117"/>
        <v>10807.116262692551</v>
      </c>
      <c r="CV58" s="271">
        <f t="shared" si="117"/>
        <v>10948.05141409727</v>
      </c>
      <c r="CW58" s="271">
        <v>10948.05141409727</v>
      </c>
      <c r="CX58" s="271">
        <v>10948.05141409727</v>
      </c>
      <c r="CY58" s="271">
        <f>CV58*(1+$CW$14)*(1+$CX$14)*(1+$CY$14)</f>
        <v>11611.22125324688</v>
      </c>
      <c r="CZ58" s="271">
        <f t="shared" si="82"/>
        <v>11802.806403925453</v>
      </c>
      <c r="DA58" s="271">
        <f t="shared" si="82"/>
        <v>12127.383580033404</v>
      </c>
      <c r="DB58" s="271">
        <f t="shared" si="82"/>
        <v>12418.440785954206</v>
      </c>
      <c r="DC58" s="271">
        <f t="shared" si="82"/>
        <v>12803.412450318785</v>
      </c>
      <c r="DD58" s="271">
        <f t="shared" si="83"/>
        <v>13021.070461974203</v>
      </c>
      <c r="DE58" s="271">
        <f t="shared" si="83"/>
        <v>13268.470800751711</v>
      </c>
      <c r="DF58" s="271">
        <f t="shared" si="83"/>
        <v>13513.937510565616</v>
      </c>
      <c r="DG58" s="271">
        <f t="shared" si="83"/>
        <v>13804.487167042778</v>
      </c>
    </row>
    <row r="59" spans="1:111" s="29" customFormat="1" x14ac:dyDescent="0.35">
      <c r="C59" s="31"/>
      <c r="D59" s="31"/>
      <c r="E59" s="31"/>
      <c r="F59" s="31"/>
      <c r="G59" s="31"/>
      <c r="H59" s="31"/>
      <c r="I59" s="31"/>
      <c r="J59" s="31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  <c r="AO59" s="276"/>
      <c r="AP59" s="276"/>
      <c r="AQ59" s="276"/>
      <c r="AR59" s="276"/>
      <c r="AS59" s="276"/>
      <c r="AT59" s="276"/>
      <c r="AU59" s="276"/>
      <c r="AV59" s="276"/>
      <c r="AW59" s="276"/>
      <c r="AX59" s="276"/>
      <c r="AY59" s="276"/>
      <c r="AZ59" s="276"/>
      <c r="BA59" s="276"/>
      <c r="BB59" s="276"/>
      <c r="BC59" s="276"/>
      <c r="BD59" s="276"/>
      <c r="BE59" s="276"/>
      <c r="BF59" s="276"/>
      <c r="BG59" s="276"/>
      <c r="BH59" s="276"/>
      <c r="BI59" s="276"/>
      <c r="BJ59" s="276"/>
      <c r="BK59" s="276"/>
      <c r="BL59" s="276"/>
      <c r="BM59" s="276"/>
      <c r="BN59" s="276"/>
      <c r="BO59" s="276"/>
      <c r="BP59" s="276"/>
      <c r="BQ59" s="276"/>
      <c r="BR59" s="276"/>
      <c r="BT59" s="276"/>
      <c r="BU59" s="276"/>
      <c r="BV59" s="276"/>
      <c r="BW59" s="276"/>
      <c r="BX59" s="276"/>
      <c r="BY59" s="276"/>
      <c r="BZ59" s="276"/>
      <c r="CA59" s="276"/>
      <c r="CB59" s="276"/>
      <c r="CC59" s="276"/>
      <c r="CD59" s="276"/>
      <c r="CE59" s="276"/>
      <c r="CF59" s="276"/>
      <c r="CG59" s="276"/>
      <c r="CH59" s="276"/>
      <c r="CI59" s="276"/>
      <c r="CJ59" s="276"/>
      <c r="CK59" s="276"/>
      <c r="CL59" s="276"/>
      <c r="CM59" s="276"/>
      <c r="CN59" s="276"/>
      <c r="CO59" s="280"/>
      <c r="CP59" s="280"/>
      <c r="CQ59" s="280"/>
      <c r="CR59" s="280"/>
      <c r="CS59" s="280"/>
      <c r="CT59" s="280"/>
      <c r="CU59" s="280"/>
      <c r="CV59" s="280"/>
      <c r="CW59" s="280"/>
      <c r="CX59" s="280"/>
      <c r="CY59" s="280"/>
      <c r="CZ59" s="280"/>
      <c r="DA59" s="280"/>
      <c r="DB59" s="280"/>
      <c r="DC59" s="280"/>
      <c r="DD59" s="280"/>
      <c r="DE59" s="280"/>
      <c r="DF59" s="280"/>
      <c r="DG59" s="280"/>
    </row>
    <row r="60" spans="1:111" s="29" customFormat="1" x14ac:dyDescent="0.35">
      <c r="A60" s="277"/>
      <c r="C60" s="91" t="s">
        <v>53</v>
      </c>
      <c r="D60" s="31"/>
      <c r="E60" s="31"/>
      <c r="F60" s="31"/>
      <c r="G60" s="31"/>
      <c r="H60" s="31"/>
      <c r="I60" s="31"/>
      <c r="J60" s="31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S60" s="276"/>
      <c r="AT60" s="276"/>
      <c r="AU60" s="276"/>
      <c r="AV60" s="276"/>
      <c r="AW60" s="276"/>
      <c r="AX60" s="276"/>
      <c r="AY60" s="276"/>
      <c r="AZ60" s="276"/>
      <c r="BA60" s="276"/>
      <c r="BB60" s="276"/>
      <c r="BC60" s="276"/>
      <c r="BD60" s="276"/>
      <c r="BE60" s="276"/>
      <c r="BF60" s="276"/>
      <c r="BG60" s="276"/>
      <c r="BH60" s="276"/>
      <c r="BI60" s="276"/>
      <c r="BJ60" s="276"/>
      <c r="BK60" s="276"/>
      <c r="BL60" s="276"/>
      <c r="BM60" s="276"/>
      <c r="BN60" s="276"/>
      <c r="BO60" s="276"/>
      <c r="BP60" s="276"/>
      <c r="BQ60" s="276"/>
      <c r="BR60" s="276"/>
      <c r="BT60" s="276"/>
      <c r="BU60" s="276"/>
      <c r="BV60" s="276"/>
      <c r="BW60" s="276"/>
      <c r="BX60" s="276"/>
      <c r="BY60" s="276"/>
      <c r="BZ60" s="276"/>
      <c r="CA60" s="276"/>
      <c r="CB60" s="276"/>
      <c r="CC60" s="276"/>
      <c r="CD60" s="276"/>
      <c r="CE60" s="276"/>
      <c r="CF60" s="276"/>
      <c r="CG60" s="276"/>
      <c r="CH60" s="276"/>
      <c r="CI60" s="276"/>
      <c r="CJ60" s="276"/>
      <c r="CK60" s="276"/>
      <c r="CL60" s="276"/>
      <c r="CM60" s="276"/>
      <c r="CN60" s="270"/>
      <c r="CO60" s="276"/>
      <c r="CP60" s="276"/>
      <c r="CQ60" s="276"/>
      <c r="CR60" s="276"/>
      <c r="CS60" s="276"/>
      <c r="CT60" s="276"/>
      <c r="CU60" s="276"/>
      <c r="CV60" s="276"/>
      <c r="CW60" s="297"/>
      <c r="CX60" s="297"/>
      <c r="CY60" s="297"/>
      <c r="CZ60" s="297"/>
      <c r="DA60" s="297"/>
      <c r="DB60" s="297"/>
      <c r="DC60" s="297"/>
      <c r="DD60" s="297"/>
      <c r="DE60" s="297"/>
      <c r="DF60" s="297"/>
      <c r="DG60" s="297"/>
    </row>
    <row r="61" spans="1:111" ht="14.9" hidden="1" customHeight="1" x14ac:dyDescent="0.35">
      <c r="C61" s="1" t="s">
        <v>51</v>
      </c>
      <c r="D61" s="1">
        <v>12.5</v>
      </c>
      <c r="E61" s="1"/>
      <c r="F61" s="1"/>
      <c r="G61" s="1"/>
      <c r="H61" s="1"/>
      <c r="I61" s="1"/>
      <c r="J61" s="1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4"/>
      <c r="BC61" s="274"/>
      <c r="BD61" s="274"/>
      <c r="BE61" s="274"/>
      <c r="BF61" s="274"/>
      <c r="BG61" s="274"/>
      <c r="BH61" s="274"/>
      <c r="BI61" s="274"/>
      <c r="BJ61" s="274"/>
      <c r="BK61" s="274"/>
      <c r="BL61" s="274"/>
      <c r="BM61" s="274"/>
      <c r="BN61" s="274"/>
      <c r="BO61" s="274"/>
      <c r="BP61" s="274"/>
      <c r="BQ61" s="274"/>
      <c r="BR61" s="274"/>
      <c r="BT61" s="274">
        <f t="shared" ref="BT61:CL61" si="118">((+(169/$A$16)*0.3*BT$16+((169)*(1+BT$14)*0.7))*0.95)-5.05</f>
        <v>1410.837612853757</v>
      </c>
      <c r="BU61" s="274">
        <f t="shared" si="118"/>
        <v>1442.7261645778951</v>
      </c>
      <c r="BV61" s="274">
        <f t="shared" si="118"/>
        <v>1469.2445956123779</v>
      </c>
      <c r="BW61" s="274">
        <f t="shared" si="118"/>
        <v>1508.1918111296193</v>
      </c>
      <c r="BX61" s="274">
        <f t="shared" si="118"/>
        <v>1546.8898973365158</v>
      </c>
      <c r="BY61" s="274">
        <f t="shared" si="118"/>
        <v>1588.5498542330674</v>
      </c>
      <c r="BZ61" s="274">
        <f t="shared" si="118"/>
        <v>2041.1529563975444</v>
      </c>
      <c r="CA61" s="274">
        <f t="shared" si="118"/>
        <v>2091.6708443285788</v>
      </c>
      <c r="CB61" s="274">
        <f t="shared" si="118"/>
        <v>2296.3720943285794</v>
      </c>
      <c r="CC61" s="274">
        <f t="shared" si="118"/>
        <v>2296.095283983751</v>
      </c>
      <c r="CD61" s="274">
        <f t="shared" si="118"/>
        <v>2296.095283983751</v>
      </c>
      <c r="CE61" s="274">
        <f t="shared" si="118"/>
        <v>2326.8212322596132</v>
      </c>
      <c r="CF61" s="274">
        <f t="shared" si="118"/>
        <v>4480.9949612179789</v>
      </c>
      <c r="CG61" s="274">
        <f t="shared" si="118"/>
        <v>5389.9126022926948</v>
      </c>
      <c r="CH61" s="274">
        <f t="shared" si="118"/>
        <v>5908.8267311388254</v>
      </c>
      <c r="CI61" s="274">
        <f t="shared" si="118"/>
        <v>6430.7952006234109</v>
      </c>
      <c r="CJ61" s="274">
        <f t="shared" si="118"/>
        <v>6812.1525079121793</v>
      </c>
      <c r="CK61" s="274">
        <f t="shared" si="118"/>
        <v>7074.8051840731341</v>
      </c>
      <c r="CL61" s="274">
        <f t="shared" si="118"/>
        <v>7186.4090257196549</v>
      </c>
      <c r="CM61" s="274">
        <v>7323.5101241013181</v>
      </c>
      <c r="CN61" s="270"/>
      <c r="CO61" s="273">
        <f t="shared" ref="CO61:DG61" si="119">((+(169/$A$16)*0.3*CO$16+((169)*(1+CO$14)*0.7))*0.95)-5.05</f>
        <v>2749.8122254310347</v>
      </c>
      <c r="CP61" s="273">
        <f t="shared" si="119"/>
        <v>2809.9238062931036</v>
      </c>
      <c r="CQ61" s="273">
        <f t="shared" si="119"/>
        <v>2873.6671388793102</v>
      </c>
      <c r="CR61" s="273">
        <f t="shared" si="119"/>
        <v>2914.3458031034479</v>
      </c>
      <c r="CS61" s="273">
        <f t="shared" si="119"/>
        <v>2976.0662056896554</v>
      </c>
      <c r="CT61" s="273">
        <f t="shared" si="119"/>
        <v>3028.4531170689656</v>
      </c>
      <c r="CU61" s="273">
        <f t="shared" si="119"/>
        <v>3056.1726281896554</v>
      </c>
      <c r="CV61" s="273">
        <f t="shared" si="119"/>
        <v>3087.3877003448274</v>
      </c>
      <c r="CW61" s="273">
        <f t="shared" si="119"/>
        <v>3348.0951569827589</v>
      </c>
      <c r="CX61" s="273">
        <f t="shared" si="119"/>
        <v>3399.3258315517241</v>
      </c>
      <c r="CY61" s="273">
        <f t="shared" si="119"/>
        <v>3444.0235051724144</v>
      </c>
      <c r="CZ61" s="273">
        <f t="shared" si="119"/>
        <v>3912.563490431035</v>
      </c>
      <c r="DA61" s="273">
        <f t="shared" si="119"/>
        <v>3825.2204150862067</v>
      </c>
      <c r="DB61" s="273">
        <f t="shared" si="119"/>
        <v>3990.0828434482755</v>
      </c>
      <c r="DC61" s="273">
        <f t="shared" si="119"/>
        <v>4081.4695643103455</v>
      </c>
      <c r="DD61" s="273">
        <f t="shared" si="119"/>
        <v>4062.5124846551726</v>
      </c>
      <c r="DE61" s="273">
        <f t="shared" si="119"/>
        <v>4116.5185908620697</v>
      </c>
      <c r="DF61" s="273">
        <f t="shared" si="119"/>
        <v>4120.2642046018073</v>
      </c>
      <c r="DG61" s="273">
        <f t="shared" si="119"/>
        <v>4005.8568809482758</v>
      </c>
    </row>
    <row r="62" spans="1:111" x14ac:dyDescent="0.35">
      <c r="C62" s="1" t="s">
        <v>5</v>
      </c>
      <c r="D62" s="1">
        <v>19.5</v>
      </c>
      <c r="E62" s="1"/>
      <c r="F62" s="1"/>
      <c r="G62" s="1"/>
      <c r="H62" s="1"/>
      <c r="I62" s="1"/>
      <c r="J62" s="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1"/>
      <c r="BJ62" s="271"/>
      <c r="BK62" s="271"/>
      <c r="BL62" s="271"/>
      <c r="BM62" s="271"/>
      <c r="BN62" s="271"/>
      <c r="BO62" s="271"/>
      <c r="BP62" s="271"/>
      <c r="BQ62" s="271"/>
      <c r="BR62" s="271"/>
      <c r="BT62" s="271">
        <f t="shared" ref="BT62:CM62" si="120">BT83*0.3</f>
        <v>478.54630305633304</v>
      </c>
      <c r="BU62" s="271">
        <f t="shared" si="120"/>
        <v>489.35822029771236</v>
      </c>
      <c r="BV62" s="271">
        <f t="shared" si="120"/>
        <v>499.86438064253991</v>
      </c>
      <c r="BW62" s="271">
        <f t="shared" si="120"/>
        <v>513.06956081495366</v>
      </c>
      <c r="BX62" s="271">
        <f t="shared" si="120"/>
        <v>526.19027288391931</v>
      </c>
      <c r="BY62" s="271">
        <f t="shared" si="120"/>
        <v>540.31521684943652</v>
      </c>
      <c r="BZ62" s="271">
        <f t="shared" si="120"/>
        <v>693.77177160697795</v>
      </c>
      <c r="CA62" s="271">
        <f t="shared" si="120"/>
        <v>710.90002591732286</v>
      </c>
      <c r="CB62" s="271">
        <f t="shared" si="120"/>
        <v>780.30465091732299</v>
      </c>
      <c r="CC62" s="271">
        <f t="shared" si="120"/>
        <v>780.21079746904707</v>
      </c>
      <c r="CD62" s="271">
        <f t="shared" si="120"/>
        <v>780.21079746904707</v>
      </c>
      <c r="CE62" s="271">
        <f t="shared" si="120"/>
        <v>790.62853022766774</v>
      </c>
      <c r="CF62" s="271">
        <f t="shared" si="120"/>
        <v>1521.0081436555631</v>
      </c>
      <c r="CG62" s="271">
        <f t="shared" si="120"/>
        <v>1829.1796278779375</v>
      </c>
      <c r="CH62" s="271">
        <f t="shared" si="120"/>
        <v>2005.1191520370098</v>
      </c>
      <c r="CI62" s="271">
        <f t="shared" si="120"/>
        <v>2182.0942603297126</v>
      </c>
      <c r="CJ62" s="271">
        <f t="shared" si="120"/>
        <v>2311.394696469632</v>
      </c>
      <c r="CK62" s="271">
        <f t="shared" si="120"/>
        <v>2400.44794110882</v>
      </c>
      <c r="CL62" s="271">
        <f t="shared" si="120"/>
        <v>2438.2875868268411</v>
      </c>
      <c r="CM62" s="271">
        <f t="shared" si="120"/>
        <v>2484.7721604201506</v>
      </c>
      <c r="CN62" s="270"/>
      <c r="CO62" s="269">
        <f t="shared" ref="CO62:CV62" si="121">CO83*0.3</f>
        <v>2550.20949553215</v>
      </c>
      <c r="CP62" s="269">
        <f t="shared" si="121"/>
        <v>2604.4572122497866</v>
      </c>
      <c r="CQ62" s="269">
        <f t="shared" si="121"/>
        <v>2683.5533496460712</v>
      </c>
      <c r="CR62" s="269">
        <f t="shared" si="121"/>
        <v>2744.4942110639458</v>
      </c>
      <c r="CS62" s="269">
        <f t="shared" si="121"/>
        <v>2803.1258731281664</v>
      </c>
      <c r="CT62" s="269">
        <f t="shared" si="121"/>
        <v>2844.2673962340041</v>
      </c>
      <c r="CU62" s="269">
        <f>CU83*0.3</f>
        <v>2890.9792803561295</v>
      </c>
      <c r="CV62" s="269">
        <f t="shared" si="121"/>
        <v>2928.6804202977278</v>
      </c>
      <c r="CW62" s="269">
        <v>2928.6804202977278</v>
      </c>
      <c r="CX62" s="269">
        <v>2928.6804202977278</v>
      </c>
      <c r="CY62" s="269">
        <f>((CV62/CV16*CW$16)/CW$16*CX$16)/CX$16*CY$16</f>
        <v>3279.7954520992212</v>
      </c>
      <c r="CZ62" s="269">
        <f t="shared" ref="CZ62:DG62" si="122">(($CO62/$CO$16*CZ$16))</f>
        <v>3674.8692678145508</v>
      </c>
      <c r="DA62" s="269">
        <f t="shared" si="122"/>
        <v>3589.282792872727</v>
      </c>
      <c r="DB62" s="269">
        <f t="shared" si="122"/>
        <v>3748.9550601860669</v>
      </c>
      <c r="DC62" s="269">
        <f t="shared" si="122"/>
        <v>3836.493976587501</v>
      </c>
      <c r="DD62" s="269">
        <f t="shared" si="122"/>
        <v>3819.6976308801682</v>
      </c>
      <c r="DE62" s="269">
        <f t="shared" si="122"/>
        <v>3871.6618532893358</v>
      </c>
      <c r="DF62" s="269">
        <f t="shared" si="122"/>
        <v>3875.3352076336432</v>
      </c>
      <c r="DG62" s="269">
        <f t="shared" si="122"/>
        <v>3764.4676087692724</v>
      </c>
    </row>
    <row r="63" spans="1:111" x14ac:dyDescent="0.35">
      <c r="C63" s="99" t="s">
        <v>6</v>
      </c>
      <c r="D63" s="1">
        <v>19.5</v>
      </c>
      <c r="E63" s="1"/>
      <c r="F63" s="1"/>
      <c r="G63" s="1"/>
      <c r="H63" s="1"/>
      <c r="I63" s="1"/>
      <c r="J63" s="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  <c r="BC63" s="271"/>
      <c r="BD63" s="271"/>
      <c r="BE63" s="271"/>
      <c r="BF63" s="271"/>
      <c r="BG63" s="271"/>
      <c r="BH63" s="271"/>
      <c r="BI63" s="271"/>
      <c r="BJ63" s="271"/>
      <c r="BK63" s="271"/>
      <c r="BL63" s="271"/>
      <c r="BM63" s="271"/>
      <c r="BN63" s="271"/>
      <c r="BO63" s="271"/>
      <c r="BP63" s="271"/>
      <c r="BQ63" s="271"/>
      <c r="BR63" s="271"/>
      <c r="BT63" s="271">
        <f t="shared" ref="BT63:CM63" si="123">BT84*0.3</f>
        <v>0</v>
      </c>
      <c r="BU63" s="271">
        <f t="shared" si="123"/>
        <v>0</v>
      </c>
      <c r="BV63" s="271">
        <f t="shared" si="123"/>
        <v>0</v>
      </c>
      <c r="BW63" s="271">
        <f t="shared" si="123"/>
        <v>0</v>
      </c>
      <c r="BX63" s="271">
        <f t="shared" si="123"/>
        <v>0</v>
      </c>
      <c r="BY63" s="271">
        <f t="shared" si="123"/>
        <v>0</v>
      </c>
      <c r="BZ63" s="271">
        <f t="shared" si="123"/>
        <v>0</v>
      </c>
      <c r="CA63" s="271">
        <f t="shared" si="123"/>
        <v>0</v>
      </c>
      <c r="CB63" s="271">
        <f t="shared" si="123"/>
        <v>0</v>
      </c>
      <c r="CC63" s="271">
        <f t="shared" si="123"/>
        <v>0</v>
      </c>
      <c r="CD63" s="271">
        <f t="shared" si="123"/>
        <v>0</v>
      </c>
      <c r="CE63" s="271">
        <f t="shared" si="123"/>
        <v>0</v>
      </c>
      <c r="CF63" s="271">
        <f t="shared" si="123"/>
        <v>0</v>
      </c>
      <c r="CG63" s="271">
        <f t="shared" si="123"/>
        <v>1829.1796278779375</v>
      </c>
      <c r="CH63" s="271">
        <f t="shared" si="123"/>
        <v>2005.1191520370098</v>
      </c>
      <c r="CI63" s="271">
        <f t="shared" si="123"/>
        <v>2182.0942603297126</v>
      </c>
      <c r="CJ63" s="271">
        <f t="shared" si="123"/>
        <v>2311.394696469632</v>
      </c>
      <c r="CK63" s="271">
        <f t="shared" si="123"/>
        <v>2400.44794110882</v>
      </c>
      <c r="CL63" s="271">
        <f t="shared" si="123"/>
        <v>2438.2875868268411</v>
      </c>
      <c r="CM63" s="271">
        <f t="shared" si="123"/>
        <v>2484.7721604201506</v>
      </c>
      <c r="CN63" s="270"/>
      <c r="CO63" s="269">
        <f t="shared" ref="CO63:CV63" si="124">CO84*0.3</f>
        <v>2550.20949553215</v>
      </c>
      <c r="CP63" s="269">
        <f t="shared" si="124"/>
        <v>2604.4572122497866</v>
      </c>
      <c r="CQ63" s="269">
        <f t="shared" si="124"/>
        <v>2683.5533496460712</v>
      </c>
      <c r="CR63" s="269">
        <f t="shared" si="124"/>
        <v>2744.4942110639458</v>
      </c>
      <c r="CS63" s="269">
        <f t="shared" si="124"/>
        <v>2803.1258731281664</v>
      </c>
      <c r="CT63" s="269">
        <f t="shared" si="124"/>
        <v>2844.2673962340041</v>
      </c>
      <c r="CU63" s="269">
        <f t="shared" si="124"/>
        <v>2890.9792803561295</v>
      </c>
      <c r="CV63" s="269">
        <f t="shared" si="124"/>
        <v>2928.6804202977278</v>
      </c>
      <c r="CW63" s="269">
        <v>2928.6804202977278</v>
      </c>
      <c r="CX63" s="269">
        <v>2928.6804202977278</v>
      </c>
      <c r="CY63" s="269">
        <f>((CV63/CV$16*CW$16)/CW$16*CX$16)/CX$16*CY$16</f>
        <v>3279.7954520992212</v>
      </c>
      <c r="CZ63" s="269">
        <f t="shared" ref="CZ63:DG79" si="125">(($CO63/$CO$16*CZ$16))</f>
        <v>3674.8692678145508</v>
      </c>
      <c r="DA63" s="269">
        <f t="shared" si="125"/>
        <v>3589.282792872727</v>
      </c>
      <c r="DB63" s="269">
        <f t="shared" si="125"/>
        <v>3748.9550601860669</v>
      </c>
      <c r="DC63" s="269">
        <f t="shared" si="125"/>
        <v>3836.493976587501</v>
      </c>
      <c r="DD63" s="269">
        <f t="shared" si="125"/>
        <v>3819.6976308801682</v>
      </c>
      <c r="DE63" s="269">
        <f t="shared" si="125"/>
        <v>3871.6618532893358</v>
      </c>
      <c r="DF63" s="269">
        <f t="shared" si="125"/>
        <v>3875.3352076336432</v>
      </c>
      <c r="DG63" s="269">
        <f t="shared" si="125"/>
        <v>3764.4676087692724</v>
      </c>
    </row>
    <row r="64" spans="1:111" x14ac:dyDescent="0.35">
      <c r="A64" s="29"/>
      <c r="B64" s="29"/>
      <c r="C64" s="1" t="s">
        <v>5</v>
      </c>
      <c r="D64" s="1">
        <v>22.1</v>
      </c>
      <c r="E64" s="1"/>
      <c r="F64" s="1"/>
      <c r="G64" s="1"/>
      <c r="H64" s="1"/>
      <c r="I64" s="1"/>
      <c r="J64" s="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  <c r="BC64" s="271"/>
      <c r="BD64" s="271"/>
      <c r="BE64" s="271"/>
      <c r="BF64" s="271"/>
      <c r="BG64" s="271"/>
      <c r="BH64" s="271"/>
      <c r="BI64" s="271"/>
      <c r="BJ64" s="271"/>
      <c r="BK64" s="271"/>
      <c r="BL64" s="271"/>
      <c r="BM64" s="271"/>
      <c r="BN64" s="271"/>
      <c r="BO64" s="271"/>
      <c r="BP64" s="271"/>
      <c r="BQ64" s="271"/>
      <c r="BR64" s="271"/>
      <c r="BT64" s="271">
        <f t="shared" ref="BT64:CM64" si="126">BT85*0.3</f>
        <v>478.54630305633304</v>
      </c>
      <c r="BU64" s="271">
        <f t="shared" si="126"/>
        <v>489.35822029771236</v>
      </c>
      <c r="BV64" s="271">
        <f t="shared" si="126"/>
        <v>499.86438064253991</v>
      </c>
      <c r="BW64" s="271">
        <f t="shared" si="126"/>
        <v>513.06956081495366</v>
      </c>
      <c r="BX64" s="271">
        <f t="shared" si="126"/>
        <v>526.19027288391931</v>
      </c>
      <c r="BY64" s="271">
        <f t="shared" si="126"/>
        <v>540.31521684943652</v>
      </c>
      <c r="BZ64" s="271">
        <f t="shared" si="126"/>
        <v>693.77177160697795</v>
      </c>
      <c r="CA64" s="271">
        <f t="shared" si="126"/>
        <v>710.90002591732286</v>
      </c>
      <c r="CB64" s="271">
        <f t="shared" si="126"/>
        <v>780.30465091732299</v>
      </c>
      <c r="CC64" s="271">
        <f t="shared" si="126"/>
        <v>780.21079746904707</v>
      </c>
      <c r="CD64" s="271">
        <f t="shared" si="126"/>
        <v>780.21079746904707</v>
      </c>
      <c r="CE64" s="271">
        <f t="shared" si="126"/>
        <v>790.62853022766774</v>
      </c>
      <c r="CF64" s="271">
        <f t="shared" si="126"/>
        <v>1521.0081436555631</v>
      </c>
      <c r="CG64" s="271">
        <f t="shared" si="126"/>
        <v>1829.1796278779375</v>
      </c>
      <c r="CH64" s="271">
        <f t="shared" si="126"/>
        <v>2005.1191520370098</v>
      </c>
      <c r="CI64" s="271">
        <f t="shared" si="126"/>
        <v>2182.0942603297126</v>
      </c>
      <c r="CJ64" s="271">
        <f t="shared" si="126"/>
        <v>2311.394696469632</v>
      </c>
      <c r="CK64" s="271">
        <f t="shared" si="126"/>
        <v>2400.44794110882</v>
      </c>
      <c r="CL64" s="271">
        <f t="shared" si="126"/>
        <v>2438.2875868268411</v>
      </c>
      <c r="CM64" s="271">
        <f t="shared" si="126"/>
        <v>2484.7721604201506</v>
      </c>
      <c r="CN64" s="270"/>
      <c r="CO64" s="269">
        <f t="shared" ref="CO64:CV64" si="127">CO85*0.3</f>
        <v>2550.20949553215</v>
      </c>
      <c r="CP64" s="269">
        <f t="shared" si="127"/>
        <v>2604.4572122497866</v>
      </c>
      <c r="CQ64" s="269">
        <f t="shared" si="127"/>
        <v>2683.5533496460712</v>
      </c>
      <c r="CR64" s="269">
        <f t="shared" si="127"/>
        <v>2744.4942110639458</v>
      </c>
      <c r="CS64" s="269">
        <f t="shared" si="127"/>
        <v>2803.1258731281664</v>
      </c>
      <c r="CT64" s="269">
        <f t="shared" si="127"/>
        <v>2844.2673962340041</v>
      </c>
      <c r="CU64" s="269">
        <f t="shared" si="127"/>
        <v>2890.9792803561295</v>
      </c>
      <c r="CV64" s="269">
        <f t="shared" si="127"/>
        <v>2928.6804202977278</v>
      </c>
      <c r="CW64" s="269">
        <v>2928.6804202977278</v>
      </c>
      <c r="CX64" s="269">
        <v>2928.6804202977278</v>
      </c>
      <c r="CY64" s="269">
        <f>((CV64/CV$16*CW$16)/CW$16*CX$16)/CX$16*CY$16</f>
        <v>3279.7954520992212</v>
      </c>
      <c r="CZ64" s="269">
        <f t="shared" si="125"/>
        <v>3674.8692678145508</v>
      </c>
      <c r="DA64" s="269">
        <f t="shared" si="125"/>
        <v>3589.282792872727</v>
      </c>
      <c r="DB64" s="269">
        <f t="shared" si="125"/>
        <v>3748.9550601860669</v>
      </c>
      <c r="DC64" s="269">
        <f t="shared" si="125"/>
        <v>3836.493976587501</v>
      </c>
      <c r="DD64" s="269">
        <f t="shared" si="125"/>
        <v>3819.6976308801682</v>
      </c>
      <c r="DE64" s="269">
        <f t="shared" si="125"/>
        <v>3871.6618532893358</v>
      </c>
      <c r="DF64" s="269">
        <f t="shared" si="125"/>
        <v>3875.3352076336432</v>
      </c>
      <c r="DG64" s="269">
        <f t="shared" si="125"/>
        <v>3764.4676087692724</v>
      </c>
    </row>
    <row r="65" spans="1:111" x14ac:dyDescent="0.35">
      <c r="A65" s="29"/>
      <c r="B65" s="29"/>
      <c r="C65" s="1" t="s">
        <v>5</v>
      </c>
      <c r="D65" s="1">
        <v>22</v>
      </c>
      <c r="E65" s="1"/>
      <c r="F65" s="1"/>
      <c r="G65" s="1"/>
      <c r="H65" s="1"/>
      <c r="I65" s="1"/>
      <c r="J65" s="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271"/>
      <c r="BD65" s="271"/>
      <c r="BE65" s="271"/>
      <c r="BF65" s="271"/>
      <c r="BG65" s="271"/>
      <c r="BH65" s="271"/>
      <c r="BI65" s="271"/>
      <c r="BJ65" s="271"/>
      <c r="BK65" s="271"/>
      <c r="BL65" s="271"/>
      <c r="BM65" s="271"/>
      <c r="BN65" s="271"/>
      <c r="BO65" s="271"/>
      <c r="BP65" s="271"/>
      <c r="BQ65" s="271"/>
      <c r="BR65" s="271"/>
      <c r="BT65" s="271">
        <f t="shared" ref="BT65:CM65" si="128">BT86*0.3</f>
        <v>478.54630305633304</v>
      </c>
      <c r="BU65" s="271">
        <f t="shared" si="128"/>
        <v>489.35822029771236</v>
      </c>
      <c r="BV65" s="271">
        <f t="shared" si="128"/>
        <v>0</v>
      </c>
      <c r="BW65" s="271">
        <f t="shared" si="128"/>
        <v>0</v>
      </c>
      <c r="BX65" s="271">
        <f t="shared" si="128"/>
        <v>0</v>
      </c>
      <c r="BY65" s="271">
        <f t="shared" si="128"/>
        <v>0</v>
      </c>
      <c r="BZ65" s="271">
        <f t="shared" si="128"/>
        <v>0</v>
      </c>
      <c r="CA65" s="271">
        <f t="shared" si="128"/>
        <v>0</v>
      </c>
      <c r="CB65" s="271">
        <f t="shared" si="128"/>
        <v>0</v>
      </c>
      <c r="CC65" s="271">
        <f t="shared" si="128"/>
        <v>0</v>
      </c>
      <c r="CD65" s="271">
        <f t="shared" si="128"/>
        <v>0</v>
      </c>
      <c r="CE65" s="271">
        <f t="shared" si="128"/>
        <v>0</v>
      </c>
      <c r="CF65" s="271">
        <f t="shared" si="128"/>
        <v>0</v>
      </c>
      <c r="CG65" s="271">
        <f t="shared" si="128"/>
        <v>0</v>
      </c>
      <c r="CH65" s="271">
        <f t="shared" si="128"/>
        <v>0</v>
      </c>
      <c r="CI65" s="271">
        <f t="shared" si="128"/>
        <v>0</v>
      </c>
      <c r="CJ65" s="271">
        <f t="shared" si="128"/>
        <v>0</v>
      </c>
      <c r="CK65" s="271">
        <f t="shared" si="128"/>
        <v>0</v>
      </c>
      <c r="CL65" s="271">
        <f t="shared" si="128"/>
        <v>0</v>
      </c>
      <c r="CM65" s="271">
        <f t="shared" si="128"/>
        <v>0</v>
      </c>
      <c r="CN65" s="270"/>
      <c r="CO65" s="269">
        <f t="shared" ref="CO65:CV65" si="129">CO86*0.3</f>
        <v>0</v>
      </c>
      <c r="CP65" s="269">
        <f t="shared" si="129"/>
        <v>0</v>
      </c>
      <c r="CQ65" s="269">
        <f t="shared" si="129"/>
        <v>0</v>
      </c>
      <c r="CR65" s="269">
        <f t="shared" si="129"/>
        <v>0</v>
      </c>
      <c r="CS65" s="269">
        <f t="shared" si="129"/>
        <v>0</v>
      </c>
      <c r="CT65" s="269">
        <f t="shared" si="129"/>
        <v>0</v>
      </c>
      <c r="CU65" s="269">
        <f t="shared" si="129"/>
        <v>0</v>
      </c>
      <c r="CV65" s="269">
        <f t="shared" si="129"/>
        <v>0</v>
      </c>
      <c r="CW65" s="269">
        <v>0</v>
      </c>
      <c r="CX65" s="269">
        <v>0</v>
      </c>
      <c r="CY65" s="269">
        <f t="shared" ref="CY65" si="130">CY86*0.3</f>
        <v>0</v>
      </c>
      <c r="CZ65" s="269">
        <f t="shared" si="125"/>
        <v>0</v>
      </c>
      <c r="DA65" s="269">
        <f t="shared" si="125"/>
        <v>0</v>
      </c>
      <c r="DB65" s="269">
        <f t="shared" si="125"/>
        <v>0</v>
      </c>
      <c r="DC65" s="269">
        <f t="shared" si="125"/>
        <v>0</v>
      </c>
      <c r="DD65" s="269">
        <f t="shared" si="125"/>
        <v>0</v>
      </c>
      <c r="DE65" s="269">
        <f t="shared" si="125"/>
        <v>0</v>
      </c>
      <c r="DF65" s="269">
        <f t="shared" si="125"/>
        <v>0</v>
      </c>
      <c r="DG65" s="269">
        <f t="shared" si="125"/>
        <v>0</v>
      </c>
    </row>
    <row r="66" spans="1:111" x14ac:dyDescent="0.35">
      <c r="C66" s="1" t="s">
        <v>5</v>
      </c>
      <c r="D66" s="1">
        <v>25</v>
      </c>
      <c r="E66" s="1"/>
      <c r="F66" s="1"/>
      <c r="G66" s="1"/>
      <c r="H66" s="1"/>
      <c r="I66" s="1"/>
      <c r="J66" s="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1"/>
      <c r="BC66" s="271"/>
      <c r="BD66" s="271"/>
      <c r="BE66" s="271"/>
      <c r="BF66" s="271"/>
      <c r="BG66" s="271"/>
      <c r="BH66" s="271"/>
      <c r="BI66" s="271"/>
      <c r="BJ66" s="271"/>
      <c r="BK66" s="271"/>
      <c r="BL66" s="271"/>
      <c r="BM66" s="271"/>
      <c r="BN66" s="271"/>
      <c r="BO66" s="271"/>
      <c r="BP66" s="271"/>
      <c r="BQ66" s="271"/>
      <c r="BR66" s="271"/>
      <c r="BT66" s="271">
        <f t="shared" ref="BT66:CM66" si="131">BT87*0.3</f>
        <v>478.54630305633304</v>
      </c>
      <c r="BU66" s="271">
        <f t="shared" si="131"/>
        <v>489.35822029771236</v>
      </c>
      <c r="BV66" s="271">
        <f t="shared" si="131"/>
        <v>499.86438064253991</v>
      </c>
      <c r="BW66" s="271">
        <f t="shared" si="131"/>
        <v>513.06956081495366</v>
      </c>
      <c r="BX66" s="271">
        <f t="shared" si="131"/>
        <v>526.19027288391931</v>
      </c>
      <c r="BY66" s="271">
        <f t="shared" si="131"/>
        <v>540.31521684943652</v>
      </c>
      <c r="BZ66" s="271">
        <f t="shared" si="131"/>
        <v>693.77177160697795</v>
      </c>
      <c r="CA66" s="271">
        <f t="shared" si="131"/>
        <v>710.90002591732286</v>
      </c>
      <c r="CB66" s="271">
        <f t="shared" si="131"/>
        <v>780.30465091732299</v>
      </c>
      <c r="CC66" s="271">
        <f t="shared" si="131"/>
        <v>780.21079746904707</v>
      </c>
      <c r="CD66" s="271">
        <f t="shared" si="131"/>
        <v>780.21079746904707</v>
      </c>
      <c r="CE66" s="271">
        <f t="shared" si="131"/>
        <v>790.62853022766774</v>
      </c>
      <c r="CF66" s="271">
        <f t="shared" si="131"/>
        <v>1521.0081436555631</v>
      </c>
      <c r="CG66" s="271">
        <f t="shared" si="131"/>
        <v>1829.1796278779375</v>
      </c>
      <c r="CH66" s="271">
        <f t="shared" si="131"/>
        <v>2005.1191520370098</v>
      </c>
      <c r="CI66" s="271">
        <f t="shared" si="131"/>
        <v>2182.0942603297126</v>
      </c>
      <c r="CJ66" s="271">
        <f t="shared" si="131"/>
        <v>2311.394696469632</v>
      </c>
      <c r="CK66" s="271">
        <f t="shared" si="131"/>
        <v>2400.44794110882</v>
      </c>
      <c r="CL66" s="271">
        <f t="shared" si="131"/>
        <v>2438.2875868268411</v>
      </c>
      <c r="CM66" s="271">
        <f t="shared" si="131"/>
        <v>2484.7721604201506</v>
      </c>
      <c r="CN66" s="270"/>
      <c r="CO66" s="269">
        <f t="shared" ref="CO66:CV66" si="132">CO87*0.3</f>
        <v>2550.20949553215</v>
      </c>
      <c r="CP66" s="269">
        <f t="shared" si="132"/>
        <v>2604.4572122497866</v>
      </c>
      <c r="CQ66" s="269">
        <f t="shared" si="132"/>
        <v>2683.5533496460712</v>
      </c>
      <c r="CR66" s="269">
        <f t="shared" si="132"/>
        <v>2744.4942110639458</v>
      </c>
      <c r="CS66" s="269">
        <f t="shared" si="132"/>
        <v>2803.1258731281664</v>
      </c>
      <c r="CT66" s="269">
        <f t="shared" si="132"/>
        <v>2844.2673962340041</v>
      </c>
      <c r="CU66" s="269">
        <f t="shared" si="132"/>
        <v>2890.9792803561295</v>
      </c>
      <c r="CV66" s="269">
        <f t="shared" si="132"/>
        <v>2928.6804202977278</v>
      </c>
      <c r="CW66" s="269">
        <v>2928.6804202977278</v>
      </c>
      <c r="CX66" s="269">
        <v>2928.6804202977278</v>
      </c>
      <c r="CY66" s="269">
        <f>((CV66/CV$16*CW$16)/CW$16*CX$16)/CX$16*CY$16</f>
        <v>3279.7954520992212</v>
      </c>
      <c r="CZ66" s="269">
        <f t="shared" si="125"/>
        <v>3674.8692678145508</v>
      </c>
      <c r="DA66" s="269">
        <f t="shared" si="125"/>
        <v>3589.282792872727</v>
      </c>
      <c r="DB66" s="269">
        <f t="shared" si="125"/>
        <v>3748.9550601860669</v>
      </c>
      <c r="DC66" s="269">
        <f t="shared" si="125"/>
        <v>3836.493976587501</v>
      </c>
      <c r="DD66" s="269">
        <f t="shared" si="125"/>
        <v>3819.6976308801682</v>
      </c>
      <c r="DE66" s="269">
        <f t="shared" si="125"/>
        <v>3871.6618532893358</v>
      </c>
      <c r="DF66" s="269">
        <f t="shared" si="125"/>
        <v>3875.3352076336432</v>
      </c>
      <c r="DG66" s="269">
        <f t="shared" si="125"/>
        <v>3764.4676087692724</v>
      </c>
    </row>
    <row r="67" spans="1:111" x14ac:dyDescent="0.35">
      <c r="C67" s="1" t="s">
        <v>7</v>
      </c>
      <c r="D67" s="1">
        <v>25</v>
      </c>
      <c r="E67" s="1"/>
      <c r="F67" s="1"/>
      <c r="G67" s="1"/>
      <c r="H67" s="1"/>
      <c r="I67" s="1"/>
      <c r="J67" s="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1"/>
      <c r="BC67" s="271"/>
      <c r="BD67" s="271"/>
      <c r="BE67" s="271"/>
      <c r="BF67" s="271"/>
      <c r="BG67" s="271"/>
      <c r="BH67" s="271"/>
      <c r="BI67" s="271"/>
      <c r="BJ67" s="271"/>
      <c r="BK67" s="271"/>
      <c r="BL67" s="271"/>
      <c r="BM67" s="271"/>
      <c r="BN67" s="271"/>
      <c r="BO67" s="271"/>
      <c r="BP67" s="271"/>
      <c r="BQ67" s="271"/>
      <c r="BR67" s="271"/>
      <c r="BT67" s="271">
        <f t="shared" ref="BT67:CM67" si="133">BT88*0.3</f>
        <v>0</v>
      </c>
      <c r="BU67" s="271">
        <f t="shared" si="133"/>
        <v>0</v>
      </c>
      <c r="BV67" s="271">
        <f t="shared" si="133"/>
        <v>0</v>
      </c>
      <c r="BW67" s="271">
        <f t="shared" si="133"/>
        <v>0</v>
      </c>
      <c r="BX67" s="271">
        <f t="shared" si="133"/>
        <v>0</v>
      </c>
      <c r="BY67" s="271">
        <f t="shared" si="133"/>
        <v>0</v>
      </c>
      <c r="BZ67" s="271">
        <f t="shared" si="133"/>
        <v>0</v>
      </c>
      <c r="CA67" s="271">
        <f t="shared" si="133"/>
        <v>0</v>
      </c>
      <c r="CB67" s="271">
        <f t="shared" si="133"/>
        <v>0</v>
      </c>
      <c r="CC67" s="271">
        <f t="shared" si="133"/>
        <v>0</v>
      </c>
      <c r="CD67" s="271">
        <f t="shared" si="133"/>
        <v>0</v>
      </c>
      <c r="CE67" s="271">
        <f t="shared" si="133"/>
        <v>0</v>
      </c>
      <c r="CF67" s="271">
        <f t="shared" si="133"/>
        <v>0</v>
      </c>
      <c r="CG67" s="271">
        <f t="shared" si="133"/>
        <v>1829.1796278779375</v>
      </c>
      <c r="CH67" s="271">
        <f t="shared" si="133"/>
        <v>2005.1191520370098</v>
      </c>
      <c r="CI67" s="271">
        <f t="shared" si="133"/>
        <v>2182.0942603297126</v>
      </c>
      <c r="CJ67" s="271">
        <f t="shared" si="133"/>
        <v>2311.394696469632</v>
      </c>
      <c r="CK67" s="271">
        <f t="shared" si="133"/>
        <v>2400.44794110882</v>
      </c>
      <c r="CL67" s="271">
        <f t="shared" si="133"/>
        <v>2438.2875868268411</v>
      </c>
      <c r="CM67" s="271">
        <f t="shared" si="133"/>
        <v>2484.7721604201506</v>
      </c>
      <c r="CN67" s="270"/>
      <c r="CO67" s="269">
        <f t="shared" ref="CO67:CV67" si="134">CO88*0.3</f>
        <v>2550.20949553215</v>
      </c>
      <c r="CP67" s="269">
        <f t="shared" si="134"/>
        <v>2604.4572122497866</v>
      </c>
      <c r="CQ67" s="269">
        <f t="shared" si="134"/>
        <v>2683.5533496460712</v>
      </c>
      <c r="CR67" s="269">
        <f t="shared" si="134"/>
        <v>2744.4942110639458</v>
      </c>
      <c r="CS67" s="269">
        <f t="shared" si="134"/>
        <v>2803.1258731281664</v>
      </c>
      <c r="CT67" s="269">
        <f t="shared" si="134"/>
        <v>2844.2673962340041</v>
      </c>
      <c r="CU67" s="269">
        <f t="shared" si="134"/>
        <v>2890.9792803561295</v>
      </c>
      <c r="CV67" s="269">
        <f t="shared" si="134"/>
        <v>2928.6804202977278</v>
      </c>
      <c r="CW67" s="269">
        <v>2928.6804202977278</v>
      </c>
      <c r="CX67" s="269">
        <v>2928.6804202977278</v>
      </c>
      <c r="CY67" s="269">
        <f>((CV67/CV$16*CW$16)/CW$16*CX$16)/CX$16*CY$16</f>
        <v>3279.7954520992212</v>
      </c>
      <c r="CZ67" s="269">
        <f t="shared" si="125"/>
        <v>3674.8692678145508</v>
      </c>
      <c r="DA67" s="269">
        <f t="shared" si="125"/>
        <v>3589.282792872727</v>
      </c>
      <c r="DB67" s="269">
        <f t="shared" si="125"/>
        <v>3748.9550601860669</v>
      </c>
      <c r="DC67" s="269">
        <f t="shared" si="125"/>
        <v>3836.493976587501</v>
      </c>
      <c r="DD67" s="269">
        <f t="shared" si="125"/>
        <v>3819.6976308801682</v>
      </c>
      <c r="DE67" s="269">
        <f t="shared" si="125"/>
        <v>3871.6618532893358</v>
      </c>
      <c r="DF67" s="269">
        <f t="shared" si="125"/>
        <v>3875.3352076336432</v>
      </c>
      <c r="DG67" s="269">
        <f t="shared" si="125"/>
        <v>3764.4676087692724</v>
      </c>
    </row>
    <row r="68" spans="1:111" x14ac:dyDescent="0.35">
      <c r="C68" s="1" t="s">
        <v>8</v>
      </c>
      <c r="D68" s="1">
        <v>37.200000000000003</v>
      </c>
      <c r="E68" s="1"/>
      <c r="F68" s="1"/>
      <c r="G68" s="1"/>
      <c r="H68" s="1"/>
      <c r="I68" s="1"/>
      <c r="J68" s="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  <c r="BC68" s="271"/>
      <c r="BD68" s="271"/>
      <c r="BE68" s="271"/>
      <c r="BF68" s="271"/>
      <c r="BG68" s="271"/>
      <c r="BH68" s="271"/>
      <c r="BI68" s="271"/>
      <c r="BJ68" s="271"/>
      <c r="BK68" s="271"/>
      <c r="BL68" s="271"/>
      <c r="BM68" s="271"/>
      <c r="BN68" s="271"/>
      <c r="BO68" s="271"/>
      <c r="BP68" s="271"/>
      <c r="BQ68" s="271"/>
      <c r="BR68" s="271"/>
      <c r="BT68" s="271">
        <f t="shared" ref="BT68:CM68" si="135">BT89*0.3</f>
        <v>672.07887025705361</v>
      </c>
      <c r="BU68" s="271">
        <f t="shared" si="135"/>
        <v>687.24951853291566</v>
      </c>
      <c r="BV68" s="271">
        <f t="shared" si="135"/>
        <v>701.38038749843315</v>
      </c>
      <c r="BW68" s="271">
        <f t="shared" si="135"/>
        <v>719.90912198119156</v>
      </c>
      <c r="BX68" s="271">
        <f t="shared" si="135"/>
        <v>738.31933577429515</v>
      </c>
      <c r="BY68" s="271">
        <f t="shared" si="135"/>
        <v>758.13862887774326</v>
      </c>
      <c r="BZ68" s="271">
        <f t="shared" si="135"/>
        <v>973.45986801397976</v>
      </c>
      <c r="CA68" s="271">
        <f t="shared" si="135"/>
        <v>997.49323008294539</v>
      </c>
      <c r="CB68" s="271">
        <f t="shared" si="135"/>
        <v>1094.8777300829454</v>
      </c>
      <c r="CC68" s="271">
        <f t="shared" si="135"/>
        <v>1094.7460404277729</v>
      </c>
      <c r="CD68" s="271">
        <f t="shared" si="135"/>
        <v>1094.7460404277729</v>
      </c>
      <c r="CE68" s="271">
        <f t="shared" si="135"/>
        <v>1109.3635921519108</v>
      </c>
      <c r="CF68" s="271">
        <f t="shared" si="135"/>
        <v>2134.1894371711569</v>
      </c>
      <c r="CG68" s="271">
        <f t="shared" si="135"/>
        <v>2566.5975930433892</v>
      </c>
      <c r="CH68" s="271">
        <f t="shared" si="135"/>
        <v>2813.4656164707781</v>
      </c>
      <c r="CI68" s="271">
        <f t="shared" si="135"/>
        <v>3061.7867108291257</v>
      </c>
      <c r="CJ68" s="271">
        <f t="shared" si="135"/>
        <v>3243.2135008055575</v>
      </c>
      <c r="CK68" s="271">
        <f t="shared" si="135"/>
        <v>3368.1677917128991</v>
      </c>
      <c r="CL68" s="271">
        <f t="shared" si="135"/>
        <v>3421.2621637151492</v>
      </c>
      <c r="CM68" s="271">
        <f t="shared" si="135"/>
        <v>3486.4865915842952</v>
      </c>
      <c r="CN68" s="270"/>
      <c r="CO68" s="269">
        <f t="shared" ref="CO68:CV68" si="136">CO89*0.3</f>
        <v>3578.3044230503456</v>
      </c>
      <c r="CP68" s="269">
        <f t="shared" si="136"/>
        <v>3654.4216381305905</v>
      </c>
      <c r="CQ68" s="269">
        <f t="shared" si="136"/>
        <v>3765.4047000269479</v>
      </c>
      <c r="CR68" s="269">
        <f t="shared" si="136"/>
        <v>3850.9133432729709</v>
      </c>
      <c r="CS68" s="269">
        <f t="shared" si="136"/>
        <v>3933.1818533944952</v>
      </c>
      <c r="CT68" s="269">
        <f t="shared" si="136"/>
        <v>3990.9092261293881</v>
      </c>
      <c r="CU68" s="269">
        <f t="shared" si="136"/>
        <v>4056.4526028033652</v>
      </c>
      <c r="CV68" s="269">
        <f t="shared" si="136"/>
        <v>4109.3526316219431</v>
      </c>
      <c r="CW68" s="269">
        <v>4109.3526316219431</v>
      </c>
      <c r="CX68" s="269">
        <v>4109.3526316219431</v>
      </c>
      <c r="CY68" s="269">
        <f>((CV68/CV$16*CW$16)/CW$16*CX$16)/CX$16*CY$16</f>
        <v>4602.016655301526</v>
      </c>
      <c r="CZ68" s="269">
        <f t="shared" si="125"/>
        <v>5156.361066881148</v>
      </c>
      <c r="DA68" s="269">
        <f t="shared" si="125"/>
        <v>5036.2711439261284</v>
      </c>
      <c r="DB68" s="269">
        <f t="shared" si="125"/>
        <v>5260.3139064390871</v>
      </c>
      <c r="DC68" s="269">
        <f t="shared" si="125"/>
        <v>5383.1433807615176</v>
      </c>
      <c r="DD68" s="269">
        <f t="shared" si="125"/>
        <v>5359.5757333815955</v>
      </c>
      <c r="DE68" s="269">
        <f t="shared" si="125"/>
        <v>5432.4888831494327</v>
      </c>
      <c r="DF68" s="269">
        <f t="shared" si="125"/>
        <v>5437.6431185644824</v>
      </c>
      <c r="DG68" s="269">
        <f t="shared" si="125"/>
        <v>5282.0802049746844</v>
      </c>
    </row>
    <row r="69" spans="1:111" x14ac:dyDescent="0.35">
      <c r="C69" s="1" t="s">
        <v>8</v>
      </c>
      <c r="D69" s="1">
        <v>40</v>
      </c>
      <c r="E69" s="1"/>
      <c r="F69" s="1"/>
      <c r="G69" s="1"/>
      <c r="H69" s="1"/>
      <c r="I69" s="1"/>
      <c r="J69" s="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  <c r="BC69" s="271"/>
      <c r="BD69" s="271"/>
      <c r="BE69" s="271"/>
      <c r="BF69" s="271"/>
      <c r="BG69" s="271"/>
      <c r="BH69" s="271"/>
      <c r="BI69" s="271"/>
      <c r="BJ69" s="271"/>
      <c r="BK69" s="271"/>
      <c r="BL69" s="271"/>
      <c r="BM69" s="271"/>
      <c r="BN69" s="271"/>
      <c r="BO69" s="271"/>
      <c r="BP69" s="271"/>
      <c r="BQ69" s="271"/>
      <c r="BR69" s="271"/>
      <c r="BT69" s="271">
        <f t="shared" ref="BT69:CM69" si="137">BT90*0.3</f>
        <v>672.07887025705361</v>
      </c>
      <c r="BU69" s="271">
        <f t="shared" si="137"/>
        <v>687.24951853291566</v>
      </c>
      <c r="BV69" s="271">
        <f t="shared" si="137"/>
        <v>0</v>
      </c>
      <c r="BW69" s="271">
        <f t="shared" si="137"/>
        <v>0</v>
      </c>
      <c r="BX69" s="271">
        <f t="shared" si="137"/>
        <v>0</v>
      </c>
      <c r="BY69" s="271">
        <f t="shared" si="137"/>
        <v>0</v>
      </c>
      <c r="BZ69" s="271">
        <f t="shared" si="137"/>
        <v>0</v>
      </c>
      <c r="CA69" s="271">
        <f t="shared" si="137"/>
        <v>0</v>
      </c>
      <c r="CB69" s="271">
        <f t="shared" si="137"/>
        <v>0</v>
      </c>
      <c r="CC69" s="271">
        <f t="shared" si="137"/>
        <v>0</v>
      </c>
      <c r="CD69" s="271">
        <f t="shared" si="137"/>
        <v>0</v>
      </c>
      <c r="CE69" s="271">
        <f t="shared" si="137"/>
        <v>0</v>
      </c>
      <c r="CF69" s="271">
        <f t="shared" si="137"/>
        <v>0</v>
      </c>
      <c r="CG69" s="271">
        <f t="shared" si="137"/>
        <v>0</v>
      </c>
      <c r="CH69" s="271">
        <f t="shared" si="137"/>
        <v>0</v>
      </c>
      <c r="CI69" s="271">
        <f t="shared" si="137"/>
        <v>0</v>
      </c>
      <c r="CJ69" s="271">
        <f t="shared" si="137"/>
        <v>0</v>
      </c>
      <c r="CK69" s="271">
        <f t="shared" si="137"/>
        <v>0</v>
      </c>
      <c r="CL69" s="271">
        <f t="shared" si="137"/>
        <v>0</v>
      </c>
      <c r="CM69" s="271">
        <f t="shared" si="137"/>
        <v>0</v>
      </c>
      <c r="CN69" s="270"/>
      <c r="CO69" s="269">
        <f t="shared" ref="CO69:CV69" si="138">CO90*0.3</f>
        <v>0</v>
      </c>
      <c r="CP69" s="269">
        <f t="shared" si="138"/>
        <v>0</v>
      </c>
      <c r="CQ69" s="269">
        <f t="shared" si="138"/>
        <v>0</v>
      </c>
      <c r="CR69" s="269">
        <f t="shared" si="138"/>
        <v>0</v>
      </c>
      <c r="CS69" s="269">
        <f t="shared" si="138"/>
        <v>0</v>
      </c>
      <c r="CT69" s="269">
        <f t="shared" si="138"/>
        <v>0</v>
      </c>
      <c r="CU69" s="269">
        <f t="shared" si="138"/>
        <v>0</v>
      </c>
      <c r="CV69" s="269">
        <f t="shared" si="138"/>
        <v>0</v>
      </c>
      <c r="CW69" s="269">
        <v>0</v>
      </c>
      <c r="CX69" s="269">
        <v>0</v>
      </c>
      <c r="CY69" s="269">
        <f t="shared" ref="CY69" si="139">CY90*0.3</f>
        <v>0</v>
      </c>
      <c r="CZ69" s="269">
        <f t="shared" si="125"/>
        <v>0</v>
      </c>
      <c r="DA69" s="269">
        <f t="shared" si="125"/>
        <v>0</v>
      </c>
      <c r="DB69" s="269">
        <f t="shared" si="125"/>
        <v>0</v>
      </c>
      <c r="DC69" s="269">
        <f t="shared" si="125"/>
        <v>0</v>
      </c>
      <c r="DD69" s="269">
        <f t="shared" si="125"/>
        <v>0</v>
      </c>
      <c r="DE69" s="269">
        <f t="shared" si="125"/>
        <v>0</v>
      </c>
      <c r="DF69" s="269">
        <f t="shared" si="125"/>
        <v>0</v>
      </c>
      <c r="DG69" s="269">
        <f t="shared" si="125"/>
        <v>0</v>
      </c>
    </row>
    <row r="70" spans="1:111" x14ac:dyDescent="0.35">
      <c r="C70" s="1" t="s">
        <v>8</v>
      </c>
      <c r="D70" s="1">
        <v>44</v>
      </c>
      <c r="E70" s="1"/>
      <c r="F70" s="1"/>
      <c r="G70" s="1"/>
      <c r="H70" s="1"/>
      <c r="I70" s="1"/>
      <c r="J70" s="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  <c r="BF70" s="271"/>
      <c r="BG70" s="271"/>
      <c r="BH70" s="271"/>
      <c r="BI70" s="271"/>
      <c r="BJ70" s="271"/>
      <c r="BK70" s="271"/>
      <c r="BL70" s="271"/>
      <c r="BM70" s="271"/>
      <c r="BN70" s="271"/>
      <c r="BO70" s="271"/>
      <c r="BP70" s="271"/>
      <c r="BQ70" s="271"/>
      <c r="BR70" s="271"/>
      <c r="BT70" s="271">
        <f t="shared" ref="BT70:CM70" si="140">BT91*0.3</f>
        <v>672.07887025705361</v>
      </c>
      <c r="BU70" s="271">
        <f t="shared" si="140"/>
        <v>687.24951853291566</v>
      </c>
      <c r="BV70" s="271">
        <f t="shared" si="140"/>
        <v>701.38038749843315</v>
      </c>
      <c r="BW70" s="271">
        <f t="shared" si="140"/>
        <v>719.90912198119156</v>
      </c>
      <c r="BX70" s="271">
        <f t="shared" si="140"/>
        <v>738.31933577429515</v>
      </c>
      <c r="BY70" s="271">
        <f t="shared" si="140"/>
        <v>758.13862887774326</v>
      </c>
      <c r="BZ70" s="271">
        <f t="shared" si="140"/>
        <v>973.45986801397976</v>
      </c>
      <c r="CA70" s="271">
        <f t="shared" si="140"/>
        <v>997.49323008294539</v>
      </c>
      <c r="CB70" s="271">
        <f t="shared" si="140"/>
        <v>1094.8777300829454</v>
      </c>
      <c r="CC70" s="271">
        <f t="shared" si="140"/>
        <v>1094.7460404277729</v>
      </c>
      <c r="CD70" s="271">
        <f t="shared" si="140"/>
        <v>1094.7460404277729</v>
      </c>
      <c r="CE70" s="271">
        <f t="shared" si="140"/>
        <v>1109.3635921519108</v>
      </c>
      <c r="CF70" s="271">
        <f t="shared" si="140"/>
        <v>2134.1894371711569</v>
      </c>
      <c r="CG70" s="271">
        <f t="shared" si="140"/>
        <v>2566.5975930433892</v>
      </c>
      <c r="CH70" s="271">
        <f t="shared" si="140"/>
        <v>2813.4656164707781</v>
      </c>
      <c r="CI70" s="271">
        <f t="shared" si="140"/>
        <v>3061.7867108291257</v>
      </c>
      <c r="CJ70" s="271">
        <f t="shared" si="140"/>
        <v>3243.2135008055575</v>
      </c>
      <c r="CK70" s="271">
        <f t="shared" si="140"/>
        <v>3368.1677917128991</v>
      </c>
      <c r="CL70" s="271">
        <f t="shared" si="140"/>
        <v>3421.2621637151492</v>
      </c>
      <c r="CM70" s="271">
        <f t="shared" si="140"/>
        <v>3486.4865915842952</v>
      </c>
      <c r="CN70" s="270"/>
      <c r="CO70" s="269">
        <f t="shared" ref="CO70:CV70" si="141">CO91*0.3</f>
        <v>3578.3044230503456</v>
      </c>
      <c r="CP70" s="269">
        <f t="shared" si="141"/>
        <v>3654.4216381305905</v>
      </c>
      <c r="CQ70" s="269">
        <f t="shared" si="141"/>
        <v>3765.4047000269479</v>
      </c>
      <c r="CR70" s="269">
        <f t="shared" si="141"/>
        <v>3850.9133432729709</v>
      </c>
      <c r="CS70" s="269">
        <f t="shared" si="141"/>
        <v>3933.1818533944952</v>
      </c>
      <c r="CT70" s="269">
        <f t="shared" si="141"/>
        <v>3990.9092261293881</v>
      </c>
      <c r="CU70" s="269">
        <f t="shared" si="141"/>
        <v>4056.4526028033652</v>
      </c>
      <c r="CV70" s="269">
        <f t="shared" si="141"/>
        <v>4109.3526316219431</v>
      </c>
      <c r="CW70" s="269">
        <v>4109.3526316219431</v>
      </c>
      <c r="CX70" s="269">
        <v>4109.3526316219431</v>
      </c>
      <c r="CY70" s="269">
        <f>((CV70/CV$16*CW$16)/CW$16*CX$16)/CX$16*CY$16</f>
        <v>4602.016655301526</v>
      </c>
      <c r="CZ70" s="269">
        <f t="shared" si="125"/>
        <v>5156.361066881148</v>
      </c>
      <c r="DA70" s="269">
        <f t="shared" si="125"/>
        <v>5036.2711439261284</v>
      </c>
      <c r="DB70" s="269">
        <f t="shared" si="125"/>
        <v>5260.3139064390871</v>
      </c>
      <c r="DC70" s="269">
        <f t="shared" si="125"/>
        <v>5383.1433807615176</v>
      </c>
      <c r="DD70" s="269">
        <f t="shared" si="125"/>
        <v>5359.5757333815955</v>
      </c>
      <c r="DE70" s="269">
        <f t="shared" si="125"/>
        <v>5432.4888831494327</v>
      </c>
      <c r="DF70" s="269">
        <f t="shared" si="125"/>
        <v>5437.6431185644824</v>
      </c>
      <c r="DG70" s="269">
        <f t="shared" si="125"/>
        <v>5282.0802049746844</v>
      </c>
    </row>
    <row r="71" spans="1:111" x14ac:dyDescent="0.35">
      <c r="C71" s="1" t="s">
        <v>9</v>
      </c>
      <c r="D71" s="1">
        <v>42.6</v>
      </c>
      <c r="E71" s="1"/>
      <c r="F71" s="1"/>
      <c r="G71" s="1"/>
      <c r="H71" s="1"/>
      <c r="I71" s="1"/>
      <c r="J71" s="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1"/>
      <c r="BL71" s="271"/>
      <c r="BM71" s="271"/>
      <c r="BN71" s="271"/>
      <c r="BO71" s="271"/>
      <c r="BP71" s="271"/>
      <c r="BQ71" s="271"/>
      <c r="BR71" s="271"/>
      <c r="BT71" s="271">
        <f t="shared" ref="BT71:CM71" si="142">BT92*0.3</f>
        <v>747.48116916642527</v>
      </c>
      <c r="BU71" s="271">
        <f t="shared" si="142"/>
        <v>764.35002433883903</v>
      </c>
      <c r="BV71" s="271">
        <f t="shared" si="142"/>
        <v>0</v>
      </c>
      <c r="BW71" s="271">
        <f t="shared" si="142"/>
        <v>0</v>
      </c>
      <c r="BX71" s="271">
        <f t="shared" si="142"/>
        <v>0</v>
      </c>
      <c r="BY71" s="271">
        <f t="shared" si="142"/>
        <v>0</v>
      </c>
      <c r="BZ71" s="271">
        <f t="shared" si="142"/>
        <v>0</v>
      </c>
      <c r="CA71" s="271">
        <f t="shared" si="142"/>
        <v>0</v>
      </c>
      <c r="CB71" s="271">
        <f t="shared" si="142"/>
        <v>0</v>
      </c>
      <c r="CC71" s="271">
        <f t="shared" si="142"/>
        <v>0</v>
      </c>
      <c r="CD71" s="271">
        <f t="shared" si="142"/>
        <v>0</v>
      </c>
      <c r="CE71" s="271">
        <f t="shared" si="142"/>
        <v>0</v>
      </c>
      <c r="CF71" s="271">
        <f t="shared" si="142"/>
        <v>0</v>
      </c>
      <c r="CG71" s="271">
        <f t="shared" si="142"/>
        <v>0</v>
      </c>
      <c r="CH71" s="271">
        <f t="shared" si="142"/>
        <v>0</v>
      </c>
      <c r="CI71" s="271">
        <f t="shared" si="142"/>
        <v>0</v>
      </c>
      <c r="CJ71" s="271">
        <f t="shared" si="142"/>
        <v>0</v>
      </c>
      <c r="CK71" s="271">
        <f t="shared" si="142"/>
        <v>0</v>
      </c>
      <c r="CL71" s="271">
        <f t="shared" si="142"/>
        <v>0</v>
      </c>
      <c r="CM71" s="271">
        <f t="shared" si="142"/>
        <v>0</v>
      </c>
      <c r="CN71" s="270"/>
      <c r="CO71" s="269">
        <f t="shared" ref="CO71:CV71" si="143">CO92*0.3</f>
        <v>0</v>
      </c>
      <c r="CP71" s="269">
        <f t="shared" si="143"/>
        <v>0</v>
      </c>
      <c r="CQ71" s="269">
        <f t="shared" si="143"/>
        <v>0</v>
      </c>
      <c r="CR71" s="269">
        <f t="shared" si="143"/>
        <v>0</v>
      </c>
      <c r="CS71" s="269">
        <f t="shared" si="143"/>
        <v>0</v>
      </c>
      <c r="CT71" s="269">
        <f t="shared" si="143"/>
        <v>0</v>
      </c>
      <c r="CU71" s="269">
        <f t="shared" si="143"/>
        <v>0</v>
      </c>
      <c r="CV71" s="269">
        <f t="shared" si="143"/>
        <v>0</v>
      </c>
      <c r="CW71" s="269">
        <v>0</v>
      </c>
      <c r="CX71" s="269">
        <v>0</v>
      </c>
      <c r="CY71" s="269">
        <f t="shared" ref="CY71" si="144">CY92*0.3</f>
        <v>0</v>
      </c>
      <c r="CZ71" s="269">
        <f t="shared" si="125"/>
        <v>0</v>
      </c>
      <c r="DA71" s="269">
        <f t="shared" si="125"/>
        <v>0</v>
      </c>
      <c r="DB71" s="269">
        <f t="shared" si="125"/>
        <v>0</v>
      </c>
      <c r="DC71" s="269">
        <f t="shared" si="125"/>
        <v>0</v>
      </c>
      <c r="DD71" s="269">
        <f t="shared" si="125"/>
        <v>0</v>
      </c>
      <c r="DE71" s="269">
        <f t="shared" si="125"/>
        <v>0</v>
      </c>
      <c r="DF71" s="269">
        <f t="shared" si="125"/>
        <v>0</v>
      </c>
      <c r="DG71" s="269">
        <f t="shared" si="125"/>
        <v>0</v>
      </c>
    </row>
    <row r="72" spans="1:111" x14ac:dyDescent="0.35">
      <c r="C72" s="1" t="s">
        <v>9</v>
      </c>
      <c r="D72" s="1">
        <v>46.6</v>
      </c>
      <c r="E72" s="1"/>
      <c r="F72" s="1"/>
      <c r="G72" s="1"/>
      <c r="H72" s="1"/>
      <c r="I72" s="1"/>
      <c r="J72" s="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271"/>
      <c r="BG72" s="271"/>
      <c r="BH72" s="271"/>
      <c r="BI72" s="271"/>
      <c r="BJ72" s="271"/>
      <c r="BK72" s="271"/>
      <c r="BL72" s="271"/>
      <c r="BM72" s="271"/>
      <c r="BN72" s="271"/>
      <c r="BO72" s="271"/>
      <c r="BP72" s="271"/>
      <c r="BQ72" s="271"/>
      <c r="BR72" s="271"/>
      <c r="BT72" s="271">
        <f t="shared" ref="BT72:CM72" si="145">BT93*0.3</f>
        <v>747.48116916642527</v>
      </c>
      <c r="BU72" s="271">
        <f t="shared" si="145"/>
        <v>764.35002433883903</v>
      </c>
      <c r="BV72" s="271">
        <f t="shared" si="145"/>
        <v>779.89311744228746</v>
      </c>
      <c r="BW72" s="271">
        <f t="shared" si="145"/>
        <v>800.4959639940115</v>
      </c>
      <c r="BX72" s="271">
        <f t="shared" si="145"/>
        <v>820.96702261470125</v>
      </c>
      <c r="BY72" s="271">
        <f t="shared" si="145"/>
        <v>843.00489330435653</v>
      </c>
      <c r="BZ72" s="271">
        <f t="shared" si="145"/>
        <v>1082.4292562244998</v>
      </c>
      <c r="CA72" s="271">
        <f t="shared" si="145"/>
        <v>1109.1529200176033</v>
      </c>
      <c r="CB72" s="271">
        <f t="shared" si="145"/>
        <v>1217.4386700176033</v>
      </c>
      <c r="CC72" s="271">
        <f t="shared" si="145"/>
        <v>1217.2922389831203</v>
      </c>
      <c r="CD72" s="271">
        <f t="shared" si="145"/>
        <v>1217.2922389831203</v>
      </c>
      <c r="CE72" s="271">
        <f t="shared" si="145"/>
        <v>1233.5460838107067</v>
      </c>
      <c r="CF72" s="271">
        <f t="shared" si="145"/>
        <v>2373.0912398395694</v>
      </c>
      <c r="CG72" s="271">
        <f t="shared" si="145"/>
        <v>2853.9032937572006</v>
      </c>
      <c r="CH72" s="271">
        <f t="shared" si="145"/>
        <v>3128.4057974189996</v>
      </c>
      <c r="CI72" s="271">
        <f t="shared" si="145"/>
        <v>3404.5240292055205</v>
      </c>
      <c r="CJ72" s="271">
        <f t="shared" si="145"/>
        <v>3606.2597882091641</v>
      </c>
      <c r="CK72" s="271">
        <f t="shared" si="145"/>
        <v>3745.2014997404631</v>
      </c>
      <c r="CL72" s="271">
        <f t="shared" si="145"/>
        <v>3804.2392715937103</v>
      </c>
      <c r="CM72" s="271">
        <f t="shared" si="145"/>
        <v>3876.7649413885074</v>
      </c>
      <c r="CN72" s="270"/>
      <c r="CO72" s="269">
        <f t="shared" ref="CO72:CV72" si="146">CO93*0.3</f>
        <v>3978.8608883171755</v>
      </c>
      <c r="CP72" s="269">
        <f t="shared" si="146"/>
        <v>4063.4986871750602</v>
      </c>
      <c r="CQ72" s="269">
        <f t="shared" si="146"/>
        <v>4186.905226149368</v>
      </c>
      <c r="CR72" s="269">
        <f t="shared" si="146"/>
        <v>4281.9857324453187</v>
      </c>
      <c r="CS72" s="269">
        <f t="shared" si="146"/>
        <v>4373.4634041476111</v>
      </c>
      <c r="CT72" s="269">
        <f t="shared" si="146"/>
        <v>4437.6527962185</v>
      </c>
      <c r="CU72" s="269">
        <f t="shared" si="146"/>
        <v>4510.5331180425483</v>
      </c>
      <c r="CV72" s="269">
        <f t="shared" si="146"/>
        <v>4569.3547918781314</v>
      </c>
      <c r="CW72" s="269">
        <v>4569.3547918781314</v>
      </c>
      <c r="CX72" s="269">
        <v>4569.3547918781314</v>
      </c>
      <c r="CY72" s="269">
        <f>((CV72/CV$16*CW$16)/CW$16*CX$16)/CX$16*CY$16</f>
        <v>5117.1677734322939</v>
      </c>
      <c r="CZ72" s="269">
        <f t="shared" si="125"/>
        <v>5733.5656639200834</v>
      </c>
      <c r="DA72" s="269">
        <f t="shared" si="125"/>
        <v>5600.0328391417406</v>
      </c>
      <c r="DB72" s="269">
        <f t="shared" si="125"/>
        <v>5849.1550153688368</v>
      </c>
      <c r="DC72" s="269">
        <f t="shared" si="125"/>
        <v>5985.7340577124351</v>
      </c>
      <c r="DD72" s="269">
        <f t="shared" si="125"/>
        <v>5959.528240849686</v>
      </c>
      <c r="DE72" s="269">
        <f t="shared" si="125"/>
        <v>6040.6033103676536</v>
      </c>
      <c r="DF72" s="269">
        <f t="shared" si="125"/>
        <v>6046.334512433642</v>
      </c>
      <c r="DG72" s="269">
        <f t="shared" si="125"/>
        <v>5873.3578398599111</v>
      </c>
    </row>
    <row r="73" spans="1:111" x14ac:dyDescent="0.35">
      <c r="C73" s="99" t="s">
        <v>10</v>
      </c>
      <c r="D73" s="1">
        <v>46.6</v>
      </c>
      <c r="E73" s="1"/>
      <c r="F73" s="1"/>
      <c r="G73" s="1"/>
      <c r="H73" s="1"/>
      <c r="I73" s="1"/>
      <c r="J73" s="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1"/>
      <c r="BC73" s="271"/>
      <c r="BD73" s="271"/>
      <c r="BE73" s="271"/>
      <c r="BF73" s="271"/>
      <c r="BG73" s="271"/>
      <c r="BH73" s="271"/>
      <c r="BI73" s="271"/>
      <c r="BJ73" s="271"/>
      <c r="BK73" s="271"/>
      <c r="BL73" s="271"/>
      <c r="BM73" s="271"/>
      <c r="BN73" s="271"/>
      <c r="BO73" s="271"/>
      <c r="BP73" s="271"/>
      <c r="BQ73" s="271"/>
      <c r="BR73" s="271"/>
      <c r="BT73" s="271">
        <f t="shared" ref="BT73:CM73" si="147">BT94*0.3</f>
        <v>0</v>
      </c>
      <c r="BU73" s="271">
        <f t="shared" si="147"/>
        <v>0</v>
      </c>
      <c r="BV73" s="271">
        <f t="shared" si="147"/>
        <v>0</v>
      </c>
      <c r="BW73" s="271">
        <f t="shared" si="147"/>
        <v>0</v>
      </c>
      <c r="BX73" s="271">
        <f t="shared" si="147"/>
        <v>0</v>
      </c>
      <c r="BY73" s="271">
        <f t="shared" si="147"/>
        <v>0</v>
      </c>
      <c r="BZ73" s="271">
        <f t="shared" si="147"/>
        <v>0</v>
      </c>
      <c r="CA73" s="271">
        <f t="shared" si="147"/>
        <v>0</v>
      </c>
      <c r="CB73" s="271">
        <f t="shared" si="147"/>
        <v>0</v>
      </c>
      <c r="CC73" s="271">
        <f t="shared" si="147"/>
        <v>0</v>
      </c>
      <c r="CD73" s="271">
        <f t="shared" si="147"/>
        <v>0</v>
      </c>
      <c r="CE73" s="271">
        <f t="shared" si="147"/>
        <v>0</v>
      </c>
      <c r="CF73" s="271">
        <f t="shared" si="147"/>
        <v>0</v>
      </c>
      <c r="CG73" s="271">
        <f t="shared" si="147"/>
        <v>2853.9032937572006</v>
      </c>
      <c r="CH73" s="271">
        <f t="shared" si="147"/>
        <v>3128.4057974189996</v>
      </c>
      <c r="CI73" s="271">
        <f t="shared" si="147"/>
        <v>3404.5240292055205</v>
      </c>
      <c r="CJ73" s="271">
        <f t="shared" si="147"/>
        <v>3606.2597882091641</v>
      </c>
      <c r="CK73" s="271">
        <f t="shared" si="147"/>
        <v>3745.2014997404631</v>
      </c>
      <c r="CL73" s="271">
        <f t="shared" si="147"/>
        <v>3804.2392715937103</v>
      </c>
      <c r="CM73" s="271">
        <f t="shared" si="147"/>
        <v>3876.7649413885074</v>
      </c>
      <c r="CN73" s="270"/>
      <c r="CO73" s="269">
        <f t="shared" ref="CO73:CV73" si="148">CO94*0.3</f>
        <v>3978.8608883171755</v>
      </c>
      <c r="CP73" s="269">
        <f t="shared" si="148"/>
        <v>4063.4986871750602</v>
      </c>
      <c r="CQ73" s="269">
        <f t="shared" si="148"/>
        <v>4186.905226149368</v>
      </c>
      <c r="CR73" s="269">
        <f t="shared" si="148"/>
        <v>4281.9857324453187</v>
      </c>
      <c r="CS73" s="269">
        <f t="shared" si="148"/>
        <v>4373.4634041476111</v>
      </c>
      <c r="CT73" s="269">
        <f t="shared" si="148"/>
        <v>4437.6527962185</v>
      </c>
      <c r="CU73" s="269">
        <f t="shared" si="148"/>
        <v>4510.5331180425483</v>
      </c>
      <c r="CV73" s="269">
        <f t="shared" si="148"/>
        <v>4569.3547918781314</v>
      </c>
      <c r="CW73" s="269">
        <v>4569.3547918781314</v>
      </c>
      <c r="CX73" s="269">
        <v>4569.3547918781314</v>
      </c>
      <c r="CY73" s="269">
        <f>((CV73/CV$16*CW$16)/CW$16*CX$16)/CX$16*CY$16</f>
        <v>5117.1677734322939</v>
      </c>
      <c r="CZ73" s="269">
        <f t="shared" si="125"/>
        <v>5733.5656639200834</v>
      </c>
      <c r="DA73" s="269">
        <f t="shared" si="125"/>
        <v>5600.0328391417406</v>
      </c>
      <c r="DB73" s="269">
        <f t="shared" si="125"/>
        <v>5849.1550153688368</v>
      </c>
      <c r="DC73" s="269">
        <f t="shared" si="125"/>
        <v>5985.7340577124351</v>
      </c>
      <c r="DD73" s="269">
        <f t="shared" si="125"/>
        <v>5959.528240849686</v>
      </c>
      <c r="DE73" s="269">
        <f t="shared" si="125"/>
        <v>6040.6033103676536</v>
      </c>
      <c r="DF73" s="269">
        <f t="shared" si="125"/>
        <v>6046.334512433642</v>
      </c>
      <c r="DG73" s="269">
        <f t="shared" si="125"/>
        <v>5873.3578398599111</v>
      </c>
    </row>
    <row r="74" spans="1:111" x14ac:dyDescent="0.35">
      <c r="C74" s="1" t="s">
        <v>9</v>
      </c>
      <c r="D74" s="1">
        <v>48</v>
      </c>
      <c r="E74" s="1"/>
      <c r="F74" s="1"/>
      <c r="G74" s="1"/>
      <c r="H74" s="1"/>
      <c r="I7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  <c r="BC74" s="271"/>
      <c r="BD74" s="271"/>
      <c r="BE74" s="271"/>
      <c r="BF74" s="271"/>
      <c r="BG74" s="271"/>
      <c r="BH74" s="271"/>
      <c r="BI74" s="271"/>
      <c r="BJ74" s="271"/>
      <c r="BK74" s="271"/>
      <c r="BL74" s="271"/>
      <c r="BM74" s="271"/>
      <c r="BN74" s="271"/>
      <c r="BO74" s="271"/>
      <c r="BP74" s="271"/>
      <c r="BQ74" s="271"/>
      <c r="BR74" s="271"/>
      <c r="BT74" s="271">
        <f t="shared" ref="BT74:CM74" si="149">BT95*0.3</f>
        <v>747.48116916642527</v>
      </c>
      <c r="BU74" s="271">
        <f t="shared" si="149"/>
        <v>764.35002433883903</v>
      </c>
      <c r="BV74" s="271">
        <f t="shared" si="149"/>
        <v>779.89311744228746</v>
      </c>
      <c r="BW74" s="271">
        <f t="shared" si="149"/>
        <v>800.4959639940115</v>
      </c>
      <c r="BX74" s="271">
        <f t="shared" si="149"/>
        <v>820.96702261470125</v>
      </c>
      <c r="BY74" s="271">
        <f t="shared" si="149"/>
        <v>843.00489330435653</v>
      </c>
      <c r="BZ74" s="271">
        <f t="shared" si="149"/>
        <v>1082.4292562244998</v>
      </c>
      <c r="CA74" s="271">
        <f t="shared" si="149"/>
        <v>1109.1529200176033</v>
      </c>
      <c r="CB74" s="271">
        <f t="shared" si="149"/>
        <v>1217.4386700176033</v>
      </c>
      <c r="CC74" s="271">
        <f t="shared" si="149"/>
        <v>1217.2922389831203</v>
      </c>
      <c r="CD74" s="271">
        <f t="shared" si="149"/>
        <v>1217.2922389831203</v>
      </c>
      <c r="CE74" s="271">
        <f t="shared" si="149"/>
        <v>1233.5460838107067</v>
      </c>
      <c r="CF74" s="271">
        <f t="shared" si="149"/>
        <v>2373.0912398395694</v>
      </c>
      <c r="CG74" s="271">
        <f t="shared" si="149"/>
        <v>2853.9032937572006</v>
      </c>
      <c r="CH74" s="271">
        <f t="shared" si="149"/>
        <v>3128.4057974189996</v>
      </c>
      <c r="CI74" s="271">
        <f t="shared" si="149"/>
        <v>3404.5240292055205</v>
      </c>
      <c r="CJ74" s="271">
        <f t="shared" si="149"/>
        <v>3606.2597882091641</v>
      </c>
      <c r="CK74" s="271">
        <f t="shared" si="149"/>
        <v>3745.2014997404631</v>
      </c>
      <c r="CL74" s="271">
        <f t="shared" si="149"/>
        <v>3804.2392715937103</v>
      </c>
      <c r="CM74" s="271">
        <f t="shared" si="149"/>
        <v>3876.7649413885074</v>
      </c>
      <c r="CN74" s="270"/>
      <c r="CO74" s="269">
        <f t="shared" ref="CO74:CV74" si="150">CO95*0.3</f>
        <v>3978.8608883171755</v>
      </c>
      <c r="CP74" s="269">
        <f t="shared" si="150"/>
        <v>4063.4986871750602</v>
      </c>
      <c r="CQ74" s="269">
        <f t="shared" si="150"/>
        <v>4186.905226149368</v>
      </c>
      <c r="CR74" s="269">
        <f t="shared" si="150"/>
        <v>4281.9857324453187</v>
      </c>
      <c r="CS74" s="269">
        <f t="shared" si="150"/>
        <v>4373.4634041476111</v>
      </c>
      <c r="CT74" s="269">
        <f t="shared" si="150"/>
        <v>4437.6527962185</v>
      </c>
      <c r="CU74" s="269">
        <f t="shared" si="150"/>
        <v>4510.5331180425483</v>
      </c>
      <c r="CV74" s="269">
        <f t="shared" si="150"/>
        <v>4569.3547918781314</v>
      </c>
      <c r="CW74" s="269">
        <v>4569.3547918781314</v>
      </c>
      <c r="CX74" s="269">
        <v>4569.3547918781314</v>
      </c>
      <c r="CY74" s="269">
        <f>((CV74/CV$16*CW$16)/CW$16*CX$16)/CX$16*CY$16</f>
        <v>5117.1677734322939</v>
      </c>
      <c r="CZ74" s="269">
        <f t="shared" si="125"/>
        <v>5733.5656639200834</v>
      </c>
      <c r="DA74" s="269">
        <f t="shared" si="125"/>
        <v>5600.0328391417406</v>
      </c>
      <c r="DB74" s="269">
        <f t="shared" si="125"/>
        <v>5849.1550153688368</v>
      </c>
      <c r="DC74" s="269">
        <f t="shared" si="125"/>
        <v>5985.7340577124351</v>
      </c>
      <c r="DD74" s="269">
        <f t="shared" si="125"/>
        <v>5959.528240849686</v>
      </c>
      <c r="DE74" s="269">
        <f t="shared" si="125"/>
        <v>6040.6033103676536</v>
      </c>
      <c r="DF74" s="269">
        <f t="shared" si="125"/>
        <v>6046.334512433642</v>
      </c>
      <c r="DG74" s="269">
        <f t="shared" si="125"/>
        <v>5873.3578398599111</v>
      </c>
    </row>
    <row r="75" spans="1:111" x14ac:dyDescent="0.35">
      <c r="C75" s="1" t="s">
        <v>9</v>
      </c>
      <c r="D75" s="1">
        <v>49.6</v>
      </c>
      <c r="E75" s="1"/>
      <c r="F75" s="1"/>
      <c r="G75" s="1"/>
      <c r="H75" s="1"/>
      <c r="I75" s="1"/>
      <c r="J75" s="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  <c r="BC75" s="271"/>
      <c r="BD75" s="271"/>
      <c r="BE75" s="271"/>
      <c r="BF75" s="271"/>
      <c r="BG75" s="271"/>
      <c r="BH75" s="271"/>
      <c r="BI75" s="271"/>
      <c r="BJ75" s="271"/>
      <c r="BK75" s="271"/>
      <c r="BL75" s="271"/>
      <c r="BM75" s="271"/>
      <c r="BN75" s="271"/>
      <c r="BO75" s="271"/>
      <c r="BP75" s="272"/>
      <c r="BQ75" s="272"/>
      <c r="BR75" s="272"/>
      <c r="BT75" s="271">
        <f t="shared" ref="BT75:CM75" si="151">BT96*0.3</f>
        <v>747.48116916642527</v>
      </c>
      <c r="BU75" s="271">
        <f t="shared" si="151"/>
        <v>764.35002433883903</v>
      </c>
      <c r="BV75" s="271">
        <f t="shared" si="151"/>
        <v>0</v>
      </c>
      <c r="BW75" s="271">
        <f t="shared" si="151"/>
        <v>0</v>
      </c>
      <c r="BX75" s="271">
        <f t="shared" si="151"/>
        <v>0</v>
      </c>
      <c r="BY75" s="271">
        <f t="shared" si="151"/>
        <v>0</v>
      </c>
      <c r="BZ75" s="271">
        <f t="shared" si="151"/>
        <v>0</v>
      </c>
      <c r="CA75" s="271">
        <f t="shared" si="151"/>
        <v>0</v>
      </c>
      <c r="CB75" s="271">
        <f t="shared" si="151"/>
        <v>0</v>
      </c>
      <c r="CC75" s="271">
        <f t="shared" si="151"/>
        <v>0</v>
      </c>
      <c r="CD75" s="271">
        <f t="shared" si="151"/>
        <v>0</v>
      </c>
      <c r="CE75" s="271">
        <f t="shared" si="151"/>
        <v>0</v>
      </c>
      <c r="CF75" s="271">
        <f t="shared" si="151"/>
        <v>0</v>
      </c>
      <c r="CG75" s="271">
        <f t="shared" si="151"/>
        <v>0</v>
      </c>
      <c r="CH75" s="271">
        <f t="shared" si="151"/>
        <v>0</v>
      </c>
      <c r="CI75" s="271">
        <f t="shared" si="151"/>
        <v>0</v>
      </c>
      <c r="CJ75" s="271">
        <f t="shared" si="151"/>
        <v>0</v>
      </c>
      <c r="CK75" s="271">
        <f t="shared" si="151"/>
        <v>0</v>
      </c>
      <c r="CL75" s="271">
        <f t="shared" si="151"/>
        <v>0</v>
      </c>
      <c r="CM75" s="271">
        <f t="shared" si="151"/>
        <v>0</v>
      </c>
      <c r="CN75" s="270"/>
      <c r="CO75" s="269">
        <f t="shared" ref="CO75:CV75" si="152">CO96*0.3</f>
        <v>0</v>
      </c>
      <c r="CP75" s="269">
        <f t="shared" si="152"/>
        <v>0</v>
      </c>
      <c r="CQ75" s="269">
        <f t="shared" si="152"/>
        <v>0</v>
      </c>
      <c r="CR75" s="269">
        <f t="shared" si="152"/>
        <v>0</v>
      </c>
      <c r="CS75" s="269">
        <f t="shared" si="152"/>
        <v>0</v>
      </c>
      <c r="CT75" s="269">
        <f t="shared" si="152"/>
        <v>0</v>
      </c>
      <c r="CU75" s="269">
        <f t="shared" si="152"/>
        <v>0</v>
      </c>
      <c r="CV75" s="269">
        <f t="shared" si="152"/>
        <v>0</v>
      </c>
      <c r="CW75" s="269">
        <v>0</v>
      </c>
      <c r="CX75" s="269">
        <v>0</v>
      </c>
      <c r="CY75" s="269">
        <f t="shared" ref="CY75" si="153">CY96*0.3</f>
        <v>0</v>
      </c>
      <c r="CZ75" s="269">
        <f t="shared" si="125"/>
        <v>0</v>
      </c>
      <c r="DA75" s="269">
        <f t="shared" si="125"/>
        <v>0</v>
      </c>
      <c r="DB75" s="269">
        <f t="shared" si="125"/>
        <v>0</v>
      </c>
      <c r="DC75" s="269">
        <f t="shared" si="125"/>
        <v>0</v>
      </c>
      <c r="DD75" s="269">
        <f t="shared" si="125"/>
        <v>0</v>
      </c>
      <c r="DE75" s="269">
        <f t="shared" si="125"/>
        <v>0</v>
      </c>
      <c r="DF75" s="269">
        <f t="shared" si="125"/>
        <v>0</v>
      </c>
      <c r="DG75" s="269">
        <f t="shared" si="125"/>
        <v>0</v>
      </c>
    </row>
    <row r="76" spans="1:111" x14ac:dyDescent="0.35">
      <c r="C76" s="1" t="s">
        <v>9</v>
      </c>
      <c r="D76" s="1">
        <v>52</v>
      </c>
      <c r="E76" s="1"/>
      <c r="F76" s="1"/>
      <c r="G76" s="1"/>
      <c r="H76" s="1"/>
      <c r="I76" s="1"/>
      <c r="J76" s="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T76" s="271">
        <f t="shared" ref="BT76:CM76" si="154">BT97*0.3</f>
        <v>747.48116916642527</v>
      </c>
      <c r="BU76" s="271">
        <f t="shared" si="154"/>
        <v>764.35002433883903</v>
      </c>
      <c r="BV76" s="271">
        <f t="shared" si="154"/>
        <v>779.89311744228746</v>
      </c>
      <c r="BW76" s="271">
        <f t="shared" si="154"/>
        <v>800.4959639940115</v>
      </c>
      <c r="BX76" s="271">
        <f t="shared" si="154"/>
        <v>820.96702261470125</v>
      </c>
      <c r="BY76" s="271">
        <f t="shared" si="154"/>
        <v>843.00489330435653</v>
      </c>
      <c r="BZ76" s="271">
        <f t="shared" si="154"/>
        <v>1082.4292562244998</v>
      </c>
      <c r="CA76" s="271">
        <f t="shared" si="154"/>
        <v>1109.1529200176033</v>
      </c>
      <c r="CB76" s="271">
        <f t="shared" si="154"/>
        <v>1217.4386700176033</v>
      </c>
      <c r="CC76" s="271">
        <f t="shared" si="154"/>
        <v>1217.2922389831203</v>
      </c>
      <c r="CD76" s="271">
        <f t="shared" si="154"/>
        <v>1217.2922389831203</v>
      </c>
      <c r="CE76" s="271">
        <f t="shared" si="154"/>
        <v>1233.5460838107067</v>
      </c>
      <c r="CF76" s="271">
        <f t="shared" si="154"/>
        <v>2373.0912398395694</v>
      </c>
      <c r="CG76" s="271">
        <f t="shared" si="154"/>
        <v>2853.9032937572006</v>
      </c>
      <c r="CH76" s="271">
        <f t="shared" si="154"/>
        <v>3128.4057974189996</v>
      </c>
      <c r="CI76" s="271">
        <f t="shared" si="154"/>
        <v>3404.5240292055205</v>
      </c>
      <c r="CJ76" s="271">
        <f t="shared" si="154"/>
        <v>3606.2597882091641</v>
      </c>
      <c r="CK76" s="271">
        <f t="shared" si="154"/>
        <v>3745.2014997404631</v>
      </c>
      <c r="CL76" s="271">
        <f t="shared" si="154"/>
        <v>3804.2392715937103</v>
      </c>
      <c r="CM76" s="271">
        <f t="shared" si="154"/>
        <v>3876.7649413885074</v>
      </c>
      <c r="CN76" s="270"/>
      <c r="CO76" s="269">
        <f t="shared" ref="CO76:CV76" si="155">CO97*0.3</f>
        <v>3978.8608883171755</v>
      </c>
      <c r="CP76" s="269">
        <f t="shared" si="155"/>
        <v>4063.4986871750602</v>
      </c>
      <c r="CQ76" s="269">
        <f t="shared" si="155"/>
        <v>4186.905226149368</v>
      </c>
      <c r="CR76" s="269">
        <f t="shared" si="155"/>
        <v>4281.9857324453187</v>
      </c>
      <c r="CS76" s="269">
        <f t="shared" si="155"/>
        <v>4373.4634041476111</v>
      </c>
      <c r="CT76" s="269">
        <f t="shared" si="155"/>
        <v>4437.6527962185</v>
      </c>
      <c r="CU76" s="269">
        <f t="shared" si="155"/>
        <v>4510.5331180425483</v>
      </c>
      <c r="CV76" s="269">
        <f t="shared" si="155"/>
        <v>4569.3547918781314</v>
      </c>
      <c r="CW76" s="269">
        <v>4569.3547918781314</v>
      </c>
      <c r="CX76" s="269">
        <v>4569.3547918781314</v>
      </c>
      <c r="CY76" s="269">
        <f>((CV76/CV$16*CW$16)/CW$16*CX$16)/CX$16*CY$16</f>
        <v>5117.1677734322939</v>
      </c>
      <c r="CZ76" s="269">
        <f t="shared" si="125"/>
        <v>5733.5656639200834</v>
      </c>
      <c r="DA76" s="269">
        <f t="shared" si="125"/>
        <v>5600.0328391417406</v>
      </c>
      <c r="DB76" s="269">
        <f t="shared" si="125"/>
        <v>5849.1550153688368</v>
      </c>
      <c r="DC76" s="269">
        <f t="shared" si="125"/>
        <v>5985.7340577124351</v>
      </c>
      <c r="DD76" s="269">
        <f t="shared" si="125"/>
        <v>5959.528240849686</v>
      </c>
      <c r="DE76" s="269">
        <f t="shared" si="125"/>
        <v>6040.6033103676536</v>
      </c>
      <c r="DF76" s="269">
        <f t="shared" si="125"/>
        <v>6046.334512433642</v>
      </c>
      <c r="DG76" s="269">
        <f t="shared" si="125"/>
        <v>5873.3578398599111</v>
      </c>
    </row>
    <row r="77" spans="1:111" x14ac:dyDescent="0.35">
      <c r="C77" s="1" t="s">
        <v>11</v>
      </c>
      <c r="D77" s="1">
        <v>54.7</v>
      </c>
      <c r="E77" s="1"/>
      <c r="F77" s="1"/>
      <c r="G77" s="1"/>
      <c r="H77" s="1"/>
      <c r="I77" s="1"/>
      <c r="J77" s="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271"/>
      <c r="BG77" s="271"/>
      <c r="BH77" s="271"/>
      <c r="BI77" s="271"/>
      <c r="BJ77" s="271"/>
      <c r="BK77" s="271"/>
      <c r="BL77" s="271"/>
      <c r="BM77" s="271"/>
      <c r="BN77" s="271"/>
      <c r="BO77" s="271"/>
      <c r="BP77" s="271"/>
      <c r="BQ77" s="271"/>
      <c r="BR77" s="271"/>
      <c r="BT77" s="271">
        <f t="shared" ref="BT77:CM77" si="156">BT98*0.3</f>
        <v>767.5884488755911</v>
      </c>
      <c r="BU77" s="271">
        <f t="shared" si="156"/>
        <v>784.91015922041879</v>
      </c>
      <c r="BV77" s="271">
        <f t="shared" si="156"/>
        <v>800.82984542731526</v>
      </c>
      <c r="BW77" s="271">
        <f t="shared" si="156"/>
        <v>821.98578853076367</v>
      </c>
      <c r="BX77" s="271">
        <f t="shared" si="156"/>
        <v>843.00640577214278</v>
      </c>
      <c r="BY77" s="271">
        <f t="shared" si="156"/>
        <v>865.63589715145326</v>
      </c>
      <c r="BZ77" s="271">
        <f t="shared" si="156"/>
        <v>1111.4877597473053</v>
      </c>
      <c r="CA77" s="271">
        <f t="shared" si="156"/>
        <v>1138.9288373335121</v>
      </c>
      <c r="CB77" s="271">
        <f t="shared" si="156"/>
        <v>1250.121587333512</v>
      </c>
      <c r="CC77" s="271">
        <f t="shared" si="156"/>
        <v>1249.9712252645465</v>
      </c>
      <c r="CD77" s="271">
        <f t="shared" si="156"/>
        <v>1249.9712252645465</v>
      </c>
      <c r="CE77" s="271">
        <f t="shared" si="156"/>
        <v>1266.6614149197192</v>
      </c>
      <c r="CF77" s="271">
        <f t="shared" si="156"/>
        <v>2436.7983872178133</v>
      </c>
      <c r="CG77" s="271">
        <f t="shared" si="156"/>
        <v>2930.5181472808849</v>
      </c>
      <c r="CH77" s="271">
        <f t="shared" si="156"/>
        <v>3212.3898456718593</v>
      </c>
      <c r="CI77" s="271">
        <f t="shared" si="156"/>
        <v>3495.9206474392258</v>
      </c>
      <c r="CJ77" s="271">
        <f t="shared" si="156"/>
        <v>3703.072131516793</v>
      </c>
      <c r="CK77" s="271">
        <f t="shared" si="156"/>
        <v>3845.7438218811467</v>
      </c>
      <c r="CL77" s="271">
        <f t="shared" si="156"/>
        <v>3906.3665003613269</v>
      </c>
      <c r="CM77" s="271">
        <f t="shared" si="156"/>
        <v>3980.839168002964</v>
      </c>
      <c r="CN77" s="270"/>
      <c r="CO77" s="269">
        <f t="shared" ref="CO77:CV77" si="157">CO98*0.3</f>
        <v>4085.675945721664</v>
      </c>
      <c r="CP77" s="269">
        <f t="shared" si="157"/>
        <v>4172.5859002535863</v>
      </c>
      <c r="CQ77" s="269">
        <f t="shared" si="157"/>
        <v>4299.3053664486806</v>
      </c>
      <c r="CR77" s="269">
        <f t="shared" si="157"/>
        <v>4396.9383695579454</v>
      </c>
      <c r="CS77" s="269">
        <f t="shared" si="157"/>
        <v>4490.8718176817756</v>
      </c>
      <c r="CT77" s="269">
        <f t="shared" si="157"/>
        <v>4556.7844149089296</v>
      </c>
      <c r="CU77" s="269">
        <f t="shared" si="157"/>
        <v>4631.6212554396652</v>
      </c>
      <c r="CV77" s="269">
        <f t="shared" si="157"/>
        <v>4692.0220346131164</v>
      </c>
      <c r="CW77" s="269">
        <v>4692.0220346131164</v>
      </c>
      <c r="CX77" s="269">
        <v>4692.0220346131164</v>
      </c>
      <c r="CY77" s="269">
        <f>((CV77/CV$16*CW$16)/CW$16*CX$16)/CX$16*CY$16</f>
        <v>5254.5414049338342</v>
      </c>
      <c r="CZ77" s="269">
        <f t="shared" si="125"/>
        <v>5887.4868897971328</v>
      </c>
      <c r="DA77" s="269">
        <f t="shared" si="125"/>
        <v>5750.3692911992375</v>
      </c>
      <c r="DB77" s="269">
        <f t="shared" si="125"/>
        <v>6006.179311083436</v>
      </c>
      <c r="DC77" s="269">
        <f t="shared" si="125"/>
        <v>6146.4249048993461</v>
      </c>
      <c r="DD77" s="269">
        <f t="shared" si="125"/>
        <v>6119.5155761745091</v>
      </c>
      <c r="DE77" s="269">
        <f t="shared" si="125"/>
        <v>6202.7671576258463</v>
      </c>
      <c r="DF77" s="269">
        <f t="shared" si="125"/>
        <v>6208.6522174654174</v>
      </c>
      <c r="DG77" s="269">
        <f t="shared" si="125"/>
        <v>6031.0318758293042</v>
      </c>
    </row>
    <row r="78" spans="1:111" x14ac:dyDescent="0.35">
      <c r="C78" s="1" t="s">
        <v>11</v>
      </c>
      <c r="D78" s="1">
        <v>58</v>
      </c>
      <c r="E78" s="1"/>
      <c r="F78" s="1"/>
      <c r="G78" s="1"/>
      <c r="H78" s="1"/>
      <c r="I78" s="1"/>
      <c r="J78" s="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1"/>
      <c r="BL78" s="271"/>
      <c r="BM78" s="271"/>
      <c r="BN78" s="271"/>
      <c r="BO78" s="271"/>
      <c r="BP78" s="271"/>
      <c r="BQ78" s="271"/>
      <c r="BR78" s="271"/>
      <c r="BT78" s="271">
        <f t="shared" ref="BT78:CM78" si="158">BT99*0.3</f>
        <v>767.5884488755911</v>
      </c>
      <c r="BU78" s="271">
        <f t="shared" si="158"/>
        <v>784.91015922041879</v>
      </c>
      <c r="BV78" s="271">
        <f t="shared" si="158"/>
        <v>0</v>
      </c>
      <c r="BW78" s="271">
        <f t="shared" si="158"/>
        <v>0</v>
      </c>
      <c r="BX78" s="271">
        <f t="shared" si="158"/>
        <v>0</v>
      </c>
      <c r="BY78" s="271">
        <f t="shared" si="158"/>
        <v>0</v>
      </c>
      <c r="BZ78" s="271">
        <f t="shared" si="158"/>
        <v>0</v>
      </c>
      <c r="CA78" s="271">
        <f t="shared" si="158"/>
        <v>0</v>
      </c>
      <c r="CB78" s="271">
        <f t="shared" si="158"/>
        <v>0</v>
      </c>
      <c r="CC78" s="271">
        <f t="shared" si="158"/>
        <v>0</v>
      </c>
      <c r="CD78" s="271">
        <f t="shared" si="158"/>
        <v>0</v>
      </c>
      <c r="CE78" s="271">
        <f t="shared" si="158"/>
        <v>0</v>
      </c>
      <c r="CF78" s="271">
        <f t="shared" si="158"/>
        <v>0</v>
      </c>
      <c r="CG78" s="271">
        <f t="shared" si="158"/>
        <v>0</v>
      </c>
      <c r="CH78" s="271">
        <f t="shared" si="158"/>
        <v>0</v>
      </c>
      <c r="CI78" s="271">
        <f t="shared" si="158"/>
        <v>0</v>
      </c>
      <c r="CJ78" s="271">
        <f t="shared" si="158"/>
        <v>0</v>
      </c>
      <c r="CK78" s="271">
        <f t="shared" si="158"/>
        <v>0</v>
      </c>
      <c r="CL78" s="271">
        <f t="shared" si="158"/>
        <v>0</v>
      </c>
      <c r="CM78" s="271">
        <f t="shared" si="158"/>
        <v>0</v>
      </c>
      <c r="CN78" s="270"/>
      <c r="CO78" s="269">
        <f t="shared" ref="CO78:CV78" si="159">CO99*0.3</f>
        <v>0</v>
      </c>
      <c r="CP78" s="269">
        <f t="shared" si="159"/>
        <v>0</v>
      </c>
      <c r="CQ78" s="269">
        <f t="shared" si="159"/>
        <v>0</v>
      </c>
      <c r="CR78" s="269">
        <f t="shared" si="159"/>
        <v>0</v>
      </c>
      <c r="CS78" s="269">
        <f t="shared" si="159"/>
        <v>0</v>
      </c>
      <c r="CT78" s="269">
        <f t="shared" si="159"/>
        <v>0</v>
      </c>
      <c r="CU78" s="269">
        <f t="shared" si="159"/>
        <v>0</v>
      </c>
      <c r="CV78" s="269">
        <f t="shared" si="159"/>
        <v>0</v>
      </c>
      <c r="CW78" s="269">
        <v>0</v>
      </c>
      <c r="CX78" s="269">
        <v>0</v>
      </c>
      <c r="CY78" s="269">
        <f t="shared" ref="CY78" si="160">CY99*0.3</f>
        <v>0</v>
      </c>
      <c r="CZ78" s="269">
        <f t="shared" si="125"/>
        <v>0</v>
      </c>
      <c r="DA78" s="269">
        <f t="shared" si="125"/>
        <v>0</v>
      </c>
      <c r="DB78" s="269">
        <f t="shared" si="125"/>
        <v>0</v>
      </c>
      <c r="DC78" s="269">
        <f t="shared" si="125"/>
        <v>0</v>
      </c>
      <c r="DD78" s="269">
        <f t="shared" si="125"/>
        <v>0</v>
      </c>
      <c r="DE78" s="269">
        <f t="shared" si="125"/>
        <v>0</v>
      </c>
      <c r="DF78" s="269">
        <f t="shared" si="125"/>
        <v>0</v>
      </c>
      <c r="DG78" s="269">
        <f t="shared" si="125"/>
        <v>0</v>
      </c>
    </row>
    <row r="79" spans="1:111" x14ac:dyDescent="0.35">
      <c r="C79" s="1" t="s">
        <v>11</v>
      </c>
      <c r="D79" s="1">
        <v>62</v>
      </c>
      <c r="E79" s="1"/>
      <c r="F79" s="1"/>
      <c r="G79" s="1"/>
      <c r="H79" s="1"/>
      <c r="I79" s="1"/>
      <c r="J79" s="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1"/>
      <c r="BC79" s="271"/>
      <c r="BD79" s="271"/>
      <c r="BE79" s="271"/>
      <c r="BF79" s="271"/>
      <c r="BG79" s="271"/>
      <c r="BH79" s="271"/>
      <c r="BI79" s="271"/>
      <c r="BJ79" s="271"/>
      <c r="BK79" s="271"/>
      <c r="BL79" s="271"/>
      <c r="BM79" s="271"/>
      <c r="BN79" s="271"/>
      <c r="BO79" s="271"/>
      <c r="BP79" s="271"/>
      <c r="BQ79" s="271"/>
      <c r="BR79" s="271"/>
      <c r="BT79" s="271">
        <f t="shared" ref="BT79:CM79" si="161">BT100*0.3</f>
        <v>767.5884488755911</v>
      </c>
      <c r="BU79" s="271">
        <f t="shared" si="161"/>
        <v>784.91015922041879</v>
      </c>
      <c r="BV79" s="271">
        <f t="shared" si="161"/>
        <v>800.82984542731526</v>
      </c>
      <c r="BW79" s="271">
        <f t="shared" si="161"/>
        <v>821.98578853076367</v>
      </c>
      <c r="BX79" s="271">
        <f t="shared" si="161"/>
        <v>843.00640577214278</v>
      </c>
      <c r="BY79" s="271">
        <f t="shared" si="161"/>
        <v>865.63589715145326</v>
      </c>
      <c r="BZ79" s="271">
        <f t="shared" si="161"/>
        <v>1111.4877597473053</v>
      </c>
      <c r="CA79" s="271">
        <f t="shared" si="161"/>
        <v>1138.9288373335121</v>
      </c>
      <c r="CB79" s="271">
        <f t="shared" si="161"/>
        <v>1250.121587333512</v>
      </c>
      <c r="CC79" s="271">
        <f t="shared" si="161"/>
        <v>1249.9712252645465</v>
      </c>
      <c r="CD79" s="271">
        <f t="shared" si="161"/>
        <v>1249.9712252645465</v>
      </c>
      <c r="CE79" s="271">
        <f t="shared" si="161"/>
        <v>1266.6614149197192</v>
      </c>
      <c r="CF79" s="271">
        <f t="shared" si="161"/>
        <v>2436.7983872178133</v>
      </c>
      <c r="CG79" s="271">
        <f t="shared" si="161"/>
        <v>2930.5181472808849</v>
      </c>
      <c r="CH79" s="271">
        <f t="shared" si="161"/>
        <v>3212.3898456718593</v>
      </c>
      <c r="CI79" s="271">
        <f t="shared" si="161"/>
        <v>3495.9206474392258</v>
      </c>
      <c r="CJ79" s="271">
        <f t="shared" si="161"/>
        <v>3703.072131516793</v>
      </c>
      <c r="CK79" s="271">
        <f t="shared" si="161"/>
        <v>3845.7438218811467</v>
      </c>
      <c r="CL79" s="271">
        <f t="shared" si="161"/>
        <v>3906.3665003613269</v>
      </c>
      <c r="CM79" s="271">
        <f t="shared" si="161"/>
        <v>3980.839168002964</v>
      </c>
      <c r="CN79" s="270"/>
      <c r="CO79" s="269">
        <f t="shared" ref="CO79:CV79" si="162">CO100*0.3</f>
        <v>4085.675945721664</v>
      </c>
      <c r="CP79" s="269">
        <f t="shared" si="162"/>
        <v>4172.5859002535863</v>
      </c>
      <c r="CQ79" s="269">
        <f t="shared" si="162"/>
        <v>4299.3053664486806</v>
      </c>
      <c r="CR79" s="269">
        <f t="shared" si="162"/>
        <v>4396.9383695579454</v>
      </c>
      <c r="CS79" s="269">
        <f t="shared" si="162"/>
        <v>4490.8718176817756</v>
      </c>
      <c r="CT79" s="269">
        <f t="shared" si="162"/>
        <v>4556.7844149089296</v>
      </c>
      <c r="CU79" s="269">
        <f t="shared" si="162"/>
        <v>4631.6212554396652</v>
      </c>
      <c r="CV79" s="269">
        <f t="shared" si="162"/>
        <v>4692.0220346131164</v>
      </c>
      <c r="CW79" s="269">
        <v>4692.0220346131164</v>
      </c>
      <c r="CX79" s="269">
        <v>4692.0220346131164</v>
      </c>
      <c r="CY79" s="269">
        <f>((CV79/CV$16*CW$16)/CW$16*CX$16)/CX$16*CY$16</f>
        <v>5254.5414049338342</v>
      </c>
      <c r="CZ79" s="269">
        <f t="shared" si="125"/>
        <v>5887.4868897971328</v>
      </c>
      <c r="DA79" s="269">
        <f t="shared" si="125"/>
        <v>5750.3692911992375</v>
      </c>
      <c r="DB79" s="269">
        <f t="shared" si="125"/>
        <v>6006.179311083436</v>
      </c>
      <c r="DC79" s="269">
        <f t="shared" si="125"/>
        <v>6146.4249048993461</v>
      </c>
      <c r="DD79" s="269">
        <f t="shared" si="125"/>
        <v>6119.5155761745091</v>
      </c>
      <c r="DE79" s="269">
        <f t="shared" si="125"/>
        <v>6202.7671576258463</v>
      </c>
      <c r="DF79" s="269">
        <f t="shared" si="125"/>
        <v>6208.6522174654174</v>
      </c>
      <c r="DG79" s="269">
        <f t="shared" si="125"/>
        <v>6031.0318758293042</v>
      </c>
    </row>
    <row r="80" spans="1:111" x14ac:dyDescent="0.35">
      <c r="C80" s="112"/>
      <c r="D80" s="112"/>
      <c r="E80" s="112"/>
      <c r="F80" s="112"/>
      <c r="G80" s="112"/>
      <c r="H80" s="112"/>
      <c r="I80" s="112"/>
      <c r="J80" s="112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279"/>
      <c r="AC80" s="279"/>
      <c r="AD80" s="279"/>
      <c r="AE80" s="279"/>
      <c r="AF80" s="279"/>
      <c r="AG80" s="279"/>
      <c r="AH80" s="279"/>
      <c r="AI80" s="279"/>
      <c r="AJ80" s="279"/>
      <c r="AK80" s="279"/>
      <c r="AL80" s="279"/>
      <c r="AM80" s="279"/>
      <c r="AN80" s="279"/>
      <c r="AO80" s="279"/>
      <c r="AP80" s="279"/>
      <c r="AQ80" s="279"/>
      <c r="AR80" s="279"/>
      <c r="AS80" s="279"/>
      <c r="AT80" s="279"/>
      <c r="AU80" s="279"/>
      <c r="AV80" s="279"/>
      <c r="AW80" s="279"/>
      <c r="AX80" s="279"/>
      <c r="AY80" s="279"/>
      <c r="AZ80" s="279"/>
      <c r="BA80" s="279"/>
      <c r="BB80" s="279"/>
      <c r="BC80" s="279"/>
      <c r="BD80" s="279"/>
      <c r="BE80" s="279"/>
      <c r="BF80" s="279"/>
      <c r="BG80" s="279"/>
      <c r="BH80" s="279"/>
      <c r="BI80" s="279"/>
      <c r="BJ80" s="279"/>
      <c r="BK80" s="279"/>
      <c r="BL80" s="279"/>
      <c r="BM80" s="279"/>
      <c r="BN80" s="279"/>
      <c r="BO80" s="279"/>
      <c r="BP80" s="279"/>
      <c r="BQ80" s="279"/>
      <c r="BR80" s="279"/>
      <c r="BT80" s="279"/>
      <c r="BU80" s="279"/>
      <c r="BV80" s="279"/>
      <c r="BW80" s="279"/>
      <c r="BX80" s="279"/>
      <c r="BY80" s="279"/>
      <c r="BZ80" s="279"/>
      <c r="CA80" s="279"/>
      <c r="CB80" s="279"/>
      <c r="CC80" s="279"/>
      <c r="CD80" s="279"/>
      <c r="CE80" s="279"/>
      <c r="CF80" s="279"/>
      <c r="CG80" s="279"/>
      <c r="CH80" s="279"/>
      <c r="CI80" s="279"/>
      <c r="CJ80" s="279"/>
      <c r="CK80" s="279"/>
      <c r="CL80" s="279"/>
      <c r="CM80" s="279"/>
      <c r="CN80" s="270"/>
      <c r="CO80" s="278"/>
      <c r="CP80" s="278"/>
      <c r="CQ80" s="278"/>
      <c r="CR80" s="278"/>
      <c r="CS80" s="278"/>
      <c r="CT80" s="278"/>
      <c r="CU80" s="278"/>
      <c r="CV80" s="278"/>
      <c r="CW80" s="278"/>
      <c r="CX80" s="278"/>
      <c r="CY80" s="278"/>
      <c r="CZ80" s="278"/>
      <c r="DA80" s="278"/>
      <c r="DB80" s="278"/>
      <c r="DC80" s="278"/>
      <c r="DD80" s="278"/>
      <c r="DE80" s="278"/>
      <c r="DF80" s="278"/>
      <c r="DG80" s="278"/>
    </row>
    <row r="81" spans="1:111" s="29" customFormat="1" x14ac:dyDescent="0.35">
      <c r="A81" s="277"/>
      <c r="C81" s="91" t="s">
        <v>54</v>
      </c>
      <c r="D81" s="31"/>
      <c r="E81" s="31"/>
      <c r="F81" s="31"/>
      <c r="G81" s="31"/>
      <c r="H81" s="31"/>
      <c r="I81" s="31"/>
      <c r="J81" s="31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276"/>
      <c r="AP81" s="276"/>
      <c r="AQ81" s="276"/>
      <c r="AR81" s="276"/>
      <c r="AS81" s="276"/>
      <c r="AT81" s="276"/>
      <c r="AU81" s="276"/>
      <c r="AV81" s="276"/>
      <c r="AW81" s="276"/>
      <c r="AX81" s="276"/>
      <c r="AY81" s="276"/>
      <c r="AZ81" s="276"/>
      <c r="BA81" s="276"/>
      <c r="BB81" s="276"/>
      <c r="BC81" s="276"/>
      <c r="BD81" s="276"/>
      <c r="BE81" s="276"/>
      <c r="BF81" s="276"/>
      <c r="BG81" s="276"/>
      <c r="BH81" s="276"/>
      <c r="BI81" s="276"/>
      <c r="BJ81" s="276"/>
      <c r="BK81" s="276"/>
      <c r="BL81" s="276"/>
      <c r="BM81" s="276"/>
      <c r="BN81" s="276"/>
      <c r="BO81" s="276"/>
      <c r="BP81" s="276"/>
      <c r="BQ81" s="276"/>
      <c r="BR81" s="276"/>
      <c r="BT81" s="275"/>
      <c r="BU81" s="275"/>
      <c r="BV81" s="275"/>
      <c r="BW81" s="275"/>
      <c r="BX81" s="275"/>
      <c r="BY81" s="275"/>
      <c r="BZ81" s="275"/>
      <c r="CA81" s="275"/>
      <c r="CB81" s="275"/>
      <c r="CC81" s="275"/>
      <c r="CD81" s="275"/>
      <c r="CE81" s="275"/>
      <c r="CF81" s="275"/>
      <c r="CG81" s="275"/>
      <c r="CH81" s="275"/>
      <c r="CI81" s="275"/>
      <c r="CJ81" s="275"/>
      <c r="CK81" s="275"/>
      <c r="CL81" s="275"/>
      <c r="CM81" s="275"/>
      <c r="CN81" s="270"/>
      <c r="CO81" s="275"/>
      <c r="CP81" s="275"/>
      <c r="CQ81" s="275"/>
      <c r="CR81" s="275"/>
      <c r="CS81" s="275"/>
      <c r="CT81" s="275"/>
      <c r="CU81" s="275"/>
      <c r="CV81" s="275"/>
      <c r="CW81" s="297"/>
      <c r="CX81" s="297"/>
      <c r="CY81" s="297"/>
      <c r="CZ81" s="297"/>
      <c r="DA81" s="297"/>
      <c r="DB81" s="297"/>
      <c r="DC81" s="297"/>
      <c r="DD81" s="297"/>
      <c r="DE81" s="297"/>
      <c r="DF81" s="297"/>
      <c r="DG81" s="297"/>
    </row>
    <row r="82" spans="1:111" ht="14.9" hidden="1" customHeight="1" x14ac:dyDescent="0.35">
      <c r="C82" s="1" t="s">
        <v>51</v>
      </c>
      <c r="D82" s="1">
        <v>12.5</v>
      </c>
      <c r="E82" s="1"/>
      <c r="F82" s="1"/>
      <c r="G82" s="1"/>
      <c r="H82" s="1"/>
      <c r="I82" s="1"/>
      <c r="J82" s="1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4"/>
      <c r="AZ82" s="274"/>
      <c r="BA82" s="274"/>
      <c r="BB82" s="274"/>
      <c r="BC82" s="274"/>
      <c r="BD82" s="274"/>
      <c r="BE82" s="274"/>
      <c r="BF82" s="274"/>
      <c r="BG82" s="274"/>
      <c r="BH82" s="274"/>
      <c r="BI82" s="274"/>
      <c r="BJ82" s="274"/>
      <c r="BK82" s="274"/>
      <c r="BL82" s="274"/>
      <c r="BM82" s="274"/>
      <c r="BN82" s="274"/>
      <c r="BO82" s="274"/>
      <c r="BP82" s="274"/>
      <c r="BQ82" s="274"/>
      <c r="BR82" s="274"/>
      <c r="BT82" s="274">
        <f t="shared" ref="BT82:CL82" si="163">((+(169/$A$16)*0.3*BT$16+((169)*(1+BT$14)*0.7))*0.95)-5.05</f>
        <v>1410.837612853757</v>
      </c>
      <c r="BU82" s="274">
        <f t="shared" si="163"/>
        <v>1442.7261645778951</v>
      </c>
      <c r="BV82" s="274">
        <f t="shared" si="163"/>
        <v>1469.2445956123779</v>
      </c>
      <c r="BW82" s="274">
        <f t="shared" si="163"/>
        <v>1508.1918111296193</v>
      </c>
      <c r="BX82" s="274">
        <f t="shared" si="163"/>
        <v>1546.8898973365158</v>
      </c>
      <c r="BY82" s="274">
        <f t="shared" si="163"/>
        <v>1588.5498542330674</v>
      </c>
      <c r="BZ82" s="274">
        <f t="shared" si="163"/>
        <v>2041.1529563975444</v>
      </c>
      <c r="CA82" s="274">
        <f t="shared" si="163"/>
        <v>2091.6708443285788</v>
      </c>
      <c r="CB82" s="274">
        <f t="shared" si="163"/>
        <v>2296.3720943285794</v>
      </c>
      <c r="CC82" s="274">
        <f t="shared" si="163"/>
        <v>2296.095283983751</v>
      </c>
      <c r="CD82" s="274">
        <f t="shared" si="163"/>
        <v>2296.095283983751</v>
      </c>
      <c r="CE82" s="274">
        <f t="shared" si="163"/>
        <v>2326.8212322596132</v>
      </c>
      <c r="CF82" s="274">
        <f t="shared" si="163"/>
        <v>4480.9949612179789</v>
      </c>
      <c r="CG82" s="274">
        <f t="shared" si="163"/>
        <v>5389.9126022926948</v>
      </c>
      <c r="CH82" s="274">
        <f t="shared" si="163"/>
        <v>5908.8267311388254</v>
      </c>
      <c r="CI82" s="274">
        <f t="shared" si="163"/>
        <v>6430.7952006234109</v>
      </c>
      <c r="CJ82" s="274">
        <f t="shared" si="163"/>
        <v>6812.1525079121793</v>
      </c>
      <c r="CK82" s="274">
        <f t="shared" si="163"/>
        <v>7074.8051840731341</v>
      </c>
      <c r="CL82" s="274">
        <f t="shared" si="163"/>
        <v>7186.4090257196549</v>
      </c>
      <c r="CM82" s="274">
        <v>7323.5101241013181</v>
      </c>
      <c r="CN82" s="270"/>
      <c r="CO82" s="273">
        <f t="shared" ref="CO82:DG82" si="164">((+(169/$A$16)*0.3*CO$16+((169)*(1+CO$14)*0.7))*0.95)-5.05</f>
        <v>2749.8122254310347</v>
      </c>
      <c r="CP82" s="273">
        <f t="shared" si="164"/>
        <v>2809.9238062931036</v>
      </c>
      <c r="CQ82" s="273">
        <f t="shared" si="164"/>
        <v>2873.6671388793102</v>
      </c>
      <c r="CR82" s="273">
        <f t="shared" si="164"/>
        <v>2914.3458031034479</v>
      </c>
      <c r="CS82" s="273">
        <f t="shared" si="164"/>
        <v>2976.0662056896554</v>
      </c>
      <c r="CT82" s="273">
        <f t="shared" si="164"/>
        <v>3028.4531170689656</v>
      </c>
      <c r="CU82" s="273">
        <f t="shared" si="164"/>
        <v>3056.1726281896554</v>
      </c>
      <c r="CV82" s="273">
        <f t="shared" si="164"/>
        <v>3087.3877003448274</v>
      </c>
      <c r="CW82" s="273">
        <f t="shared" si="164"/>
        <v>3348.0951569827589</v>
      </c>
      <c r="CX82" s="273">
        <f t="shared" si="164"/>
        <v>3399.3258315517241</v>
      </c>
      <c r="CY82" s="273">
        <f t="shared" si="164"/>
        <v>3444.0235051724144</v>
      </c>
      <c r="CZ82" s="273">
        <f t="shared" si="164"/>
        <v>3912.563490431035</v>
      </c>
      <c r="DA82" s="273">
        <f t="shared" si="164"/>
        <v>3825.2204150862067</v>
      </c>
      <c r="DB82" s="273">
        <f t="shared" si="164"/>
        <v>3990.0828434482755</v>
      </c>
      <c r="DC82" s="273">
        <f t="shared" si="164"/>
        <v>4081.4695643103455</v>
      </c>
      <c r="DD82" s="273">
        <f t="shared" si="164"/>
        <v>4062.5124846551726</v>
      </c>
      <c r="DE82" s="273">
        <f t="shared" si="164"/>
        <v>4116.5185908620697</v>
      </c>
      <c r="DF82" s="273">
        <f t="shared" si="164"/>
        <v>4120.2642046018073</v>
      </c>
      <c r="DG82" s="273">
        <f t="shared" si="164"/>
        <v>4005.8568809482758</v>
      </c>
    </row>
    <row r="83" spans="1:111" x14ac:dyDescent="0.35">
      <c r="C83" s="1" t="s">
        <v>5</v>
      </c>
      <c r="D83" s="1">
        <v>19.5</v>
      </c>
      <c r="E83" s="1"/>
      <c r="F83" s="1"/>
      <c r="G83" s="1"/>
      <c r="H83" s="1"/>
      <c r="I83" s="1"/>
      <c r="J83" s="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1"/>
      <c r="AW83" s="271"/>
      <c r="AX83" s="271"/>
      <c r="AY83" s="271"/>
      <c r="AZ83" s="271"/>
      <c r="BA83" s="271"/>
      <c r="BB83" s="271"/>
      <c r="BC83" s="271"/>
      <c r="BD83" s="271"/>
      <c r="BE83" s="271"/>
      <c r="BF83" s="271"/>
      <c r="BG83" s="271"/>
      <c r="BH83" s="271"/>
      <c r="BI83" s="271"/>
      <c r="BJ83" s="271"/>
      <c r="BK83" s="271"/>
      <c r="BL83" s="271"/>
      <c r="BM83" s="271"/>
      <c r="BN83" s="271"/>
      <c r="BO83" s="271"/>
      <c r="BP83" s="271"/>
      <c r="BQ83" s="271"/>
      <c r="BR83" s="271"/>
      <c r="BT83" s="271">
        <f>((+(191/$A$16)*0.3*BT$16+((191)*(1+BT$14)*0.7))*0.95)-5.05</f>
        <v>1595.1543435211101</v>
      </c>
      <c r="BU83" s="271">
        <f>((+(191/$A$16)*0.3*BU$16+((191)*(1+BU$14)*0.7))*0.95)-5.05</f>
        <v>1631.1940676590414</v>
      </c>
      <c r="BV83" s="271">
        <f t="shared" ref="BV83:CL83" si="165">((+(191/$A$16)*0.3*BV$16+((191)*(1+BV$14)*0.7))*0.95)</f>
        <v>1666.2146021417998</v>
      </c>
      <c r="BW83" s="271">
        <f t="shared" si="165"/>
        <v>1710.2318693831789</v>
      </c>
      <c r="BX83" s="271">
        <f t="shared" si="165"/>
        <v>1753.967576279731</v>
      </c>
      <c r="BY83" s="271">
        <f t="shared" si="165"/>
        <v>1801.050722831455</v>
      </c>
      <c r="BZ83" s="271">
        <f t="shared" si="165"/>
        <v>2312.5725720232599</v>
      </c>
      <c r="CA83" s="271">
        <f t="shared" si="165"/>
        <v>2369.6667530577429</v>
      </c>
      <c r="CB83" s="271">
        <f t="shared" si="165"/>
        <v>2601.0155030577434</v>
      </c>
      <c r="CC83" s="271">
        <f t="shared" si="165"/>
        <v>2600.7026582301569</v>
      </c>
      <c r="CD83" s="271">
        <f t="shared" si="165"/>
        <v>2600.7026582301569</v>
      </c>
      <c r="CE83" s="271">
        <f t="shared" si="165"/>
        <v>2635.4284340922259</v>
      </c>
      <c r="CF83" s="271">
        <f t="shared" si="165"/>
        <v>5070.0271455185439</v>
      </c>
      <c r="CG83" s="271">
        <f t="shared" si="165"/>
        <v>6097.2654262597916</v>
      </c>
      <c r="CH83" s="271">
        <f t="shared" si="165"/>
        <v>6683.7305067900334</v>
      </c>
      <c r="CI83" s="271">
        <f t="shared" si="165"/>
        <v>7273.6475344323762</v>
      </c>
      <c r="CJ83" s="271">
        <f t="shared" si="165"/>
        <v>7704.6489882321066</v>
      </c>
      <c r="CK83" s="271">
        <f t="shared" si="165"/>
        <v>8001.4931370293998</v>
      </c>
      <c r="CL83" s="271">
        <f t="shared" si="165"/>
        <v>8127.6252894228046</v>
      </c>
      <c r="CM83" s="271">
        <v>8282.5738680671693</v>
      </c>
      <c r="CN83" s="270"/>
      <c r="CO83" s="269">
        <f>((+($CM83/$CM$16)*0.3*CO$16+(($CM83)*(1+CO$14)*0.7)))</f>
        <v>8500.6983184404999</v>
      </c>
      <c r="CP83" s="269">
        <f t="shared" ref="CP83:CP100" si="166">((+($CO83/$CO$16)*0.3*CP$16+(($CO83)*(1+CP$14)*0.7)))</f>
        <v>8681.5240408326226</v>
      </c>
      <c r="CQ83" s="269">
        <f t="shared" ref="CQ83:CQ100" si="167">((+($CP83/$CP$16)*0.3*CQ$16+(($CP83)*(1+CQ$14)*0.7)))</f>
        <v>8945.1778321535712</v>
      </c>
      <c r="CR83" s="269">
        <f t="shared" ref="CR83:CR100" si="168">((+($CQ83/$CQ$16)*0.3*CR$16+(($CQ83)*(1+CR$14)*0.7)))</f>
        <v>9148.3140368798195</v>
      </c>
      <c r="CS83" s="269">
        <f t="shared" ref="CS83:CV100" si="169">((+(CR83/CR$16)*0.3*CS$16+((CR83)*(1+CS$14)*0.7)))</f>
        <v>9343.7529104272217</v>
      </c>
      <c r="CT83" s="269">
        <f t="shared" si="169"/>
        <v>9480.8913207800142</v>
      </c>
      <c r="CU83" s="269">
        <f t="shared" si="169"/>
        <v>9636.5976011870989</v>
      </c>
      <c r="CV83" s="269">
        <f t="shared" si="169"/>
        <v>9762.2680676590935</v>
      </c>
      <c r="CW83" s="269">
        <v>9762.2680676590935</v>
      </c>
      <c r="CX83" s="269">
        <v>9762.2680676590935</v>
      </c>
      <c r="CY83" s="269">
        <f t="shared" ref="CY83:CZ85" si="170">CY41+CY62</f>
        <v>10527.322443504951</v>
      </c>
      <c r="CZ83" s="269">
        <f t="shared" si="170"/>
        <v>11041.980454578475</v>
      </c>
      <c r="DA83" s="269">
        <f t="shared" ref="DA83" si="171">DA41+DA62</f>
        <v>11158.989537272659</v>
      </c>
      <c r="DB83" s="269">
        <f t="shared" ref="DB83:DG83" si="172">(DB41+DB62)*0.99</f>
        <v>11385.33141878708</v>
      </c>
      <c r="DC83" s="269">
        <f t="shared" si="172"/>
        <v>11709.884789209789</v>
      </c>
      <c r="DD83" s="269">
        <f t="shared" si="172"/>
        <v>11827.756254750127</v>
      </c>
      <c r="DE83" s="269">
        <f t="shared" si="172"/>
        <v>12032.0796913386</v>
      </c>
      <c r="DF83" s="269">
        <f t="shared" si="172"/>
        <v>12187.400299586236</v>
      </c>
      <c r="DG83" s="269">
        <f t="shared" si="172"/>
        <v>12257.183973257128</v>
      </c>
    </row>
    <row r="84" spans="1:111" x14ac:dyDescent="0.35">
      <c r="C84" s="99" t="s">
        <v>6</v>
      </c>
      <c r="D84" s="1">
        <v>19.5</v>
      </c>
      <c r="E84" s="1"/>
      <c r="F84" s="1"/>
      <c r="G84" s="1"/>
      <c r="H84" s="1"/>
      <c r="I84" s="1"/>
      <c r="J84" s="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271"/>
      <c r="BC84" s="271"/>
      <c r="BD84" s="271"/>
      <c r="BE84" s="271"/>
      <c r="BF84" s="271"/>
      <c r="BG84" s="271"/>
      <c r="BH84" s="271"/>
      <c r="BI84" s="271"/>
      <c r="BJ84" s="271"/>
      <c r="BK84" s="271"/>
      <c r="BL84" s="271"/>
      <c r="BM84" s="271"/>
      <c r="BN84" s="271"/>
      <c r="BO84" s="271"/>
      <c r="BP84" s="271"/>
      <c r="BQ84" s="271"/>
      <c r="BR84" s="271"/>
      <c r="BT84" s="271"/>
      <c r="BU84" s="271"/>
      <c r="BV84" s="271"/>
      <c r="BW84" s="271"/>
      <c r="BX84" s="271"/>
      <c r="BY84" s="271"/>
      <c r="BZ84" s="271"/>
      <c r="CA84" s="271"/>
      <c r="CB84" s="271"/>
      <c r="CC84" s="271"/>
      <c r="CD84" s="271"/>
      <c r="CE84" s="271"/>
      <c r="CF84" s="271"/>
      <c r="CG84" s="271">
        <f t="shared" ref="CG84:CL85" si="173">((+(191/$A$16)*0.3*CG$16+((191)*(1+CG$14)*0.7))*0.95)</f>
        <v>6097.2654262597916</v>
      </c>
      <c r="CH84" s="271">
        <f t="shared" si="173"/>
        <v>6683.7305067900334</v>
      </c>
      <c r="CI84" s="271">
        <f t="shared" si="173"/>
        <v>7273.6475344323762</v>
      </c>
      <c r="CJ84" s="271">
        <f t="shared" si="173"/>
        <v>7704.6489882321066</v>
      </c>
      <c r="CK84" s="271">
        <f t="shared" si="173"/>
        <v>8001.4931370293998</v>
      </c>
      <c r="CL84" s="271">
        <f t="shared" si="173"/>
        <v>8127.6252894228046</v>
      </c>
      <c r="CM84" s="271">
        <v>8282.5738680671693</v>
      </c>
      <c r="CN84" s="270"/>
      <c r="CO84" s="269">
        <f t="shared" ref="CO84:CO100" si="174">((+($CM84/$CM$16)*0.3*CO$16+(($CM84)*(1+CO$14)*0.7)))</f>
        <v>8500.6983184404999</v>
      </c>
      <c r="CP84" s="269">
        <f t="shared" si="166"/>
        <v>8681.5240408326226</v>
      </c>
      <c r="CQ84" s="269">
        <f t="shared" si="167"/>
        <v>8945.1778321535712</v>
      </c>
      <c r="CR84" s="269">
        <f t="shared" si="168"/>
        <v>9148.3140368798195</v>
      </c>
      <c r="CS84" s="269">
        <f t="shared" si="169"/>
        <v>9343.7529104272217</v>
      </c>
      <c r="CT84" s="269">
        <f t="shared" si="169"/>
        <v>9480.8913207800142</v>
      </c>
      <c r="CU84" s="269">
        <f t="shared" si="169"/>
        <v>9636.5976011870989</v>
      </c>
      <c r="CV84" s="269">
        <f t="shared" si="169"/>
        <v>9762.2680676590935</v>
      </c>
      <c r="CW84" s="269">
        <v>9762.2680676590935</v>
      </c>
      <c r="CX84" s="269">
        <v>9762.2680676590935</v>
      </c>
      <c r="CY84" s="269">
        <f t="shared" si="170"/>
        <v>10527.322443504951</v>
      </c>
      <c r="CZ84" s="269">
        <f t="shared" si="170"/>
        <v>11041.980454578475</v>
      </c>
      <c r="DA84" s="269">
        <f t="shared" ref="DA84" si="175">DA42+DA63</f>
        <v>11158.989537272659</v>
      </c>
      <c r="DB84" s="269">
        <f t="shared" ref="DB84:DC100" si="176">(DB42+DB63)*0.99</f>
        <v>11385.33141878708</v>
      </c>
      <c r="DC84" s="269">
        <f t="shared" si="176"/>
        <v>11709.884789209789</v>
      </c>
      <c r="DD84" s="269">
        <f t="shared" ref="DD84:DE84" si="177">(DD42+DD63)*0.99</f>
        <v>11827.756254750127</v>
      </c>
      <c r="DE84" s="269">
        <f t="shared" si="177"/>
        <v>12032.0796913386</v>
      </c>
      <c r="DF84" s="269">
        <f t="shared" ref="DF84:DG84" si="178">(DF42+DF63)*0.99</f>
        <v>12187.400299586236</v>
      </c>
      <c r="DG84" s="269">
        <f t="shared" si="178"/>
        <v>12257.183973257128</v>
      </c>
    </row>
    <row r="85" spans="1:111" x14ac:dyDescent="0.35">
      <c r="A85" s="29"/>
      <c r="B85" s="29"/>
      <c r="C85" s="1" t="s">
        <v>5</v>
      </c>
      <c r="D85" s="1">
        <v>22.1</v>
      </c>
      <c r="E85" s="1"/>
      <c r="F85" s="1"/>
      <c r="G85" s="1"/>
      <c r="H85" s="1"/>
      <c r="I85" s="1"/>
      <c r="J85" s="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271"/>
      <c r="BC85" s="271"/>
      <c r="BD85" s="271"/>
      <c r="BE85" s="271"/>
      <c r="BF85" s="271"/>
      <c r="BG85" s="271"/>
      <c r="BH85" s="271"/>
      <c r="BI85" s="271"/>
      <c r="BJ85" s="271"/>
      <c r="BK85" s="271"/>
      <c r="BL85" s="271"/>
      <c r="BM85" s="271"/>
      <c r="BN85" s="271"/>
      <c r="BO85" s="271"/>
      <c r="BP85" s="271"/>
      <c r="BQ85" s="271"/>
      <c r="BR85" s="271"/>
      <c r="BT85" s="271">
        <f t="shared" ref="BT85:BU87" si="179">((+(191/$A$16)*0.3*BT$16+((191)*(1+BT$14)*0.7))*0.95)-5.05</f>
        <v>1595.1543435211101</v>
      </c>
      <c r="BU85" s="271">
        <f t="shared" si="179"/>
        <v>1631.1940676590414</v>
      </c>
      <c r="BV85" s="271">
        <f t="shared" ref="BV85:CF85" si="180">((+(191/$A$16)*0.3*BV$16+((191)*(1+BV$14)*0.7))*0.95)</f>
        <v>1666.2146021417998</v>
      </c>
      <c r="BW85" s="271">
        <f t="shared" si="180"/>
        <v>1710.2318693831789</v>
      </c>
      <c r="BX85" s="271">
        <f t="shared" si="180"/>
        <v>1753.967576279731</v>
      </c>
      <c r="BY85" s="271">
        <f t="shared" si="180"/>
        <v>1801.050722831455</v>
      </c>
      <c r="BZ85" s="271">
        <f t="shared" si="180"/>
        <v>2312.5725720232599</v>
      </c>
      <c r="CA85" s="271">
        <f t="shared" si="180"/>
        <v>2369.6667530577429</v>
      </c>
      <c r="CB85" s="271">
        <f t="shared" si="180"/>
        <v>2601.0155030577434</v>
      </c>
      <c r="CC85" s="271">
        <f t="shared" si="180"/>
        <v>2600.7026582301569</v>
      </c>
      <c r="CD85" s="271">
        <f t="shared" si="180"/>
        <v>2600.7026582301569</v>
      </c>
      <c r="CE85" s="271">
        <f t="shared" si="180"/>
        <v>2635.4284340922259</v>
      </c>
      <c r="CF85" s="271">
        <f t="shared" si="180"/>
        <v>5070.0271455185439</v>
      </c>
      <c r="CG85" s="271">
        <f t="shared" si="173"/>
        <v>6097.2654262597916</v>
      </c>
      <c r="CH85" s="271">
        <f t="shared" si="173"/>
        <v>6683.7305067900334</v>
      </c>
      <c r="CI85" s="271">
        <f t="shared" si="173"/>
        <v>7273.6475344323762</v>
      </c>
      <c r="CJ85" s="271">
        <f t="shared" si="173"/>
        <v>7704.6489882321066</v>
      </c>
      <c r="CK85" s="271">
        <f t="shared" si="173"/>
        <v>8001.4931370293998</v>
      </c>
      <c r="CL85" s="271">
        <f t="shared" si="173"/>
        <v>8127.6252894228046</v>
      </c>
      <c r="CM85" s="271">
        <v>8282.5738680671693</v>
      </c>
      <c r="CN85" s="270"/>
      <c r="CO85" s="269">
        <f t="shared" si="174"/>
        <v>8500.6983184404999</v>
      </c>
      <c r="CP85" s="269">
        <f t="shared" si="166"/>
        <v>8681.5240408326226</v>
      </c>
      <c r="CQ85" s="269">
        <f t="shared" si="167"/>
        <v>8945.1778321535712</v>
      </c>
      <c r="CR85" s="269">
        <f t="shared" si="168"/>
        <v>9148.3140368798195</v>
      </c>
      <c r="CS85" s="269">
        <f t="shared" si="169"/>
        <v>9343.7529104272217</v>
      </c>
      <c r="CT85" s="269">
        <f t="shared" si="169"/>
        <v>9480.8913207800142</v>
      </c>
      <c r="CU85" s="269">
        <f t="shared" si="169"/>
        <v>9636.5976011870989</v>
      </c>
      <c r="CV85" s="269">
        <f t="shared" si="169"/>
        <v>9762.2680676590935</v>
      </c>
      <c r="CW85" s="269">
        <v>9762.2680676590935</v>
      </c>
      <c r="CX85" s="269">
        <v>9762.2680676590935</v>
      </c>
      <c r="CY85" s="269">
        <f t="shared" si="170"/>
        <v>10527.322443504951</v>
      </c>
      <c r="CZ85" s="269">
        <f t="shared" si="170"/>
        <v>11041.980454578475</v>
      </c>
      <c r="DA85" s="269">
        <f t="shared" ref="DA85" si="181">DA43+DA64</f>
        <v>11158.989537272659</v>
      </c>
      <c r="DB85" s="269">
        <f t="shared" si="176"/>
        <v>11385.33141878708</v>
      </c>
      <c r="DC85" s="269">
        <f t="shared" si="176"/>
        <v>11709.884789209789</v>
      </c>
      <c r="DD85" s="269">
        <f t="shared" ref="DD85:DE85" si="182">(DD43+DD64)*0.99</f>
        <v>11827.756254750127</v>
      </c>
      <c r="DE85" s="269">
        <f t="shared" si="182"/>
        <v>12032.0796913386</v>
      </c>
      <c r="DF85" s="269">
        <f t="shared" ref="DF85:DG85" si="183">(DF43+DF64)*0.99</f>
        <v>12187.400299586236</v>
      </c>
      <c r="DG85" s="269">
        <f t="shared" si="183"/>
        <v>12257.183973257128</v>
      </c>
    </row>
    <row r="86" spans="1:111" x14ac:dyDescent="0.35">
      <c r="A86" s="29"/>
      <c r="B86" s="29"/>
      <c r="C86" s="1" t="s">
        <v>5</v>
      </c>
      <c r="D86" s="1">
        <v>22</v>
      </c>
      <c r="E86" s="1"/>
      <c r="F86" s="1"/>
      <c r="G86" s="1"/>
      <c r="H86" s="1"/>
      <c r="I86" s="1"/>
      <c r="J86" s="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  <c r="BG86" s="271"/>
      <c r="BH86" s="271"/>
      <c r="BI86" s="271"/>
      <c r="BJ86" s="271"/>
      <c r="BK86" s="271"/>
      <c r="BL86" s="271"/>
      <c r="BM86" s="271"/>
      <c r="BN86" s="271"/>
      <c r="BO86" s="271"/>
      <c r="BP86" s="271"/>
      <c r="BQ86" s="271"/>
      <c r="BR86" s="271"/>
      <c r="BT86" s="271">
        <f t="shared" si="179"/>
        <v>1595.1543435211101</v>
      </c>
      <c r="BU86" s="271">
        <f t="shared" si="179"/>
        <v>1631.1940676590414</v>
      </c>
      <c r="BV86" s="271">
        <f t="shared" ref="BV86:CL86" si="184">(((+(191/$A$16)*0.3*BV$16+((191)*(1+BV$14)*0.7))*0.95))*0</f>
        <v>0</v>
      </c>
      <c r="BW86" s="271">
        <f t="shared" si="184"/>
        <v>0</v>
      </c>
      <c r="BX86" s="271">
        <f t="shared" si="184"/>
        <v>0</v>
      </c>
      <c r="BY86" s="271">
        <f t="shared" si="184"/>
        <v>0</v>
      </c>
      <c r="BZ86" s="271">
        <f t="shared" si="184"/>
        <v>0</v>
      </c>
      <c r="CA86" s="271">
        <f t="shared" si="184"/>
        <v>0</v>
      </c>
      <c r="CB86" s="271">
        <f t="shared" si="184"/>
        <v>0</v>
      </c>
      <c r="CC86" s="271">
        <f t="shared" si="184"/>
        <v>0</v>
      </c>
      <c r="CD86" s="271">
        <f t="shared" si="184"/>
        <v>0</v>
      </c>
      <c r="CE86" s="271">
        <f t="shared" si="184"/>
        <v>0</v>
      </c>
      <c r="CF86" s="271">
        <f t="shared" si="184"/>
        <v>0</v>
      </c>
      <c r="CG86" s="271">
        <f t="shared" si="184"/>
        <v>0</v>
      </c>
      <c r="CH86" s="271">
        <f t="shared" si="184"/>
        <v>0</v>
      </c>
      <c r="CI86" s="271">
        <f t="shared" si="184"/>
        <v>0</v>
      </c>
      <c r="CJ86" s="271">
        <f t="shared" si="184"/>
        <v>0</v>
      </c>
      <c r="CK86" s="271">
        <f t="shared" si="184"/>
        <v>0</v>
      </c>
      <c r="CL86" s="271">
        <f t="shared" si="184"/>
        <v>0</v>
      </c>
      <c r="CM86" s="271">
        <v>0</v>
      </c>
      <c r="CN86" s="270"/>
      <c r="CO86" s="269">
        <f t="shared" si="174"/>
        <v>0</v>
      </c>
      <c r="CP86" s="269">
        <f t="shared" si="166"/>
        <v>0</v>
      </c>
      <c r="CQ86" s="269">
        <f t="shared" si="167"/>
        <v>0</v>
      </c>
      <c r="CR86" s="269">
        <f t="shared" si="168"/>
        <v>0</v>
      </c>
      <c r="CS86" s="269">
        <f t="shared" si="169"/>
        <v>0</v>
      </c>
      <c r="CT86" s="269">
        <f t="shared" si="169"/>
        <v>0</v>
      </c>
      <c r="CU86" s="269">
        <f t="shared" si="169"/>
        <v>0</v>
      </c>
      <c r="CV86" s="269">
        <f>((+(CU86/CU$16)*0.3*CV$16+((CU86)*(1+CV$14)*0.7)))</f>
        <v>0</v>
      </c>
      <c r="CW86" s="269">
        <v>0</v>
      </c>
      <c r="CX86" s="269">
        <v>0</v>
      </c>
      <c r="CY86" s="269">
        <f t="shared" ref="CY86:DA86" si="185">CX86</f>
        <v>0</v>
      </c>
      <c r="CZ86" s="269">
        <f t="shared" si="185"/>
        <v>0</v>
      </c>
      <c r="DA86" s="269">
        <f t="shared" si="185"/>
        <v>0</v>
      </c>
      <c r="DB86" s="269">
        <f t="shared" si="176"/>
        <v>0</v>
      </c>
      <c r="DC86" s="269">
        <f t="shared" si="176"/>
        <v>0</v>
      </c>
      <c r="DD86" s="269">
        <f t="shared" ref="DD86:DE86" si="186">(DD44+DD65)*0.99</f>
        <v>0</v>
      </c>
      <c r="DE86" s="269">
        <f t="shared" si="186"/>
        <v>0</v>
      </c>
      <c r="DF86" s="269">
        <f t="shared" ref="DF86:DG86" si="187">(DF44+DF65)*0.99</f>
        <v>0</v>
      </c>
      <c r="DG86" s="269">
        <f t="shared" si="187"/>
        <v>0</v>
      </c>
    </row>
    <row r="87" spans="1:111" x14ac:dyDescent="0.35">
      <c r="C87" s="1" t="s">
        <v>5</v>
      </c>
      <c r="D87" s="1">
        <v>25</v>
      </c>
      <c r="E87" s="1"/>
      <c r="F87" s="1"/>
      <c r="G87" s="1"/>
      <c r="H87" s="1"/>
      <c r="I87" s="1"/>
      <c r="J87" s="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1"/>
      <c r="BD87" s="271"/>
      <c r="BE87" s="271"/>
      <c r="BF87" s="271"/>
      <c r="BG87" s="271"/>
      <c r="BH87" s="271"/>
      <c r="BI87" s="271"/>
      <c r="BJ87" s="271"/>
      <c r="BK87" s="271"/>
      <c r="BL87" s="271"/>
      <c r="BM87" s="271"/>
      <c r="BN87" s="271"/>
      <c r="BO87" s="271"/>
      <c r="BP87" s="271"/>
      <c r="BQ87" s="271"/>
      <c r="BR87" s="271"/>
      <c r="BT87" s="271">
        <f t="shared" si="179"/>
        <v>1595.1543435211101</v>
      </c>
      <c r="BU87" s="271">
        <f t="shared" si="179"/>
        <v>1631.1940676590414</v>
      </c>
      <c r="BV87" s="271">
        <f t="shared" ref="BV87:CL87" si="188">((+(191/$A$16)*0.3*BV$16+((191)*(1+BV$14)*0.7))*0.95)</f>
        <v>1666.2146021417998</v>
      </c>
      <c r="BW87" s="271">
        <f t="shared" si="188"/>
        <v>1710.2318693831789</v>
      </c>
      <c r="BX87" s="271">
        <f t="shared" si="188"/>
        <v>1753.967576279731</v>
      </c>
      <c r="BY87" s="271">
        <f t="shared" si="188"/>
        <v>1801.050722831455</v>
      </c>
      <c r="BZ87" s="271">
        <f t="shared" si="188"/>
        <v>2312.5725720232599</v>
      </c>
      <c r="CA87" s="271">
        <f t="shared" si="188"/>
        <v>2369.6667530577429</v>
      </c>
      <c r="CB87" s="271">
        <f t="shared" si="188"/>
        <v>2601.0155030577434</v>
      </c>
      <c r="CC87" s="271">
        <f t="shared" si="188"/>
        <v>2600.7026582301569</v>
      </c>
      <c r="CD87" s="271">
        <f t="shared" si="188"/>
        <v>2600.7026582301569</v>
      </c>
      <c r="CE87" s="271">
        <f t="shared" si="188"/>
        <v>2635.4284340922259</v>
      </c>
      <c r="CF87" s="271">
        <f t="shared" si="188"/>
        <v>5070.0271455185439</v>
      </c>
      <c r="CG87" s="271">
        <f t="shared" si="188"/>
        <v>6097.2654262597916</v>
      </c>
      <c r="CH87" s="271">
        <f t="shared" si="188"/>
        <v>6683.7305067900334</v>
      </c>
      <c r="CI87" s="271">
        <f t="shared" si="188"/>
        <v>7273.6475344323762</v>
      </c>
      <c r="CJ87" s="271">
        <f t="shared" si="188"/>
        <v>7704.6489882321066</v>
      </c>
      <c r="CK87" s="271">
        <f t="shared" si="188"/>
        <v>8001.4931370293998</v>
      </c>
      <c r="CL87" s="271">
        <f t="shared" si="188"/>
        <v>8127.6252894228046</v>
      </c>
      <c r="CM87" s="271">
        <v>8282.5738680671693</v>
      </c>
      <c r="CN87" s="270"/>
      <c r="CO87" s="269">
        <f t="shared" si="174"/>
        <v>8500.6983184404999</v>
      </c>
      <c r="CP87" s="269">
        <f t="shared" si="166"/>
        <v>8681.5240408326226</v>
      </c>
      <c r="CQ87" s="269">
        <f t="shared" si="167"/>
        <v>8945.1778321535712</v>
      </c>
      <c r="CR87" s="269">
        <f t="shared" si="168"/>
        <v>9148.3140368798195</v>
      </c>
      <c r="CS87" s="269">
        <f t="shared" si="169"/>
        <v>9343.7529104272217</v>
      </c>
      <c r="CT87" s="269">
        <f t="shared" si="169"/>
        <v>9480.8913207800142</v>
      </c>
      <c r="CU87" s="269">
        <f t="shared" si="169"/>
        <v>9636.5976011870989</v>
      </c>
      <c r="CV87" s="269">
        <f t="shared" si="169"/>
        <v>9762.2680676590935</v>
      </c>
      <c r="CW87" s="269">
        <v>9762.2680676590935</v>
      </c>
      <c r="CX87" s="269">
        <v>9762.2680676590935</v>
      </c>
      <c r="CY87" s="269">
        <f t="shared" ref="CY87:CZ89" si="189">CY45+CY66</f>
        <v>10527.322443504951</v>
      </c>
      <c r="CZ87" s="269">
        <f t="shared" si="189"/>
        <v>11041.980454578475</v>
      </c>
      <c r="DA87" s="269">
        <f t="shared" ref="DA87" si="190">DA45+DA66</f>
        <v>11158.989537272659</v>
      </c>
      <c r="DB87" s="269">
        <f t="shared" si="176"/>
        <v>11385.33141878708</v>
      </c>
      <c r="DC87" s="269">
        <f t="shared" si="176"/>
        <v>11709.884789209789</v>
      </c>
      <c r="DD87" s="269">
        <f t="shared" ref="DD87:DE87" si="191">(DD45+DD66)*0.99</f>
        <v>11827.756254750127</v>
      </c>
      <c r="DE87" s="269">
        <f t="shared" si="191"/>
        <v>12032.0796913386</v>
      </c>
      <c r="DF87" s="269">
        <f t="shared" ref="DF87:DG87" si="192">(DF45+DF66)*0.99</f>
        <v>12187.400299586236</v>
      </c>
      <c r="DG87" s="269">
        <f t="shared" si="192"/>
        <v>12257.183973257128</v>
      </c>
    </row>
    <row r="88" spans="1:111" x14ac:dyDescent="0.35">
      <c r="C88" s="1" t="s">
        <v>7</v>
      </c>
      <c r="D88" s="1">
        <v>25</v>
      </c>
      <c r="E88" s="1"/>
      <c r="F88" s="1"/>
      <c r="G88" s="1"/>
      <c r="H88" s="1"/>
      <c r="I88" s="1"/>
      <c r="J88" s="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1"/>
      <c r="BA88" s="271"/>
      <c r="BB88" s="271"/>
      <c r="BC88" s="271"/>
      <c r="BD88" s="271"/>
      <c r="BE88" s="271"/>
      <c r="BF88" s="271"/>
      <c r="BG88" s="271"/>
      <c r="BH88" s="271"/>
      <c r="BI88" s="271"/>
      <c r="BJ88" s="271"/>
      <c r="BK88" s="271"/>
      <c r="BL88" s="271"/>
      <c r="BM88" s="271"/>
      <c r="BN88" s="271"/>
      <c r="BO88" s="271"/>
      <c r="BP88" s="271"/>
      <c r="BQ88" s="271"/>
      <c r="BR88" s="271"/>
      <c r="BT88" s="271"/>
      <c r="BU88" s="271"/>
      <c r="BV88" s="271"/>
      <c r="BW88" s="271"/>
      <c r="BX88" s="271"/>
      <c r="BY88" s="271"/>
      <c r="BZ88" s="271"/>
      <c r="CA88" s="271"/>
      <c r="CB88" s="271"/>
      <c r="CC88" s="271"/>
      <c r="CD88" s="271"/>
      <c r="CE88" s="271"/>
      <c r="CF88" s="271"/>
      <c r="CG88" s="271">
        <f t="shared" ref="CG88:CL88" si="193">((+(191/$A$16)*0.3*CG$16+((191)*(1+CG$14)*0.7))*0.95)</f>
        <v>6097.2654262597916</v>
      </c>
      <c r="CH88" s="271">
        <f t="shared" si="193"/>
        <v>6683.7305067900334</v>
      </c>
      <c r="CI88" s="271">
        <f t="shared" si="193"/>
        <v>7273.6475344323762</v>
      </c>
      <c r="CJ88" s="271">
        <f t="shared" si="193"/>
        <v>7704.6489882321066</v>
      </c>
      <c r="CK88" s="271">
        <f t="shared" si="193"/>
        <v>8001.4931370293998</v>
      </c>
      <c r="CL88" s="271">
        <f t="shared" si="193"/>
        <v>8127.6252894228046</v>
      </c>
      <c r="CM88" s="271">
        <v>8282.5738680671693</v>
      </c>
      <c r="CN88" s="270"/>
      <c r="CO88" s="269">
        <f t="shared" si="174"/>
        <v>8500.6983184404999</v>
      </c>
      <c r="CP88" s="269">
        <f t="shared" si="166"/>
        <v>8681.5240408326226</v>
      </c>
      <c r="CQ88" s="269">
        <f t="shared" si="167"/>
        <v>8945.1778321535712</v>
      </c>
      <c r="CR88" s="269">
        <f t="shared" si="168"/>
        <v>9148.3140368798195</v>
      </c>
      <c r="CS88" s="269">
        <f t="shared" si="169"/>
        <v>9343.7529104272217</v>
      </c>
      <c r="CT88" s="269">
        <f t="shared" si="169"/>
        <v>9480.8913207800142</v>
      </c>
      <c r="CU88" s="269">
        <f t="shared" si="169"/>
        <v>9636.5976011870989</v>
      </c>
      <c r="CV88" s="269">
        <f t="shared" si="169"/>
        <v>9762.2680676590935</v>
      </c>
      <c r="CW88" s="269">
        <v>9762.2680676590935</v>
      </c>
      <c r="CX88" s="269">
        <v>9762.2680676590935</v>
      </c>
      <c r="CY88" s="269">
        <f t="shared" si="189"/>
        <v>10527.322443504951</v>
      </c>
      <c r="CZ88" s="269">
        <f t="shared" si="189"/>
        <v>11041.980454578475</v>
      </c>
      <c r="DA88" s="269">
        <f t="shared" ref="DA88" si="194">DA46+DA67</f>
        <v>11158.989537272659</v>
      </c>
      <c r="DB88" s="269">
        <f t="shared" si="176"/>
        <v>11385.33141878708</v>
      </c>
      <c r="DC88" s="269">
        <f t="shared" si="176"/>
        <v>11709.884789209789</v>
      </c>
      <c r="DD88" s="269">
        <f t="shared" ref="DD88:DE88" si="195">(DD46+DD67)*0.99</f>
        <v>11827.756254750127</v>
      </c>
      <c r="DE88" s="269">
        <f t="shared" si="195"/>
        <v>12032.0796913386</v>
      </c>
      <c r="DF88" s="269">
        <f t="shared" ref="DF88:DG88" si="196">(DF46+DF67)*0.99</f>
        <v>12187.400299586236</v>
      </c>
      <c r="DG88" s="269">
        <f t="shared" si="196"/>
        <v>12257.183973257128</v>
      </c>
    </row>
    <row r="89" spans="1:111" x14ac:dyDescent="0.35">
      <c r="C89" s="1" t="s">
        <v>8</v>
      </c>
      <c r="D89" s="1">
        <v>37.200000000000003</v>
      </c>
      <c r="E89" s="1"/>
      <c r="F89" s="1"/>
      <c r="G89" s="1"/>
      <c r="H89" s="1"/>
      <c r="I89" s="1"/>
      <c r="J89" s="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1"/>
      <c r="AW89" s="271"/>
      <c r="AX89" s="271"/>
      <c r="AY89" s="271"/>
      <c r="AZ89" s="271"/>
      <c r="BA89" s="271"/>
      <c r="BB89" s="271"/>
      <c r="BC89" s="271"/>
      <c r="BD89" s="271"/>
      <c r="BE89" s="271"/>
      <c r="BF89" s="271"/>
      <c r="BG89" s="271"/>
      <c r="BH89" s="271"/>
      <c r="BI89" s="271"/>
      <c r="BJ89" s="271"/>
      <c r="BK89" s="271"/>
      <c r="BL89" s="271"/>
      <c r="BM89" s="271"/>
      <c r="BN89" s="271"/>
      <c r="BO89" s="271"/>
      <c r="BP89" s="271"/>
      <c r="BQ89" s="271"/>
      <c r="BR89" s="271"/>
      <c r="BT89" s="271">
        <f t="shared" ref="BT89:BU91" si="197">((+(268/$A$16)*0.3*BT$16+((268)*(1+BT$14)*0.7))*0.95)-5.05</f>
        <v>2240.2629008568456</v>
      </c>
      <c r="BU89" s="271">
        <f t="shared" si="197"/>
        <v>2290.8317284430523</v>
      </c>
      <c r="BV89" s="271">
        <f t="shared" ref="BV89:CL89" si="198">((+(268/$A$16)*0.3*BV$16+((268)*(1+BV$14)*0.7))*0.95)</f>
        <v>2337.9346249947771</v>
      </c>
      <c r="BW89" s="271">
        <f t="shared" si="198"/>
        <v>2399.6970732706386</v>
      </c>
      <c r="BX89" s="271">
        <f t="shared" si="198"/>
        <v>2461.0644525809839</v>
      </c>
      <c r="BY89" s="271">
        <f t="shared" si="198"/>
        <v>2527.1287629258109</v>
      </c>
      <c r="BZ89" s="271">
        <f t="shared" si="198"/>
        <v>3244.8662267132659</v>
      </c>
      <c r="CA89" s="271">
        <f t="shared" si="198"/>
        <v>3324.977433609818</v>
      </c>
      <c r="CB89" s="271">
        <f t="shared" si="198"/>
        <v>3649.5924336098178</v>
      </c>
      <c r="CC89" s="271">
        <f t="shared" si="198"/>
        <v>3649.1534680925765</v>
      </c>
      <c r="CD89" s="271">
        <f t="shared" si="198"/>
        <v>3649.1534680925765</v>
      </c>
      <c r="CE89" s="271">
        <f t="shared" si="198"/>
        <v>3697.8786405063697</v>
      </c>
      <c r="CF89" s="271">
        <f t="shared" si="198"/>
        <v>7113.9647905705233</v>
      </c>
      <c r="CG89" s="271">
        <f t="shared" si="198"/>
        <v>8555.3253101446317</v>
      </c>
      <c r="CH89" s="271">
        <f t="shared" si="198"/>
        <v>9378.2187215692611</v>
      </c>
      <c r="CI89" s="271">
        <f t="shared" si="198"/>
        <v>10205.955702763753</v>
      </c>
      <c r="CJ89" s="271">
        <f t="shared" si="198"/>
        <v>10810.711669351858</v>
      </c>
      <c r="CK89" s="271">
        <f t="shared" si="198"/>
        <v>11227.225972376331</v>
      </c>
      <c r="CL89" s="271">
        <f t="shared" si="198"/>
        <v>11404.207212383832</v>
      </c>
      <c r="CM89" s="271">
        <v>11621.62197194765</v>
      </c>
      <c r="CN89" s="270"/>
      <c r="CO89" s="269">
        <f t="shared" si="174"/>
        <v>11927.681410167819</v>
      </c>
      <c r="CP89" s="269">
        <f t="shared" si="166"/>
        <v>12181.405460435302</v>
      </c>
      <c r="CQ89" s="269">
        <f t="shared" si="167"/>
        <v>12551.349000089827</v>
      </c>
      <c r="CR89" s="269">
        <f t="shared" si="168"/>
        <v>12836.377810909904</v>
      </c>
      <c r="CS89" s="269">
        <f t="shared" si="169"/>
        <v>13110.606177981652</v>
      </c>
      <c r="CT89" s="269">
        <f t="shared" si="169"/>
        <v>13303.030753764628</v>
      </c>
      <c r="CU89" s="269">
        <f t="shared" si="169"/>
        <v>13521.508676011217</v>
      </c>
      <c r="CV89" s="269">
        <f t="shared" si="169"/>
        <v>13697.842105406478</v>
      </c>
      <c r="CW89" s="269">
        <v>13697.842105406478</v>
      </c>
      <c r="CX89" s="269">
        <v>13697.842105406478</v>
      </c>
      <c r="CY89" s="269">
        <f t="shared" si="189"/>
        <v>14771.321543766107</v>
      </c>
      <c r="CZ89" s="269">
        <f t="shared" si="189"/>
        <v>15493.459486005395</v>
      </c>
      <c r="DA89" s="269">
        <f t="shared" ref="DA89" si="199">DA47+DA68</f>
        <v>15657.639769576293</v>
      </c>
      <c r="DB89" s="269">
        <f t="shared" si="176"/>
        <v>15975.229425313808</v>
      </c>
      <c r="DC89" s="269">
        <f t="shared" si="176"/>
        <v>16430.623683289126</v>
      </c>
      <c r="DD89" s="269">
        <f t="shared" ref="DD89:DE89" si="200">(DD47+DD68)*0.99</f>
        <v>16596.014011900701</v>
      </c>
      <c r="DE89" s="269">
        <f t="shared" si="200"/>
        <v>16882.708676852064</v>
      </c>
      <c r="DF89" s="269">
        <f t="shared" ref="DF89:DG89" si="201">(DF47+DF68)*0.99</f>
        <v>17100.645446539842</v>
      </c>
      <c r="DG89" s="269">
        <f t="shared" si="201"/>
        <v>17198.561805407906</v>
      </c>
    </row>
    <row r="90" spans="1:111" x14ac:dyDescent="0.35">
      <c r="C90" s="1" t="s">
        <v>8</v>
      </c>
      <c r="D90" s="1">
        <v>40</v>
      </c>
      <c r="E90" s="1"/>
      <c r="F90" s="1"/>
      <c r="G90" s="1"/>
      <c r="H90" s="1"/>
      <c r="I90" s="1"/>
      <c r="J90" s="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1"/>
      <c r="AW90" s="271"/>
      <c r="AX90" s="271"/>
      <c r="AY90" s="271"/>
      <c r="AZ90" s="271"/>
      <c r="BA90" s="271"/>
      <c r="BB90" s="271"/>
      <c r="BC90" s="271"/>
      <c r="BD90" s="271"/>
      <c r="BE90" s="271"/>
      <c r="BF90" s="271"/>
      <c r="BG90" s="271"/>
      <c r="BH90" s="271"/>
      <c r="BI90" s="271"/>
      <c r="BJ90" s="271"/>
      <c r="BK90" s="271"/>
      <c r="BL90" s="271"/>
      <c r="BM90" s="271"/>
      <c r="BN90" s="271"/>
      <c r="BO90" s="271"/>
      <c r="BP90" s="271"/>
      <c r="BQ90" s="271"/>
      <c r="BR90" s="271"/>
      <c r="BT90" s="271">
        <f t="shared" si="197"/>
        <v>2240.2629008568456</v>
      </c>
      <c r="BU90" s="271">
        <f t="shared" si="197"/>
        <v>2290.8317284430523</v>
      </c>
      <c r="BV90" s="271">
        <f t="shared" ref="BV90:CL90" si="202">(((+(268/$A$16)*0.3*BV$16+((268)*(1+BV$14)*0.7))*0.95))*0</f>
        <v>0</v>
      </c>
      <c r="BW90" s="271">
        <f t="shared" si="202"/>
        <v>0</v>
      </c>
      <c r="BX90" s="271">
        <f t="shared" si="202"/>
        <v>0</v>
      </c>
      <c r="BY90" s="271">
        <f t="shared" si="202"/>
        <v>0</v>
      </c>
      <c r="BZ90" s="271">
        <f t="shared" si="202"/>
        <v>0</v>
      </c>
      <c r="CA90" s="271">
        <f t="shared" si="202"/>
        <v>0</v>
      </c>
      <c r="CB90" s="271">
        <f t="shared" si="202"/>
        <v>0</v>
      </c>
      <c r="CC90" s="271">
        <f t="shared" si="202"/>
        <v>0</v>
      </c>
      <c r="CD90" s="271">
        <f t="shared" si="202"/>
        <v>0</v>
      </c>
      <c r="CE90" s="271">
        <f t="shared" si="202"/>
        <v>0</v>
      </c>
      <c r="CF90" s="271">
        <f t="shared" si="202"/>
        <v>0</v>
      </c>
      <c r="CG90" s="271">
        <f t="shared" si="202"/>
        <v>0</v>
      </c>
      <c r="CH90" s="271">
        <f t="shared" si="202"/>
        <v>0</v>
      </c>
      <c r="CI90" s="271">
        <f t="shared" si="202"/>
        <v>0</v>
      </c>
      <c r="CJ90" s="271">
        <f t="shared" si="202"/>
        <v>0</v>
      </c>
      <c r="CK90" s="271">
        <f t="shared" si="202"/>
        <v>0</v>
      </c>
      <c r="CL90" s="271">
        <f t="shared" si="202"/>
        <v>0</v>
      </c>
      <c r="CM90" s="271">
        <v>0</v>
      </c>
      <c r="CN90" s="270"/>
      <c r="CO90" s="269">
        <f t="shared" si="174"/>
        <v>0</v>
      </c>
      <c r="CP90" s="269">
        <f t="shared" si="166"/>
        <v>0</v>
      </c>
      <c r="CQ90" s="269">
        <f t="shared" si="167"/>
        <v>0</v>
      </c>
      <c r="CR90" s="269">
        <f t="shared" si="168"/>
        <v>0</v>
      </c>
      <c r="CS90" s="269">
        <f t="shared" si="169"/>
        <v>0</v>
      </c>
      <c r="CT90" s="269">
        <f t="shared" si="169"/>
        <v>0</v>
      </c>
      <c r="CU90" s="269">
        <f t="shared" si="169"/>
        <v>0</v>
      </c>
      <c r="CV90" s="269">
        <f t="shared" si="169"/>
        <v>0</v>
      </c>
      <c r="CW90" s="269">
        <v>0</v>
      </c>
      <c r="CX90" s="269">
        <v>0</v>
      </c>
      <c r="CY90" s="269">
        <f t="shared" ref="CY90:DA90" si="203">CX90</f>
        <v>0</v>
      </c>
      <c r="CZ90" s="269">
        <f t="shared" si="203"/>
        <v>0</v>
      </c>
      <c r="DA90" s="269">
        <f t="shared" si="203"/>
        <v>0</v>
      </c>
      <c r="DB90" s="269">
        <f t="shared" si="176"/>
        <v>0</v>
      </c>
      <c r="DC90" s="269">
        <f t="shared" si="176"/>
        <v>0</v>
      </c>
      <c r="DD90" s="269">
        <f t="shared" ref="DD90:DE90" si="204">(DD48+DD69)*0.99</f>
        <v>0</v>
      </c>
      <c r="DE90" s="269">
        <f t="shared" si="204"/>
        <v>0</v>
      </c>
      <c r="DF90" s="269">
        <f t="shared" ref="DF90:DG90" si="205">(DF48+DF69)*0.99</f>
        <v>0</v>
      </c>
      <c r="DG90" s="269">
        <f t="shared" si="205"/>
        <v>0</v>
      </c>
    </row>
    <row r="91" spans="1:111" x14ac:dyDescent="0.35">
      <c r="C91" s="1" t="s">
        <v>8</v>
      </c>
      <c r="D91" s="1">
        <v>44</v>
      </c>
      <c r="E91" s="1"/>
      <c r="F91" s="1"/>
      <c r="G91" s="1"/>
      <c r="H91" s="1"/>
      <c r="I91" s="1"/>
      <c r="J91" s="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1"/>
      <c r="AW91" s="271"/>
      <c r="AX91" s="271"/>
      <c r="AY91" s="271"/>
      <c r="AZ91" s="271"/>
      <c r="BA91" s="271"/>
      <c r="BB91" s="271"/>
      <c r="BC91" s="271"/>
      <c r="BD91" s="271"/>
      <c r="BE91" s="271"/>
      <c r="BF91" s="271"/>
      <c r="BG91" s="271"/>
      <c r="BH91" s="271"/>
      <c r="BI91" s="271"/>
      <c r="BJ91" s="271"/>
      <c r="BK91" s="271"/>
      <c r="BL91" s="271"/>
      <c r="BM91" s="271"/>
      <c r="BN91" s="271"/>
      <c r="BO91" s="271"/>
      <c r="BP91" s="271"/>
      <c r="BQ91" s="271"/>
      <c r="BR91" s="271"/>
      <c r="BT91" s="271">
        <f t="shared" si="197"/>
        <v>2240.2629008568456</v>
      </c>
      <c r="BU91" s="271">
        <f t="shared" si="197"/>
        <v>2290.8317284430523</v>
      </c>
      <c r="BV91" s="271">
        <f t="shared" ref="BV91:CL91" si="206">((+(268/$A$16)*0.3*BV$16+((268)*(1+BV$14)*0.7))*0.95)</f>
        <v>2337.9346249947771</v>
      </c>
      <c r="BW91" s="271">
        <f t="shared" si="206"/>
        <v>2399.6970732706386</v>
      </c>
      <c r="BX91" s="271">
        <f t="shared" si="206"/>
        <v>2461.0644525809839</v>
      </c>
      <c r="BY91" s="271">
        <f t="shared" si="206"/>
        <v>2527.1287629258109</v>
      </c>
      <c r="BZ91" s="271">
        <f t="shared" si="206"/>
        <v>3244.8662267132659</v>
      </c>
      <c r="CA91" s="271">
        <f t="shared" si="206"/>
        <v>3324.977433609818</v>
      </c>
      <c r="CB91" s="271">
        <f t="shared" si="206"/>
        <v>3649.5924336098178</v>
      </c>
      <c r="CC91" s="271">
        <f t="shared" si="206"/>
        <v>3649.1534680925765</v>
      </c>
      <c r="CD91" s="271">
        <f t="shared" si="206"/>
        <v>3649.1534680925765</v>
      </c>
      <c r="CE91" s="271">
        <f t="shared" si="206"/>
        <v>3697.8786405063697</v>
      </c>
      <c r="CF91" s="271">
        <f t="shared" si="206"/>
        <v>7113.9647905705233</v>
      </c>
      <c r="CG91" s="271">
        <f t="shared" si="206"/>
        <v>8555.3253101446317</v>
      </c>
      <c r="CH91" s="271">
        <f t="shared" si="206"/>
        <v>9378.2187215692611</v>
      </c>
      <c r="CI91" s="271">
        <f t="shared" si="206"/>
        <v>10205.955702763753</v>
      </c>
      <c r="CJ91" s="271">
        <f t="shared" si="206"/>
        <v>10810.711669351858</v>
      </c>
      <c r="CK91" s="271">
        <f t="shared" si="206"/>
        <v>11227.225972376331</v>
      </c>
      <c r="CL91" s="271">
        <f t="shared" si="206"/>
        <v>11404.207212383832</v>
      </c>
      <c r="CM91" s="271">
        <v>11621.62197194765</v>
      </c>
      <c r="CN91" s="270"/>
      <c r="CO91" s="269">
        <f t="shared" si="174"/>
        <v>11927.681410167819</v>
      </c>
      <c r="CP91" s="269">
        <f t="shared" si="166"/>
        <v>12181.405460435302</v>
      </c>
      <c r="CQ91" s="269">
        <f t="shared" si="167"/>
        <v>12551.349000089827</v>
      </c>
      <c r="CR91" s="269">
        <f t="shared" si="168"/>
        <v>12836.377810909904</v>
      </c>
      <c r="CS91" s="269">
        <f t="shared" si="169"/>
        <v>13110.606177981652</v>
      </c>
      <c r="CT91" s="269">
        <f t="shared" si="169"/>
        <v>13303.030753764628</v>
      </c>
      <c r="CU91" s="269">
        <f t="shared" si="169"/>
        <v>13521.508676011217</v>
      </c>
      <c r="CV91" s="269">
        <f t="shared" si="169"/>
        <v>13697.842105406478</v>
      </c>
      <c r="CW91" s="269">
        <v>13697.842105406478</v>
      </c>
      <c r="CX91" s="269">
        <v>13697.842105406478</v>
      </c>
      <c r="CY91" s="269">
        <f>CY49+CY70</f>
        <v>14771.321543766107</v>
      </c>
      <c r="CZ91" s="269">
        <f>CZ49+CZ70</f>
        <v>15493.459486005395</v>
      </c>
      <c r="DA91" s="269">
        <f>DA49+DA70</f>
        <v>15657.639769576293</v>
      </c>
      <c r="DB91" s="269">
        <f t="shared" si="176"/>
        <v>15975.229425313808</v>
      </c>
      <c r="DC91" s="269">
        <f t="shared" si="176"/>
        <v>16430.623683289126</v>
      </c>
      <c r="DD91" s="269">
        <f t="shared" ref="DD91:DE91" si="207">(DD49+DD70)*0.99</f>
        <v>16596.014011900701</v>
      </c>
      <c r="DE91" s="269">
        <f t="shared" si="207"/>
        <v>16882.708676852064</v>
      </c>
      <c r="DF91" s="269">
        <f t="shared" ref="DF91:DG91" si="208">(DF49+DF70)*0.99</f>
        <v>17100.645446539842</v>
      </c>
      <c r="DG91" s="269">
        <f t="shared" si="208"/>
        <v>17198.561805407906</v>
      </c>
    </row>
    <row r="92" spans="1:111" x14ac:dyDescent="0.35">
      <c r="C92" s="1" t="s">
        <v>9</v>
      </c>
      <c r="D92" s="1">
        <v>42.6</v>
      </c>
      <c r="E92" s="1"/>
      <c r="F92" s="1"/>
      <c r="G92" s="1"/>
      <c r="H92" s="1"/>
      <c r="I92" s="1"/>
      <c r="J92" s="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271"/>
      <c r="AY92" s="271"/>
      <c r="AZ92" s="271"/>
      <c r="BA92" s="271"/>
      <c r="BB92" s="271"/>
      <c r="BC92" s="271"/>
      <c r="BD92" s="271"/>
      <c r="BE92" s="271"/>
      <c r="BF92" s="271"/>
      <c r="BG92" s="271"/>
      <c r="BH92" s="271"/>
      <c r="BI92" s="271"/>
      <c r="BJ92" s="271"/>
      <c r="BK92" s="271"/>
      <c r="BL92" s="271"/>
      <c r="BM92" s="271"/>
      <c r="BN92" s="271"/>
      <c r="BO92" s="271"/>
      <c r="BP92" s="271"/>
      <c r="BQ92" s="271"/>
      <c r="BR92" s="271"/>
      <c r="BT92" s="271">
        <f>((+(298/$A$16)*0.3*BT$16+((298)*(1+BT$14)*0.7))*0.95)-5.05</f>
        <v>2491.6038972214178</v>
      </c>
      <c r="BU92" s="271">
        <f>((+(298/$A$16)*0.3*BU$16+((298)*(1+BU$14)*0.7))*0.95)-5.05</f>
        <v>2547.833414462797</v>
      </c>
      <c r="BV92" s="271">
        <f t="shared" ref="BV92:CL92" si="209">(((+(298/$A$16)*0.3*BV$16+((298)*(1+BV$14)*0.7))*0.95))*0</f>
        <v>0</v>
      </c>
      <c r="BW92" s="271">
        <f t="shared" si="209"/>
        <v>0</v>
      </c>
      <c r="BX92" s="271">
        <f t="shared" si="209"/>
        <v>0</v>
      </c>
      <c r="BY92" s="271">
        <f t="shared" si="209"/>
        <v>0</v>
      </c>
      <c r="BZ92" s="271">
        <f t="shared" si="209"/>
        <v>0</v>
      </c>
      <c r="CA92" s="271">
        <f t="shared" si="209"/>
        <v>0</v>
      </c>
      <c r="CB92" s="271">
        <f t="shared" si="209"/>
        <v>0</v>
      </c>
      <c r="CC92" s="271">
        <f t="shared" si="209"/>
        <v>0</v>
      </c>
      <c r="CD92" s="271">
        <f t="shared" si="209"/>
        <v>0</v>
      </c>
      <c r="CE92" s="271">
        <f t="shared" si="209"/>
        <v>0</v>
      </c>
      <c r="CF92" s="271">
        <f t="shared" si="209"/>
        <v>0</v>
      </c>
      <c r="CG92" s="271">
        <f t="shared" si="209"/>
        <v>0</v>
      </c>
      <c r="CH92" s="271">
        <f t="shared" si="209"/>
        <v>0</v>
      </c>
      <c r="CI92" s="271">
        <f t="shared" si="209"/>
        <v>0</v>
      </c>
      <c r="CJ92" s="271">
        <f t="shared" si="209"/>
        <v>0</v>
      </c>
      <c r="CK92" s="271">
        <f t="shared" si="209"/>
        <v>0</v>
      </c>
      <c r="CL92" s="271">
        <f t="shared" si="209"/>
        <v>0</v>
      </c>
      <c r="CM92" s="271">
        <v>0</v>
      </c>
      <c r="CN92" s="270"/>
      <c r="CO92" s="269">
        <f t="shared" si="174"/>
        <v>0</v>
      </c>
      <c r="CP92" s="269">
        <f t="shared" si="166"/>
        <v>0</v>
      </c>
      <c r="CQ92" s="269">
        <f t="shared" si="167"/>
        <v>0</v>
      </c>
      <c r="CR92" s="269">
        <f t="shared" si="168"/>
        <v>0</v>
      </c>
      <c r="CS92" s="269">
        <f t="shared" si="169"/>
        <v>0</v>
      </c>
      <c r="CT92" s="269">
        <f t="shared" si="169"/>
        <v>0</v>
      </c>
      <c r="CU92" s="269">
        <f t="shared" si="169"/>
        <v>0</v>
      </c>
      <c r="CV92" s="269">
        <f t="shared" si="169"/>
        <v>0</v>
      </c>
      <c r="CW92" s="269">
        <v>0</v>
      </c>
      <c r="CX92" s="269">
        <v>0</v>
      </c>
      <c r="CY92" s="269">
        <f t="shared" ref="CY92:DA92" si="210">CX92</f>
        <v>0</v>
      </c>
      <c r="CZ92" s="269">
        <f t="shared" si="210"/>
        <v>0</v>
      </c>
      <c r="DA92" s="269">
        <f t="shared" si="210"/>
        <v>0</v>
      </c>
      <c r="DB92" s="269">
        <f t="shared" si="176"/>
        <v>0</v>
      </c>
      <c r="DC92" s="269">
        <f t="shared" si="176"/>
        <v>0</v>
      </c>
      <c r="DD92" s="269">
        <f t="shared" ref="DD92:DE92" si="211">(DD50+DD71)*0.99</f>
        <v>0</v>
      </c>
      <c r="DE92" s="269">
        <f t="shared" si="211"/>
        <v>0</v>
      </c>
      <c r="DF92" s="269">
        <f t="shared" ref="DF92:DG92" si="212">(DF50+DF71)*0.99</f>
        <v>0</v>
      </c>
      <c r="DG92" s="269">
        <f t="shared" si="212"/>
        <v>0</v>
      </c>
    </row>
    <row r="93" spans="1:111" x14ac:dyDescent="0.35">
      <c r="C93" s="1" t="s">
        <v>9</v>
      </c>
      <c r="D93" s="1">
        <v>46.6</v>
      </c>
      <c r="E93" s="1"/>
      <c r="F93" s="1"/>
      <c r="G93" s="1"/>
      <c r="H93" s="1"/>
      <c r="I93" s="1"/>
      <c r="J93" s="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271"/>
      <c r="AY93" s="271"/>
      <c r="AZ93" s="271"/>
      <c r="BA93" s="271"/>
      <c r="BB93" s="271"/>
      <c r="BC93" s="271"/>
      <c r="BD93" s="271"/>
      <c r="BE93" s="271"/>
      <c r="BF93" s="271"/>
      <c r="BG93" s="271"/>
      <c r="BH93" s="271"/>
      <c r="BI93" s="271"/>
      <c r="BJ93" s="271"/>
      <c r="BK93" s="271"/>
      <c r="BL93" s="271"/>
      <c r="BM93" s="271"/>
      <c r="BN93" s="271"/>
      <c r="BO93" s="271"/>
      <c r="BP93" s="271"/>
      <c r="BQ93" s="271"/>
      <c r="BR93" s="271"/>
      <c r="BT93" s="271">
        <f>((+(298/$A$16)*0.3*BT$16+((298)*(1+BT$14)*0.7))*0.95)-5.05</f>
        <v>2491.6038972214178</v>
      </c>
      <c r="BU93" s="271">
        <f>((+(298/$A$16)*0.3*BU$16+((298)*(1+BU$14)*0.7))*0.95)-5.05</f>
        <v>2547.833414462797</v>
      </c>
      <c r="BV93" s="271">
        <f t="shared" ref="BV93:CL93" si="213">((+(298/$A$16)*0.3*BV$16+((298)*(1+BV$14)*0.7))*0.95)</f>
        <v>2599.6437248076249</v>
      </c>
      <c r="BW93" s="271">
        <f t="shared" si="213"/>
        <v>2668.3198799800384</v>
      </c>
      <c r="BX93" s="271">
        <f t="shared" si="213"/>
        <v>2736.5567420490042</v>
      </c>
      <c r="BY93" s="271">
        <f t="shared" si="213"/>
        <v>2810.0163110145218</v>
      </c>
      <c r="BZ93" s="271">
        <f t="shared" si="213"/>
        <v>3608.0975207483325</v>
      </c>
      <c r="CA93" s="271">
        <f t="shared" si="213"/>
        <v>3697.1764000586777</v>
      </c>
      <c r="CB93" s="271">
        <f t="shared" si="213"/>
        <v>4058.1289000586776</v>
      </c>
      <c r="CC93" s="271">
        <f t="shared" si="213"/>
        <v>4057.6407966104011</v>
      </c>
      <c r="CD93" s="271">
        <f t="shared" si="213"/>
        <v>4057.6407966104011</v>
      </c>
      <c r="CE93" s="271">
        <f t="shared" si="213"/>
        <v>4111.8202793690225</v>
      </c>
      <c r="CF93" s="271">
        <f t="shared" si="213"/>
        <v>7910.3041327985657</v>
      </c>
      <c r="CG93" s="271">
        <f t="shared" si="213"/>
        <v>9513.0109791906689</v>
      </c>
      <c r="CH93" s="271">
        <f t="shared" si="213"/>
        <v>10428.019324729999</v>
      </c>
      <c r="CI93" s="271">
        <f t="shared" si="213"/>
        <v>11348.413430685068</v>
      </c>
      <c r="CJ93" s="271">
        <f t="shared" si="213"/>
        <v>12020.865960697214</v>
      </c>
      <c r="CK93" s="271">
        <f t="shared" si="213"/>
        <v>12484.004999134877</v>
      </c>
      <c r="CL93" s="271">
        <f t="shared" si="213"/>
        <v>12680.797571979036</v>
      </c>
      <c r="CM93" s="271">
        <v>12922.549804628359</v>
      </c>
      <c r="CN93" s="270"/>
      <c r="CO93" s="269">
        <f t="shared" si="174"/>
        <v>13262.86962772392</v>
      </c>
      <c r="CP93" s="269">
        <f t="shared" si="166"/>
        <v>13544.995623916868</v>
      </c>
      <c r="CQ93" s="269">
        <f t="shared" si="167"/>
        <v>13956.350753831228</v>
      </c>
      <c r="CR93" s="269">
        <f t="shared" si="168"/>
        <v>14273.28577481773</v>
      </c>
      <c r="CS93" s="269">
        <f t="shared" si="169"/>
        <v>14578.211347158704</v>
      </c>
      <c r="CT93" s="269">
        <f t="shared" si="169"/>
        <v>14792.175987395</v>
      </c>
      <c r="CU93" s="269">
        <f t="shared" si="169"/>
        <v>15035.110393475163</v>
      </c>
      <c r="CV93" s="269">
        <f t="shared" si="169"/>
        <v>15231.182639593773</v>
      </c>
      <c r="CW93" s="269">
        <v>15231.182639593773</v>
      </c>
      <c r="CX93" s="269">
        <v>15231.182639593773</v>
      </c>
      <c r="CY93" s="269">
        <f t="shared" ref="CY93:CZ95" si="214">CY51+CY72</f>
        <v>16424.827686725006</v>
      </c>
      <c r="CZ93" s="269">
        <f t="shared" si="214"/>
        <v>17227.801965782124</v>
      </c>
      <c r="DA93" s="269">
        <f t="shared" ref="DA93" si="215">DA51+DA72</f>
        <v>17410.360639304985</v>
      </c>
      <c r="DB93" s="269">
        <f t="shared" si="176"/>
        <v>17763.50137590864</v>
      </c>
      <c r="DC93" s="269">
        <f t="shared" si="176"/>
        <v>18269.872603060299</v>
      </c>
      <c r="DD93" s="269">
        <f t="shared" ref="DD93:DE93" si="216">(DD51+DD72)*0.99</f>
        <v>18453.776774426904</v>
      </c>
      <c r="DE93" s="269">
        <f t="shared" si="216"/>
        <v>18772.564125753419</v>
      </c>
      <c r="DF93" s="269">
        <f t="shared" ref="DF93:DG93" si="217">(DF51+DF72)*0.99</f>
        <v>19014.896802495801</v>
      </c>
      <c r="DG93" s="269">
        <f t="shared" si="217"/>
        <v>19123.773947804322</v>
      </c>
    </row>
    <row r="94" spans="1:111" x14ac:dyDescent="0.35">
      <c r="C94" s="99" t="s">
        <v>10</v>
      </c>
      <c r="D94" s="1">
        <v>46.6</v>
      </c>
      <c r="E94" s="1"/>
      <c r="F94" s="1"/>
      <c r="G94" s="1"/>
      <c r="H94" s="1"/>
      <c r="I94" s="1"/>
      <c r="J94" s="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  <c r="BF94" s="271"/>
      <c r="BG94" s="271"/>
      <c r="BH94" s="271"/>
      <c r="BI94" s="271"/>
      <c r="BJ94" s="271"/>
      <c r="BK94" s="271"/>
      <c r="BL94" s="271"/>
      <c r="BM94" s="271"/>
      <c r="BN94" s="271"/>
      <c r="BO94" s="271"/>
      <c r="BP94" s="271"/>
      <c r="BQ94" s="271"/>
      <c r="BR94" s="271"/>
      <c r="BT94" s="271"/>
      <c r="BU94" s="271"/>
      <c r="BV94" s="271"/>
      <c r="BW94" s="271"/>
      <c r="BX94" s="271"/>
      <c r="BY94" s="271"/>
      <c r="BZ94" s="271"/>
      <c r="CA94" s="271"/>
      <c r="CB94" s="271"/>
      <c r="CC94" s="271"/>
      <c r="CD94" s="271"/>
      <c r="CE94" s="271"/>
      <c r="CF94" s="271"/>
      <c r="CG94" s="271">
        <f t="shared" ref="CG94:CL95" si="218">((+(298/$A$16)*0.3*CG$16+((298)*(1+CG$14)*0.7))*0.95)</f>
        <v>9513.0109791906689</v>
      </c>
      <c r="CH94" s="271">
        <f t="shared" si="218"/>
        <v>10428.019324729999</v>
      </c>
      <c r="CI94" s="271">
        <f t="shared" si="218"/>
        <v>11348.413430685068</v>
      </c>
      <c r="CJ94" s="271">
        <f t="shared" si="218"/>
        <v>12020.865960697214</v>
      </c>
      <c r="CK94" s="271">
        <f t="shared" si="218"/>
        <v>12484.004999134877</v>
      </c>
      <c r="CL94" s="271">
        <f t="shared" si="218"/>
        <v>12680.797571979036</v>
      </c>
      <c r="CM94" s="271">
        <v>12922.549804628359</v>
      </c>
      <c r="CN94" s="270"/>
      <c r="CO94" s="269">
        <f t="shared" si="174"/>
        <v>13262.86962772392</v>
      </c>
      <c r="CP94" s="269">
        <f t="shared" si="166"/>
        <v>13544.995623916868</v>
      </c>
      <c r="CQ94" s="269">
        <f t="shared" si="167"/>
        <v>13956.350753831228</v>
      </c>
      <c r="CR94" s="269">
        <f t="shared" si="168"/>
        <v>14273.28577481773</v>
      </c>
      <c r="CS94" s="269">
        <f t="shared" si="169"/>
        <v>14578.211347158704</v>
      </c>
      <c r="CT94" s="269">
        <f t="shared" si="169"/>
        <v>14792.175987395</v>
      </c>
      <c r="CU94" s="269">
        <f t="shared" si="169"/>
        <v>15035.110393475163</v>
      </c>
      <c r="CV94" s="269">
        <f t="shared" si="169"/>
        <v>15231.182639593773</v>
      </c>
      <c r="CW94" s="269">
        <v>15231.182639593773</v>
      </c>
      <c r="CX94" s="269">
        <v>15231.182639593773</v>
      </c>
      <c r="CY94" s="269">
        <f t="shared" si="214"/>
        <v>16424.827686725006</v>
      </c>
      <c r="CZ94" s="269">
        <f t="shared" si="214"/>
        <v>17227.801965782124</v>
      </c>
      <c r="DA94" s="269">
        <f t="shared" ref="DA94" si="219">DA52+DA73</f>
        <v>17410.360639304985</v>
      </c>
      <c r="DB94" s="269">
        <f t="shared" si="176"/>
        <v>17763.50137590864</v>
      </c>
      <c r="DC94" s="269">
        <f t="shared" si="176"/>
        <v>18269.872603060299</v>
      </c>
      <c r="DD94" s="269">
        <f t="shared" ref="DD94:DE94" si="220">(DD52+DD73)*0.99</f>
        <v>18453.776774426904</v>
      </c>
      <c r="DE94" s="269">
        <f t="shared" si="220"/>
        <v>18772.564125753419</v>
      </c>
      <c r="DF94" s="269">
        <f t="shared" ref="DF94:DG94" si="221">(DF52+DF73)*0.99</f>
        <v>19014.896802495801</v>
      </c>
      <c r="DG94" s="269">
        <f t="shared" si="221"/>
        <v>19123.773947804322</v>
      </c>
    </row>
    <row r="95" spans="1:111" x14ac:dyDescent="0.35">
      <c r="C95" s="1" t="s">
        <v>9</v>
      </c>
      <c r="D95" s="1">
        <v>48</v>
      </c>
      <c r="E95" s="1"/>
      <c r="F95" s="1"/>
      <c r="G95" s="1"/>
      <c r="H95" s="1"/>
      <c r="I95" s="1"/>
      <c r="J95" s="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1"/>
      <c r="BC95" s="271"/>
      <c r="BD95" s="271"/>
      <c r="BE95" s="271"/>
      <c r="BF95" s="271"/>
      <c r="BG95" s="271"/>
      <c r="BH95" s="271"/>
      <c r="BI95" s="271"/>
      <c r="BJ95" s="271"/>
      <c r="BK95" s="271"/>
      <c r="BL95" s="271"/>
      <c r="BM95" s="271"/>
      <c r="BN95" s="271"/>
      <c r="BO95" s="271"/>
      <c r="BP95" s="271"/>
      <c r="BQ95" s="271"/>
      <c r="BR95" s="271"/>
      <c r="BT95" s="271">
        <f t="shared" ref="BT95:BU97" si="222">((+(298/$A$16)*0.3*BT$16+((298)*(1+BT$14)*0.7))*0.95)-5.05</f>
        <v>2491.6038972214178</v>
      </c>
      <c r="BU95" s="271">
        <f t="shared" si="222"/>
        <v>2547.833414462797</v>
      </c>
      <c r="BV95" s="271">
        <f t="shared" ref="BV95:CF95" si="223">((+(298/$A$16)*0.3*BV$16+((298)*(1+BV$14)*0.7))*0.95)</f>
        <v>2599.6437248076249</v>
      </c>
      <c r="BW95" s="271">
        <f t="shared" si="223"/>
        <v>2668.3198799800384</v>
      </c>
      <c r="BX95" s="271">
        <f t="shared" si="223"/>
        <v>2736.5567420490042</v>
      </c>
      <c r="BY95" s="271">
        <f t="shared" si="223"/>
        <v>2810.0163110145218</v>
      </c>
      <c r="BZ95" s="271">
        <f t="shared" si="223"/>
        <v>3608.0975207483325</v>
      </c>
      <c r="CA95" s="271">
        <f t="shared" si="223"/>
        <v>3697.1764000586777</v>
      </c>
      <c r="CB95" s="271">
        <f t="shared" si="223"/>
        <v>4058.1289000586776</v>
      </c>
      <c r="CC95" s="271">
        <f t="shared" si="223"/>
        <v>4057.6407966104011</v>
      </c>
      <c r="CD95" s="271">
        <f t="shared" si="223"/>
        <v>4057.6407966104011</v>
      </c>
      <c r="CE95" s="271">
        <f t="shared" si="223"/>
        <v>4111.8202793690225</v>
      </c>
      <c r="CF95" s="271">
        <f t="shared" si="223"/>
        <v>7910.3041327985657</v>
      </c>
      <c r="CG95" s="271">
        <f t="shared" si="218"/>
        <v>9513.0109791906689</v>
      </c>
      <c r="CH95" s="271">
        <f t="shared" si="218"/>
        <v>10428.019324729999</v>
      </c>
      <c r="CI95" s="271">
        <f t="shared" si="218"/>
        <v>11348.413430685068</v>
      </c>
      <c r="CJ95" s="271">
        <f t="shared" si="218"/>
        <v>12020.865960697214</v>
      </c>
      <c r="CK95" s="271">
        <f t="shared" si="218"/>
        <v>12484.004999134877</v>
      </c>
      <c r="CL95" s="271">
        <f t="shared" si="218"/>
        <v>12680.797571979036</v>
      </c>
      <c r="CM95" s="271">
        <v>12922.549804628359</v>
      </c>
      <c r="CN95" s="270"/>
      <c r="CO95" s="269">
        <f t="shared" si="174"/>
        <v>13262.86962772392</v>
      </c>
      <c r="CP95" s="269">
        <f t="shared" si="166"/>
        <v>13544.995623916868</v>
      </c>
      <c r="CQ95" s="269">
        <f t="shared" si="167"/>
        <v>13956.350753831228</v>
      </c>
      <c r="CR95" s="269">
        <f t="shared" si="168"/>
        <v>14273.28577481773</v>
      </c>
      <c r="CS95" s="269">
        <f t="shared" si="169"/>
        <v>14578.211347158704</v>
      </c>
      <c r="CT95" s="269">
        <f t="shared" si="169"/>
        <v>14792.175987395</v>
      </c>
      <c r="CU95" s="269">
        <f t="shared" si="169"/>
        <v>15035.110393475163</v>
      </c>
      <c r="CV95" s="269">
        <f t="shared" si="169"/>
        <v>15231.182639593773</v>
      </c>
      <c r="CW95" s="269">
        <v>15231.182639593773</v>
      </c>
      <c r="CX95" s="269">
        <v>15231.182639593773</v>
      </c>
      <c r="CY95" s="269">
        <f t="shared" si="214"/>
        <v>16424.827686725006</v>
      </c>
      <c r="CZ95" s="269">
        <f t="shared" si="214"/>
        <v>17227.801965782124</v>
      </c>
      <c r="DA95" s="269">
        <f t="shared" ref="DA95" si="224">DA53+DA74</f>
        <v>17410.360639304985</v>
      </c>
      <c r="DB95" s="269">
        <f t="shared" si="176"/>
        <v>17763.50137590864</v>
      </c>
      <c r="DC95" s="269">
        <f t="shared" si="176"/>
        <v>18269.872603060299</v>
      </c>
      <c r="DD95" s="269">
        <f t="shared" ref="DD95:DE95" si="225">(DD53+DD74)*0.99</f>
        <v>18453.776774426904</v>
      </c>
      <c r="DE95" s="269">
        <f t="shared" si="225"/>
        <v>18772.564125753419</v>
      </c>
      <c r="DF95" s="269">
        <f t="shared" ref="DF95:DG95" si="226">(DF53+DF74)*0.99</f>
        <v>19014.896802495801</v>
      </c>
      <c r="DG95" s="269">
        <f t="shared" si="226"/>
        <v>19123.773947804322</v>
      </c>
    </row>
    <row r="96" spans="1:111" x14ac:dyDescent="0.35">
      <c r="C96" s="1" t="s">
        <v>9</v>
      </c>
      <c r="D96" s="1">
        <v>49.6</v>
      </c>
      <c r="E96" s="1"/>
      <c r="F96" s="1"/>
      <c r="G96" s="1"/>
      <c r="H96" s="1"/>
      <c r="I96" s="1"/>
      <c r="J96" s="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  <c r="BF96" s="271"/>
      <c r="BG96" s="271"/>
      <c r="BH96" s="271"/>
      <c r="BI96" s="271"/>
      <c r="BJ96" s="271"/>
      <c r="BK96" s="271"/>
      <c r="BL96" s="271"/>
      <c r="BM96" s="271"/>
      <c r="BN96" s="271"/>
      <c r="BO96" s="271"/>
      <c r="BP96" s="272"/>
      <c r="BQ96" s="272"/>
      <c r="BR96" s="272"/>
      <c r="BT96" s="272">
        <f t="shared" si="222"/>
        <v>2491.6038972214178</v>
      </c>
      <c r="BU96" s="272">
        <f t="shared" si="222"/>
        <v>2547.833414462797</v>
      </c>
      <c r="BV96" s="272">
        <f t="shared" ref="BV96:CL96" si="227">(((+(298/$A$16)*0.3*BV$16+((298)*(1+BV$14)*0.7))*0.95))*0</f>
        <v>0</v>
      </c>
      <c r="BW96" s="272">
        <f t="shared" si="227"/>
        <v>0</v>
      </c>
      <c r="BX96" s="272">
        <f t="shared" si="227"/>
        <v>0</v>
      </c>
      <c r="BY96" s="272">
        <f t="shared" si="227"/>
        <v>0</v>
      </c>
      <c r="BZ96" s="272">
        <f t="shared" si="227"/>
        <v>0</v>
      </c>
      <c r="CA96" s="272">
        <f t="shared" si="227"/>
        <v>0</v>
      </c>
      <c r="CB96" s="272">
        <f t="shared" si="227"/>
        <v>0</v>
      </c>
      <c r="CC96" s="272">
        <f t="shared" si="227"/>
        <v>0</v>
      </c>
      <c r="CD96" s="272">
        <f t="shared" si="227"/>
        <v>0</v>
      </c>
      <c r="CE96" s="272">
        <f t="shared" si="227"/>
        <v>0</v>
      </c>
      <c r="CF96" s="272">
        <f t="shared" si="227"/>
        <v>0</v>
      </c>
      <c r="CG96" s="272">
        <f t="shared" si="227"/>
        <v>0</v>
      </c>
      <c r="CH96" s="272">
        <f t="shared" si="227"/>
        <v>0</v>
      </c>
      <c r="CI96" s="272">
        <f t="shared" si="227"/>
        <v>0</v>
      </c>
      <c r="CJ96" s="272">
        <f t="shared" si="227"/>
        <v>0</v>
      </c>
      <c r="CK96" s="272">
        <f t="shared" si="227"/>
        <v>0</v>
      </c>
      <c r="CL96" s="272">
        <f t="shared" si="227"/>
        <v>0</v>
      </c>
      <c r="CM96" s="272">
        <v>0</v>
      </c>
      <c r="CN96" s="270"/>
      <c r="CO96" s="269">
        <f t="shared" si="174"/>
        <v>0</v>
      </c>
      <c r="CP96" s="269">
        <f t="shared" si="166"/>
        <v>0</v>
      </c>
      <c r="CQ96" s="269">
        <f t="shared" si="167"/>
        <v>0</v>
      </c>
      <c r="CR96" s="269">
        <f t="shared" si="168"/>
        <v>0</v>
      </c>
      <c r="CS96" s="269">
        <f t="shared" si="169"/>
        <v>0</v>
      </c>
      <c r="CT96" s="269">
        <f t="shared" si="169"/>
        <v>0</v>
      </c>
      <c r="CU96" s="269">
        <f t="shared" si="169"/>
        <v>0</v>
      </c>
      <c r="CV96" s="269">
        <f t="shared" si="169"/>
        <v>0</v>
      </c>
      <c r="CW96" s="269">
        <v>0</v>
      </c>
      <c r="CX96" s="269">
        <v>0</v>
      </c>
      <c r="CY96" s="269">
        <f t="shared" ref="CY96:DA96" si="228">CX96</f>
        <v>0</v>
      </c>
      <c r="CZ96" s="269">
        <f t="shared" si="228"/>
        <v>0</v>
      </c>
      <c r="DA96" s="269">
        <f t="shared" si="228"/>
        <v>0</v>
      </c>
      <c r="DB96" s="269">
        <f t="shared" si="176"/>
        <v>0</v>
      </c>
      <c r="DC96" s="269">
        <f t="shared" si="176"/>
        <v>0</v>
      </c>
      <c r="DD96" s="269">
        <f t="shared" ref="DD96:DE96" si="229">(DD54+DD75)*0.99</f>
        <v>0</v>
      </c>
      <c r="DE96" s="269">
        <f t="shared" si="229"/>
        <v>0</v>
      </c>
      <c r="DF96" s="269">
        <f t="shared" ref="DF96:DG96" si="230">(DF54+DF75)*0.99</f>
        <v>0</v>
      </c>
      <c r="DG96" s="269">
        <f t="shared" si="230"/>
        <v>0</v>
      </c>
    </row>
    <row r="97" spans="1:111" x14ac:dyDescent="0.35">
      <c r="C97" s="1" t="s">
        <v>9</v>
      </c>
      <c r="D97" s="1">
        <v>52</v>
      </c>
      <c r="E97" s="1"/>
      <c r="F97" s="1"/>
      <c r="G97" s="1"/>
      <c r="H97" s="1"/>
      <c r="I97" s="1"/>
      <c r="J97" s="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1"/>
      <c r="BC97" s="271"/>
      <c r="BD97" s="271"/>
      <c r="BE97" s="271"/>
      <c r="BF97" s="271"/>
      <c r="BG97" s="271"/>
      <c r="BH97" s="271"/>
      <c r="BI97" s="271"/>
      <c r="BJ97" s="271"/>
      <c r="BK97" s="271"/>
      <c r="BL97" s="271"/>
      <c r="BM97" s="271"/>
      <c r="BN97" s="271"/>
      <c r="BO97" s="271"/>
      <c r="BP97" s="271"/>
      <c r="BQ97" s="271"/>
      <c r="BR97" s="271"/>
      <c r="BT97" s="271">
        <f t="shared" si="222"/>
        <v>2491.6038972214178</v>
      </c>
      <c r="BU97" s="271">
        <f t="shared" si="222"/>
        <v>2547.833414462797</v>
      </c>
      <c r="BV97" s="271">
        <f t="shared" ref="BV97:CL97" si="231">((+(298/$A$16)*0.3*BV$16+((298)*(1+BV$14)*0.7))*0.95)</f>
        <v>2599.6437248076249</v>
      </c>
      <c r="BW97" s="271">
        <f t="shared" si="231"/>
        <v>2668.3198799800384</v>
      </c>
      <c r="BX97" s="271">
        <f t="shared" si="231"/>
        <v>2736.5567420490042</v>
      </c>
      <c r="BY97" s="271">
        <f t="shared" si="231"/>
        <v>2810.0163110145218</v>
      </c>
      <c r="BZ97" s="271">
        <f t="shared" si="231"/>
        <v>3608.0975207483325</v>
      </c>
      <c r="CA97" s="271">
        <f t="shared" si="231"/>
        <v>3697.1764000586777</v>
      </c>
      <c r="CB97" s="271">
        <f t="shared" si="231"/>
        <v>4058.1289000586776</v>
      </c>
      <c r="CC97" s="271">
        <f t="shared" si="231"/>
        <v>4057.6407966104011</v>
      </c>
      <c r="CD97" s="271">
        <f t="shared" si="231"/>
        <v>4057.6407966104011</v>
      </c>
      <c r="CE97" s="271">
        <f t="shared" si="231"/>
        <v>4111.8202793690225</v>
      </c>
      <c r="CF97" s="271">
        <f t="shared" si="231"/>
        <v>7910.3041327985657</v>
      </c>
      <c r="CG97" s="271">
        <f t="shared" si="231"/>
        <v>9513.0109791906689</v>
      </c>
      <c r="CH97" s="271">
        <f t="shared" si="231"/>
        <v>10428.019324729999</v>
      </c>
      <c r="CI97" s="271">
        <f t="shared" si="231"/>
        <v>11348.413430685068</v>
      </c>
      <c r="CJ97" s="271">
        <f t="shared" si="231"/>
        <v>12020.865960697214</v>
      </c>
      <c r="CK97" s="271">
        <f t="shared" si="231"/>
        <v>12484.004999134877</v>
      </c>
      <c r="CL97" s="271">
        <f t="shared" si="231"/>
        <v>12680.797571979036</v>
      </c>
      <c r="CM97" s="271">
        <v>12922.549804628359</v>
      </c>
      <c r="CN97" s="270"/>
      <c r="CO97" s="269">
        <f t="shared" si="174"/>
        <v>13262.86962772392</v>
      </c>
      <c r="CP97" s="269">
        <f t="shared" si="166"/>
        <v>13544.995623916868</v>
      </c>
      <c r="CQ97" s="269">
        <f t="shared" si="167"/>
        <v>13956.350753831228</v>
      </c>
      <c r="CR97" s="269">
        <f t="shared" si="168"/>
        <v>14273.28577481773</v>
      </c>
      <c r="CS97" s="269">
        <f t="shared" si="169"/>
        <v>14578.211347158704</v>
      </c>
      <c r="CT97" s="269">
        <f t="shared" si="169"/>
        <v>14792.175987395</v>
      </c>
      <c r="CU97" s="269">
        <f t="shared" si="169"/>
        <v>15035.110393475163</v>
      </c>
      <c r="CV97" s="269">
        <f t="shared" si="169"/>
        <v>15231.182639593773</v>
      </c>
      <c r="CW97" s="269">
        <v>15231.182639593773</v>
      </c>
      <c r="CX97" s="269">
        <v>15231.182639593773</v>
      </c>
      <c r="CY97" s="269">
        <f t="shared" ref="CY97:DA98" si="232">CY55+CY76</f>
        <v>16424.827686725006</v>
      </c>
      <c r="CZ97" s="269">
        <f t="shared" si="232"/>
        <v>17227.801965782124</v>
      </c>
      <c r="DA97" s="269">
        <f t="shared" si="232"/>
        <v>17410.360639304985</v>
      </c>
      <c r="DB97" s="269">
        <f t="shared" si="176"/>
        <v>17763.50137590864</v>
      </c>
      <c r="DC97" s="269">
        <f t="shared" si="176"/>
        <v>18269.872603060299</v>
      </c>
      <c r="DD97" s="269">
        <f t="shared" ref="DD97:DE97" si="233">(DD55+DD76)*0.99</f>
        <v>18453.776774426904</v>
      </c>
      <c r="DE97" s="269">
        <f t="shared" si="233"/>
        <v>18772.564125753419</v>
      </c>
      <c r="DF97" s="269">
        <f t="shared" ref="DF97:DG97" si="234">(DF55+DF76)*0.99</f>
        <v>19014.896802495801</v>
      </c>
      <c r="DG97" s="269">
        <f t="shared" si="234"/>
        <v>19123.773947804322</v>
      </c>
    </row>
    <row r="98" spans="1:111" x14ac:dyDescent="0.35">
      <c r="C98" s="1" t="s">
        <v>11</v>
      </c>
      <c r="D98" s="1">
        <v>54.7</v>
      </c>
      <c r="E98" s="1"/>
      <c r="F98" s="1"/>
      <c r="G98" s="1"/>
      <c r="H98" s="1"/>
      <c r="I98" s="1"/>
      <c r="J98" s="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1"/>
      <c r="AU98" s="271"/>
      <c r="AV98" s="271"/>
      <c r="AW98" s="271"/>
      <c r="AX98" s="271"/>
      <c r="AY98" s="271"/>
      <c r="AZ98" s="271"/>
      <c r="BA98" s="271"/>
      <c r="BB98" s="271"/>
      <c r="BC98" s="271"/>
      <c r="BD98" s="271"/>
      <c r="BE98" s="271"/>
      <c r="BF98" s="271"/>
      <c r="BG98" s="271"/>
      <c r="BH98" s="271"/>
      <c r="BI98" s="271"/>
      <c r="BJ98" s="271"/>
      <c r="BK98" s="271"/>
      <c r="BL98" s="271"/>
      <c r="BM98" s="271"/>
      <c r="BN98" s="271"/>
      <c r="BO98" s="271"/>
      <c r="BP98" s="271"/>
      <c r="BQ98" s="271"/>
      <c r="BR98" s="271"/>
      <c r="BT98" s="271">
        <f t="shared" ref="BT98:BU100" si="235">((+(306/$A$16)*0.3*BT$16+((306)*(1+BT$14)*0.7))*0.95)-5.05</f>
        <v>2558.6281629186369</v>
      </c>
      <c r="BU98" s="271">
        <f t="shared" si="235"/>
        <v>2616.367197401396</v>
      </c>
      <c r="BV98" s="271">
        <f t="shared" ref="BV98:CL98" si="236">((+(306/$A$16)*0.3*BV$16+((306)*(1+BV$14)*0.7))*0.95)</f>
        <v>2669.4328180910511</v>
      </c>
      <c r="BW98" s="271">
        <f t="shared" si="236"/>
        <v>2739.952628435879</v>
      </c>
      <c r="BX98" s="271">
        <f t="shared" si="236"/>
        <v>2810.0213525738095</v>
      </c>
      <c r="BY98" s="271">
        <f t="shared" si="236"/>
        <v>2885.4529905048444</v>
      </c>
      <c r="BZ98" s="271">
        <f t="shared" si="236"/>
        <v>3704.9591991576845</v>
      </c>
      <c r="CA98" s="271">
        <f t="shared" si="236"/>
        <v>3796.4294577783739</v>
      </c>
      <c r="CB98" s="271">
        <f t="shared" si="236"/>
        <v>4167.0719577783739</v>
      </c>
      <c r="CC98" s="271">
        <f t="shared" si="236"/>
        <v>4166.5707508818223</v>
      </c>
      <c r="CD98" s="271">
        <f t="shared" si="236"/>
        <v>4166.5707508818223</v>
      </c>
      <c r="CE98" s="271">
        <f t="shared" si="236"/>
        <v>4222.2047163990637</v>
      </c>
      <c r="CF98" s="271">
        <f t="shared" si="236"/>
        <v>8122.6612907260451</v>
      </c>
      <c r="CG98" s="271">
        <f t="shared" si="236"/>
        <v>9768.3938242696167</v>
      </c>
      <c r="CH98" s="271">
        <f t="shared" si="236"/>
        <v>10707.966152239531</v>
      </c>
      <c r="CI98" s="271">
        <f t="shared" si="236"/>
        <v>11653.068824797419</v>
      </c>
      <c r="CJ98" s="271">
        <f t="shared" si="236"/>
        <v>12343.573771722644</v>
      </c>
      <c r="CK98" s="271">
        <f t="shared" si="236"/>
        <v>12819.146072937156</v>
      </c>
      <c r="CL98" s="271">
        <f t="shared" si="236"/>
        <v>13021.22166787109</v>
      </c>
      <c r="CM98" s="271">
        <v>13269.463893343214</v>
      </c>
      <c r="CN98" s="270"/>
      <c r="CO98" s="269">
        <f t="shared" si="174"/>
        <v>13618.919819072215</v>
      </c>
      <c r="CP98" s="269">
        <f t="shared" si="166"/>
        <v>13908.619667511954</v>
      </c>
      <c r="CQ98" s="269">
        <f t="shared" si="167"/>
        <v>14331.017888162271</v>
      </c>
      <c r="CR98" s="269">
        <f t="shared" si="168"/>
        <v>14656.461231859819</v>
      </c>
      <c r="CS98" s="269">
        <f t="shared" si="169"/>
        <v>14969.57272560592</v>
      </c>
      <c r="CT98" s="269">
        <f t="shared" si="169"/>
        <v>15189.281383029767</v>
      </c>
      <c r="CU98" s="269">
        <f t="shared" si="169"/>
        <v>15438.737518132217</v>
      </c>
      <c r="CV98" s="269">
        <f t="shared" si="169"/>
        <v>15640.073448710387</v>
      </c>
      <c r="CW98" s="269">
        <v>15640.073448710387</v>
      </c>
      <c r="CX98" s="269">
        <v>15640.073448710387</v>
      </c>
      <c r="CY98" s="269">
        <f t="shared" si="232"/>
        <v>16865.762658180713</v>
      </c>
      <c r="CZ98" s="269">
        <f t="shared" si="232"/>
        <v>17690.293293722585</v>
      </c>
      <c r="DA98" s="269">
        <f t="shared" si="232"/>
        <v>17877.752871232642</v>
      </c>
      <c r="DB98" s="269">
        <f t="shared" si="176"/>
        <v>18240.373896067264</v>
      </c>
      <c r="DC98" s="269">
        <f t="shared" si="176"/>
        <v>18760.338981665947</v>
      </c>
      <c r="DD98" s="269">
        <f t="shared" ref="DD98:DE98" si="237">(DD56+DD77)*0.99</f>
        <v>18949.180177767223</v>
      </c>
      <c r="DE98" s="269">
        <f t="shared" si="237"/>
        <v>19276.525578793782</v>
      </c>
      <c r="DF98" s="269">
        <f t="shared" ref="DF98:DG98" si="238">(DF56+DF77)*0.99</f>
        <v>19525.363830750724</v>
      </c>
      <c r="DG98" s="269">
        <f t="shared" si="238"/>
        <v>19637.163852443362</v>
      </c>
    </row>
    <row r="99" spans="1:111" x14ac:dyDescent="0.35">
      <c r="C99" s="1" t="s">
        <v>11</v>
      </c>
      <c r="D99" s="1">
        <v>58</v>
      </c>
      <c r="E99" s="1"/>
      <c r="F99" s="1"/>
      <c r="G99" s="1"/>
      <c r="H99" s="1"/>
      <c r="I99" s="1"/>
      <c r="J99" s="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1"/>
      <c r="BC99" s="271"/>
      <c r="BD99" s="271"/>
      <c r="BE99" s="271"/>
      <c r="BF99" s="271"/>
      <c r="BG99" s="271"/>
      <c r="BH99" s="271"/>
      <c r="BI99" s="271"/>
      <c r="BJ99" s="271"/>
      <c r="BK99" s="271"/>
      <c r="BL99" s="271"/>
      <c r="BM99" s="271"/>
      <c r="BN99" s="271"/>
      <c r="BO99" s="271"/>
      <c r="BP99" s="271"/>
      <c r="BQ99" s="271"/>
      <c r="BR99" s="271"/>
      <c r="BT99" s="271">
        <f t="shared" si="235"/>
        <v>2558.6281629186369</v>
      </c>
      <c r="BU99" s="271">
        <f t="shared" si="235"/>
        <v>2616.367197401396</v>
      </c>
      <c r="BV99" s="271">
        <f t="shared" ref="BV99:CL99" si="239">(((+(306/$A$16)*0.3*BV$16+((306)*(1+BV$14)*0.7))*0.95))*0</f>
        <v>0</v>
      </c>
      <c r="BW99" s="271">
        <f t="shared" si="239"/>
        <v>0</v>
      </c>
      <c r="BX99" s="271">
        <f t="shared" si="239"/>
        <v>0</v>
      </c>
      <c r="BY99" s="271">
        <f t="shared" si="239"/>
        <v>0</v>
      </c>
      <c r="BZ99" s="271">
        <f t="shared" si="239"/>
        <v>0</v>
      </c>
      <c r="CA99" s="271">
        <f t="shared" si="239"/>
        <v>0</v>
      </c>
      <c r="CB99" s="271">
        <f t="shared" si="239"/>
        <v>0</v>
      </c>
      <c r="CC99" s="271">
        <f t="shared" si="239"/>
        <v>0</v>
      </c>
      <c r="CD99" s="271">
        <f t="shared" si="239"/>
        <v>0</v>
      </c>
      <c r="CE99" s="271">
        <f t="shared" si="239"/>
        <v>0</v>
      </c>
      <c r="CF99" s="271">
        <f t="shared" si="239"/>
        <v>0</v>
      </c>
      <c r="CG99" s="271">
        <f t="shared" si="239"/>
        <v>0</v>
      </c>
      <c r="CH99" s="271">
        <f t="shared" si="239"/>
        <v>0</v>
      </c>
      <c r="CI99" s="271">
        <f t="shared" si="239"/>
        <v>0</v>
      </c>
      <c r="CJ99" s="271">
        <f t="shared" si="239"/>
        <v>0</v>
      </c>
      <c r="CK99" s="271">
        <f t="shared" si="239"/>
        <v>0</v>
      </c>
      <c r="CL99" s="271">
        <f t="shared" si="239"/>
        <v>0</v>
      </c>
      <c r="CM99" s="271">
        <v>0</v>
      </c>
      <c r="CN99" s="270"/>
      <c r="CO99" s="269">
        <f t="shared" si="174"/>
        <v>0</v>
      </c>
      <c r="CP99" s="269">
        <f t="shared" si="166"/>
        <v>0</v>
      </c>
      <c r="CQ99" s="269">
        <f t="shared" si="167"/>
        <v>0</v>
      </c>
      <c r="CR99" s="269">
        <f t="shared" si="168"/>
        <v>0</v>
      </c>
      <c r="CS99" s="269">
        <f t="shared" si="169"/>
        <v>0</v>
      </c>
      <c r="CT99" s="269">
        <f t="shared" si="169"/>
        <v>0</v>
      </c>
      <c r="CU99" s="269">
        <f t="shared" si="169"/>
        <v>0</v>
      </c>
      <c r="CV99" s="269">
        <f t="shared" si="169"/>
        <v>0</v>
      </c>
      <c r="CW99" s="269">
        <v>0</v>
      </c>
      <c r="CX99" s="269">
        <v>0</v>
      </c>
      <c r="CY99" s="269">
        <f t="shared" ref="CY99:DA99" si="240">CX99</f>
        <v>0</v>
      </c>
      <c r="CZ99" s="269">
        <f t="shared" si="240"/>
        <v>0</v>
      </c>
      <c r="DA99" s="269">
        <f t="shared" si="240"/>
        <v>0</v>
      </c>
      <c r="DB99" s="269">
        <f t="shared" si="176"/>
        <v>0</v>
      </c>
      <c r="DC99" s="269">
        <f t="shared" si="176"/>
        <v>0</v>
      </c>
      <c r="DD99" s="269">
        <f t="shared" ref="DD99:DE99" si="241">(DD57+DD78)*0.99</f>
        <v>0</v>
      </c>
      <c r="DE99" s="269">
        <f t="shared" si="241"/>
        <v>0</v>
      </c>
      <c r="DF99" s="269">
        <f t="shared" ref="DF99:DG99" si="242">(DF57+DF78)*0.99</f>
        <v>0</v>
      </c>
      <c r="DG99" s="269">
        <f t="shared" si="242"/>
        <v>0</v>
      </c>
    </row>
    <row r="100" spans="1:111" x14ac:dyDescent="0.35">
      <c r="C100" s="1" t="s">
        <v>11</v>
      </c>
      <c r="D100" s="1">
        <v>62</v>
      </c>
      <c r="E100" s="1"/>
      <c r="F100" s="1"/>
      <c r="G100" s="1"/>
      <c r="H100" s="1"/>
      <c r="I100" s="1"/>
      <c r="J100" s="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1"/>
      <c r="AW100" s="271"/>
      <c r="AX100" s="271"/>
      <c r="AY100" s="271"/>
      <c r="AZ100" s="271"/>
      <c r="BA100" s="271"/>
      <c r="BB100" s="271"/>
      <c r="BC100" s="271"/>
      <c r="BD100" s="271"/>
      <c r="BE100" s="271"/>
      <c r="BF100" s="271"/>
      <c r="BG100" s="271"/>
      <c r="BH100" s="271"/>
      <c r="BI100" s="271"/>
      <c r="BJ100" s="271"/>
      <c r="BK100" s="271"/>
      <c r="BL100" s="271"/>
      <c r="BM100" s="271"/>
      <c r="BN100" s="271"/>
      <c r="BO100" s="271"/>
      <c r="BP100" s="271"/>
      <c r="BQ100" s="271"/>
      <c r="BR100" s="271"/>
      <c r="BT100" s="271">
        <f t="shared" si="235"/>
        <v>2558.6281629186369</v>
      </c>
      <c r="BU100" s="271">
        <f t="shared" si="235"/>
        <v>2616.367197401396</v>
      </c>
      <c r="BV100" s="271">
        <f t="shared" ref="BV100:CL100" si="243">((+(306/$A$16)*0.3*BV$16+((306)*(1+BV$14)*0.7))*0.95)</f>
        <v>2669.4328180910511</v>
      </c>
      <c r="BW100" s="271">
        <f t="shared" si="243"/>
        <v>2739.952628435879</v>
      </c>
      <c r="BX100" s="271">
        <f t="shared" si="243"/>
        <v>2810.0213525738095</v>
      </c>
      <c r="BY100" s="271">
        <f t="shared" si="243"/>
        <v>2885.4529905048444</v>
      </c>
      <c r="BZ100" s="271">
        <f t="shared" si="243"/>
        <v>3704.9591991576845</v>
      </c>
      <c r="CA100" s="271">
        <f t="shared" si="243"/>
        <v>3796.4294577783739</v>
      </c>
      <c r="CB100" s="271">
        <f t="shared" si="243"/>
        <v>4167.0719577783739</v>
      </c>
      <c r="CC100" s="271">
        <f t="shared" si="243"/>
        <v>4166.5707508818223</v>
      </c>
      <c r="CD100" s="271">
        <f t="shared" si="243"/>
        <v>4166.5707508818223</v>
      </c>
      <c r="CE100" s="271">
        <f t="shared" si="243"/>
        <v>4222.2047163990637</v>
      </c>
      <c r="CF100" s="271">
        <f t="shared" si="243"/>
        <v>8122.6612907260451</v>
      </c>
      <c r="CG100" s="271">
        <f t="shared" si="243"/>
        <v>9768.3938242696167</v>
      </c>
      <c r="CH100" s="271">
        <f t="shared" si="243"/>
        <v>10707.966152239531</v>
      </c>
      <c r="CI100" s="271">
        <f t="shared" si="243"/>
        <v>11653.068824797419</v>
      </c>
      <c r="CJ100" s="271">
        <f t="shared" si="243"/>
        <v>12343.573771722644</v>
      </c>
      <c r="CK100" s="271">
        <f t="shared" si="243"/>
        <v>12819.146072937156</v>
      </c>
      <c r="CL100" s="271">
        <f t="shared" si="243"/>
        <v>13021.22166787109</v>
      </c>
      <c r="CM100" s="271">
        <v>13269.463893343214</v>
      </c>
      <c r="CN100" s="270"/>
      <c r="CO100" s="269">
        <f t="shared" si="174"/>
        <v>13618.919819072215</v>
      </c>
      <c r="CP100" s="269">
        <f t="shared" si="166"/>
        <v>13908.619667511954</v>
      </c>
      <c r="CQ100" s="269">
        <f t="shared" si="167"/>
        <v>14331.017888162271</v>
      </c>
      <c r="CR100" s="269">
        <f t="shared" si="168"/>
        <v>14656.461231859819</v>
      </c>
      <c r="CS100" s="269">
        <f t="shared" si="169"/>
        <v>14969.57272560592</v>
      </c>
      <c r="CT100" s="269">
        <f t="shared" si="169"/>
        <v>15189.281383029767</v>
      </c>
      <c r="CU100" s="269">
        <f t="shared" si="169"/>
        <v>15438.737518132217</v>
      </c>
      <c r="CV100" s="269">
        <f t="shared" si="169"/>
        <v>15640.073448710387</v>
      </c>
      <c r="CW100" s="269">
        <v>15640.073448710387</v>
      </c>
      <c r="CX100" s="269">
        <v>15640.073448710387</v>
      </c>
      <c r="CY100" s="269">
        <f>CY58+CY79</f>
        <v>16865.762658180713</v>
      </c>
      <c r="CZ100" s="269">
        <f>CZ58+CZ79</f>
        <v>17690.293293722585</v>
      </c>
      <c r="DA100" s="269">
        <f>DA58+DA79</f>
        <v>17877.752871232642</v>
      </c>
      <c r="DB100" s="269">
        <f t="shared" si="176"/>
        <v>18240.373896067264</v>
      </c>
      <c r="DC100" s="269">
        <f t="shared" si="176"/>
        <v>18760.338981665947</v>
      </c>
      <c r="DD100" s="269">
        <f t="shared" ref="DD100:DE100" si="244">(DD58+DD79)*0.99</f>
        <v>18949.180177767223</v>
      </c>
      <c r="DE100" s="269">
        <f t="shared" si="244"/>
        <v>19276.525578793782</v>
      </c>
      <c r="DF100" s="269">
        <f t="shared" ref="DF100:DG100" si="245">(DF58+DF79)*0.99</f>
        <v>19525.363830750724</v>
      </c>
      <c r="DG100" s="269">
        <f t="shared" si="245"/>
        <v>19637.163852443362</v>
      </c>
    </row>
    <row r="101" spans="1:111" x14ac:dyDescent="0.35">
      <c r="C101" s="112"/>
      <c r="D101" s="112"/>
      <c r="E101" s="112"/>
      <c r="F101" s="112"/>
      <c r="G101" s="112"/>
      <c r="H101" s="112"/>
      <c r="I101" s="112"/>
      <c r="J101" s="112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  <c r="AB101" s="279"/>
      <c r="AC101" s="279"/>
      <c r="AD101" s="279"/>
      <c r="AE101" s="279"/>
      <c r="AF101" s="279"/>
      <c r="AG101" s="279"/>
      <c r="AH101" s="279"/>
      <c r="AI101" s="279"/>
      <c r="AJ101" s="279"/>
      <c r="AK101" s="279"/>
      <c r="AL101" s="279"/>
      <c r="AM101" s="279"/>
      <c r="AN101" s="279"/>
      <c r="AO101" s="279"/>
      <c r="AP101" s="279"/>
      <c r="AQ101" s="279"/>
      <c r="AR101" s="279"/>
      <c r="AS101" s="279"/>
      <c r="AT101" s="279"/>
      <c r="AU101" s="279"/>
      <c r="AV101" s="279"/>
      <c r="AW101" s="279"/>
      <c r="AX101" s="279"/>
      <c r="AY101" s="279"/>
      <c r="AZ101" s="279"/>
      <c r="BA101" s="279"/>
      <c r="BB101" s="279"/>
      <c r="BC101" s="279"/>
      <c r="BD101" s="279"/>
      <c r="BE101" s="279"/>
      <c r="BF101" s="279"/>
      <c r="BG101" s="279"/>
      <c r="BH101" s="279"/>
      <c r="BI101" s="279"/>
      <c r="BJ101" s="279"/>
      <c r="BK101" s="279"/>
      <c r="BL101" s="279"/>
      <c r="BM101" s="279"/>
      <c r="BN101" s="279"/>
      <c r="BO101" s="279"/>
      <c r="BP101" s="279"/>
      <c r="BQ101" s="279"/>
      <c r="BR101" s="279"/>
      <c r="BT101" s="279"/>
      <c r="BU101" s="279"/>
      <c r="BV101" s="279"/>
      <c r="BW101" s="279"/>
      <c r="BX101" s="279"/>
      <c r="BY101" s="279"/>
      <c r="BZ101" s="279"/>
      <c r="CA101" s="279"/>
      <c r="CB101" s="279"/>
      <c r="CC101" s="279"/>
      <c r="CD101" s="279"/>
      <c r="CE101" s="279"/>
      <c r="CF101" s="279"/>
      <c r="CG101" s="279"/>
      <c r="CH101" s="279"/>
      <c r="CI101" s="279"/>
      <c r="CJ101" s="279"/>
      <c r="CK101" s="279"/>
      <c r="CL101" s="279"/>
      <c r="CM101" s="279"/>
      <c r="CN101" s="270"/>
      <c r="CO101" s="278"/>
      <c r="CP101" s="278"/>
      <c r="CQ101" s="278"/>
      <c r="CR101" s="278"/>
      <c r="CS101" s="278"/>
      <c r="CT101" s="278"/>
      <c r="CU101" s="278"/>
      <c r="CV101" s="278"/>
      <c r="CW101" s="278"/>
      <c r="CX101" s="278"/>
      <c r="CY101" s="278"/>
      <c r="CZ101" s="278"/>
      <c r="DA101" s="278"/>
      <c r="DB101" s="278"/>
      <c r="DC101" s="278"/>
      <c r="DD101" s="278"/>
      <c r="DE101" s="278"/>
      <c r="DF101" s="278"/>
      <c r="DG101" s="278"/>
    </row>
    <row r="102" spans="1:111" s="29" customFormat="1" x14ac:dyDescent="0.35">
      <c r="A102" s="277"/>
      <c r="C102" s="91" t="s">
        <v>55</v>
      </c>
      <c r="D102" s="31"/>
      <c r="E102" s="31"/>
      <c r="F102" s="31"/>
      <c r="G102" s="31"/>
      <c r="H102" s="31"/>
      <c r="I102" s="31"/>
      <c r="J102" s="31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276"/>
      <c r="AK102" s="276"/>
      <c r="AL102" s="276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76"/>
      <c r="AY102" s="276"/>
      <c r="AZ102" s="276"/>
      <c r="BA102" s="276"/>
      <c r="BB102" s="276"/>
      <c r="BC102" s="276"/>
      <c r="BD102" s="276"/>
      <c r="BE102" s="276"/>
      <c r="BF102" s="276"/>
      <c r="BG102" s="276"/>
      <c r="BH102" s="276"/>
      <c r="BI102" s="276"/>
      <c r="BJ102" s="276"/>
      <c r="BK102" s="276"/>
      <c r="BL102" s="276"/>
      <c r="BM102" s="276"/>
      <c r="BN102" s="276"/>
      <c r="BO102" s="276"/>
      <c r="BP102" s="276"/>
      <c r="BQ102" s="276"/>
      <c r="BR102" s="276"/>
      <c r="BT102" s="275"/>
      <c r="BU102" s="275"/>
      <c r="BV102" s="275"/>
      <c r="BW102" s="275"/>
      <c r="BX102" s="275"/>
      <c r="BY102" s="275"/>
      <c r="BZ102" s="275"/>
      <c r="CA102" s="275"/>
      <c r="CB102" s="275"/>
      <c r="CC102" s="275"/>
      <c r="CD102" s="275"/>
      <c r="CE102" s="275"/>
      <c r="CF102" s="275"/>
      <c r="CG102" s="275"/>
      <c r="CH102" s="275"/>
      <c r="CI102" s="275"/>
      <c r="CJ102" s="275"/>
      <c r="CK102" s="275"/>
      <c r="CL102" s="275"/>
      <c r="CM102" s="275"/>
      <c r="CN102" s="270"/>
      <c r="CO102" s="275"/>
      <c r="CP102" s="275"/>
      <c r="CQ102" s="275"/>
      <c r="CR102" s="275"/>
      <c r="CS102" s="275"/>
      <c r="CT102" s="275"/>
      <c r="CU102" s="275"/>
      <c r="CV102" s="275"/>
      <c r="CW102" s="276"/>
      <c r="CX102" s="276"/>
      <c r="CY102" s="276"/>
      <c r="CZ102" s="276"/>
      <c r="DA102" s="276"/>
      <c r="DB102" s="276"/>
      <c r="DC102" s="276"/>
      <c r="DD102" s="276"/>
      <c r="DE102" s="276"/>
      <c r="DF102" s="276"/>
      <c r="DG102" s="276"/>
    </row>
    <row r="103" spans="1:111" ht="14.9" hidden="1" customHeight="1" x14ac:dyDescent="0.35">
      <c r="C103" s="1" t="s">
        <v>51</v>
      </c>
      <c r="D103" s="1">
        <v>12.5</v>
      </c>
      <c r="E103" s="1"/>
      <c r="F103" s="1"/>
      <c r="G103" s="1"/>
      <c r="H103" s="1"/>
      <c r="I103" s="1"/>
      <c r="J103" s="1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  <c r="AB103" s="274"/>
      <c r="AC103" s="274"/>
      <c r="AD103" s="274"/>
      <c r="AE103" s="274"/>
      <c r="AF103" s="274"/>
      <c r="AG103" s="274"/>
      <c r="AH103" s="274"/>
      <c r="AI103" s="274"/>
      <c r="AJ103" s="274"/>
      <c r="AK103" s="274"/>
      <c r="AL103" s="274"/>
      <c r="AM103" s="274"/>
      <c r="AN103" s="274"/>
      <c r="AO103" s="274"/>
      <c r="AP103" s="274"/>
      <c r="AQ103" s="274"/>
      <c r="AR103" s="274"/>
      <c r="AS103" s="274"/>
      <c r="AT103" s="274"/>
      <c r="AU103" s="274"/>
      <c r="AV103" s="274"/>
      <c r="AW103" s="274"/>
      <c r="AX103" s="274"/>
      <c r="AY103" s="274"/>
      <c r="AZ103" s="274"/>
      <c r="BA103" s="274"/>
      <c r="BB103" s="274"/>
      <c r="BC103" s="274"/>
      <c r="BD103" s="274"/>
      <c r="BE103" s="274"/>
      <c r="BF103" s="274"/>
      <c r="BG103" s="274"/>
      <c r="BH103" s="274"/>
      <c r="BI103" s="274"/>
      <c r="BJ103" s="274"/>
      <c r="BK103" s="274"/>
      <c r="BL103" s="274"/>
      <c r="BM103" s="274"/>
      <c r="BN103" s="274"/>
      <c r="BO103" s="274"/>
      <c r="BP103" s="274"/>
      <c r="BQ103" s="274"/>
      <c r="BR103" s="274"/>
      <c r="BT103" s="274">
        <f t="shared" ref="BT103:CL103" si="246">((+(169/$A$16)*0.3*BT$16+((169)*(1+BT$14)*0.7))*0.95)-5.05</f>
        <v>1410.837612853757</v>
      </c>
      <c r="BU103" s="274">
        <f t="shared" si="246"/>
        <v>1442.7261645778951</v>
      </c>
      <c r="BV103" s="274">
        <f t="shared" si="246"/>
        <v>1469.2445956123779</v>
      </c>
      <c r="BW103" s="274">
        <f t="shared" si="246"/>
        <v>1508.1918111296193</v>
      </c>
      <c r="BX103" s="274">
        <f t="shared" si="246"/>
        <v>1546.8898973365158</v>
      </c>
      <c r="BY103" s="274">
        <f t="shared" si="246"/>
        <v>1588.5498542330674</v>
      </c>
      <c r="BZ103" s="274">
        <f t="shared" si="246"/>
        <v>2041.1529563975444</v>
      </c>
      <c r="CA103" s="274">
        <f t="shared" si="246"/>
        <v>2091.6708443285788</v>
      </c>
      <c r="CB103" s="274">
        <f t="shared" si="246"/>
        <v>2296.3720943285794</v>
      </c>
      <c r="CC103" s="274">
        <f t="shared" si="246"/>
        <v>2296.095283983751</v>
      </c>
      <c r="CD103" s="274">
        <f t="shared" si="246"/>
        <v>2296.095283983751</v>
      </c>
      <c r="CE103" s="274">
        <f t="shared" si="246"/>
        <v>2326.8212322596132</v>
      </c>
      <c r="CF103" s="274">
        <f t="shared" si="246"/>
        <v>4480.9949612179789</v>
      </c>
      <c r="CG103" s="274">
        <f t="shared" si="246"/>
        <v>5389.9126022926948</v>
      </c>
      <c r="CH103" s="274">
        <f t="shared" si="246"/>
        <v>5908.8267311388254</v>
      </c>
      <c r="CI103" s="274">
        <f t="shared" si="246"/>
        <v>6430.7952006234109</v>
      </c>
      <c r="CJ103" s="274">
        <f t="shared" si="246"/>
        <v>6812.1525079121793</v>
      </c>
      <c r="CK103" s="274">
        <f t="shared" si="246"/>
        <v>7074.8051840731341</v>
      </c>
      <c r="CL103" s="274">
        <f t="shared" si="246"/>
        <v>7186.4090257196549</v>
      </c>
      <c r="CM103" s="274">
        <v>7323.5101241013181</v>
      </c>
      <c r="CN103" s="270"/>
      <c r="CO103" s="273">
        <f t="shared" ref="CO103:DG103" si="247">((+(169/$A$16)*0.3*CO$16+((169)*(1+CO$14)*0.7))*0.95)-5.05</f>
        <v>2749.8122254310347</v>
      </c>
      <c r="CP103" s="273">
        <f t="shared" si="247"/>
        <v>2809.9238062931036</v>
      </c>
      <c r="CQ103" s="273">
        <f t="shared" si="247"/>
        <v>2873.6671388793102</v>
      </c>
      <c r="CR103" s="273">
        <f t="shared" si="247"/>
        <v>2914.3458031034479</v>
      </c>
      <c r="CS103" s="273">
        <f t="shared" si="247"/>
        <v>2976.0662056896554</v>
      </c>
      <c r="CT103" s="273">
        <f t="shared" si="247"/>
        <v>3028.4531170689656</v>
      </c>
      <c r="CU103" s="273">
        <f t="shared" si="247"/>
        <v>3056.1726281896554</v>
      </c>
      <c r="CV103" s="273">
        <f t="shared" si="247"/>
        <v>3087.3877003448274</v>
      </c>
      <c r="CW103" s="273">
        <f t="shared" si="247"/>
        <v>3348.0951569827589</v>
      </c>
      <c r="CX103" s="273">
        <f t="shared" si="247"/>
        <v>3399.3258315517241</v>
      </c>
      <c r="CY103" s="273">
        <f t="shared" si="247"/>
        <v>3444.0235051724144</v>
      </c>
      <c r="CZ103" s="273">
        <f t="shared" si="247"/>
        <v>3912.563490431035</v>
      </c>
      <c r="DA103" s="273">
        <f t="shared" si="247"/>
        <v>3825.2204150862067</v>
      </c>
      <c r="DB103" s="273">
        <f t="shared" si="247"/>
        <v>3990.0828434482755</v>
      </c>
      <c r="DC103" s="273">
        <f t="shared" si="247"/>
        <v>4081.4695643103455</v>
      </c>
      <c r="DD103" s="273">
        <f t="shared" si="247"/>
        <v>4062.5124846551726</v>
      </c>
      <c r="DE103" s="273">
        <f t="shared" si="247"/>
        <v>4116.5185908620697</v>
      </c>
      <c r="DF103" s="273">
        <f t="shared" si="247"/>
        <v>4120.2642046018073</v>
      </c>
      <c r="DG103" s="273">
        <f t="shared" si="247"/>
        <v>4005.8568809482758</v>
      </c>
    </row>
    <row r="104" spans="1:111" x14ac:dyDescent="0.35">
      <c r="C104" s="1" t="s">
        <v>5</v>
      </c>
      <c r="D104" s="1">
        <v>19.5</v>
      </c>
      <c r="E104" s="1"/>
      <c r="F104" s="1"/>
      <c r="G104" s="1"/>
      <c r="H104" s="1"/>
      <c r="I104" s="1"/>
      <c r="J104" s="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1"/>
      <c r="AW104" s="271"/>
      <c r="AX104" s="271"/>
      <c r="AY104" s="271"/>
      <c r="AZ104" s="271"/>
      <c r="BA104" s="271"/>
      <c r="BB104" s="271"/>
      <c r="BC104" s="271"/>
      <c r="BD104" s="271"/>
      <c r="BE104" s="271"/>
      <c r="BF104" s="271"/>
      <c r="BG104" s="271"/>
      <c r="BH104" s="271"/>
      <c r="BI104" s="271"/>
      <c r="BJ104" s="271"/>
      <c r="BK104" s="271"/>
      <c r="BL104" s="271"/>
      <c r="BM104" s="271"/>
      <c r="BN104" s="271"/>
      <c r="BO104" s="271"/>
      <c r="BP104" s="271"/>
      <c r="BQ104" s="271"/>
      <c r="BR104" s="271"/>
      <c r="BT104" s="269">
        <f t="shared" ref="BT104:CM104" si="248">BT83+BT20</f>
        <v>7160.0145965141928</v>
      </c>
      <c r="BU104" s="269">
        <f t="shared" si="248"/>
        <v>7504.9331105034107</v>
      </c>
      <c r="BV104" s="269">
        <f t="shared" si="248"/>
        <v>7745.8149373564211</v>
      </c>
      <c r="BW104" s="269">
        <f t="shared" si="248"/>
        <v>8345.8901414301945</v>
      </c>
      <c r="BX104" s="269">
        <f t="shared" si="248"/>
        <v>8856.1007145860367</v>
      </c>
      <c r="BY104" s="269">
        <f t="shared" si="248"/>
        <v>9659.9872086343003</v>
      </c>
      <c r="BZ104" s="269">
        <f t="shared" si="248"/>
        <v>10262.993988408727</v>
      </c>
      <c r="CA104" s="269">
        <f t="shared" si="248"/>
        <v>10511.803972851956</v>
      </c>
      <c r="CB104" s="269">
        <f t="shared" si="248"/>
        <v>11613.274514716762</v>
      </c>
      <c r="CC104" s="269">
        <f t="shared" si="248"/>
        <v>11995.827715241892</v>
      </c>
      <c r="CD104" s="269">
        <f t="shared" si="248"/>
        <v>12079.902654272013</v>
      </c>
      <c r="CE104" s="269">
        <f t="shared" si="248"/>
        <v>12208.623030779361</v>
      </c>
      <c r="CF104" s="269">
        <f t="shared" si="248"/>
        <v>35073.004154577167</v>
      </c>
      <c r="CG104" s="269">
        <f t="shared" si="248"/>
        <v>37372.625632593474</v>
      </c>
      <c r="CH104" s="269">
        <f t="shared" si="248"/>
        <v>37264.23454818123</v>
      </c>
      <c r="CI104" s="269">
        <f t="shared" si="248"/>
        <v>37418.2315146252</v>
      </c>
      <c r="CJ104" s="269">
        <f t="shared" si="248"/>
        <v>35261.707348316006</v>
      </c>
      <c r="CK104" s="269">
        <f t="shared" si="248"/>
        <v>36084.668996854263</v>
      </c>
      <c r="CL104" s="269">
        <f t="shared" si="248"/>
        <v>36427.3265140113</v>
      </c>
      <c r="CM104" s="269">
        <f t="shared" si="248"/>
        <v>37108.381038414038</v>
      </c>
      <c r="CN104" s="270"/>
      <c r="CO104" s="269">
        <f t="shared" ref="CO104:CX104" si="249">CO83+CO20</f>
        <v>43928.3012911392</v>
      </c>
      <c r="CP104" s="269">
        <f t="shared" si="249"/>
        <v>32159.274150310739</v>
      </c>
      <c r="CQ104" s="269">
        <f t="shared" si="249"/>
        <v>38270.686831599058</v>
      </c>
      <c r="CR104" s="269">
        <f t="shared" si="249"/>
        <v>40582.350319059478</v>
      </c>
      <c r="CS104" s="269">
        <f t="shared" si="249"/>
        <v>41911.778173400584</v>
      </c>
      <c r="CT104" s="269">
        <f t="shared" si="249"/>
        <v>42414.577743574133</v>
      </c>
      <c r="CU104" s="269">
        <f t="shared" si="249"/>
        <v>42323.896083545857</v>
      </c>
      <c r="CV104" s="269">
        <f t="shared" si="249"/>
        <v>42439.546869701626</v>
      </c>
      <c r="CW104" s="269">
        <f t="shared" si="249"/>
        <v>44157.921793157788</v>
      </c>
      <c r="CX104" s="269">
        <f t="shared" si="249"/>
        <v>43629.34955204076</v>
      </c>
      <c r="CY104" s="269">
        <f t="shared" ref="CY104:DD104" si="250">CY83+CY20</f>
        <v>43370.817194234303</v>
      </c>
      <c r="CZ104" s="269">
        <f t="shared" si="250"/>
        <v>47424.661510371909</v>
      </c>
      <c r="DA104" s="269">
        <f t="shared" si="250"/>
        <v>47637.378792754011</v>
      </c>
      <c r="DB104" s="269">
        <f t="shared" si="250"/>
        <v>50984.662480902836</v>
      </c>
      <c r="DC104" s="269">
        <f t="shared" si="250"/>
        <v>52546.036353663214</v>
      </c>
      <c r="DD104" s="269">
        <f t="shared" si="250"/>
        <v>51422.974232108973</v>
      </c>
      <c r="DE104" s="269">
        <f t="shared" ref="DE104:DF104" si="251">DE83+DE20</f>
        <v>50838.281271637046</v>
      </c>
      <c r="DF104" s="269">
        <f t="shared" si="251"/>
        <v>50430.097197262876</v>
      </c>
      <c r="DG104" s="269">
        <f t="shared" ref="DG104" si="252">DG83+DG20</f>
        <v>48764.347029023251</v>
      </c>
    </row>
    <row r="105" spans="1:111" x14ac:dyDescent="0.35">
      <c r="C105" s="99" t="s">
        <v>6</v>
      </c>
      <c r="D105" s="1">
        <v>19.5</v>
      </c>
      <c r="E105" s="1"/>
      <c r="F105" s="1"/>
      <c r="G105" s="1"/>
      <c r="H105" s="1"/>
      <c r="I105" s="1"/>
      <c r="J105" s="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  <c r="AO105" s="271"/>
      <c r="AP105" s="271"/>
      <c r="AQ105" s="271"/>
      <c r="AR105" s="271"/>
      <c r="AS105" s="271"/>
      <c r="AT105" s="271"/>
      <c r="AU105" s="271"/>
      <c r="AV105" s="271"/>
      <c r="AW105" s="271"/>
      <c r="AX105" s="271"/>
      <c r="AY105" s="271"/>
      <c r="AZ105" s="271"/>
      <c r="BA105" s="271"/>
      <c r="BB105" s="271"/>
      <c r="BC105" s="271"/>
      <c r="BD105" s="271"/>
      <c r="BE105" s="271"/>
      <c r="BF105" s="271"/>
      <c r="BG105" s="271"/>
      <c r="BH105" s="271"/>
      <c r="BI105" s="271"/>
      <c r="BJ105" s="271"/>
      <c r="BK105" s="271"/>
      <c r="BL105" s="271"/>
      <c r="BM105" s="271"/>
      <c r="BN105" s="271"/>
      <c r="BO105" s="271"/>
      <c r="BP105" s="271"/>
      <c r="BQ105" s="271"/>
      <c r="BR105" s="271"/>
      <c r="BT105" s="269">
        <f t="shared" ref="BT105:CM105" si="253">BT84+BT21</f>
        <v>0</v>
      </c>
      <c r="BU105" s="269">
        <f t="shared" si="253"/>
        <v>0</v>
      </c>
      <c r="BV105" s="269">
        <f t="shared" si="253"/>
        <v>0</v>
      </c>
      <c r="BW105" s="269">
        <f t="shared" si="253"/>
        <v>0</v>
      </c>
      <c r="BX105" s="269">
        <f t="shared" si="253"/>
        <v>0</v>
      </c>
      <c r="BY105" s="269">
        <f t="shared" si="253"/>
        <v>0</v>
      </c>
      <c r="BZ105" s="269">
        <f t="shared" si="253"/>
        <v>0</v>
      </c>
      <c r="CA105" s="269">
        <f t="shared" si="253"/>
        <v>0</v>
      </c>
      <c r="CB105" s="269">
        <f t="shared" si="253"/>
        <v>0</v>
      </c>
      <c r="CC105" s="269">
        <f t="shared" si="253"/>
        <v>0</v>
      </c>
      <c r="CD105" s="269">
        <f t="shared" si="253"/>
        <v>0</v>
      </c>
      <c r="CE105" s="269">
        <f t="shared" si="253"/>
        <v>0</v>
      </c>
      <c r="CF105" s="269">
        <f t="shared" si="253"/>
        <v>0</v>
      </c>
      <c r="CG105" s="269">
        <f t="shared" si="253"/>
        <v>47831.814721203977</v>
      </c>
      <c r="CH105" s="269">
        <f t="shared" si="253"/>
        <v>49545.420953820023</v>
      </c>
      <c r="CI105" s="269">
        <f t="shared" si="253"/>
        <v>50640.782444281118</v>
      </c>
      <c r="CJ105" s="269">
        <f t="shared" si="253"/>
        <v>52714.478402241781</v>
      </c>
      <c r="CK105" s="269">
        <f t="shared" si="253"/>
        <v>53870.578137830955</v>
      </c>
      <c r="CL105" s="269">
        <f t="shared" si="253"/>
        <v>54350.521414197479</v>
      </c>
      <c r="CM105" s="269">
        <f t="shared" si="253"/>
        <v>55364.725579633727</v>
      </c>
      <c r="CN105" s="270"/>
      <c r="CO105" s="269">
        <f t="shared" ref="CO105:CX105" si="254">CO84+CO21</f>
        <v>43928.3012911392</v>
      </c>
      <c r="CP105" s="269">
        <f t="shared" si="254"/>
        <v>32159.274150310739</v>
      </c>
      <c r="CQ105" s="269">
        <f t="shared" si="254"/>
        <v>38270.686831599058</v>
      </c>
      <c r="CR105" s="269">
        <f t="shared" si="254"/>
        <v>40582.350319059478</v>
      </c>
      <c r="CS105" s="269">
        <f t="shared" si="254"/>
        <v>41911.778173400584</v>
      </c>
      <c r="CT105" s="269">
        <f t="shared" si="254"/>
        <v>42414.577743574133</v>
      </c>
      <c r="CU105" s="269">
        <f t="shared" si="254"/>
        <v>42323.896083545857</v>
      </c>
      <c r="CV105" s="269">
        <f t="shared" si="254"/>
        <v>42439.546869701626</v>
      </c>
      <c r="CW105" s="269">
        <f t="shared" si="254"/>
        <v>44157.921793157788</v>
      </c>
      <c r="CX105" s="269">
        <f t="shared" si="254"/>
        <v>43629.34955204076</v>
      </c>
      <c r="CY105" s="269">
        <f t="shared" ref="CY105:CZ105" si="255">CY84+CY21</f>
        <v>43370.817194234303</v>
      </c>
      <c r="CZ105" s="269">
        <f t="shared" si="255"/>
        <v>47424.661510371909</v>
      </c>
      <c r="DA105" s="269">
        <f t="shared" ref="DA105:DB105" si="256">DA84+DA21</f>
        <v>47637.378792754011</v>
      </c>
      <c r="DB105" s="269">
        <f t="shared" si="256"/>
        <v>50984.662480902836</v>
      </c>
      <c r="DC105" s="269">
        <f t="shared" ref="DC105:DD105" si="257">DC84+DC21</f>
        <v>52546.036353663214</v>
      </c>
      <c r="DD105" s="269">
        <f t="shared" si="257"/>
        <v>51422.974232108973</v>
      </c>
      <c r="DE105" s="269">
        <f t="shared" ref="DE105:DF105" si="258">DE84+DE21</f>
        <v>50838.281271637046</v>
      </c>
      <c r="DF105" s="269">
        <f t="shared" si="258"/>
        <v>50430.097197262876</v>
      </c>
      <c r="DG105" s="269">
        <f t="shared" ref="DG105" si="259">DG84+DG21</f>
        <v>48764.347029023251</v>
      </c>
    </row>
    <row r="106" spans="1:111" x14ac:dyDescent="0.35">
      <c r="A106" s="29"/>
      <c r="B106" s="29"/>
      <c r="C106" s="1" t="s">
        <v>5</v>
      </c>
      <c r="D106" s="1">
        <v>22.1</v>
      </c>
      <c r="E106" s="1"/>
      <c r="F106" s="1"/>
      <c r="G106" s="1"/>
      <c r="H106" s="1"/>
      <c r="I106" s="1"/>
      <c r="J106" s="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  <c r="AO106" s="271"/>
      <c r="AP106" s="271"/>
      <c r="AQ106" s="271"/>
      <c r="AR106" s="271"/>
      <c r="AS106" s="271"/>
      <c r="AT106" s="271"/>
      <c r="AU106" s="271"/>
      <c r="AV106" s="271"/>
      <c r="AW106" s="271"/>
      <c r="AX106" s="271"/>
      <c r="AY106" s="271"/>
      <c r="AZ106" s="271"/>
      <c r="BA106" s="271"/>
      <c r="BB106" s="271"/>
      <c r="BC106" s="271"/>
      <c r="BD106" s="271"/>
      <c r="BE106" s="271"/>
      <c r="BF106" s="271"/>
      <c r="BG106" s="271"/>
      <c r="BH106" s="271"/>
      <c r="BI106" s="271"/>
      <c r="BJ106" s="271"/>
      <c r="BK106" s="271"/>
      <c r="BL106" s="271"/>
      <c r="BM106" s="271"/>
      <c r="BN106" s="271"/>
      <c r="BO106" s="271"/>
      <c r="BP106" s="271"/>
      <c r="BQ106" s="271"/>
      <c r="BR106" s="271"/>
      <c r="BT106" s="269">
        <f t="shared" ref="BT106:CM106" si="260">BT85+BT22</f>
        <v>7901.9959635799405</v>
      </c>
      <c r="BU106" s="269">
        <f t="shared" si="260"/>
        <v>8288.0983162159937</v>
      </c>
      <c r="BV106" s="269">
        <f t="shared" si="260"/>
        <v>8556.4283153850374</v>
      </c>
      <c r="BW106" s="269">
        <f t="shared" si="260"/>
        <v>9230.6445777031295</v>
      </c>
      <c r="BX106" s="269">
        <f t="shared" si="260"/>
        <v>9803.0517996935469</v>
      </c>
      <c r="BY106" s="269">
        <f t="shared" si="260"/>
        <v>10707.845406741348</v>
      </c>
      <c r="BZ106" s="269">
        <f t="shared" si="260"/>
        <v>11323.050177260122</v>
      </c>
      <c r="CA106" s="269">
        <f t="shared" si="260"/>
        <v>11597.422268824517</v>
      </c>
      <c r="CB106" s="269">
        <f t="shared" si="260"/>
        <v>12814.909049604634</v>
      </c>
      <c r="CC106" s="269">
        <f t="shared" si="260"/>
        <v>13248.511056176789</v>
      </c>
      <c r="CD106" s="269">
        <f t="shared" si="260"/>
        <v>13343.795987077594</v>
      </c>
      <c r="CE106" s="269">
        <f t="shared" si="260"/>
        <v>13485.048977004313</v>
      </c>
      <c r="CF106" s="269">
        <f t="shared" si="260"/>
        <v>39073.401089118313</v>
      </c>
      <c r="CG106" s="269">
        <f t="shared" si="260"/>
        <v>41542.673660104636</v>
      </c>
      <c r="CH106" s="269">
        <f t="shared" si="260"/>
        <v>41341.635087033392</v>
      </c>
      <c r="CI106" s="269">
        <f t="shared" si="260"/>
        <v>41437.509378650917</v>
      </c>
      <c r="CJ106" s="269">
        <f t="shared" si="260"/>
        <v>38935.981796327185</v>
      </c>
      <c r="CK106" s="269">
        <f t="shared" si="260"/>
        <v>39829.092444830909</v>
      </c>
      <c r="CL106" s="269">
        <f t="shared" si="260"/>
        <v>40200.620010623097</v>
      </c>
      <c r="CM106" s="269">
        <f t="shared" si="260"/>
        <v>40951.821994460297</v>
      </c>
      <c r="CN106" s="270"/>
      <c r="CO106" s="269">
        <f t="shared" ref="CO106:CX106" si="261">CO85+CO22</f>
        <v>48651.981687499036</v>
      </c>
      <c r="CP106" s="269">
        <f t="shared" si="261"/>
        <v>35289.640831574492</v>
      </c>
      <c r="CQ106" s="269">
        <f t="shared" si="261"/>
        <v>42180.754698191799</v>
      </c>
      <c r="CR106" s="269">
        <f t="shared" si="261"/>
        <v>44773.555156683426</v>
      </c>
      <c r="CS106" s="269">
        <f t="shared" si="261"/>
        <v>46254.18154179705</v>
      </c>
      <c r="CT106" s="269">
        <f t="shared" si="261"/>
        <v>46805.735933280019</v>
      </c>
      <c r="CU106" s="269">
        <f t="shared" si="261"/>
        <v>46682.202547860361</v>
      </c>
      <c r="CV106" s="269">
        <f t="shared" si="261"/>
        <v>46796.517376640637</v>
      </c>
      <c r="CW106" s="269">
        <f t="shared" si="261"/>
        <v>48744.008956557605</v>
      </c>
      <c r="CX106" s="269">
        <f t="shared" si="261"/>
        <v>48144.960416624992</v>
      </c>
      <c r="CY106" s="269">
        <f t="shared" ref="CY106:CZ106" si="262">CY85+CY22</f>
        <v>47749.949827664888</v>
      </c>
      <c r="CZ106" s="269">
        <f t="shared" si="262"/>
        <v>52275.685651144377</v>
      </c>
      <c r="DA106" s="269">
        <f t="shared" ref="DA106:DB106" si="263">DA85+DA22</f>
        <v>52501.164026818195</v>
      </c>
      <c r="DB106" s="269">
        <f t="shared" si="263"/>
        <v>56264.573289184955</v>
      </c>
      <c r="DC106" s="269">
        <f t="shared" ref="DC106:DD106" si="264">DC85+DC22</f>
        <v>57990.856562257017</v>
      </c>
      <c r="DD106" s="269">
        <f t="shared" si="264"/>
        <v>56702.336629090154</v>
      </c>
      <c r="DE106" s="269">
        <f t="shared" ref="DE106:DF106" si="265">DE85+DE22</f>
        <v>56012.4414823435</v>
      </c>
      <c r="DF106" s="269">
        <f t="shared" si="265"/>
        <v>55529.123450286439</v>
      </c>
      <c r="DG106" s="269">
        <f t="shared" ref="DG106" si="266">DG85+DG22</f>
        <v>53631.96876979206</v>
      </c>
    </row>
    <row r="107" spans="1:111" x14ac:dyDescent="0.35">
      <c r="A107" s="29"/>
      <c r="B107" s="29"/>
      <c r="C107" s="1" t="s">
        <v>5</v>
      </c>
      <c r="D107" s="1">
        <v>22</v>
      </c>
      <c r="E107" s="1"/>
      <c r="F107" s="1"/>
      <c r="G107" s="1"/>
      <c r="H107" s="1"/>
      <c r="I107" s="1"/>
      <c r="J107" s="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1"/>
      <c r="AQ107" s="271"/>
      <c r="AR107" s="271"/>
      <c r="AS107" s="271"/>
      <c r="AT107" s="271"/>
      <c r="AU107" s="271"/>
      <c r="AV107" s="271"/>
      <c r="AW107" s="271"/>
      <c r="AX107" s="271"/>
      <c r="AY107" s="271"/>
      <c r="AZ107" s="271"/>
      <c r="BA107" s="271"/>
      <c r="BB107" s="271"/>
      <c r="BC107" s="271"/>
      <c r="BD107" s="271"/>
      <c r="BE107" s="271"/>
      <c r="BF107" s="271"/>
      <c r="BG107" s="271"/>
      <c r="BH107" s="271"/>
      <c r="BI107" s="271"/>
      <c r="BJ107" s="271"/>
      <c r="BK107" s="271"/>
      <c r="BL107" s="271"/>
      <c r="BM107" s="271"/>
      <c r="BN107" s="271"/>
      <c r="BO107" s="271"/>
      <c r="BP107" s="271"/>
      <c r="BQ107" s="271"/>
      <c r="BR107" s="271"/>
      <c r="BT107" s="269">
        <f t="shared" ref="BT107:CM107" si="267">BT86+BT23</f>
        <v>7873.4582186927928</v>
      </c>
      <c r="BU107" s="269">
        <f t="shared" si="267"/>
        <v>8257.9765775347405</v>
      </c>
      <c r="BV107" s="269">
        <f t="shared" si="267"/>
        <v>0</v>
      </c>
      <c r="BW107" s="269">
        <f t="shared" si="267"/>
        <v>0</v>
      </c>
      <c r="BX107" s="269">
        <f t="shared" si="267"/>
        <v>0</v>
      </c>
      <c r="BY107" s="269">
        <f t="shared" si="267"/>
        <v>0</v>
      </c>
      <c r="BZ107" s="269">
        <f t="shared" si="267"/>
        <v>0</v>
      </c>
      <c r="CA107" s="269">
        <f t="shared" si="267"/>
        <v>0</v>
      </c>
      <c r="CB107" s="269">
        <f t="shared" si="267"/>
        <v>0</v>
      </c>
      <c r="CC107" s="269">
        <f t="shared" si="267"/>
        <v>0</v>
      </c>
      <c r="CD107" s="269">
        <f t="shared" si="267"/>
        <v>0</v>
      </c>
      <c r="CE107" s="269">
        <f t="shared" si="267"/>
        <v>0</v>
      </c>
      <c r="CF107" s="269">
        <f t="shared" si="267"/>
        <v>0</v>
      </c>
      <c r="CG107" s="269">
        <f t="shared" si="267"/>
        <v>0</v>
      </c>
      <c r="CH107" s="269">
        <f t="shared" si="267"/>
        <v>0</v>
      </c>
      <c r="CI107" s="269">
        <f t="shared" si="267"/>
        <v>0</v>
      </c>
      <c r="CJ107" s="269">
        <f t="shared" si="267"/>
        <v>0</v>
      </c>
      <c r="CK107" s="269">
        <f t="shared" si="267"/>
        <v>0</v>
      </c>
      <c r="CL107" s="269">
        <f t="shared" si="267"/>
        <v>0</v>
      </c>
      <c r="CM107" s="269">
        <f t="shared" si="267"/>
        <v>0</v>
      </c>
      <c r="CN107" s="270"/>
      <c r="CO107" s="269">
        <f t="shared" ref="CO107:CX107" si="268">CO86+CO23</f>
        <v>0</v>
      </c>
      <c r="CP107" s="269">
        <f t="shared" si="268"/>
        <v>0</v>
      </c>
      <c r="CQ107" s="269">
        <f t="shared" si="268"/>
        <v>0</v>
      </c>
      <c r="CR107" s="269">
        <f t="shared" si="268"/>
        <v>0</v>
      </c>
      <c r="CS107" s="269">
        <f t="shared" si="268"/>
        <v>0</v>
      </c>
      <c r="CT107" s="269">
        <f t="shared" si="268"/>
        <v>0</v>
      </c>
      <c r="CU107" s="269">
        <f t="shared" si="268"/>
        <v>0</v>
      </c>
      <c r="CV107" s="269">
        <f t="shared" si="268"/>
        <v>0</v>
      </c>
      <c r="CW107" s="269">
        <f t="shared" si="268"/>
        <v>0</v>
      </c>
      <c r="CX107" s="269">
        <f t="shared" si="268"/>
        <v>0</v>
      </c>
      <c r="CY107" s="269">
        <f t="shared" ref="CY107:CZ107" si="269">CY86+CY23</f>
        <v>0</v>
      </c>
      <c r="CZ107" s="269">
        <f t="shared" si="269"/>
        <v>0</v>
      </c>
      <c r="DA107" s="269">
        <f t="shared" ref="DA107:DB107" si="270">DA86+DA23</f>
        <v>0</v>
      </c>
      <c r="DB107" s="269">
        <f t="shared" si="270"/>
        <v>0</v>
      </c>
      <c r="DC107" s="269">
        <f t="shared" ref="DC107:DD107" si="271">DC86+DC23</f>
        <v>0</v>
      </c>
      <c r="DD107" s="269">
        <f t="shared" si="271"/>
        <v>0</v>
      </c>
      <c r="DE107" s="269">
        <f t="shared" ref="DE107:DF107" si="272">DE86+DE23</f>
        <v>0</v>
      </c>
      <c r="DF107" s="269">
        <f t="shared" si="272"/>
        <v>0</v>
      </c>
      <c r="DG107" s="269">
        <f t="shared" ref="DG107" si="273">DG86+DG23</f>
        <v>0</v>
      </c>
    </row>
    <row r="108" spans="1:111" x14ac:dyDescent="0.35">
      <c r="C108" s="1" t="s">
        <v>5</v>
      </c>
      <c r="D108" s="1">
        <v>25</v>
      </c>
      <c r="E108" s="1"/>
      <c r="F108" s="1"/>
      <c r="G108" s="1"/>
      <c r="H108" s="1"/>
      <c r="I108" s="1"/>
      <c r="J108" s="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1"/>
      <c r="AW108" s="271"/>
      <c r="AX108" s="271"/>
      <c r="AY108" s="271"/>
      <c r="AZ108" s="271"/>
      <c r="BA108" s="271"/>
      <c r="BB108" s="271"/>
      <c r="BC108" s="271"/>
      <c r="BD108" s="271"/>
      <c r="BE108" s="271"/>
      <c r="BF108" s="271"/>
      <c r="BG108" s="271"/>
      <c r="BH108" s="271"/>
      <c r="BI108" s="271"/>
      <c r="BJ108" s="271"/>
      <c r="BK108" s="271"/>
      <c r="BL108" s="271"/>
      <c r="BM108" s="271"/>
      <c r="BN108" s="271"/>
      <c r="BO108" s="271"/>
      <c r="BP108" s="271"/>
      <c r="BQ108" s="271"/>
      <c r="BR108" s="271"/>
      <c r="BT108" s="269">
        <f t="shared" ref="BT108:CM108" si="274">BT87+BT24</f>
        <v>8729.5905653071131</v>
      </c>
      <c r="BU108" s="269">
        <f t="shared" si="274"/>
        <v>9161.6287379723344</v>
      </c>
      <c r="BV108" s="269">
        <f t="shared" si="274"/>
        <v>9460.5740062631103</v>
      </c>
      <c r="BW108" s="269">
        <f t="shared" si="274"/>
        <v>10217.48606431525</v>
      </c>
      <c r="BX108" s="269">
        <f t="shared" si="274"/>
        <v>10859.266471544226</v>
      </c>
      <c r="BY108" s="269">
        <f t="shared" si="274"/>
        <v>11876.610320014592</v>
      </c>
      <c r="BZ108" s="269">
        <f t="shared" si="274"/>
        <v>12505.420541748217</v>
      </c>
      <c r="CA108" s="269">
        <f t="shared" si="274"/>
        <v>12808.304214332373</v>
      </c>
      <c r="CB108" s="269">
        <f t="shared" si="274"/>
        <v>14155.193723133409</v>
      </c>
      <c r="CC108" s="269">
        <f t="shared" si="274"/>
        <v>14645.734782604175</v>
      </c>
      <c r="CD108" s="269">
        <f t="shared" si="274"/>
        <v>14753.523165976125</v>
      </c>
      <c r="CE108" s="269">
        <f t="shared" si="274"/>
        <v>14908.754840101372</v>
      </c>
      <c r="CF108" s="269">
        <f t="shared" si="274"/>
        <v>43535.382285337291</v>
      </c>
      <c r="CG108" s="269">
        <f t="shared" si="274"/>
        <v>46193.881075405545</v>
      </c>
      <c r="CH108" s="269">
        <f t="shared" si="274"/>
        <v>45889.504918830025</v>
      </c>
      <c r="CI108" s="269">
        <f t="shared" si="274"/>
        <v>45920.550073141123</v>
      </c>
      <c r="CJ108" s="269">
        <f t="shared" si="274"/>
        <v>43034.210988339662</v>
      </c>
      <c r="CK108" s="269">
        <f t="shared" si="274"/>
        <v>44005.564752189479</v>
      </c>
      <c r="CL108" s="269">
        <f t="shared" si="274"/>
        <v>44409.293526074725</v>
      </c>
      <c r="CM108" s="269">
        <f t="shared" si="274"/>
        <v>45238.736906973412</v>
      </c>
      <c r="CN108" s="270"/>
      <c r="CO108" s="269">
        <f t="shared" ref="CO108:CX108" si="275">CO87+CO24</f>
        <v>53920.702129592682</v>
      </c>
      <c r="CP108" s="269">
        <f t="shared" si="275"/>
        <v>38781.203668368675</v>
      </c>
      <c r="CQ108" s="269">
        <f t="shared" si="275"/>
        <v>46541.984241699072</v>
      </c>
      <c r="CR108" s="269">
        <f t="shared" si="275"/>
        <v>49448.360552494763</v>
      </c>
      <c r="CS108" s="269">
        <f t="shared" si="275"/>
        <v>51097.631452700778</v>
      </c>
      <c r="CT108" s="269">
        <f t="shared" si="275"/>
        <v>51703.566221798115</v>
      </c>
      <c r="CU108" s="269">
        <f t="shared" si="275"/>
        <v>51543.390527288066</v>
      </c>
      <c r="CV108" s="269">
        <f t="shared" si="275"/>
        <v>51656.215249764908</v>
      </c>
      <c r="CW108" s="269">
        <f t="shared" si="275"/>
        <v>53859.260023426657</v>
      </c>
      <c r="CX108" s="269">
        <f t="shared" si="275"/>
        <v>53181.603304045857</v>
      </c>
      <c r="CY108" s="269">
        <f t="shared" ref="CY108:CZ108" si="276">CY87+CY24</f>
        <v>52634.36699572207</v>
      </c>
      <c r="CZ108" s="269">
        <f t="shared" si="276"/>
        <v>57686.443346621338</v>
      </c>
      <c r="DA108" s="269">
        <f t="shared" ref="DA108:DB108" si="277">DA87+DA24</f>
        <v>57926.155249428244</v>
      </c>
      <c r="DB108" s="269">
        <f t="shared" si="277"/>
        <v>62153.704575345735</v>
      </c>
      <c r="DC108" s="269">
        <f t="shared" ref="DC108:DD108" si="278">DC87+DC24</f>
        <v>64063.925256457769</v>
      </c>
      <c r="DD108" s="269">
        <f t="shared" si="278"/>
        <v>62590.856225723001</v>
      </c>
      <c r="DE108" s="269">
        <f t="shared" ref="DE108:DF108" si="279">DE87+DE24</f>
        <v>61783.62017890071</v>
      </c>
      <c r="DF108" s="269">
        <f t="shared" si="279"/>
        <v>61216.498886351168</v>
      </c>
      <c r="DG108" s="269">
        <f t="shared" ref="DG108" si="280">DG87+DG24</f>
        <v>59061.239172957285</v>
      </c>
    </row>
    <row r="109" spans="1:111" x14ac:dyDescent="0.35">
      <c r="C109" s="1" t="s">
        <v>7</v>
      </c>
      <c r="D109" s="1">
        <v>25</v>
      </c>
      <c r="E109" s="1"/>
      <c r="F109" s="1"/>
      <c r="G109" s="1"/>
      <c r="H109" s="1"/>
      <c r="I109" s="1"/>
      <c r="J109" s="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1"/>
      <c r="BC109" s="271"/>
      <c r="BD109" s="271"/>
      <c r="BE109" s="271"/>
      <c r="BF109" s="271"/>
      <c r="BG109" s="271"/>
      <c r="BH109" s="271"/>
      <c r="BI109" s="271"/>
      <c r="BJ109" s="271"/>
      <c r="BK109" s="271"/>
      <c r="BL109" s="271"/>
      <c r="BM109" s="271"/>
      <c r="BN109" s="271"/>
      <c r="BO109" s="271"/>
      <c r="BP109" s="271"/>
      <c r="BQ109" s="271"/>
      <c r="BR109" s="271"/>
      <c r="BT109" s="269">
        <f t="shared" ref="BT109:CM109" si="281">BT88+BT25</f>
        <v>0</v>
      </c>
      <c r="BU109" s="269">
        <f t="shared" si="281"/>
        <v>0</v>
      </c>
      <c r="BV109" s="269">
        <f t="shared" si="281"/>
        <v>0</v>
      </c>
      <c r="BW109" s="269">
        <f t="shared" si="281"/>
        <v>0</v>
      </c>
      <c r="BX109" s="269">
        <f t="shared" si="281"/>
        <v>0</v>
      </c>
      <c r="BY109" s="269">
        <f t="shared" si="281"/>
        <v>0</v>
      </c>
      <c r="BZ109" s="269">
        <f t="shared" si="281"/>
        <v>0</v>
      </c>
      <c r="CA109" s="269">
        <f t="shared" si="281"/>
        <v>0</v>
      </c>
      <c r="CB109" s="269">
        <f t="shared" si="281"/>
        <v>0</v>
      </c>
      <c r="CC109" s="269">
        <f t="shared" si="281"/>
        <v>0</v>
      </c>
      <c r="CD109" s="269">
        <f t="shared" si="281"/>
        <v>0</v>
      </c>
      <c r="CE109" s="269">
        <f t="shared" si="281"/>
        <v>0</v>
      </c>
      <c r="CF109" s="269">
        <f t="shared" si="281"/>
        <v>0</v>
      </c>
      <c r="CG109" s="269">
        <f t="shared" si="281"/>
        <v>59603.097855675405</v>
      </c>
      <c r="CH109" s="269">
        <f t="shared" si="281"/>
        <v>61634.61569529002</v>
      </c>
      <c r="CI109" s="269">
        <f t="shared" si="281"/>
        <v>62872.538444494865</v>
      </c>
      <c r="CJ109" s="269">
        <f t="shared" si="281"/>
        <v>65409.558493372715</v>
      </c>
      <c r="CK109" s="269">
        <f t="shared" si="281"/>
        <v>66808.012368826254</v>
      </c>
      <c r="CL109" s="269">
        <f t="shared" si="281"/>
        <v>67387.748526313415</v>
      </c>
      <c r="CM109" s="269">
        <f t="shared" si="281"/>
        <v>68644.306831614027</v>
      </c>
      <c r="CN109" s="270"/>
      <c r="CO109" s="269">
        <f t="shared" ref="CO109:CX109" si="282">CO88+CO25</f>
        <v>53920.702129592682</v>
      </c>
      <c r="CP109" s="269">
        <f t="shared" si="282"/>
        <v>38781.203668368675</v>
      </c>
      <c r="CQ109" s="269">
        <f t="shared" si="282"/>
        <v>46541.984241699072</v>
      </c>
      <c r="CR109" s="269">
        <f t="shared" si="282"/>
        <v>49448.360552494763</v>
      </c>
      <c r="CS109" s="269">
        <f t="shared" si="282"/>
        <v>51097.631452700778</v>
      </c>
      <c r="CT109" s="269">
        <f t="shared" si="282"/>
        <v>51703.566221798115</v>
      </c>
      <c r="CU109" s="269">
        <f t="shared" si="282"/>
        <v>51543.390527288066</v>
      </c>
      <c r="CV109" s="269">
        <f t="shared" si="282"/>
        <v>51656.215249764908</v>
      </c>
      <c r="CW109" s="269">
        <f t="shared" si="282"/>
        <v>53859.260023426657</v>
      </c>
      <c r="CX109" s="269">
        <f t="shared" si="282"/>
        <v>53181.603304045857</v>
      </c>
      <c r="CY109" s="269">
        <f t="shared" ref="CY109:CZ109" si="283">CY88+CY25</f>
        <v>52634.36699572207</v>
      </c>
      <c r="CZ109" s="269">
        <f t="shared" si="283"/>
        <v>57686.443346621338</v>
      </c>
      <c r="DA109" s="269">
        <f t="shared" ref="DA109:DB109" si="284">DA88+DA25</f>
        <v>57926.155249428244</v>
      </c>
      <c r="DB109" s="269">
        <f t="shared" si="284"/>
        <v>62153.704575345735</v>
      </c>
      <c r="DC109" s="269">
        <f t="shared" ref="DC109:DD109" si="285">DC88+DC25</f>
        <v>64063.925256457769</v>
      </c>
      <c r="DD109" s="269">
        <f t="shared" si="285"/>
        <v>62590.856225723001</v>
      </c>
      <c r="DE109" s="269">
        <f t="shared" ref="DE109:DF109" si="286">DE88+DE25</f>
        <v>61783.62017890071</v>
      </c>
      <c r="DF109" s="269">
        <f t="shared" si="286"/>
        <v>61216.498886351168</v>
      </c>
      <c r="DG109" s="269">
        <f t="shared" ref="DG109" si="287">DG88+DG25</f>
        <v>59061.239172957285</v>
      </c>
    </row>
    <row r="110" spans="1:111" x14ac:dyDescent="0.35">
      <c r="C110" s="1" t="s">
        <v>8</v>
      </c>
      <c r="D110" s="1">
        <v>37.200000000000003</v>
      </c>
      <c r="E110" s="1"/>
      <c r="F110" s="1"/>
      <c r="G110" s="1"/>
      <c r="H110" s="1"/>
      <c r="I110" s="1"/>
      <c r="J110" s="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1"/>
      <c r="BG110" s="271"/>
      <c r="BH110" s="271"/>
      <c r="BI110" s="271"/>
      <c r="BJ110" s="271"/>
      <c r="BK110" s="271"/>
      <c r="BL110" s="271"/>
      <c r="BM110" s="271"/>
      <c r="BN110" s="271"/>
      <c r="BO110" s="271"/>
      <c r="BP110" s="271"/>
      <c r="BQ110" s="271"/>
      <c r="BR110" s="271"/>
      <c r="BT110" s="269">
        <f t="shared" ref="BT110:CM110" si="288">BT89+BT26</f>
        <v>12856.30399887442</v>
      </c>
      <c r="BU110" s="269">
        <f t="shared" si="288"/>
        <v>13496.118517869234</v>
      </c>
      <c r="BV110" s="269">
        <f t="shared" si="288"/>
        <v>13935.941418327287</v>
      </c>
      <c r="BW110" s="269">
        <f t="shared" si="288"/>
        <v>15058.49131532956</v>
      </c>
      <c r="BX110" s="269">
        <f t="shared" si="288"/>
        <v>16009.749208734554</v>
      </c>
      <c r="BY110" s="269">
        <f t="shared" si="288"/>
        <v>17519.561443534316</v>
      </c>
      <c r="BZ110" s="269">
        <f t="shared" si="288"/>
        <v>18411.824005664002</v>
      </c>
      <c r="CA110" s="269">
        <f t="shared" si="288"/>
        <v>18857.669975986471</v>
      </c>
      <c r="CB110" s="269">
        <f t="shared" si="288"/>
        <v>20842.209625082411</v>
      </c>
      <c r="CC110" s="269">
        <f t="shared" si="288"/>
        <v>21572.161269161119</v>
      </c>
      <c r="CD110" s="269">
        <f t="shared" si="288"/>
        <v>21732.550383618578</v>
      </c>
      <c r="CE110" s="269">
        <f t="shared" si="288"/>
        <v>21960.588332647978</v>
      </c>
      <c r="CF110" s="269">
        <f t="shared" si="288"/>
        <v>64350.413238620822</v>
      </c>
      <c r="CG110" s="269">
        <f t="shared" si="288"/>
        <v>68219.089396073512</v>
      </c>
      <c r="CH110" s="269">
        <f t="shared" si="288"/>
        <v>67716.411046684778</v>
      </c>
      <c r="CI110" s="269">
        <f t="shared" si="288"/>
        <v>67712.546680362371</v>
      </c>
      <c r="CJ110" s="269">
        <f t="shared" si="288"/>
        <v>63381.09992551191</v>
      </c>
      <c r="CK110" s="269">
        <f t="shared" si="288"/>
        <v>64801.284535734521</v>
      </c>
      <c r="CL110" s="269">
        <f t="shared" si="288"/>
        <v>65391.329548521891</v>
      </c>
      <c r="CM110" s="269">
        <f t="shared" si="288"/>
        <v>66612.392573840159</v>
      </c>
      <c r="CN110" s="270"/>
      <c r="CO110" s="269">
        <f t="shared" ref="CO110:CX110" si="289">CO89+CO26</f>
        <v>79512.647081162286</v>
      </c>
      <c r="CP110" s="269">
        <f t="shared" si="289"/>
        <v>56969.728746208952</v>
      </c>
      <c r="CQ110" s="269">
        <f t="shared" si="289"/>
        <v>68495.396937493526</v>
      </c>
      <c r="CR110" s="269">
        <f t="shared" si="289"/>
        <v>72802.84702614494</v>
      </c>
      <c r="CS110" s="269">
        <f t="shared" si="289"/>
        <v>75240.377448884712</v>
      </c>
      <c r="CT110" s="269">
        <f t="shared" si="289"/>
        <v>76130.371006479574</v>
      </c>
      <c r="CU110" s="269">
        <f t="shared" si="289"/>
        <v>75878.816550049465</v>
      </c>
      <c r="CV110" s="269">
        <f t="shared" si="289"/>
        <v>76036.035512379938</v>
      </c>
      <c r="CW110" s="269">
        <f t="shared" si="289"/>
        <v>79314.166135588603</v>
      </c>
      <c r="CX110" s="269">
        <f t="shared" si="289"/>
        <v>78305.812937149967</v>
      </c>
      <c r="CY110" s="269">
        <f t="shared" ref="CY110:CZ110" si="290">CY89+CY26</f>
        <v>77426.603837465183</v>
      </c>
      <c r="CZ110" s="269">
        <f t="shared" si="290"/>
        <v>84900.420269365175</v>
      </c>
      <c r="DA110" s="269">
        <f t="shared" ref="DA110:DB110" si="291">DA89+DA26</f>
        <v>85247.182349263807</v>
      </c>
      <c r="DB110" s="269">
        <f t="shared" si="291"/>
        <v>91518.568682273108</v>
      </c>
      <c r="DC110" s="269">
        <f t="shared" ref="DC110:DD110" si="292">DC89+DC26</f>
        <v>94333.435898554133</v>
      </c>
      <c r="DD110" s="269">
        <f t="shared" si="292"/>
        <v>92131.50676870835</v>
      </c>
      <c r="DE110" s="269">
        <f t="shared" ref="DE110:DF110" si="293">DE89+DE26</f>
        <v>90913.000922344465</v>
      </c>
      <c r="DF110" s="269">
        <f t="shared" si="293"/>
        <v>90055.944143646047</v>
      </c>
      <c r="DG110" s="269">
        <f t="shared" ref="DG110" si="294">DG89+DG26</f>
        <v>86842.995942561756</v>
      </c>
    </row>
    <row r="111" spans="1:111" x14ac:dyDescent="0.35">
      <c r="C111" s="1" t="s">
        <v>8</v>
      </c>
      <c r="D111" s="1">
        <v>40</v>
      </c>
      <c r="E111" s="1"/>
      <c r="F111" s="1"/>
      <c r="G111" s="1"/>
      <c r="H111" s="1"/>
      <c r="I111" s="1"/>
      <c r="J111" s="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1"/>
      <c r="AR111" s="271"/>
      <c r="AS111" s="271"/>
      <c r="AT111" s="271"/>
      <c r="AU111" s="271"/>
      <c r="AV111" s="271"/>
      <c r="AW111" s="271"/>
      <c r="AX111" s="271"/>
      <c r="AY111" s="271"/>
      <c r="AZ111" s="271"/>
      <c r="BA111" s="271"/>
      <c r="BB111" s="271"/>
      <c r="BC111" s="271"/>
      <c r="BD111" s="271"/>
      <c r="BE111" s="271"/>
      <c r="BF111" s="271"/>
      <c r="BG111" s="271"/>
      <c r="BH111" s="271"/>
      <c r="BI111" s="271"/>
      <c r="BJ111" s="271"/>
      <c r="BK111" s="271"/>
      <c r="BL111" s="271"/>
      <c r="BM111" s="271"/>
      <c r="BN111" s="271"/>
      <c r="BO111" s="271"/>
      <c r="BP111" s="271"/>
      <c r="BQ111" s="271"/>
      <c r="BR111" s="271"/>
      <c r="BT111" s="269">
        <f t="shared" ref="BT111:CM111" si="295">BT90+BT27</f>
        <v>13655.360855714453</v>
      </c>
      <c r="BU111" s="269">
        <f t="shared" si="295"/>
        <v>14339.527200944322</v>
      </c>
      <c r="BV111" s="269">
        <f t="shared" si="295"/>
        <v>0</v>
      </c>
      <c r="BW111" s="269">
        <f t="shared" si="295"/>
        <v>0</v>
      </c>
      <c r="BX111" s="269">
        <f t="shared" si="295"/>
        <v>0</v>
      </c>
      <c r="BY111" s="269">
        <f t="shared" si="295"/>
        <v>0</v>
      </c>
      <c r="BZ111" s="269">
        <f t="shared" si="295"/>
        <v>0</v>
      </c>
      <c r="CA111" s="269">
        <f t="shared" si="295"/>
        <v>0</v>
      </c>
      <c r="CB111" s="269">
        <f t="shared" si="295"/>
        <v>0</v>
      </c>
      <c r="CC111" s="269">
        <f t="shared" si="295"/>
        <v>0</v>
      </c>
      <c r="CD111" s="269">
        <f t="shared" si="295"/>
        <v>0</v>
      </c>
      <c r="CE111" s="269">
        <f t="shared" si="295"/>
        <v>0</v>
      </c>
      <c r="CF111" s="269">
        <f t="shared" si="295"/>
        <v>0</v>
      </c>
      <c r="CG111" s="269">
        <f t="shared" si="295"/>
        <v>0</v>
      </c>
      <c r="CH111" s="269">
        <f t="shared" si="295"/>
        <v>0</v>
      </c>
      <c r="CI111" s="269">
        <f t="shared" si="295"/>
        <v>0</v>
      </c>
      <c r="CJ111" s="269">
        <f t="shared" si="295"/>
        <v>0</v>
      </c>
      <c r="CK111" s="269">
        <f t="shared" si="295"/>
        <v>0</v>
      </c>
      <c r="CL111" s="269">
        <f t="shared" si="295"/>
        <v>0</v>
      </c>
      <c r="CM111" s="269">
        <f t="shared" si="295"/>
        <v>0</v>
      </c>
      <c r="CN111" s="270"/>
      <c r="CO111" s="269">
        <f t="shared" ref="CO111:CX111" si="296">CO90+CO27</f>
        <v>0</v>
      </c>
      <c r="CP111" s="269">
        <f t="shared" si="296"/>
        <v>0</v>
      </c>
      <c r="CQ111" s="269">
        <f t="shared" si="296"/>
        <v>0</v>
      </c>
      <c r="CR111" s="269">
        <f t="shared" si="296"/>
        <v>0</v>
      </c>
      <c r="CS111" s="269">
        <f t="shared" si="296"/>
        <v>0</v>
      </c>
      <c r="CT111" s="269">
        <f t="shared" si="296"/>
        <v>0</v>
      </c>
      <c r="CU111" s="269">
        <f t="shared" si="296"/>
        <v>0</v>
      </c>
      <c r="CV111" s="269">
        <f t="shared" si="296"/>
        <v>0</v>
      </c>
      <c r="CW111" s="269">
        <f t="shared" si="296"/>
        <v>0</v>
      </c>
      <c r="CX111" s="269">
        <f t="shared" si="296"/>
        <v>0</v>
      </c>
      <c r="CY111" s="269">
        <f t="shared" ref="CY111:CZ111" si="297">CY90+CY27</f>
        <v>0</v>
      </c>
      <c r="CZ111" s="269">
        <f t="shared" si="297"/>
        <v>0</v>
      </c>
      <c r="DA111" s="269">
        <f t="shared" ref="DA111:DB111" si="298">DA90+DA27</f>
        <v>0</v>
      </c>
      <c r="DB111" s="269">
        <f t="shared" si="298"/>
        <v>0</v>
      </c>
      <c r="DC111" s="269">
        <f t="shared" ref="DC111:DD111" si="299">DC90+DC27</f>
        <v>0</v>
      </c>
      <c r="DD111" s="269">
        <f t="shared" si="299"/>
        <v>0</v>
      </c>
      <c r="DE111" s="269">
        <f t="shared" ref="DE111:DF111" si="300">DE90+DE27</f>
        <v>0</v>
      </c>
      <c r="DF111" s="269">
        <f t="shared" si="300"/>
        <v>0</v>
      </c>
      <c r="DG111" s="269">
        <f t="shared" ref="DG111" si="301">DG90+DG27</f>
        <v>0</v>
      </c>
    </row>
    <row r="112" spans="1:111" x14ac:dyDescent="0.35">
      <c r="C112" s="1" t="s">
        <v>8</v>
      </c>
      <c r="D112" s="1">
        <v>44</v>
      </c>
      <c r="E112" s="1"/>
      <c r="F112" s="1"/>
      <c r="G112" s="1"/>
      <c r="H112" s="1"/>
      <c r="I112" s="1"/>
      <c r="J112" s="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1"/>
      <c r="AW112" s="271"/>
      <c r="AX112" s="271"/>
      <c r="AY112" s="271"/>
      <c r="AZ112" s="271"/>
      <c r="BA112" s="271"/>
      <c r="BB112" s="271"/>
      <c r="BC112" s="271"/>
      <c r="BD112" s="271"/>
      <c r="BE112" s="271"/>
      <c r="BF112" s="271"/>
      <c r="BG112" s="271"/>
      <c r="BH112" s="271"/>
      <c r="BI112" s="271"/>
      <c r="BJ112" s="271"/>
      <c r="BK112" s="271"/>
      <c r="BL112" s="271"/>
      <c r="BM112" s="271"/>
      <c r="BN112" s="271"/>
      <c r="BO112" s="271"/>
      <c r="BP112" s="271"/>
      <c r="BQ112" s="271"/>
      <c r="BR112" s="271"/>
      <c r="BT112" s="269">
        <f t="shared" ref="BT112:CM112" si="302">BT91+BT28</f>
        <v>14796.87065120021</v>
      </c>
      <c r="BU112" s="269">
        <f t="shared" si="302"/>
        <v>15544.396748194449</v>
      </c>
      <c r="BV112" s="269">
        <f t="shared" si="302"/>
        <v>16056.007176248282</v>
      </c>
      <c r="BW112" s="269">
        <f t="shared" si="302"/>
        <v>17372.464456351081</v>
      </c>
      <c r="BX112" s="269">
        <f t="shared" si="302"/>
        <v>18486.390508246499</v>
      </c>
      <c r="BY112" s="269">
        <f t="shared" si="302"/>
        <v>20260.113653968128</v>
      </c>
      <c r="BZ112" s="269">
        <f t="shared" si="302"/>
        <v>21184.278653429188</v>
      </c>
      <c r="CA112" s="269">
        <f t="shared" si="302"/>
        <v>21696.979365453168</v>
      </c>
      <c r="CB112" s="269">
        <f t="shared" si="302"/>
        <v>23984.946100942991</v>
      </c>
      <c r="CC112" s="269">
        <f t="shared" si="302"/>
        <v>24848.410006990849</v>
      </c>
      <c r="CD112" s="269">
        <f t="shared" si="302"/>
        <v>25038.117561725485</v>
      </c>
      <c r="CE112" s="269">
        <f t="shared" si="302"/>
        <v>25298.933115082466</v>
      </c>
      <c r="CF112" s="269">
        <f t="shared" si="302"/>
        <v>74812.989836651512</v>
      </c>
      <c r="CG112" s="269">
        <f t="shared" si="302"/>
        <v>79125.368852641142</v>
      </c>
      <c r="CH112" s="269">
        <f t="shared" si="302"/>
        <v>78380.381686759647</v>
      </c>
      <c r="CI112" s="269">
        <f t="shared" si="302"/>
        <v>78224.504170891145</v>
      </c>
      <c r="CJ112" s="269">
        <f t="shared" si="302"/>
        <v>72990.740789541174</v>
      </c>
      <c r="CK112" s="269">
        <f t="shared" si="302"/>
        <v>74594.392015058067</v>
      </c>
      <c r="CL112" s="269">
        <f t="shared" si="302"/>
        <v>75259.943308891205</v>
      </c>
      <c r="CM112" s="269">
        <f t="shared" si="302"/>
        <v>76664.468920422645</v>
      </c>
      <c r="CN112" s="270"/>
      <c r="CO112" s="269">
        <f t="shared" ref="CO112:CX112" si="303">CO91+CO28</f>
        <v>91866.88811779565</v>
      </c>
      <c r="CP112" s="269">
        <f t="shared" si="303"/>
        <v>65156.841604898756</v>
      </c>
      <c r="CQ112" s="269">
        <f t="shared" si="303"/>
        <v>78721.728280889918</v>
      </c>
      <c r="CR112" s="269">
        <f t="shared" si="303"/>
        <v>83764.459678392217</v>
      </c>
      <c r="CS112" s="269">
        <f t="shared" si="303"/>
        <v>86597.432412383088</v>
      </c>
      <c r="CT112" s="269">
        <f t="shared" si="303"/>
        <v>87614.938579556503</v>
      </c>
      <c r="CU112" s="269">
        <f t="shared" si="303"/>
        <v>87277.464225948919</v>
      </c>
      <c r="CV112" s="269">
        <f t="shared" si="303"/>
        <v>87431.189145912722</v>
      </c>
      <c r="CW112" s="269">
        <f t="shared" si="303"/>
        <v>91308.547947557367</v>
      </c>
      <c r="CX112" s="269">
        <f t="shared" si="303"/>
        <v>90115.872121447173</v>
      </c>
      <c r="CY112" s="269">
        <f t="shared" ref="CY112:CZ112" si="304">CY91+CY28</f>
        <v>88879.719955668246</v>
      </c>
      <c r="CZ112" s="269">
        <f t="shared" si="304"/>
        <v>97587.714176000838</v>
      </c>
      <c r="DA112" s="269">
        <f t="shared" ref="DA112:DB112" si="305">DA91+DA28</f>
        <v>97967.851422970125</v>
      </c>
      <c r="DB112" s="269">
        <f t="shared" si="305"/>
        <v>105327.56618085707</v>
      </c>
      <c r="DC112" s="269">
        <f t="shared" ref="DC112:DD112" si="306">DC91+DC28</f>
        <v>108573.73490564559</v>
      </c>
      <c r="DD112" s="269">
        <f t="shared" si="306"/>
        <v>105939.06996081295</v>
      </c>
      <c r="DE112" s="269">
        <f t="shared" ref="DE112:DF112" si="307">DE91+DE28</f>
        <v>104445.41993496136</v>
      </c>
      <c r="DF112" s="269">
        <f t="shared" si="307"/>
        <v>103391.85895924612</v>
      </c>
      <c r="DG112" s="269">
        <f t="shared" ref="DG112" si="308">DG91+DG28</f>
        <v>99573.69895688018</v>
      </c>
    </row>
    <row r="113" spans="1:111" x14ac:dyDescent="0.35">
      <c r="C113" s="1" t="s">
        <v>9</v>
      </c>
      <c r="D113" s="1">
        <v>42.6</v>
      </c>
      <c r="E113" s="1"/>
      <c r="F113" s="1"/>
      <c r="G113" s="1"/>
      <c r="H113" s="1"/>
      <c r="I113" s="1"/>
      <c r="J113" s="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271"/>
      <c r="AY113" s="271"/>
      <c r="AZ113" s="271"/>
      <c r="BA113" s="271"/>
      <c r="BB113" s="271"/>
      <c r="BC113" s="271"/>
      <c r="BD113" s="271"/>
      <c r="BE113" s="271"/>
      <c r="BF113" s="271"/>
      <c r="BG113" s="271"/>
      <c r="BH113" s="271"/>
      <c r="BI113" s="271"/>
      <c r="BJ113" s="271"/>
      <c r="BK113" s="271"/>
      <c r="BL113" s="271"/>
      <c r="BM113" s="271"/>
      <c r="BN113" s="271"/>
      <c r="BO113" s="271"/>
      <c r="BP113" s="271"/>
      <c r="BQ113" s="271"/>
      <c r="BR113" s="271"/>
      <c r="BT113" s="269">
        <f t="shared" ref="BT113:CM113" si="309">BT92+BT29</f>
        <v>14648.683219144767</v>
      </c>
      <c r="BU113" s="269">
        <f t="shared" si="309"/>
        <v>15379.694092676651</v>
      </c>
      <c r="BV113" s="269">
        <f t="shared" si="309"/>
        <v>0</v>
      </c>
      <c r="BW113" s="269">
        <f t="shared" si="309"/>
        <v>0</v>
      </c>
      <c r="BX113" s="269">
        <f t="shared" si="309"/>
        <v>0</v>
      </c>
      <c r="BY113" s="269">
        <f t="shared" si="309"/>
        <v>0</v>
      </c>
      <c r="BZ113" s="269">
        <f t="shared" si="309"/>
        <v>0</v>
      </c>
      <c r="CA113" s="269">
        <f t="shared" si="309"/>
        <v>0</v>
      </c>
      <c r="CB113" s="269">
        <f t="shared" si="309"/>
        <v>0</v>
      </c>
      <c r="CC113" s="269">
        <f t="shared" si="309"/>
        <v>0</v>
      </c>
      <c r="CD113" s="269">
        <f t="shared" si="309"/>
        <v>0</v>
      </c>
      <c r="CE113" s="269">
        <f t="shared" si="309"/>
        <v>0</v>
      </c>
      <c r="CF113" s="269">
        <f t="shared" si="309"/>
        <v>0</v>
      </c>
      <c r="CG113" s="269">
        <f t="shared" si="309"/>
        <v>0</v>
      </c>
      <c r="CH113" s="269">
        <f t="shared" si="309"/>
        <v>0</v>
      </c>
      <c r="CI113" s="269">
        <f t="shared" si="309"/>
        <v>0</v>
      </c>
      <c r="CJ113" s="269">
        <f t="shared" si="309"/>
        <v>0</v>
      </c>
      <c r="CK113" s="269">
        <f t="shared" si="309"/>
        <v>0</v>
      </c>
      <c r="CL113" s="269">
        <f t="shared" si="309"/>
        <v>0</v>
      </c>
      <c r="CM113" s="269">
        <f t="shared" si="309"/>
        <v>0</v>
      </c>
      <c r="CN113" s="270"/>
      <c r="CO113" s="269">
        <f t="shared" ref="CO113:CX113" si="310">CO92+CO29</f>
        <v>0</v>
      </c>
      <c r="CP113" s="269">
        <f t="shared" si="310"/>
        <v>0</v>
      </c>
      <c r="CQ113" s="269">
        <f t="shared" si="310"/>
        <v>0</v>
      </c>
      <c r="CR113" s="269">
        <f t="shared" si="310"/>
        <v>0</v>
      </c>
      <c r="CS113" s="269">
        <f t="shared" si="310"/>
        <v>0</v>
      </c>
      <c r="CT113" s="269">
        <f t="shared" si="310"/>
        <v>0</v>
      </c>
      <c r="CU113" s="269">
        <f t="shared" si="310"/>
        <v>0</v>
      </c>
      <c r="CV113" s="269">
        <f t="shared" si="310"/>
        <v>0</v>
      </c>
      <c r="CW113" s="269">
        <f t="shared" si="310"/>
        <v>0</v>
      </c>
      <c r="CX113" s="269">
        <f t="shared" si="310"/>
        <v>0</v>
      </c>
      <c r="CY113" s="269">
        <f t="shared" ref="CY113:CZ113" si="311">CY92+CY29</f>
        <v>0</v>
      </c>
      <c r="CZ113" s="269">
        <f t="shared" si="311"/>
        <v>0</v>
      </c>
      <c r="DA113" s="269">
        <f t="shared" ref="DA113:DB113" si="312">DA92+DA29</f>
        <v>0</v>
      </c>
      <c r="DB113" s="269">
        <f t="shared" si="312"/>
        <v>0</v>
      </c>
      <c r="DC113" s="269">
        <f t="shared" ref="DC113:DD113" si="313">DC92+DC29</f>
        <v>0</v>
      </c>
      <c r="DD113" s="269">
        <f t="shared" si="313"/>
        <v>0</v>
      </c>
      <c r="DE113" s="269">
        <f t="shared" ref="DE113:DF113" si="314">DE92+DE29</f>
        <v>0</v>
      </c>
      <c r="DF113" s="269">
        <f t="shared" si="314"/>
        <v>0</v>
      </c>
      <c r="DG113" s="269">
        <f t="shared" ref="DG113" si="315">DG92+DG29</f>
        <v>0</v>
      </c>
    </row>
    <row r="114" spans="1:111" x14ac:dyDescent="0.35">
      <c r="C114" s="1" t="s">
        <v>9</v>
      </c>
      <c r="D114" s="1">
        <v>46.6</v>
      </c>
      <c r="E114" s="1"/>
      <c r="F114" s="1"/>
      <c r="G114" s="1"/>
      <c r="H114" s="1"/>
      <c r="I114" s="1"/>
      <c r="J114" s="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271"/>
      <c r="AY114" s="271"/>
      <c r="AZ114" s="271"/>
      <c r="BA114" s="271"/>
      <c r="BB114" s="271"/>
      <c r="BC114" s="271"/>
      <c r="BD114" s="271"/>
      <c r="BE114" s="271"/>
      <c r="BF114" s="271"/>
      <c r="BG114" s="271"/>
      <c r="BH114" s="271"/>
      <c r="BI114" s="271"/>
      <c r="BJ114" s="271"/>
      <c r="BK114" s="271"/>
      <c r="BL114" s="271"/>
      <c r="BM114" s="271"/>
      <c r="BN114" s="271"/>
      <c r="BO114" s="271"/>
      <c r="BP114" s="271"/>
      <c r="BQ114" s="271"/>
      <c r="BR114" s="271"/>
      <c r="BT114" s="269">
        <f t="shared" ref="BT114:CM114" si="316">BT93+BT30</f>
        <v>15790.193014630529</v>
      </c>
      <c r="BU114" s="269">
        <f t="shared" si="316"/>
        <v>16584.563639926775</v>
      </c>
      <c r="BV114" s="269">
        <f t="shared" si="316"/>
        <v>17128.329654089746</v>
      </c>
      <c r="BW114" s="269">
        <f t="shared" si="316"/>
        <v>18525.841699333421</v>
      </c>
      <c r="BX114" s="269">
        <f t="shared" si="316"/>
        <v>19708.833882822029</v>
      </c>
      <c r="BY114" s="269">
        <f t="shared" si="316"/>
        <v>21590.859400163888</v>
      </c>
      <c r="BZ114" s="269">
        <f t="shared" si="316"/>
        <v>22607.566136315651</v>
      </c>
      <c r="CA114" s="269">
        <f t="shared" si="316"/>
        <v>23154.796627874592</v>
      </c>
      <c r="CB114" s="269">
        <f t="shared" si="316"/>
        <v>25595.117102279717</v>
      </c>
      <c r="CC114" s="269">
        <f t="shared" si="316"/>
        <v>26509.580676443573</v>
      </c>
      <c r="CD114" s="269">
        <f t="shared" si="316"/>
        <v>26710.498223048889</v>
      </c>
      <c r="CE114" s="269">
        <f t="shared" si="316"/>
        <v>26989.300700170072</v>
      </c>
      <c r="CF114" s="269">
        <f t="shared" si="316"/>
        <v>79609.726113420722</v>
      </c>
      <c r="CG114" s="269">
        <f t="shared" si="316"/>
        <v>84253.102549198346</v>
      </c>
      <c r="CH114" s="269">
        <f t="shared" si="316"/>
        <v>83507.582828772545</v>
      </c>
      <c r="CI114" s="269">
        <f t="shared" si="316"/>
        <v>83386.239762838173</v>
      </c>
      <c r="CJ114" s="269">
        <f t="shared" si="316"/>
        <v>77875.169528897706</v>
      </c>
      <c r="CK114" s="269">
        <f t="shared" si="316"/>
        <v>79595.59448979325</v>
      </c>
      <c r="CL114" s="269">
        <f t="shared" si="316"/>
        <v>80309.827165098206</v>
      </c>
      <c r="CM114" s="269">
        <f t="shared" si="316"/>
        <v>81808.837709149593</v>
      </c>
      <c r="CN114" s="270"/>
      <c r="CO114" s="269">
        <f t="shared" ref="CO114:CX114" si="317">CO93+CO30</f>
        <v>97925.756731711605</v>
      </c>
      <c r="CP114" s="269">
        <f t="shared" si="317"/>
        <v>69650.798449644062</v>
      </c>
      <c r="CQ114" s="269">
        <f t="shared" si="317"/>
        <v>84036.797901224039</v>
      </c>
      <c r="CR114" s="269">
        <f t="shared" si="317"/>
        <v>89392.572479923998</v>
      </c>
      <c r="CS114" s="269">
        <f t="shared" si="317"/>
        <v>92407.44094995661</v>
      </c>
      <c r="CT114" s="269">
        <f t="shared" si="317"/>
        <v>93495.242002892744</v>
      </c>
      <c r="CU114" s="269">
        <f t="shared" si="317"/>
        <v>93149.372407727365</v>
      </c>
      <c r="CV114" s="269">
        <f t="shared" si="317"/>
        <v>93321.500187039012</v>
      </c>
      <c r="CW114" s="269">
        <f t="shared" si="317"/>
        <v>97427.975645144499</v>
      </c>
      <c r="CX114" s="269">
        <f t="shared" si="317"/>
        <v>96164.823520218677</v>
      </c>
      <c r="CY114" s="269">
        <f t="shared" ref="CY114:CZ114" si="318">CY93+CY30</f>
        <v>94912.358732057721</v>
      </c>
      <c r="CZ114" s="269">
        <f t="shared" si="318"/>
        <v>104173.08079655004</v>
      </c>
      <c r="DA114" s="269">
        <f t="shared" ref="DA114:DB114" si="319">DA93+DA30</f>
        <v>104584.35752676299</v>
      </c>
      <c r="DB114" s="269">
        <f t="shared" si="319"/>
        <v>112395.74893973401</v>
      </c>
      <c r="DC114" s="269">
        <f t="shared" ref="DC114:DD114" si="320">DC93+DC30</f>
        <v>115857.80403401057</v>
      </c>
      <c r="DD114" s="269">
        <f t="shared" si="320"/>
        <v>113076.19512032036</v>
      </c>
      <c r="DE114" s="269">
        <f t="shared" ref="DE114:DF114" si="321">DE93+DE30</f>
        <v>111509.43559456918</v>
      </c>
      <c r="DF114" s="269">
        <f t="shared" si="321"/>
        <v>110405.13656822563</v>
      </c>
      <c r="DG114" s="269">
        <f t="shared" ref="DG114" si="322">DG93+DG30</f>
        <v>106366.53284004542</v>
      </c>
    </row>
    <row r="115" spans="1:111" x14ac:dyDescent="0.35">
      <c r="C115" s="99" t="s">
        <v>10</v>
      </c>
      <c r="D115" s="1">
        <v>46.6</v>
      </c>
      <c r="E115" s="1"/>
      <c r="F115" s="1"/>
      <c r="G115" s="1"/>
      <c r="H115" s="1"/>
      <c r="I115" s="1"/>
      <c r="J115" s="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271"/>
      <c r="AY115" s="271"/>
      <c r="AZ115" s="271"/>
      <c r="BA115" s="271"/>
      <c r="BB115" s="271"/>
      <c r="BC115" s="271"/>
      <c r="BD115" s="271"/>
      <c r="BE115" s="271"/>
      <c r="BF115" s="271"/>
      <c r="BG115" s="271"/>
      <c r="BH115" s="271"/>
      <c r="BI115" s="271"/>
      <c r="BJ115" s="271"/>
      <c r="BK115" s="271"/>
      <c r="BL115" s="271"/>
      <c r="BM115" s="271"/>
      <c r="BN115" s="271"/>
      <c r="BO115" s="271"/>
      <c r="BP115" s="271"/>
      <c r="BQ115" s="271"/>
      <c r="BR115" s="271"/>
      <c r="BT115" s="269">
        <f t="shared" ref="BT115:CM115" si="323">BT94+BT31</f>
        <v>0</v>
      </c>
      <c r="BU115" s="269">
        <f t="shared" si="323"/>
        <v>0</v>
      </c>
      <c r="BV115" s="269">
        <f t="shared" si="323"/>
        <v>0</v>
      </c>
      <c r="BW115" s="269">
        <f t="shared" si="323"/>
        <v>0</v>
      </c>
      <c r="BX115" s="269">
        <f t="shared" si="323"/>
        <v>0</v>
      </c>
      <c r="BY115" s="269">
        <f t="shared" si="323"/>
        <v>0</v>
      </c>
      <c r="BZ115" s="269">
        <f t="shared" si="323"/>
        <v>0</v>
      </c>
      <c r="CA115" s="269">
        <f t="shared" si="323"/>
        <v>0</v>
      </c>
      <c r="CB115" s="269">
        <f t="shared" si="323"/>
        <v>0</v>
      </c>
      <c r="CC115" s="269">
        <f t="shared" si="323"/>
        <v>0</v>
      </c>
      <c r="CD115" s="269">
        <f t="shared" si="323"/>
        <v>0</v>
      </c>
      <c r="CE115" s="269">
        <f t="shared" si="323"/>
        <v>0</v>
      </c>
      <c r="CF115" s="269">
        <f t="shared" si="323"/>
        <v>0</v>
      </c>
      <c r="CG115" s="269">
        <f t="shared" si="323"/>
        <v>89252.058564882958</v>
      </c>
      <c r="CH115" s="269">
        <f t="shared" si="323"/>
        <v>89377.360126236847</v>
      </c>
      <c r="CI115" s="269">
        <f t="shared" si="323"/>
        <v>89705.94102767884</v>
      </c>
      <c r="CJ115" s="269">
        <f t="shared" si="323"/>
        <v>86216.699078774021</v>
      </c>
      <c r="CK115" s="269">
        <f t="shared" si="323"/>
        <v>88096.346961275442</v>
      </c>
      <c r="CL115" s="269">
        <f t="shared" si="323"/>
        <v>88876.195189187201</v>
      </c>
      <c r="CM115" s="269">
        <f t="shared" si="323"/>
        <v>90534.43417705562</v>
      </c>
      <c r="CN115" s="270"/>
      <c r="CO115" s="269">
        <f t="shared" ref="CO115:CX115" si="324">CO94+CO31</f>
        <v>13262.86962772392</v>
      </c>
      <c r="CP115" s="269">
        <f t="shared" si="324"/>
        <v>13544.995623916868</v>
      </c>
      <c r="CQ115" s="269">
        <f t="shared" si="324"/>
        <v>13956.350753831228</v>
      </c>
      <c r="CR115" s="269">
        <f t="shared" si="324"/>
        <v>14273.28577481773</v>
      </c>
      <c r="CS115" s="269">
        <f t="shared" si="324"/>
        <v>92407.44094995661</v>
      </c>
      <c r="CT115" s="269">
        <f t="shared" si="324"/>
        <v>93495.242002892744</v>
      </c>
      <c r="CU115" s="269">
        <f t="shared" si="324"/>
        <v>93149.372407727365</v>
      </c>
      <c r="CV115" s="269">
        <f t="shared" si="324"/>
        <v>93321.500187039012</v>
      </c>
      <c r="CW115" s="269">
        <f t="shared" si="324"/>
        <v>97427.975645144499</v>
      </c>
      <c r="CX115" s="269">
        <f t="shared" si="324"/>
        <v>96164.823520218677</v>
      </c>
      <c r="CY115" s="269">
        <f t="shared" ref="CY115:CZ115" si="325">CY94+CY31</f>
        <v>94912.358732057721</v>
      </c>
      <c r="CZ115" s="269">
        <f t="shared" si="325"/>
        <v>104173.08079655004</v>
      </c>
      <c r="DA115" s="269">
        <f t="shared" ref="DA115:DB115" si="326">DA94+DA31</f>
        <v>104584.35752676299</v>
      </c>
      <c r="DB115" s="269">
        <f t="shared" si="326"/>
        <v>112395.74893973401</v>
      </c>
      <c r="DC115" s="269">
        <f t="shared" ref="DC115:DD115" si="327">DC94+DC31</f>
        <v>115857.80403401057</v>
      </c>
      <c r="DD115" s="269">
        <f t="shared" si="327"/>
        <v>113076.19512032036</v>
      </c>
      <c r="DE115" s="269">
        <f t="shared" ref="DE115:DF115" si="328">DE94+DE31</f>
        <v>111509.43559456918</v>
      </c>
      <c r="DF115" s="269">
        <f t="shared" si="328"/>
        <v>110405.13656822563</v>
      </c>
      <c r="DG115" s="269">
        <f t="shared" ref="DG115" si="329">DG94+DG31</f>
        <v>106366.53284004542</v>
      </c>
    </row>
    <row r="116" spans="1:111" x14ac:dyDescent="0.35">
      <c r="C116" s="1" t="s">
        <v>9</v>
      </c>
      <c r="D116" s="1">
        <v>48</v>
      </c>
      <c r="E116" s="1"/>
      <c r="F116" s="1"/>
      <c r="G116" s="1"/>
      <c r="H116" s="1"/>
      <c r="I116" s="1"/>
      <c r="J116" s="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1"/>
      <c r="AR116" s="271"/>
      <c r="AS116" s="271"/>
      <c r="AT116" s="271"/>
      <c r="AU116" s="271"/>
      <c r="AV116" s="271"/>
      <c r="AW116" s="271"/>
      <c r="AX116" s="271"/>
      <c r="AY116" s="271"/>
      <c r="AZ116" s="271"/>
      <c r="BA116" s="271"/>
      <c r="BB116" s="271"/>
      <c r="BC116" s="271"/>
      <c r="BD116" s="271"/>
      <c r="BE116" s="271"/>
      <c r="BF116" s="271"/>
      <c r="BG116" s="271"/>
      <c r="BH116" s="271"/>
      <c r="BI116" s="271"/>
      <c r="BJ116" s="271"/>
      <c r="BK116" s="271"/>
      <c r="BL116" s="271"/>
      <c r="BM116" s="271"/>
      <c r="BN116" s="271"/>
      <c r="BO116" s="271"/>
      <c r="BP116" s="271"/>
      <c r="BQ116" s="271"/>
      <c r="BR116" s="271"/>
      <c r="BT116" s="269">
        <f t="shared" ref="BT116:CM116" si="330">BT95+BT32</f>
        <v>16189.721443050543</v>
      </c>
      <c r="BU116" s="269">
        <f t="shared" si="330"/>
        <v>17006.26798146432</v>
      </c>
      <c r="BV116" s="269">
        <f t="shared" si="330"/>
        <v>17564.813780720538</v>
      </c>
      <c r="BW116" s="269">
        <f t="shared" si="330"/>
        <v>19002.247934249619</v>
      </c>
      <c r="BX116" s="269">
        <f t="shared" si="330"/>
        <v>20218.730620956834</v>
      </c>
      <c r="BY116" s="269">
        <f t="shared" si="330"/>
        <v>22155.090737606144</v>
      </c>
      <c r="BZ116" s="269">
        <f t="shared" si="330"/>
        <v>23178.365622620247</v>
      </c>
      <c r="CA116" s="269">
        <f t="shared" si="330"/>
        <v>23739.360325705969</v>
      </c>
      <c r="CB116" s="269">
        <f t="shared" si="330"/>
        <v>26242.151082603956</v>
      </c>
      <c r="CC116" s="269">
        <f t="shared" si="330"/>
        <v>27184.102475408519</v>
      </c>
      <c r="CD116" s="269">
        <f t="shared" si="330"/>
        <v>27391.056171482665</v>
      </c>
      <c r="CE116" s="269">
        <f t="shared" si="330"/>
        <v>27676.606978906584</v>
      </c>
      <c r="CF116" s="269">
        <f t="shared" si="330"/>
        <v>81763.786001250555</v>
      </c>
      <c r="CG116" s="269">
        <f t="shared" si="330"/>
        <v>86498.513025550506</v>
      </c>
      <c r="CH116" s="269">
        <f t="shared" si="330"/>
        <v>85703.106195846791</v>
      </c>
      <c r="CI116" s="269">
        <f t="shared" si="330"/>
        <v>85550.466305005859</v>
      </c>
      <c r="CJ116" s="269">
        <f t="shared" si="330"/>
        <v>79853.625000903732</v>
      </c>
      <c r="CK116" s="269">
        <f t="shared" si="330"/>
        <v>81611.822500242226</v>
      </c>
      <c r="CL116" s="269">
        <f t="shared" si="330"/>
        <v>82341.600586350731</v>
      </c>
      <c r="CM116" s="269">
        <f t="shared" si="330"/>
        <v>83878.382839328347</v>
      </c>
      <c r="CN116" s="270"/>
      <c r="CO116" s="269">
        <f t="shared" ref="CO116:CX116" si="331">CO95+CO32</f>
        <v>100469.27694513611</v>
      </c>
      <c r="CP116" s="269">
        <f t="shared" si="331"/>
        <v>71336.380508786082</v>
      </c>
      <c r="CQ116" s="269">
        <f t="shared" si="331"/>
        <v>86142.21906015859</v>
      </c>
      <c r="CR116" s="269">
        <f t="shared" si="331"/>
        <v>91649.375084798448</v>
      </c>
      <c r="CS116" s="269">
        <f t="shared" si="331"/>
        <v>94745.658148323913</v>
      </c>
      <c r="CT116" s="269">
        <f t="shared" si="331"/>
        <v>95859.711797349766</v>
      </c>
      <c r="CU116" s="269">
        <f t="shared" si="331"/>
        <v>95496.152811589025</v>
      </c>
      <c r="CV116" s="269">
        <f t="shared" si="331"/>
        <v>95667.561229236919</v>
      </c>
      <c r="CW116" s="269">
        <f t="shared" si="331"/>
        <v>99897.407194667467</v>
      </c>
      <c r="CX116" s="269">
        <f t="shared" si="331"/>
        <v>98596.306293456335</v>
      </c>
      <c r="CY116" s="269">
        <f t="shared" ref="CY116:CZ116" si="332">CY95+CY32</f>
        <v>97270.353226981897</v>
      </c>
      <c r="CZ116" s="269">
        <f t="shared" si="332"/>
        <v>106785.17071850442</v>
      </c>
      <c r="DA116" s="269">
        <f t="shared" ref="DA116:DB116" si="333">DA95+DA32</f>
        <v>107203.31880664369</v>
      </c>
      <c r="DB116" s="269">
        <f t="shared" si="333"/>
        <v>115238.77783650131</v>
      </c>
      <c r="DC116" s="269">
        <f t="shared" ref="DC116:DD116" si="334">DC95+DC32</f>
        <v>118789.63030017645</v>
      </c>
      <c r="DD116" s="269">
        <f t="shared" si="334"/>
        <v>115918.92871869482</v>
      </c>
      <c r="DE116" s="269">
        <f t="shared" ref="DE116:DF116" si="335">DE95+DE32</f>
        <v>114295.52186187265</v>
      </c>
      <c r="DF116" s="269">
        <f t="shared" si="335"/>
        <v>113150.76608908446</v>
      </c>
      <c r="DG116" s="269">
        <f t="shared" ref="DG116" si="336">DG95+DG32</f>
        <v>108987.55993122862</v>
      </c>
    </row>
    <row r="117" spans="1:111" x14ac:dyDescent="0.35">
      <c r="C117" s="1" t="s">
        <v>9</v>
      </c>
      <c r="D117" s="1">
        <v>49.6</v>
      </c>
      <c r="E117" s="1"/>
      <c r="F117" s="1"/>
      <c r="G117" s="1"/>
      <c r="H117" s="1"/>
      <c r="I117" s="1"/>
      <c r="J117" s="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1"/>
      <c r="AR117" s="271"/>
      <c r="AS117" s="271"/>
      <c r="AT117" s="271"/>
      <c r="AU117" s="271"/>
      <c r="AV117" s="271"/>
      <c r="AW117" s="271"/>
      <c r="AX117" s="271"/>
      <c r="AY117" s="271"/>
      <c r="AZ117" s="271"/>
      <c r="BA117" s="271"/>
      <c r="BB117" s="271"/>
      <c r="BC117" s="271"/>
      <c r="BD117" s="271"/>
      <c r="BE117" s="271"/>
      <c r="BF117" s="271"/>
      <c r="BG117" s="271"/>
      <c r="BH117" s="271"/>
      <c r="BI117" s="271"/>
      <c r="BJ117" s="271"/>
      <c r="BK117" s="271"/>
      <c r="BL117" s="271"/>
      <c r="BM117" s="271"/>
      <c r="BN117" s="271"/>
      <c r="BO117" s="271"/>
      <c r="BP117" s="272"/>
      <c r="BQ117" s="272"/>
      <c r="BR117" s="272"/>
      <c r="BT117" s="269">
        <f t="shared" ref="BT117:CM117" si="337">BT96+BT33</f>
        <v>16646.325361244853</v>
      </c>
      <c r="BU117" s="269">
        <f t="shared" si="337"/>
        <v>17488.215800364371</v>
      </c>
      <c r="BV117" s="269">
        <f t="shared" si="337"/>
        <v>0</v>
      </c>
      <c r="BW117" s="269">
        <f t="shared" si="337"/>
        <v>0</v>
      </c>
      <c r="BX117" s="269">
        <f t="shared" si="337"/>
        <v>0</v>
      </c>
      <c r="BY117" s="269">
        <f t="shared" si="337"/>
        <v>0</v>
      </c>
      <c r="BZ117" s="269">
        <f t="shared" si="337"/>
        <v>0</v>
      </c>
      <c r="CA117" s="269">
        <f t="shared" si="337"/>
        <v>0</v>
      </c>
      <c r="CB117" s="269">
        <f t="shared" si="337"/>
        <v>0</v>
      </c>
      <c r="CC117" s="269">
        <f t="shared" si="337"/>
        <v>0</v>
      </c>
      <c r="CD117" s="269">
        <f t="shared" si="337"/>
        <v>0</v>
      </c>
      <c r="CE117" s="269">
        <f t="shared" si="337"/>
        <v>0</v>
      </c>
      <c r="CF117" s="269">
        <f t="shared" si="337"/>
        <v>0</v>
      </c>
      <c r="CG117" s="269">
        <f t="shared" si="337"/>
        <v>0</v>
      </c>
      <c r="CH117" s="269">
        <f t="shared" si="337"/>
        <v>0</v>
      </c>
      <c r="CI117" s="269">
        <f t="shared" si="337"/>
        <v>0</v>
      </c>
      <c r="CJ117" s="269">
        <f t="shared" si="337"/>
        <v>0</v>
      </c>
      <c r="CK117" s="269">
        <f t="shared" si="337"/>
        <v>0</v>
      </c>
      <c r="CL117" s="269">
        <f t="shared" si="337"/>
        <v>0</v>
      </c>
      <c r="CM117" s="269">
        <f t="shared" si="337"/>
        <v>0</v>
      </c>
      <c r="CN117" s="270"/>
      <c r="CO117" s="269">
        <f t="shared" ref="CO117:CX117" si="338">CO96+CO33</f>
        <v>0</v>
      </c>
      <c r="CP117" s="269">
        <f t="shared" si="338"/>
        <v>0</v>
      </c>
      <c r="CQ117" s="269">
        <f t="shared" si="338"/>
        <v>0</v>
      </c>
      <c r="CR117" s="269">
        <f t="shared" si="338"/>
        <v>0</v>
      </c>
      <c r="CS117" s="269">
        <f t="shared" si="338"/>
        <v>0</v>
      </c>
      <c r="CT117" s="269">
        <f t="shared" si="338"/>
        <v>0</v>
      </c>
      <c r="CU117" s="269">
        <f t="shared" si="338"/>
        <v>0</v>
      </c>
      <c r="CV117" s="269">
        <f t="shared" si="338"/>
        <v>0</v>
      </c>
      <c r="CW117" s="269">
        <f t="shared" si="338"/>
        <v>0</v>
      </c>
      <c r="CX117" s="269">
        <f t="shared" si="338"/>
        <v>0</v>
      </c>
      <c r="CY117" s="269">
        <f t="shared" ref="CY117:CZ117" si="339">CY96+CY33</f>
        <v>0</v>
      </c>
      <c r="CZ117" s="269">
        <f t="shared" si="339"/>
        <v>0</v>
      </c>
      <c r="DA117" s="269">
        <f t="shared" ref="DA117:DB117" si="340">DA96+DA33</f>
        <v>0</v>
      </c>
      <c r="DB117" s="269">
        <f t="shared" si="340"/>
        <v>0</v>
      </c>
      <c r="DC117" s="269">
        <f t="shared" ref="DC117:DD117" si="341">DC96+DC33</f>
        <v>0</v>
      </c>
      <c r="DD117" s="269">
        <f t="shared" si="341"/>
        <v>0</v>
      </c>
      <c r="DE117" s="269">
        <f t="shared" ref="DE117:DF117" si="342">DE96+DE33</f>
        <v>0</v>
      </c>
      <c r="DF117" s="269">
        <f t="shared" si="342"/>
        <v>0</v>
      </c>
      <c r="DG117" s="269">
        <f t="shared" ref="DG117" si="343">DG96+DG33</f>
        <v>0</v>
      </c>
    </row>
    <row r="118" spans="1:111" x14ac:dyDescent="0.35">
      <c r="C118" s="1" t="s">
        <v>9</v>
      </c>
      <c r="D118" s="1">
        <v>52</v>
      </c>
      <c r="E118" s="1"/>
      <c r="F118" s="1"/>
      <c r="G118" s="1"/>
      <c r="H118" s="1"/>
      <c r="I118" s="1"/>
      <c r="J118" s="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1"/>
      <c r="AW118" s="271"/>
      <c r="AX118" s="271"/>
      <c r="AY118" s="271"/>
      <c r="AZ118" s="271"/>
      <c r="BA118" s="271"/>
      <c r="BB118" s="271"/>
      <c r="BC118" s="271"/>
      <c r="BD118" s="271"/>
      <c r="BE118" s="271"/>
      <c r="BF118" s="271"/>
      <c r="BG118" s="271"/>
      <c r="BH118" s="271"/>
      <c r="BI118" s="271"/>
      <c r="BJ118" s="271"/>
      <c r="BK118" s="271"/>
      <c r="BL118" s="271"/>
      <c r="BM118" s="271"/>
      <c r="BN118" s="271"/>
      <c r="BO118" s="271"/>
      <c r="BP118" s="271"/>
      <c r="BQ118" s="271"/>
      <c r="BR118" s="271"/>
      <c r="BT118" s="269">
        <f t="shared" ref="BT118:CM118" si="344">BT97+BT34</f>
        <v>17331.231238536308</v>
      </c>
      <c r="BU118" s="269">
        <f t="shared" si="344"/>
        <v>18211.137528714447</v>
      </c>
      <c r="BV118" s="269">
        <f t="shared" si="344"/>
        <v>18811.911285379956</v>
      </c>
      <c r="BW118" s="269">
        <f t="shared" si="344"/>
        <v>20363.408605438752</v>
      </c>
      <c r="BX118" s="269">
        <f t="shared" si="344"/>
        <v>21675.578444199156</v>
      </c>
      <c r="BY118" s="269">
        <f t="shared" si="344"/>
        <v>23767.180273155442</v>
      </c>
      <c r="BZ118" s="269">
        <f t="shared" si="344"/>
        <v>24809.221297776243</v>
      </c>
      <c r="CA118" s="269">
        <f t="shared" si="344"/>
        <v>25409.54231950991</v>
      </c>
      <c r="CB118" s="269">
        <f t="shared" si="344"/>
        <v>28090.819597816058</v>
      </c>
      <c r="CC118" s="269">
        <f t="shared" si="344"/>
        <v>29111.307615308364</v>
      </c>
      <c r="CD118" s="269">
        <f t="shared" si="344"/>
        <v>29335.507452722017</v>
      </c>
      <c r="CE118" s="269">
        <f t="shared" si="344"/>
        <v>29640.339203868047</v>
      </c>
      <c r="CF118" s="269">
        <f t="shared" si="344"/>
        <v>87918.242823621549</v>
      </c>
      <c r="CG118" s="269">
        <f t="shared" si="344"/>
        <v>92913.971529413815</v>
      </c>
      <c r="CH118" s="269">
        <f t="shared" si="344"/>
        <v>91976.030101773198</v>
      </c>
      <c r="CI118" s="269">
        <f t="shared" si="344"/>
        <v>91733.970711199247</v>
      </c>
      <c r="CJ118" s="269">
        <f t="shared" si="344"/>
        <v>85506.354920920945</v>
      </c>
      <c r="CK118" s="269">
        <f t="shared" si="344"/>
        <v>87372.473958667833</v>
      </c>
      <c r="CL118" s="269">
        <f t="shared" si="344"/>
        <v>88146.667504215031</v>
      </c>
      <c r="CM118" s="269">
        <f t="shared" si="344"/>
        <v>89791.368925553354</v>
      </c>
      <c r="CN118" s="270"/>
      <c r="CO118" s="269">
        <f t="shared" ref="CO118:CX118" si="345">CO97+CO34</f>
        <v>107736.47755492048</v>
      </c>
      <c r="CP118" s="269">
        <f t="shared" si="345"/>
        <v>76152.329249191855</v>
      </c>
      <c r="CQ118" s="269">
        <f t="shared" si="345"/>
        <v>92157.708085685852</v>
      </c>
      <c r="CR118" s="269">
        <f t="shared" si="345"/>
        <v>98097.382527296824</v>
      </c>
      <c r="CS118" s="269">
        <f t="shared" si="345"/>
        <v>101426.2787150877</v>
      </c>
      <c r="CT118" s="269">
        <f t="shared" si="345"/>
        <v>102615.33978151265</v>
      </c>
      <c r="CU118" s="269">
        <f t="shared" si="345"/>
        <v>102201.23967976519</v>
      </c>
      <c r="CV118" s="269">
        <f t="shared" si="345"/>
        <v>102370.59277837386</v>
      </c>
      <c r="CW118" s="269">
        <f t="shared" si="345"/>
        <v>106952.9259075903</v>
      </c>
      <c r="CX118" s="269">
        <f t="shared" si="345"/>
        <v>105543.39993127821</v>
      </c>
      <c r="CY118" s="269">
        <f t="shared" ref="CY118:CZ118" si="346">CY97+CY34</f>
        <v>104007.48035533662</v>
      </c>
      <c r="CZ118" s="269">
        <f t="shared" si="346"/>
        <v>114248.28478123128</v>
      </c>
      <c r="DA118" s="269">
        <f t="shared" ref="DA118:DB118" si="347">DA97+DA34</f>
        <v>114686.06532058859</v>
      </c>
      <c r="DB118" s="269">
        <f t="shared" si="347"/>
        <v>123361.71754155068</v>
      </c>
      <c r="DC118" s="269">
        <f t="shared" ref="DC118:DD118" si="348">DC97+DC34</f>
        <v>127166.27677493612</v>
      </c>
      <c r="DD118" s="269">
        <f t="shared" si="348"/>
        <v>124041.02471405049</v>
      </c>
      <c r="DE118" s="269">
        <f t="shared" ref="DE118:DF118" si="349">DE97+DE34</f>
        <v>122255.76833988256</v>
      </c>
      <c r="DF118" s="269">
        <f t="shared" si="349"/>
        <v>120995.42186296686</v>
      </c>
      <c r="DG118" s="269">
        <f t="shared" ref="DG118" si="350">DG97+DG34</f>
        <v>116476.20876318066</v>
      </c>
    </row>
    <row r="119" spans="1:111" x14ac:dyDescent="0.35">
      <c r="C119" s="1" t="s">
        <v>11</v>
      </c>
      <c r="D119" s="1">
        <v>54.7</v>
      </c>
      <c r="E119" s="1"/>
      <c r="F119" s="1"/>
      <c r="G119" s="1"/>
      <c r="H119" s="1"/>
      <c r="I119" s="1"/>
      <c r="J119" s="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1"/>
      <c r="AW119" s="271"/>
      <c r="AX119" s="271"/>
      <c r="AY119" s="271"/>
      <c r="AZ119" s="271"/>
      <c r="BA119" s="271"/>
      <c r="BB119" s="271"/>
      <c r="BC119" s="271"/>
      <c r="BD119" s="271"/>
      <c r="BE119" s="271"/>
      <c r="BF119" s="271"/>
      <c r="BG119" s="271"/>
      <c r="BH119" s="271"/>
      <c r="BI119" s="271"/>
      <c r="BJ119" s="271"/>
      <c r="BK119" s="271"/>
      <c r="BL119" s="271"/>
      <c r="BM119" s="271"/>
      <c r="BN119" s="271"/>
      <c r="BO119" s="271"/>
      <c r="BP119" s="271"/>
      <c r="BQ119" s="271"/>
      <c r="BR119" s="271"/>
      <c r="BT119" s="269">
        <f t="shared" ref="BT119:CM119" si="351">BT98+BT35</f>
        <v>18168.774616186412</v>
      </c>
      <c r="BU119" s="269">
        <f t="shared" si="351"/>
        <v>19092.958256046884</v>
      </c>
      <c r="BV119" s="269">
        <f t="shared" si="351"/>
        <v>19723.491194308481</v>
      </c>
      <c r="BW119" s="269">
        <f t="shared" si="351"/>
        <v>21353.824806947257</v>
      </c>
      <c r="BX119" s="269">
        <f t="shared" si="351"/>
        <v>22732.41533541253</v>
      </c>
      <c r="BY119" s="269">
        <f t="shared" si="351"/>
        <v>24930.777389141549</v>
      </c>
      <c r="BZ119" s="269">
        <f t="shared" si="351"/>
        <v>26006.910556915893</v>
      </c>
      <c r="CA119" s="269">
        <f t="shared" si="351"/>
        <v>26636.168223047265</v>
      </c>
      <c r="CB119" s="269">
        <f t="shared" si="351"/>
        <v>29447.613903303936</v>
      </c>
      <c r="CC119" s="269">
        <f t="shared" si="351"/>
        <v>30521.10103901217</v>
      </c>
      <c r="CD119" s="269">
        <f t="shared" si="351"/>
        <v>30756.942021830004</v>
      </c>
      <c r="CE119" s="269">
        <f t="shared" si="351"/>
        <v>31076.242892747083</v>
      </c>
      <c r="CF119" s="269">
        <f t="shared" si="351"/>
        <v>92284.858336649457</v>
      </c>
      <c r="CG119" s="269">
        <f t="shared" si="351"/>
        <v>97499.78886460053</v>
      </c>
      <c r="CH119" s="269">
        <f t="shared" si="351"/>
        <v>96490.200565783045</v>
      </c>
      <c r="CI119" s="269">
        <f t="shared" si="351"/>
        <v>96212.491579492154</v>
      </c>
      <c r="CJ119" s="269">
        <f t="shared" si="351"/>
        <v>89644.655427958001</v>
      </c>
      <c r="CK119" s="269">
        <f t="shared" si="351"/>
        <v>91596.054766907415</v>
      </c>
      <c r="CL119" s="269">
        <f t="shared" si="351"/>
        <v>92405.511769665492</v>
      </c>
      <c r="CM119" s="269">
        <f t="shared" si="351"/>
        <v>94129.548622470073</v>
      </c>
      <c r="CN119" s="270"/>
      <c r="CO119" s="269">
        <f t="shared" ref="CO119:CX119" si="352">CO98+CO35</f>
        <v>112997.8881578732</v>
      </c>
      <c r="CP119" s="269">
        <f t="shared" si="352"/>
        <v>79766.718692560826</v>
      </c>
      <c r="CQ119" s="269">
        <f t="shared" si="352"/>
        <v>96592.830312247825</v>
      </c>
      <c r="CR119" s="269">
        <f t="shared" si="352"/>
        <v>102832.96300802533</v>
      </c>
      <c r="CS119" s="269">
        <f t="shared" si="352"/>
        <v>106327.05897610045</v>
      </c>
      <c r="CT119" s="269">
        <f t="shared" si="352"/>
        <v>107572.49406645738</v>
      </c>
      <c r="CU119" s="269">
        <f t="shared" si="352"/>
        <v>107130.80044044115</v>
      </c>
      <c r="CV119" s="269">
        <f t="shared" si="352"/>
        <v>107304.0298831579</v>
      </c>
      <c r="CW119" s="269">
        <f t="shared" si="352"/>
        <v>112124.29184792981</v>
      </c>
      <c r="CX119" s="269">
        <f t="shared" si="352"/>
        <v>110641.57894592463</v>
      </c>
      <c r="CY119" s="269">
        <f t="shared" ref="CY119:CZ119" si="353">CY98+CY35</f>
        <v>108995.97613843178</v>
      </c>
      <c r="CZ119" s="269">
        <f t="shared" si="353"/>
        <v>119748.37810151238</v>
      </c>
      <c r="DA119" s="269">
        <f t="shared" ref="DA119:DB119" si="354">DA98+DA35</f>
        <v>120204.31144942906</v>
      </c>
      <c r="DB119" s="269">
        <f t="shared" si="354"/>
        <v>129321.57436261766</v>
      </c>
      <c r="DC119" s="269">
        <f t="shared" ref="DC119:DD119" si="355">DC98+DC35</f>
        <v>133310.97952400454</v>
      </c>
      <c r="DD119" s="269">
        <f t="shared" si="355"/>
        <v>130018.84291425586</v>
      </c>
      <c r="DE119" s="269">
        <f t="shared" ref="DE119:DF119" si="356">DE98+DE35</f>
        <v>128132.89616557967</v>
      </c>
      <c r="DF119" s="269">
        <f t="shared" si="356"/>
        <v>126801.03153859238</v>
      </c>
      <c r="DG119" s="269">
        <f t="shared" ref="DG119" si="357">DG98+DG35</f>
        <v>122044.43662938733</v>
      </c>
    </row>
    <row r="120" spans="1:111" x14ac:dyDescent="0.35">
      <c r="C120" s="1" t="s">
        <v>11</v>
      </c>
      <c r="D120" s="1">
        <v>58</v>
      </c>
      <c r="E120" s="1"/>
      <c r="F120" s="1"/>
      <c r="G120" s="1"/>
      <c r="H120" s="1"/>
      <c r="I120" s="1"/>
      <c r="J120" s="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1"/>
      <c r="AY120" s="271"/>
      <c r="AZ120" s="271"/>
      <c r="BA120" s="271"/>
      <c r="BB120" s="271"/>
      <c r="BC120" s="271"/>
      <c r="BD120" s="271"/>
      <c r="BE120" s="271"/>
      <c r="BF120" s="271"/>
      <c r="BG120" s="271"/>
      <c r="BH120" s="271"/>
      <c r="BI120" s="271"/>
      <c r="BJ120" s="271"/>
      <c r="BK120" s="271"/>
      <c r="BL120" s="271"/>
      <c r="BM120" s="271"/>
      <c r="BN120" s="271"/>
      <c r="BO120" s="271"/>
      <c r="BP120" s="271"/>
      <c r="BQ120" s="271"/>
      <c r="BR120" s="271"/>
      <c r="BT120" s="269">
        <f t="shared" ref="BT120:CM120" si="358">BT99+BT36</f>
        <v>19110.520197462167</v>
      </c>
      <c r="BU120" s="269">
        <f t="shared" si="358"/>
        <v>20086.975632528236</v>
      </c>
      <c r="BV120" s="269">
        <f t="shared" si="358"/>
        <v>0</v>
      </c>
      <c r="BW120" s="269">
        <f t="shared" si="358"/>
        <v>0</v>
      </c>
      <c r="BX120" s="269">
        <f t="shared" si="358"/>
        <v>0</v>
      </c>
      <c r="BY120" s="269">
        <f t="shared" si="358"/>
        <v>0</v>
      </c>
      <c r="BZ120" s="269">
        <f t="shared" si="358"/>
        <v>0</v>
      </c>
      <c r="CA120" s="269">
        <f t="shared" si="358"/>
        <v>0</v>
      </c>
      <c r="CB120" s="269">
        <f t="shared" si="358"/>
        <v>0</v>
      </c>
      <c r="CC120" s="269">
        <f t="shared" si="358"/>
        <v>0</v>
      </c>
      <c r="CD120" s="269">
        <f t="shared" si="358"/>
        <v>0</v>
      </c>
      <c r="CE120" s="269">
        <f t="shared" si="358"/>
        <v>0</v>
      </c>
      <c r="CF120" s="269">
        <f t="shared" si="358"/>
        <v>0</v>
      </c>
      <c r="CG120" s="269">
        <f t="shared" si="358"/>
        <v>0</v>
      </c>
      <c r="CH120" s="269">
        <f t="shared" si="358"/>
        <v>0</v>
      </c>
      <c r="CI120" s="269">
        <f t="shared" si="358"/>
        <v>0</v>
      </c>
      <c r="CJ120" s="269">
        <f t="shared" si="358"/>
        <v>0</v>
      </c>
      <c r="CK120" s="269">
        <f t="shared" si="358"/>
        <v>0</v>
      </c>
      <c r="CL120" s="269">
        <f t="shared" si="358"/>
        <v>0</v>
      </c>
      <c r="CM120" s="269">
        <f t="shared" si="358"/>
        <v>0</v>
      </c>
      <c r="CN120" s="270"/>
      <c r="CO120" s="269">
        <f t="shared" ref="CO120:CX120" si="359">CO99+CO36</f>
        <v>0</v>
      </c>
      <c r="CP120" s="269">
        <f t="shared" si="359"/>
        <v>0</v>
      </c>
      <c r="CQ120" s="269">
        <f t="shared" si="359"/>
        <v>0</v>
      </c>
      <c r="CR120" s="269">
        <f t="shared" si="359"/>
        <v>0</v>
      </c>
      <c r="CS120" s="269">
        <f t="shared" si="359"/>
        <v>0</v>
      </c>
      <c r="CT120" s="269">
        <f t="shared" si="359"/>
        <v>0</v>
      </c>
      <c r="CU120" s="269">
        <f t="shared" si="359"/>
        <v>0</v>
      </c>
      <c r="CV120" s="269">
        <f t="shared" si="359"/>
        <v>0</v>
      </c>
      <c r="CW120" s="269">
        <f t="shared" si="359"/>
        <v>0</v>
      </c>
      <c r="CX120" s="269">
        <f t="shared" si="359"/>
        <v>0</v>
      </c>
      <c r="CY120" s="269">
        <f t="shared" ref="CY120:CZ120" si="360">CY99+CY36</f>
        <v>97688.343361143692</v>
      </c>
      <c r="CZ120" s="269">
        <f t="shared" si="360"/>
        <v>108215.15390953945</v>
      </c>
      <c r="DA120" s="269">
        <f t="shared" ref="DA120:DB120" si="361">DA99+DA36</f>
        <v>108499.82445220095</v>
      </c>
      <c r="DB120" s="269">
        <f t="shared" si="361"/>
        <v>117782.62572321612</v>
      </c>
      <c r="DC120" s="269">
        <f t="shared" ref="DC120:DD120" si="362">DC99+DC36</f>
        <v>121461.37388401532</v>
      </c>
      <c r="DD120" s="269">
        <f t="shared" si="362"/>
        <v>117770.39193265706</v>
      </c>
      <c r="DE120" s="269">
        <f t="shared" ref="DE120:DF120" si="363">DE99+DE36</f>
        <v>115423.57393114408</v>
      </c>
      <c r="DF120" s="269">
        <f t="shared" si="363"/>
        <v>113747.50872129462</v>
      </c>
      <c r="DG120" s="269">
        <f t="shared" ref="DG120" si="364">DG99+DG36</f>
        <v>108585.40806330435</v>
      </c>
    </row>
    <row r="121" spans="1:111" x14ac:dyDescent="0.35">
      <c r="C121" s="1" t="s">
        <v>11</v>
      </c>
      <c r="D121" s="1">
        <v>62</v>
      </c>
      <c r="E121" s="1"/>
      <c r="F121" s="1"/>
      <c r="G121" s="1"/>
      <c r="H121" s="1"/>
      <c r="I121" s="1"/>
      <c r="J121" s="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1"/>
      <c r="AY121" s="271"/>
      <c r="AZ121" s="271"/>
      <c r="BA121" s="271"/>
      <c r="BB121" s="271"/>
      <c r="BC121" s="271"/>
      <c r="BD121" s="271"/>
      <c r="BE121" s="271"/>
      <c r="BF121" s="271"/>
      <c r="BG121" s="271"/>
      <c r="BH121" s="271"/>
      <c r="BI121" s="271"/>
      <c r="BJ121" s="271"/>
      <c r="BK121" s="271"/>
      <c r="BL121" s="271"/>
      <c r="BM121" s="271"/>
      <c r="BN121" s="271"/>
      <c r="BO121" s="271"/>
      <c r="BP121" s="271"/>
      <c r="BQ121" s="271"/>
      <c r="BR121" s="271"/>
      <c r="BT121" s="269">
        <f t="shared" ref="BT121:CM121" si="365">BT100+BT37</f>
        <v>20252.029992947926</v>
      </c>
      <c r="BU121" s="269">
        <f t="shared" si="365"/>
        <v>21291.845179778367</v>
      </c>
      <c r="BV121" s="269">
        <f t="shared" si="365"/>
        <v>21999.444140311902</v>
      </c>
      <c r="BW121" s="269">
        <f t="shared" si="365"/>
        <v>23837.943031867417</v>
      </c>
      <c r="BX121" s="269">
        <f t="shared" si="365"/>
        <v>25391.162612829761</v>
      </c>
      <c r="BY121" s="269">
        <f t="shared" si="365"/>
        <v>27872.840791519022</v>
      </c>
      <c r="BZ121" s="269">
        <f t="shared" si="365"/>
        <v>28983.222164075582</v>
      </c>
      <c r="CA121" s="269">
        <f t="shared" si="365"/>
        <v>29684.250361739458</v>
      </c>
      <c r="CB121" s="269">
        <f t="shared" si="365"/>
        <v>32821.433943566022</v>
      </c>
      <c r="CC121" s="269">
        <f t="shared" si="365"/>
        <v>34038.250419329393</v>
      </c>
      <c r="CD121" s="269">
        <f t="shared" si="365"/>
        <v>34305.565610091828</v>
      </c>
      <c r="CE121" s="269">
        <f t="shared" si="365"/>
        <v>34660.054203301741</v>
      </c>
      <c r="CF121" s="269">
        <f t="shared" si="365"/>
        <v>103516.74203747654</v>
      </c>
      <c r="CG121" s="269">
        <f t="shared" si="365"/>
        <v>109208.00063415107</v>
      </c>
      <c r="CH121" s="269">
        <f t="shared" si="365"/>
        <v>107938.28669409873</v>
      </c>
      <c r="CI121" s="269">
        <f t="shared" si="365"/>
        <v>107497.38712079512</v>
      </c>
      <c r="CJ121" s="269">
        <f t="shared" si="365"/>
        <v>99960.8875319894</v>
      </c>
      <c r="CK121" s="269">
        <f t="shared" si="365"/>
        <v>102109.24367853414</v>
      </c>
      <c r="CL121" s="269">
        <f t="shared" si="365"/>
        <v>102999.75889476785</v>
      </c>
      <c r="CM121" s="269">
        <f t="shared" si="365"/>
        <v>104920.74822983071</v>
      </c>
      <c r="CN121" s="270"/>
      <c r="CO121" s="269">
        <f t="shared" ref="CO121:CX121" si="366">CO100+CO37</f>
        <v>126260.52927072962</v>
      </c>
      <c r="CP121" s="269">
        <f t="shared" si="366"/>
        <v>88555.825143801369</v>
      </c>
      <c r="CQ121" s="269">
        <f t="shared" si="366"/>
        <v>107571.0977838351</v>
      </c>
      <c r="CR121" s="269">
        <f t="shared" si="366"/>
        <v>114600.57659058488</v>
      </c>
      <c r="CS121" s="269">
        <f t="shared" si="366"/>
        <v>118519.19151044432</v>
      </c>
      <c r="CT121" s="269">
        <f t="shared" si="366"/>
        <v>119901.51513755464</v>
      </c>
      <c r="CU121" s="269">
        <f t="shared" si="366"/>
        <v>119367.58397486263</v>
      </c>
      <c r="CV121" s="269">
        <f t="shared" si="366"/>
        <v>119537.0624603328</v>
      </c>
      <c r="CW121" s="269">
        <f t="shared" si="366"/>
        <v>125000.61349901391</v>
      </c>
      <c r="CX121" s="269">
        <f t="shared" si="366"/>
        <v>123320.02483494957</v>
      </c>
      <c r="CY121" s="269">
        <f t="shared" ref="CY121:CZ121" si="367">CY100+CY37</f>
        <v>121291.23314767916</v>
      </c>
      <c r="CZ121" s="269">
        <f t="shared" si="367"/>
        <v>133368.56126598892</v>
      </c>
      <c r="DA121" s="269">
        <f t="shared" ref="DA121:DB121" si="368">DA100+DA37</f>
        <v>133860.32383737847</v>
      </c>
      <c r="DB121" s="269">
        <f t="shared" si="368"/>
        <v>144145.93932433278</v>
      </c>
      <c r="DC121" s="269">
        <f t="shared" ref="DC121:DD121" si="369">DC100+DC37</f>
        <v>148598.35934044098</v>
      </c>
      <c r="DD121" s="269">
        <f t="shared" si="369"/>
        <v>144841.66810577997</v>
      </c>
      <c r="DE121" s="269">
        <f t="shared" ref="DE121:DF121" si="370">DE100+DE37</f>
        <v>142660.3459879478</v>
      </c>
      <c r="DF121" s="269">
        <f t="shared" si="370"/>
        <v>141117.52832592773</v>
      </c>
      <c r="DG121" s="269">
        <f t="shared" ref="DG121" si="371">DG100+DG37</f>
        <v>135711.22074769973</v>
      </c>
    </row>
    <row r="123" spans="1:111" s="29" customFormat="1" x14ac:dyDescent="0.35">
      <c r="A123" s="277"/>
      <c r="C123" s="91" t="s">
        <v>56</v>
      </c>
      <c r="D123" s="31"/>
      <c r="E123" s="31"/>
      <c r="F123" s="31"/>
      <c r="G123" s="31"/>
      <c r="H123" s="31"/>
      <c r="I123" s="31"/>
      <c r="J123" s="31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  <c r="AD123" s="276"/>
      <c r="AE123" s="276"/>
      <c r="AF123" s="276"/>
      <c r="AG123" s="276"/>
      <c r="AH123" s="276"/>
      <c r="AI123" s="276"/>
      <c r="AJ123" s="276"/>
      <c r="AK123" s="276"/>
      <c r="AL123" s="276"/>
      <c r="AM123" s="276"/>
      <c r="AN123" s="276"/>
      <c r="AO123" s="276"/>
      <c r="AP123" s="276"/>
      <c r="AQ123" s="276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76"/>
      <c r="BB123" s="276"/>
      <c r="BC123" s="276"/>
      <c r="BD123" s="276"/>
      <c r="BE123" s="276"/>
      <c r="BF123" s="276"/>
      <c r="BG123" s="276"/>
      <c r="BH123" s="276"/>
      <c r="BI123" s="276"/>
      <c r="BJ123" s="276"/>
      <c r="BK123" s="276"/>
      <c r="BL123" s="276"/>
      <c r="BM123" s="276"/>
      <c r="BN123" s="276"/>
      <c r="BO123" s="276"/>
      <c r="BP123" s="276"/>
      <c r="BQ123" s="276"/>
      <c r="BR123" s="276"/>
      <c r="BT123" s="275"/>
      <c r="BU123" s="275"/>
      <c r="BV123" s="275"/>
      <c r="BW123" s="275"/>
      <c r="BX123" s="275"/>
      <c r="BY123" s="275"/>
      <c r="BZ123" s="275"/>
      <c r="CA123" s="275"/>
      <c r="CB123" s="275"/>
      <c r="CC123" s="275"/>
      <c r="CD123" s="275"/>
      <c r="CE123" s="275"/>
      <c r="CF123" s="275"/>
      <c r="CG123" s="275"/>
      <c r="CH123" s="275"/>
      <c r="CI123" s="275"/>
      <c r="CJ123" s="275"/>
      <c r="CK123" s="275"/>
      <c r="CL123" s="275"/>
      <c r="CM123" s="275"/>
      <c r="CN123" s="270"/>
      <c r="CO123" s="275"/>
      <c r="CP123" s="275"/>
      <c r="CQ123" s="275"/>
      <c r="CR123" s="275"/>
      <c r="CS123" s="275"/>
      <c r="CT123" s="275"/>
      <c r="CU123" s="275"/>
      <c r="CV123" s="275"/>
      <c r="CW123" s="275"/>
      <c r="CX123" s="275"/>
      <c r="CY123" s="275"/>
      <c r="CZ123" s="275"/>
      <c r="DA123" s="275"/>
      <c r="DB123" s="275"/>
      <c r="DC123" s="275"/>
      <c r="DD123" s="275"/>
      <c r="DE123" s="275"/>
      <c r="DF123" s="275"/>
      <c r="DG123" s="275"/>
    </row>
    <row r="124" spans="1:111" ht="14.9" hidden="1" customHeight="1" x14ac:dyDescent="0.35">
      <c r="C124" s="1" t="s">
        <v>51</v>
      </c>
      <c r="D124" s="1">
        <v>12.5</v>
      </c>
      <c r="E124" s="1"/>
      <c r="F124" s="1"/>
      <c r="G124" s="1"/>
      <c r="H124" s="1"/>
      <c r="I124" s="1"/>
      <c r="J124" s="1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  <c r="AS124" s="274"/>
      <c r="AT124" s="274"/>
      <c r="AU124" s="274"/>
      <c r="AV124" s="274"/>
      <c r="AW124" s="274"/>
      <c r="AX124" s="274"/>
      <c r="AY124" s="274"/>
      <c r="AZ124" s="274"/>
      <c r="BA124" s="274"/>
      <c r="BB124" s="274"/>
      <c r="BC124" s="274"/>
      <c r="BD124" s="274"/>
      <c r="BE124" s="274"/>
      <c r="BF124" s="274"/>
      <c r="BG124" s="274"/>
      <c r="BH124" s="274"/>
      <c r="BI124" s="274"/>
      <c r="BJ124" s="274"/>
      <c r="BK124" s="274"/>
      <c r="BL124" s="274"/>
      <c r="BM124" s="274"/>
      <c r="BN124" s="274"/>
      <c r="BO124" s="274"/>
      <c r="BP124" s="274"/>
      <c r="BQ124" s="274"/>
      <c r="BR124" s="274"/>
      <c r="BT124" s="274">
        <f t="shared" ref="BT124:CL124" si="372">((+(169/$A$16)*0.3*BT$16+((169)*(1+BT$14)*0.7))*0.95)-5.05</f>
        <v>1410.837612853757</v>
      </c>
      <c r="BU124" s="274">
        <f t="shared" si="372"/>
        <v>1442.7261645778951</v>
      </c>
      <c r="BV124" s="274">
        <f t="shared" si="372"/>
        <v>1469.2445956123779</v>
      </c>
      <c r="BW124" s="274">
        <f t="shared" si="372"/>
        <v>1508.1918111296193</v>
      </c>
      <c r="BX124" s="274">
        <f t="shared" si="372"/>
        <v>1546.8898973365158</v>
      </c>
      <c r="BY124" s="274">
        <f t="shared" si="372"/>
        <v>1588.5498542330674</v>
      </c>
      <c r="BZ124" s="274">
        <f t="shared" si="372"/>
        <v>2041.1529563975444</v>
      </c>
      <c r="CA124" s="274">
        <f t="shared" si="372"/>
        <v>2091.6708443285788</v>
      </c>
      <c r="CB124" s="274">
        <f t="shared" si="372"/>
        <v>2296.3720943285794</v>
      </c>
      <c r="CC124" s="274">
        <f t="shared" si="372"/>
        <v>2296.095283983751</v>
      </c>
      <c r="CD124" s="274">
        <f t="shared" si="372"/>
        <v>2296.095283983751</v>
      </c>
      <c r="CE124" s="274">
        <f t="shared" si="372"/>
        <v>2326.8212322596132</v>
      </c>
      <c r="CF124" s="274">
        <f t="shared" si="372"/>
        <v>4480.9949612179789</v>
      </c>
      <c r="CG124" s="274">
        <f t="shared" si="372"/>
        <v>5389.9126022926948</v>
      </c>
      <c r="CH124" s="274">
        <f t="shared" si="372"/>
        <v>5908.8267311388254</v>
      </c>
      <c r="CI124" s="274">
        <f t="shared" si="372"/>
        <v>6430.7952006234109</v>
      </c>
      <c r="CJ124" s="274">
        <f t="shared" si="372"/>
        <v>6812.1525079121793</v>
      </c>
      <c r="CK124" s="274">
        <f t="shared" si="372"/>
        <v>7074.8051840731341</v>
      </c>
      <c r="CL124" s="274">
        <f t="shared" si="372"/>
        <v>7186.4090257196549</v>
      </c>
      <c r="CM124" s="274">
        <v>7323.5101241013181</v>
      </c>
      <c r="CN124" s="270"/>
      <c r="CO124" s="273">
        <f t="shared" ref="CO124:DG124" si="373">((+(169/$A$16)*0.3*CO$16+((169)*(1+CO$14)*0.7))*0.95)-5.05</f>
        <v>2749.8122254310347</v>
      </c>
      <c r="CP124" s="273">
        <f t="shared" si="373"/>
        <v>2809.9238062931036</v>
      </c>
      <c r="CQ124" s="273">
        <f t="shared" si="373"/>
        <v>2873.6671388793102</v>
      </c>
      <c r="CR124" s="273">
        <f t="shared" si="373"/>
        <v>2914.3458031034479</v>
      </c>
      <c r="CS124" s="273">
        <f t="shared" si="373"/>
        <v>2976.0662056896554</v>
      </c>
      <c r="CT124" s="273">
        <f t="shared" si="373"/>
        <v>3028.4531170689656</v>
      </c>
      <c r="CU124" s="273">
        <f t="shared" si="373"/>
        <v>3056.1726281896554</v>
      </c>
      <c r="CV124" s="273">
        <f t="shared" si="373"/>
        <v>3087.3877003448274</v>
      </c>
      <c r="CW124" s="273">
        <f t="shared" si="373"/>
        <v>3348.0951569827589</v>
      </c>
      <c r="CX124" s="273">
        <f t="shared" si="373"/>
        <v>3399.3258315517241</v>
      </c>
      <c r="CY124" s="273">
        <f t="shared" si="373"/>
        <v>3444.0235051724144</v>
      </c>
      <c r="CZ124" s="273">
        <f t="shared" si="373"/>
        <v>3912.563490431035</v>
      </c>
      <c r="DA124" s="273">
        <f t="shared" si="373"/>
        <v>3825.2204150862067</v>
      </c>
      <c r="DB124" s="273">
        <f t="shared" si="373"/>
        <v>3990.0828434482755</v>
      </c>
      <c r="DC124" s="273">
        <f t="shared" si="373"/>
        <v>4081.4695643103455</v>
      </c>
      <c r="DD124" s="273">
        <f t="shared" si="373"/>
        <v>4062.5124846551726</v>
      </c>
      <c r="DE124" s="273">
        <f t="shared" si="373"/>
        <v>4116.5185908620697</v>
      </c>
      <c r="DF124" s="273">
        <f t="shared" si="373"/>
        <v>4120.2642046018073</v>
      </c>
      <c r="DG124" s="273">
        <f t="shared" si="373"/>
        <v>4005.8568809482758</v>
      </c>
    </row>
    <row r="125" spans="1:111" x14ac:dyDescent="0.35">
      <c r="C125" s="1" t="s">
        <v>5</v>
      </c>
      <c r="D125" s="1">
        <v>19.5</v>
      </c>
      <c r="E125" s="1"/>
      <c r="F125" s="1"/>
      <c r="G125" s="1"/>
      <c r="H125" s="1"/>
      <c r="I125" s="1"/>
      <c r="J125" s="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1"/>
      <c r="AR125" s="271"/>
      <c r="AS125" s="271"/>
      <c r="AT125" s="271"/>
      <c r="AU125" s="271"/>
      <c r="AV125" s="271"/>
      <c r="AW125" s="271"/>
      <c r="AX125" s="271"/>
      <c r="AY125" s="271"/>
      <c r="AZ125" s="271"/>
      <c r="BA125" s="271"/>
      <c r="BB125" s="271"/>
      <c r="BC125" s="271"/>
      <c r="BD125" s="271"/>
      <c r="BE125" s="271"/>
      <c r="BF125" s="271"/>
      <c r="BG125" s="271"/>
      <c r="BH125" s="271"/>
      <c r="BI125" s="271"/>
      <c r="BJ125" s="271"/>
      <c r="BK125" s="271"/>
      <c r="BL125" s="271"/>
      <c r="BM125" s="271"/>
      <c r="BN125" s="271"/>
      <c r="BO125" s="271"/>
      <c r="BP125" s="271"/>
      <c r="BQ125" s="271"/>
      <c r="BR125" s="271"/>
      <c r="BT125" s="269">
        <f t="shared" ref="BT125:CM125" si="374">BT104/BT$16</f>
        <v>40.670347040694075</v>
      </c>
      <c r="BU125" s="269">
        <f t="shared" si="374"/>
        <v>40.011372343676555</v>
      </c>
      <c r="BV125" s="269">
        <f t="shared" si="374"/>
        <v>39.288942111876345</v>
      </c>
      <c r="BW125" s="269">
        <f t="shared" si="374"/>
        <v>39.512783549996186</v>
      </c>
      <c r="BX125" s="269">
        <f t="shared" si="374"/>
        <v>39.32549162782432</v>
      </c>
      <c r="BY125" s="269">
        <f t="shared" si="374"/>
        <v>40.208063303368576</v>
      </c>
      <c r="BZ125" s="269">
        <f t="shared" si="374"/>
        <v>39.79447068014241</v>
      </c>
      <c r="CA125" s="269">
        <f t="shared" si="374"/>
        <v>38.065558474930135</v>
      </c>
      <c r="CB125" s="269">
        <f t="shared" si="374"/>
        <v>33.171306811530307</v>
      </c>
      <c r="CC125" s="269">
        <f t="shared" si="374"/>
        <v>34.273793472119692</v>
      </c>
      <c r="CD125" s="269">
        <f t="shared" si="374"/>
        <v>34.514007583634324</v>
      </c>
      <c r="CE125" s="269">
        <f t="shared" si="374"/>
        <v>33.809534840153312</v>
      </c>
      <c r="CF125" s="269">
        <f t="shared" si="374"/>
        <v>43.409869613932997</v>
      </c>
      <c r="CG125" s="269">
        <f t="shared" si="374"/>
        <v>45.261748374220019</v>
      </c>
      <c r="CH125" s="269">
        <f t="shared" si="374"/>
        <v>43.94367281625145</v>
      </c>
      <c r="CI125" s="269">
        <f t="shared" si="374"/>
        <v>43.610992441288111</v>
      </c>
      <c r="CJ125" s="269">
        <f t="shared" si="374"/>
        <v>39.597650026183047</v>
      </c>
      <c r="CK125" s="269">
        <f t="shared" si="374"/>
        <v>39.76272065769065</v>
      </c>
      <c r="CL125" s="269">
        <f t="shared" si="374"/>
        <v>39.833052503019466</v>
      </c>
      <c r="CM125" s="269">
        <f t="shared" si="374"/>
        <v>39.837231388528224</v>
      </c>
      <c r="CN125" s="270"/>
      <c r="CO125" s="269">
        <f t="shared" ref="CO125:CX125" si="375">CO104/CO$16</f>
        <v>46.070583420177449</v>
      </c>
      <c r="CP125" s="269">
        <f t="shared" si="375"/>
        <v>32.966964787607111</v>
      </c>
      <c r="CQ125" s="269">
        <f t="shared" si="375"/>
        <v>38.347381594788637</v>
      </c>
      <c r="CR125" s="269">
        <f t="shared" si="375"/>
        <v>40.061550166889909</v>
      </c>
      <c r="CS125" s="269">
        <f t="shared" si="375"/>
        <v>40.474918564365602</v>
      </c>
      <c r="CT125" s="269">
        <f t="shared" si="375"/>
        <v>40.212920354182636</v>
      </c>
      <c r="CU125" s="269">
        <f t="shared" si="375"/>
        <v>39.759413887783801</v>
      </c>
      <c r="CV125" s="269">
        <f t="shared" si="375"/>
        <v>39.44195805734352</v>
      </c>
      <c r="CW125" s="269">
        <f t="shared" si="375"/>
        <v>37.741813498425458</v>
      </c>
      <c r="CX125" s="269">
        <f t="shared" si="375"/>
        <v>36.72504171047202</v>
      </c>
      <c r="CY125" s="269">
        <f t="shared" ref="CY125:CZ125" si="376">CY104/CY$16</f>
        <v>35.992379414302327</v>
      </c>
      <c r="CZ125" s="269">
        <f t="shared" si="376"/>
        <v>34.515765291391489</v>
      </c>
      <c r="DA125" s="269">
        <f t="shared" ref="DA125:DC126" si="377">DA104/DA$16</f>
        <v>35.497301633944865</v>
      </c>
      <c r="DB125" s="269">
        <f t="shared" si="377"/>
        <v>36.373448299138786</v>
      </c>
      <c r="DC125" s="269">
        <f t="shared" si="377"/>
        <v>36.63199762530288</v>
      </c>
      <c r="DD125" s="269">
        <f>DD104/DD$16</f>
        <v>36.006703940138621</v>
      </c>
      <c r="DE125" s="269">
        <f>DE104/DE$16</f>
        <v>35.119522402599763</v>
      </c>
      <c r="DF125" s="269">
        <f>DF104/DF$16</f>
        <v>34.80452350277772</v>
      </c>
      <c r="DG125" s="269">
        <f>DG104/DG$16</f>
        <v>34.646072489536948</v>
      </c>
    </row>
    <row r="126" spans="1:111" x14ac:dyDescent="0.35">
      <c r="C126" s="99" t="s">
        <v>6</v>
      </c>
      <c r="D126" s="1">
        <v>19.5</v>
      </c>
      <c r="E126" s="1"/>
      <c r="F126" s="1"/>
      <c r="G126" s="1"/>
      <c r="H126" s="1"/>
      <c r="I126" s="1"/>
      <c r="J126" s="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1"/>
      <c r="AR126" s="271"/>
      <c r="AS126" s="271"/>
      <c r="AT126" s="271"/>
      <c r="AU126" s="271"/>
      <c r="AV126" s="271"/>
      <c r="AW126" s="271"/>
      <c r="AX126" s="271"/>
      <c r="AY126" s="271"/>
      <c r="AZ126" s="271"/>
      <c r="BA126" s="271"/>
      <c r="BB126" s="271"/>
      <c r="BC126" s="271"/>
      <c r="BD126" s="271"/>
      <c r="BE126" s="271"/>
      <c r="BF126" s="271"/>
      <c r="BG126" s="271"/>
      <c r="BH126" s="271"/>
      <c r="BI126" s="271"/>
      <c r="BJ126" s="271"/>
      <c r="BK126" s="271"/>
      <c r="BL126" s="271"/>
      <c r="BM126" s="271"/>
      <c r="BN126" s="271"/>
      <c r="BO126" s="271"/>
      <c r="BP126" s="271"/>
      <c r="BQ126" s="271"/>
      <c r="BR126" s="271"/>
      <c r="BT126" s="269">
        <f t="shared" ref="BT126:CM126" si="378">BT105/BT$16</f>
        <v>0</v>
      </c>
      <c r="BU126" s="269">
        <f t="shared" si="378"/>
        <v>0</v>
      </c>
      <c r="BV126" s="269">
        <f t="shared" si="378"/>
        <v>0</v>
      </c>
      <c r="BW126" s="269">
        <f t="shared" si="378"/>
        <v>0</v>
      </c>
      <c r="BX126" s="269">
        <f t="shared" si="378"/>
        <v>0</v>
      </c>
      <c r="BY126" s="269">
        <f t="shared" si="378"/>
        <v>0</v>
      </c>
      <c r="BZ126" s="269">
        <f t="shared" si="378"/>
        <v>0</v>
      </c>
      <c r="CA126" s="269">
        <f t="shared" si="378"/>
        <v>0</v>
      </c>
      <c r="CB126" s="269">
        <f t="shared" si="378"/>
        <v>0</v>
      </c>
      <c r="CC126" s="269">
        <f t="shared" si="378"/>
        <v>0</v>
      </c>
      <c r="CD126" s="269">
        <f t="shared" si="378"/>
        <v>0</v>
      </c>
      <c r="CE126" s="269">
        <f t="shared" si="378"/>
        <v>0</v>
      </c>
      <c r="CF126" s="269">
        <f t="shared" si="378"/>
        <v>0</v>
      </c>
      <c r="CG126" s="269">
        <f t="shared" si="378"/>
        <v>57.928805524045018</v>
      </c>
      <c r="CH126" s="269">
        <f t="shared" si="378"/>
        <v>58.426203954976444</v>
      </c>
      <c r="CI126" s="269">
        <f t="shared" si="378"/>
        <v>59.021890960700603</v>
      </c>
      <c r="CJ126" s="269">
        <f t="shared" si="378"/>
        <v>59.196494556139001</v>
      </c>
      <c r="CK126" s="269">
        <f t="shared" si="378"/>
        <v>59.361518609180116</v>
      </c>
      <c r="CL126" s="269">
        <f t="shared" si="378"/>
        <v>59.431953432692708</v>
      </c>
      <c r="CM126" s="269">
        <f t="shared" si="378"/>
        <v>59.43609831415322</v>
      </c>
      <c r="CN126" s="270"/>
      <c r="CO126" s="269">
        <f t="shared" ref="CO126:CX126" si="379">CO105/CO$16</f>
        <v>46.070583420177449</v>
      </c>
      <c r="CP126" s="269">
        <f t="shared" si="379"/>
        <v>32.966964787607111</v>
      </c>
      <c r="CQ126" s="269">
        <f t="shared" si="379"/>
        <v>38.347381594788637</v>
      </c>
      <c r="CR126" s="269">
        <f t="shared" si="379"/>
        <v>40.061550166889909</v>
      </c>
      <c r="CS126" s="269">
        <f t="shared" si="379"/>
        <v>40.474918564365602</v>
      </c>
      <c r="CT126" s="269">
        <f t="shared" si="379"/>
        <v>40.212920354182636</v>
      </c>
      <c r="CU126" s="269">
        <f t="shared" si="379"/>
        <v>39.759413887783801</v>
      </c>
      <c r="CV126" s="269">
        <f t="shared" si="379"/>
        <v>39.44195805734352</v>
      </c>
      <c r="CW126" s="269">
        <f t="shared" si="379"/>
        <v>37.741813498425458</v>
      </c>
      <c r="CX126" s="269">
        <f t="shared" si="379"/>
        <v>36.72504171047202</v>
      </c>
      <c r="CY126" s="269">
        <f t="shared" ref="CY126" si="380">CY105/CY$16</f>
        <v>35.992379414302327</v>
      </c>
      <c r="CZ126" s="269">
        <f>CZ105/CZ$16</f>
        <v>34.515765291391489</v>
      </c>
      <c r="DA126" s="269">
        <f t="shared" si="377"/>
        <v>35.497301633944865</v>
      </c>
      <c r="DB126" s="269">
        <f t="shared" si="377"/>
        <v>36.373448299138786</v>
      </c>
      <c r="DC126" s="269">
        <f t="shared" si="377"/>
        <v>36.63199762530288</v>
      </c>
      <c r="DD126" s="269">
        <f t="shared" ref="DD126:DE126" si="381">DD105/DD$16</f>
        <v>36.006703940138621</v>
      </c>
      <c r="DE126" s="269">
        <f t="shared" si="381"/>
        <v>35.119522402599763</v>
      </c>
      <c r="DF126" s="269">
        <f t="shared" ref="DF126:DG126" si="382">DF105/DF$16</f>
        <v>34.80452350277772</v>
      </c>
      <c r="DG126" s="269">
        <f t="shared" si="382"/>
        <v>34.646072489536948</v>
      </c>
    </row>
    <row r="127" spans="1:111" x14ac:dyDescent="0.35">
      <c r="A127" s="29"/>
      <c r="B127" s="29"/>
      <c r="C127" s="1" t="s">
        <v>5</v>
      </c>
      <c r="D127" s="1">
        <v>22.1</v>
      </c>
      <c r="E127" s="1"/>
      <c r="F127" s="1"/>
      <c r="G127" s="1"/>
      <c r="H127" s="1"/>
      <c r="I127" s="1"/>
      <c r="J127" s="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/>
      <c r="AO127" s="271"/>
      <c r="AP127" s="271"/>
      <c r="AQ127" s="271"/>
      <c r="AR127" s="271"/>
      <c r="AS127" s="271"/>
      <c r="AT127" s="271"/>
      <c r="AU127" s="271"/>
      <c r="AV127" s="271"/>
      <c r="AW127" s="271"/>
      <c r="AX127" s="271"/>
      <c r="AY127" s="271"/>
      <c r="AZ127" s="271"/>
      <c r="BA127" s="271"/>
      <c r="BB127" s="271"/>
      <c r="BC127" s="271"/>
      <c r="BD127" s="271"/>
      <c r="BE127" s="271"/>
      <c r="BF127" s="271"/>
      <c r="BG127" s="271"/>
      <c r="BH127" s="271"/>
      <c r="BI127" s="271"/>
      <c r="BJ127" s="271"/>
      <c r="BK127" s="271"/>
      <c r="BL127" s="271"/>
      <c r="BM127" s="271"/>
      <c r="BN127" s="271"/>
      <c r="BO127" s="271"/>
      <c r="BP127" s="271"/>
      <c r="BQ127" s="271"/>
      <c r="BR127" s="271"/>
      <c r="BT127" s="269">
        <f t="shared" ref="BT127:CM127" si="383">BT106/BT$16</f>
        <v>44.884952931439592</v>
      </c>
      <c r="BU127" s="269">
        <f t="shared" si="383"/>
        <v>44.186694653814541</v>
      </c>
      <c r="BV127" s="269">
        <f t="shared" si="383"/>
        <v>43.400600128760018</v>
      </c>
      <c r="BW127" s="269">
        <f t="shared" si="383"/>
        <v>43.701565087127776</v>
      </c>
      <c r="BX127" s="269">
        <f t="shared" si="383"/>
        <v>43.53042539828396</v>
      </c>
      <c r="BY127" s="269">
        <f t="shared" si="383"/>
        <v>44.569595865728814</v>
      </c>
      <c r="BZ127" s="269">
        <f t="shared" si="383"/>
        <v>43.904808752462671</v>
      </c>
      <c r="CA127" s="269">
        <f t="shared" si="383"/>
        <v>41.996821542004412</v>
      </c>
      <c r="CB127" s="269">
        <f t="shared" si="383"/>
        <v>36.603567693815002</v>
      </c>
      <c r="CC127" s="269">
        <f t="shared" si="383"/>
        <v>37.852888731933682</v>
      </c>
      <c r="CD127" s="269">
        <f t="shared" si="383"/>
        <v>38.125131391650271</v>
      </c>
      <c r="CE127" s="269">
        <f t="shared" si="383"/>
        <v>37.344361608984528</v>
      </c>
      <c r="CF127" s="269">
        <f t="shared" si="383"/>
        <v>48.36116231093299</v>
      </c>
      <c r="CG127" s="269">
        <f t="shared" si="383"/>
        <v>50.312066925160025</v>
      </c>
      <c r="CH127" s="269">
        <f t="shared" si="383"/>
        <v>48.751928168671455</v>
      </c>
      <c r="CI127" s="269">
        <f t="shared" si="383"/>
        <v>48.29546547628312</v>
      </c>
      <c r="CJ127" s="269">
        <f t="shared" si="383"/>
        <v>43.723730259772246</v>
      </c>
      <c r="CK127" s="269">
        <f t="shared" si="383"/>
        <v>43.888807101742046</v>
      </c>
      <c r="CL127" s="269">
        <f t="shared" si="383"/>
        <v>43.959125216646363</v>
      </c>
      <c r="CM127" s="269">
        <f t="shared" si="383"/>
        <v>43.963308636028231</v>
      </c>
      <c r="CN127" s="270"/>
      <c r="CO127" s="269">
        <f t="shared" ref="CO127:CX127" si="384">CO106/CO$16</f>
        <v>51.02462683534246</v>
      </c>
      <c r="CP127" s="269">
        <f t="shared" si="384"/>
        <v>36.175951646924133</v>
      </c>
      <c r="CQ127" s="269">
        <f t="shared" si="384"/>
        <v>42.265285268729258</v>
      </c>
      <c r="CR127" s="269">
        <f t="shared" si="384"/>
        <v>44.198968565334084</v>
      </c>
      <c r="CS127" s="269">
        <f t="shared" si="384"/>
        <v>44.668451513082616</v>
      </c>
      <c r="CT127" s="269">
        <f t="shared" si="384"/>
        <v>44.376142150538058</v>
      </c>
      <c r="CU127" s="269">
        <f t="shared" si="384"/>
        <v>43.853642600150643</v>
      </c>
      <c r="CV127" s="269">
        <f t="shared" si="384"/>
        <v>43.491187153011744</v>
      </c>
      <c r="CW127" s="269">
        <f t="shared" si="384"/>
        <v>41.661546116715904</v>
      </c>
      <c r="CX127" s="269">
        <f t="shared" si="384"/>
        <v>40.526060956755046</v>
      </c>
      <c r="CY127" s="269">
        <f t="shared" ref="CY127:CZ127" si="385">CY106/CY$16</f>
        <v>39.626514379804888</v>
      </c>
      <c r="CZ127" s="269">
        <f t="shared" si="385"/>
        <v>38.046350546684408</v>
      </c>
      <c r="DA127" s="269">
        <f t="shared" ref="DA127:DB127" si="386">DA106/DA$16</f>
        <v>39.121582732353346</v>
      </c>
      <c r="DB127" s="269">
        <f t="shared" si="386"/>
        <v>40.140239201815618</v>
      </c>
      <c r="DC127" s="269">
        <f t="shared" ref="DC127:DD127" si="387">DC106/DC$16</f>
        <v>40.427805164599889</v>
      </c>
      <c r="DD127" s="269">
        <f t="shared" si="387"/>
        <v>39.703348128060881</v>
      </c>
      <c r="DE127" s="269">
        <f t="shared" ref="DE127:DF127" si="388">DE106/DE$16</f>
        <v>38.693876823899309</v>
      </c>
      <c r="DF127" s="269">
        <f t="shared" si="388"/>
        <v>38.323635876693018</v>
      </c>
      <c r="DG127" s="269">
        <f t="shared" ref="DG127" si="389">DG106/DG$16</f>
        <v>38.10441830891088</v>
      </c>
    </row>
    <row r="128" spans="1:111" x14ac:dyDescent="0.35">
      <c r="A128" s="29"/>
      <c r="B128" s="29"/>
      <c r="C128" s="1" t="s">
        <v>5</v>
      </c>
      <c r="D128" s="1">
        <v>22</v>
      </c>
      <c r="E128" s="1"/>
      <c r="F128" s="1"/>
      <c r="G128" s="1"/>
      <c r="H128" s="1"/>
      <c r="I128" s="1"/>
      <c r="J128" s="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1"/>
      <c r="AR128" s="271"/>
      <c r="AS128" s="271"/>
      <c r="AT128" s="271"/>
      <c r="AU128" s="271"/>
      <c r="AV128" s="271"/>
      <c r="AW128" s="271"/>
      <c r="AX128" s="271"/>
      <c r="AY128" s="271"/>
      <c r="AZ128" s="271"/>
      <c r="BA128" s="271"/>
      <c r="BB128" s="271"/>
      <c r="BC128" s="271"/>
      <c r="BD128" s="271"/>
      <c r="BE128" s="271"/>
      <c r="BF128" s="271"/>
      <c r="BG128" s="271"/>
      <c r="BH128" s="271"/>
      <c r="BI128" s="271"/>
      <c r="BJ128" s="271"/>
      <c r="BK128" s="271"/>
      <c r="BL128" s="271"/>
      <c r="BM128" s="271"/>
      <c r="BN128" s="271"/>
      <c r="BO128" s="271"/>
      <c r="BP128" s="271"/>
      <c r="BQ128" s="271"/>
      <c r="BR128" s="271"/>
      <c r="BT128" s="269">
        <f t="shared" ref="BT128:CM128" si="390">BT107/BT$16</f>
        <v>44.722852704872437</v>
      </c>
      <c r="BU128" s="269">
        <f t="shared" si="390"/>
        <v>44.026105334193851</v>
      </c>
      <c r="BV128" s="269">
        <f t="shared" si="390"/>
        <v>0</v>
      </c>
      <c r="BW128" s="269">
        <f t="shared" si="390"/>
        <v>0</v>
      </c>
      <c r="BX128" s="269">
        <f t="shared" si="390"/>
        <v>0</v>
      </c>
      <c r="BY128" s="269">
        <f t="shared" si="390"/>
        <v>0</v>
      </c>
      <c r="BZ128" s="269">
        <f t="shared" si="390"/>
        <v>0</v>
      </c>
      <c r="CA128" s="269">
        <f t="shared" si="390"/>
        <v>0</v>
      </c>
      <c r="CB128" s="269">
        <f t="shared" si="390"/>
        <v>0</v>
      </c>
      <c r="CC128" s="269">
        <f t="shared" si="390"/>
        <v>0</v>
      </c>
      <c r="CD128" s="269">
        <f t="shared" si="390"/>
        <v>0</v>
      </c>
      <c r="CE128" s="269">
        <f t="shared" si="390"/>
        <v>0</v>
      </c>
      <c r="CF128" s="269">
        <f t="shared" si="390"/>
        <v>0</v>
      </c>
      <c r="CG128" s="269">
        <f t="shared" si="390"/>
        <v>0</v>
      </c>
      <c r="CH128" s="269">
        <f t="shared" si="390"/>
        <v>0</v>
      </c>
      <c r="CI128" s="269">
        <f t="shared" si="390"/>
        <v>0</v>
      </c>
      <c r="CJ128" s="269">
        <f t="shared" si="390"/>
        <v>0</v>
      </c>
      <c r="CK128" s="269">
        <f t="shared" si="390"/>
        <v>0</v>
      </c>
      <c r="CL128" s="269">
        <f t="shared" si="390"/>
        <v>0</v>
      </c>
      <c r="CM128" s="269">
        <f t="shared" si="390"/>
        <v>0</v>
      </c>
      <c r="CN128" s="270"/>
      <c r="CO128" s="269">
        <f t="shared" ref="CO128:CX128" si="391">CO107/CO$16</f>
        <v>0</v>
      </c>
      <c r="CP128" s="269">
        <f t="shared" si="391"/>
        <v>0</v>
      </c>
      <c r="CQ128" s="269">
        <f t="shared" si="391"/>
        <v>0</v>
      </c>
      <c r="CR128" s="269">
        <f t="shared" si="391"/>
        <v>0</v>
      </c>
      <c r="CS128" s="269">
        <f t="shared" si="391"/>
        <v>0</v>
      </c>
      <c r="CT128" s="269">
        <f t="shared" si="391"/>
        <v>0</v>
      </c>
      <c r="CU128" s="269">
        <f t="shared" si="391"/>
        <v>0</v>
      </c>
      <c r="CV128" s="269">
        <f t="shared" si="391"/>
        <v>0</v>
      </c>
      <c r="CW128" s="269">
        <f t="shared" si="391"/>
        <v>0</v>
      </c>
      <c r="CX128" s="269">
        <f t="shared" si="391"/>
        <v>0</v>
      </c>
      <c r="CY128" s="269">
        <f t="shared" ref="CY128:CZ128" si="392">CY107/CY$16</f>
        <v>0</v>
      </c>
      <c r="CZ128" s="269">
        <f t="shared" si="392"/>
        <v>0</v>
      </c>
      <c r="DA128" s="269">
        <f t="shared" ref="DA128:DB128" si="393">DA107/DA$16</f>
        <v>0</v>
      </c>
      <c r="DB128" s="269">
        <f t="shared" si="393"/>
        <v>0</v>
      </c>
      <c r="DC128" s="269">
        <f t="shared" ref="DC128:DD128" si="394">DC107/DC$16</f>
        <v>0</v>
      </c>
      <c r="DD128" s="269">
        <f t="shared" si="394"/>
        <v>0</v>
      </c>
      <c r="DE128" s="269">
        <f t="shared" ref="DE128:DF128" si="395">DE107/DE$16</f>
        <v>0</v>
      </c>
      <c r="DF128" s="269">
        <f t="shared" si="395"/>
        <v>0</v>
      </c>
      <c r="DG128" s="269">
        <f t="shared" ref="DG128" si="396">DG107/DG$16</f>
        <v>0</v>
      </c>
    </row>
    <row r="129" spans="3:111" x14ac:dyDescent="0.35">
      <c r="C129" s="1" t="s">
        <v>5</v>
      </c>
      <c r="D129" s="1">
        <v>25</v>
      </c>
      <c r="E129" s="1"/>
      <c r="F129" s="1"/>
      <c r="G129" s="1"/>
      <c r="H129" s="1"/>
      <c r="I129" s="1"/>
      <c r="J129" s="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1"/>
      <c r="AW129" s="271"/>
      <c r="AX129" s="271"/>
      <c r="AY129" s="271"/>
      <c r="AZ129" s="271"/>
      <c r="BA129" s="271"/>
      <c r="BB129" s="271"/>
      <c r="BC129" s="271"/>
      <c r="BD129" s="271"/>
      <c r="BE129" s="271"/>
      <c r="BF129" s="271"/>
      <c r="BG129" s="271"/>
      <c r="BH129" s="271"/>
      <c r="BI129" s="271"/>
      <c r="BJ129" s="271"/>
      <c r="BK129" s="271"/>
      <c r="BL129" s="271"/>
      <c r="BM129" s="271"/>
      <c r="BN129" s="271"/>
      <c r="BO129" s="271"/>
      <c r="BP129" s="271"/>
      <c r="BQ129" s="271"/>
      <c r="BR129" s="271"/>
      <c r="BT129" s="269">
        <f t="shared" ref="BT129:CM129" si="397">BT108/BT$16</f>
        <v>49.585859501886468</v>
      </c>
      <c r="BU129" s="269">
        <f t="shared" si="397"/>
        <v>48.843784922814599</v>
      </c>
      <c r="BV129" s="269">
        <f t="shared" si="397"/>
        <v>47.986680224514885</v>
      </c>
      <c r="BW129" s="269">
        <f t="shared" si="397"/>
        <v>48.373667570851481</v>
      </c>
      <c r="BX129" s="269">
        <f t="shared" si="397"/>
        <v>48.220543834565838</v>
      </c>
      <c r="BY129" s="269">
        <f t="shared" si="397"/>
        <v>49.434382185284463</v>
      </c>
      <c r="BZ129" s="269">
        <f t="shared" si="397"/>
        <v>48.489416602358347</v>
      </c>
      <c r="CA129" s="269">
        <f t="shared" si="397"/>
        <v>46.381691886048792</v>
      </c>
      <c r="CB129" s="269">
        <f t="shared" si="397"/>
        <v>40.431858677901765</v>
      </c>
      <c r="CC129" s="269">
        <f t="shared" si="397"/>
        <v>41.844956521726218</v>
      </c>
      <c r="CD129" s="269">
        <f t="shared" si="397"/>
        <v>42.152923331360356</v>
      </c>
      <c r="CE129" s="269">
        <f t="shared" si="397"/>
        <v>41.287053004988564</v>
      </c>
      <c r="CF129" s="269">
        <f t="shared" si="397"/>
        <v>53.883758011432995</v>
      </c>
      <c r="CG129" s="269">
        <f t="shared" si="397"/>
        <v>55.94511453967003</v>
      </c>
      <c r="CH129" s="269">
        <f t="shared" si="397"/>
        <v>54.114982215601444</v>
      </c>
      <c r="CI129" s="269">
        <f t="shared" si="397"/>
        <v>53.520454630700613</v>
      </c>
      <c r="CJ129" s="269">
        <f t="shared" si="397"/>
        <v>48.325896674160205</v>
      </c>
      <c r="CK129" s="269">
        <f t="shared" si="397"/>
        <v>48.490980443184</v>
      </c>
      <c r="CL129" s="269">
        <f t="shared" si="397"/>
        <v>48.561283243384061</v>
      </c>
      <c r="CM129" s="269">
        <f t="shared" si="397"/>
        <v>48.565471719778223</v>
      </c>
      <c r="CN129" s="270"/>
      <c r="CO129" s="269">
        <f t="shared" ref="CO129:CX129" si="398">CO108/CO$16</f>
        <v>56.550290644564953</v>
      </c>
      <c r="CP129" s="269">
        <f t="shared" si="398"/>
        <v>39.75520622077773</v>
      </c>
      <c r="CQ129" s="269">
        <f t="shared" si="398"/>
        <v>46.635254751201472</v>
      </c>
      <c r="CR129" s="269">
        <f t="shared" si="398"/>
        <v>48.813781394367979</v>
      </c>
      <c r="CS129" s="269">
        <f t="shared" si="398"/>
        <v>49.34585364819003</v>
      </c>
      <c r="CT129" s="269">
        <f t="shared" si="398"/>
        <v>49.019735692626796</v>
      </c>
      <c r="CU129" s="269">
        <f t="shared" si="398"/>
        <v>48.420282317790573</v>
      </c>
      <c r="CV129" s="269">
        <f t="shared" si="398"/>
        <v>48.00763499048783</v>
      </c>
      <c r="CW129" s="269">
        <f t="shared" si="398"/>
        <v>46.03355557557834</v>
      </c>
      <c r="CX129" s="269">
        <f t="shared" si="398"/>
        <v>44.765659346839946</v>
      </c>
      <c r="CY129" s="269">
        <f t="shared" ref="CY129:CZ129" si="399">CY108/CY$16</f>
        <v>43.679972610557734</v>
      </c>
      <c r="CZ129" s="269">
        <f t="shared" si="399"/>
        <v>41.984311023741874</v>
      </c>
      <c r="DA129" s="269">
        <f t="shared" ref="DA129:DB129" si="400">DA108/DA$16</f>
        <v>43.164050111347422</v>
      </c>
      <c r="DB129" s="269">
        <f t="shared" si="400"/>
        <v>44.341659824032057</v>
      </c>
      <c r="DC129" s="269">
        <f t="shared" ref="DC129:DD129" si="401">DC108/DC$16</f>
        <v>44.661590496892678</v>
      </c>
      <c r="DD129" s="269">
        <f t="shared" si="401"/>
        <v>43.826528183820322</v>
      </c>
      <c r="DE129" s="269">
        <f t="shared" ref="DE129:DF129" si="402">DE108/DE$16</f>
        <v>42.680656755348807</v>
      </c>
      <c r="DF129" s="269">
        <f t="shared" si="402"/>
        <v>42.248799678367767</v>
      </c>
      <c r="DG129" s="269">
        <f t="shared" ref="DG129" si="403">DG108/DG$16</f>
        <v>41.96180403052027</v>
      </c>
    </row>
    <row r="130" spans="3:111" x14ac:dyDescent="0.35">
      <c r="C130" s="1" t="s">
        <v>7</v>
      </c>
      <c r="D130" s="1">
        <v>25</v>
      </c>
      <c r="E130" s="1"/>
      <c r="F130" s="1"/>
      <c r="G130" s="1"/>
      <c r="H130" s="1"/>
      <c r="I130" s="1"/>
      <c r="J130" s="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1"/>
      <c r="BC130" s="271"/>
      <c r="BD130" s="271"/>
      <c r="BE130" s="271"/>
      <c r="BF130" s="271"/>
      <c r="BG130" s="271"/>
      <c r="BH130" s="271"/>
      <c r="BI130" s="271"/>
      <c r="BJ130" s="271"/>
      <c r="BK130" s="271"/>
      <c r="BL130" s="271"/>
      <c r="BM130" s="271"/>
      <c r="BN130" s="271"/>
      <c r="BO130" s="271"/>
      <c r="BP130" s="271"/>
      <c r="BQ130" s="271"/>
      <c r="BR130" s="271"/>
      <c r="BT130" s="269">
        <f t="shared" ref="BT130:CM130" si="404">BT109/BT$16</f>
        <v>0</v>
      </c>
      <c r="BU130" s="269">
        <f t="shared" si="404"/>
        <v>0</v>
      </c>
      <c r="BV130" s="269">
        <f t="shared" si="404"/>
        <v>0</v>
      </c>
      <c r="BW130" s="269">
        <f t="shared" si="404"/>
        <v>0</v>
      </c>
      <c r="BX130" s="269">
        <f t="shared" si="404"/>
        <v>0</v>
      </c>
      <c r="BY130" s="269">
        <f t="shared" si="404"/>
        <v>0</v>
      </c>
      <c r="BZ130" s="269">
        <f t="shared" si="404"/>
        <v>0</v>
      </c>
      <c r="CA130" s="269">
        <f t="shared" si="404"/>
        <v>0</v>
      </c>
      <c r="CB130" s="269">
        <f t="shared" si="404"/>
        <v>0</v>
      </c>
      <c r="CC130" s="269">
        <f t="shared" si="404"/>
        <v>0</v>
      </c>
      <c r="CD130" s="269">
        <f t="shared" si="404"/>
        <v>0</v>
      </c>
      <c r="CE130" s="269">
        <f t="shared" si="404"/>
        <v>0</v>
      </c>
      <c r="CF130" s="269">
        <f t="shared" si="404"/>
        <v>0</v>
      </c>
      <c r="CG130" s="269">
        <f t="shared" si="404"/>
        <v>72.184931398420005</v>
      </c>
      <c r="CH130" s="269">
        <f t="shared" si="404"/>
        <v>72.682329829351445</v>
      </c>
      <c r="CI130" s="269">
        <f t="shared" si="404"/>
        <v>73.278016835075604</v>
      </c>
      <c r="CJ130" s="269">
        <f t="shared" si="404"/>
        <v>73.452620430514003</v>
      </c>
      <c r="CK130" s="269">
        <f t="shared" si="404"/>
        <v>73.617644483555097</v>
      </c>
      <c r="CL130" s="269">
        <f t="shared" si="404"/>
        <v>73.68807930706771</v>
      </c>
      <c r="CM130" s="269">
        <f t="shared" si="404"/>
        <v>73.692224188528215</v>
      </c>
      <c r="CN130" s="270"/>
      <c r="CO130" s="269">
        <f t="shared" ref="CO130:CX130" si="405">CO109/CO$16</f>
        <v>56.550290644564953</v>
      </c>
      <c r="CP130" s="269">
        <f t="shared" si="405"/>
        <v>39.75520622077773</v>
      </c>
      <c r="CQ130" s="269">
        <f t="shared" si="405"/>
        <v>46.635254751201472</v>
      </c>
      <c r="CR130" s="269">
        <f t="shared" si="405"/>
        <v>48.813781394367979</v>
      </c>
      <c r="CS130" s="269">
        <f t="shared" si="405"/>
        <v>49.34585364819003</v>
      </c>
      <c r="CT130" s="269">
        <f t="shared" si="405"/>
        <v>49.019735692626796</v>
      </c>
      <c r="CU130" s="269">
        <f t="shared" si="405"/>
        <v>48.420282317790573</v>
      </c>
      <c r="CV130" s="269">
        <f t="shared" si="405"/>
        <v>48.00763499048783</v>
      </c>
      <c r="CW130" s="269">
        <f t="shared" si="405"/>
        <v>46.03355557557834</v>
      </c>
      <c r="CX130" s="269">
        <f t="shared" si="405"/>
        <v>44.765659346839946</v>
      </c>
      <c r="CY130" s="269">
        <f t="shared" ref="CY130:CZ130" si="406">CY109/CY$16</f>
        <v>43.679972610557734</v>
      </c>
      <c r="CZ130" s="269">
        <f t="shared" si="406"/>
        <v>41.984311023741874</v>
      </c>
      <c r="DA130" s="269">
        <f t="shared" ref="DA130:DB130" si="407">DA109/DA$16</f>
        <v>43.164050111347422</v>
      </c>
      <c r="DB130" s="269">
        <f t="shared" si="407"/>
        <v>44.341659824032057</v>
      </c>
      <c r="DC130" s="269">
        <f t="shared" ref="DC130:DD130" si="408">DC109/DC$16</f>
        <v>44.661590496892678</v>
      </c>
      <c r="DD130" s="269">
        <f t="shared" si="408"/>
        <v>43.826528183820322</v>
      </c>
      <c r="DE130" s="269">
        <f t="shared" ref="DE130:DF130" si="409">DE109/DE$16</f>
        <v>42.680656755348807</v>
      </c>
      <c r="DF130" s="269">
        <f t="shared" si="409"/>
        <v>42.248799678367767</v>
      </c>
      <c r="DG130" s="269">
        <f t="shared" ref="DG130" si="410">DG109/DG$16</f>
        <v>41.96180403052027</v>
      </c>
    </row>
    <row r="131" spans="3:111" x14ac:dyDescent="0.35">
      <c r="C131" s="1" t="s">
        <v>8</v>
      </c>
      <c r="D131" s="1">
        <v>37.200000000000003</v>
      </c>
      <c r="E131" s="1"/>
      <c r="F131" s="1"/>
      <c r="G131" s="1"/>
      <c r="H131" s="1"/>
      <c r="I131" s="1"/>
      <c r="J131" s="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1"/>
      <c r="AS131" s="271"/>
      <c r="AT131" s="271"/>
      <c r="AU131" s="271"/>
      <c r="AV131" s="271"/>
      <c r="AW131" s="271"/>
      <c r="AX131" s="271"/>
      <c r="AY131" s="271"/>
      <c r="AZ131" s="271"/>
      <c r="BA131" s="271"/>
      <c r="BB131" s="271"/>
      <c r="BC131" s="271"/>
      <c r="BD131" s="271"/>
      <c r="BE131" s="271"/>
      <c r="BF131" s="271"/>
      <c r="BG131" s="271"/>
      <c r="BH131" s="271"/>
      <c r="BI131" s="271"/>
      <c r="BJ131" s="271"/>
      <c r="BK131" s="271"/>
      <c r="BL131" s="271"/>
      <c r="BM131" s="271"/>
      <c r="BN131" s="271"/>
      <c r="BO131" s="271"/>
      <c r="BP131" s="271"/>
      <c r="BQ131" s="271"/>
      <c r="BR131" s="271"/>
      <c r="BT131" s="269">
        <f t="shared" ref="BT131:CM131" si="411">BT110/BT$16</f>
        <v>73.026435665290649</v>
      </c>
      <c r="BU131" s="269">
        <f t="shared" si="411"/>
        <v>71.952436519002163</v>
      </c>
      <c r="BV131" s="269">
        <f t="shared" si="411"/>
        <v>70.686996795979141</v>
      </c>
      <c r="BW131" s="269">
        <f t="shared" si="411"/>
        <v>71.29292356466982</v>
      </c>
      <c r="BX131" s="269">
        <f t="shared" si="411"/>
        <v>71.091248706636563</v>
      </c>
      <c r="BY131" s="269">
        <f t="shared" si="411"/>
        <v>72.92221204384731</v>
      </c>
      <c r="BZ131" s="269">
        <f t="shared" si="411"/>
        <v>71.391329994819714</v>
      </c>
      <c r="CA131" s="269">
        <f t="shared" si="411"/>
        <v>68.287778294356229</v>
      </c>
      <c r="CB131" s="269">
        <f t="shared" si="411"/>
        <v>59.532161168473031</v>
      </c>
      <c r="CC131" s="269">
        <f t="shared" si="411"/>
        <v>61.634746483317485</v>
      </c>
      <c r="CD131" s="269">
        <f t="shared" si="411"/>
        <v>62.093001096053079</v>
      </c>
      <c r="CE131" s="269">
        <f t="shared" si="411"/>
        <v>60.815808176815224</v>
      </c>
      <c r="CF131" s="269">
        <f t="shared" si="411"/>
        <v>79.646529164701803</v>
      </c>
      <c r="CG131" s="269">
        <f t="shared" si="411"/>
        <v>82.619703761745797</v>
      </c>
      <c r="CH131" s="269">
        <f t="shared" si="411"/>
        <v>79.85425830976979</v>
      </c>
      <c r="CI131" s="269">
        <f t="shared" si="411"/>
        <v>78.91905207501442</v>
      </c>
      <c r="CJ131" s="269">
        <f t="shared" si="411"/>
        <v>71.174733212253685</v>
      </c>
      <c r="CK131" s="269">
        <f t="shared" si="411"/>
        <v>71.406374144060081</v>
      </c>
      <c r="CL131" s="269">
        <f t="shared" si="411"/>
        <v>71.505007707514366</v>
      </c>
      <c r="CM131" s="269">
        <f t="shared" si="411"/>
        <v>71.510888431390399</v>
      </c>
      <c r="CN131" s="270"/>
      <c r="CO131" s="269">
        <f t="shared" ref="CO131:CX131" si="412">CO110/CO$16</f>
        <v>83.390295837611205</v>
      </c>
      <c r="CP131" s="269">
        <f t="shared" si="412"/>
        <v>58.400542025842086</v>
      </c>
      <c r="CQ131" s="269">
        <f t="shared" si="412"/>
        <v>68.632662262017561</v>
      </c>
      <c r="CR131" s="269">
        <f t="shared" si="412"/>
        <v>71.868555800735379</v>
      </c>
      <c r="CS131" s="269">
        <f t="shared" si="412"/>
        <v>72.660914967537138</v>
      </c>
      <c r="CT131" s="269">
        <f t="shared" si="412"/>
        <v>72.178593037667284</v>
      </c>
      <c r="CU131" s="269">
        <f t="shared" si="412"/>
        <v>71.281180413386068</v>
      </c>
      <c r="CV131" s="269">
        <f t="shared" si="412"/>
        <v>70.665460513364252</v>
      </c>
      <c r="CW131" s="269">
        <f t="shared" si="412"/>
        <v>67.789885585973167</v>
      </c>
      <c r="CX131" s="269">
        <f t="shared" si="412"/>
        <v>65.913983953829941</v>
      </c>
      <c r="CY131" s="269">
        <f t="shared" ref="CY131:CZ131" si="413">CY110/CY$16</f>
        <v>64.2544430186433</v>
      </c>
      <c r="CZ131" s="269">
        <f t="shared" si="413"/>
        <v>61.790698886000854</v>
      </c>
      <c r="DA131" s="269">
        <f t="shared" ref="DA131:DB131" si="414">DA110/DA$16</f>
        <v>63.522490573221916</v>
      </c>
      <c r="DB131" s="269">
        <f t="shared" si="414"/>
        <v>65.291124122332249</v>
      </c>
      <c r="DC131" s="269">
        <f t="shared" ref="DC131:DD131" si="415">DC110/DC$16</f>
        <v>65.763708161816282</v>
      </c>
      <c r="DD131" s="269">
        <f t="shared" si="415"/>
        <v>64.511085508320789</v>
      </c>
      <c r="DE131" s="269">
        <f t="shared" ref="DE131:DF131" si="416">DE110/DE$16</f>
        <v>62.803483766890082</v>
      </c>
      <c r="DF131" s="269">
        <f t="shared" si="416"/>
        <v>62.152452577118673</v>
      </c>
      <c r="DG131" s="269">
        <f t="shared" ref="DG131" si="417">DG110/DG$16</f>
        <v>61.700174737166435</v>
      </c>
    </row>
    <row r="132" spans="3:111" x14ac:dyDescent="0.35">
      <c r="C132" s="1" t="s">
        <v>8</v>
      </c>
      <c r="D132" s="1">
        <v>40</v>
      </c>
      <c r="E132" s="1"/>
      <c r="F132" s="1"/>
      <c r="G132" s="1"/>
      <c r="H132" s="1"/>
      <c r="I132" s="1"/>
      <c r="J132" s="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1"/>
      <c r="AR132" s="271"/>
      <c r="AS132" s="271"/>
      <c r="AT132" s="271"/>
      <c r="AU132" s="271"/>
      <c r="AV132" s="271"/>
      <c r="AW132" s="271"/>
      <c r="AX132" s="271"/>
      <c r="AY132" s="271"/>
      <c r="AZ132" s="271"/>
      <c r="BA132" s="271"/>
      <c r="BB132" s="271"/>
      <c r="BC132" s="271"/>
      <c r="BD132" s="271"/>
      <c r="BE132" s="271"/>
      <c r="BF132" s="271"/>
      <c r="BG132" s="271"/>
      <c r="BH132" s="271"/>
      <c r="BI132" s="271"/>
      <c r="BJ132" s="271"/>
      <c r="BK132" s="271"/>
      <c r="BL132" s="271"/>
      <c r="BM132" s="271"/>
      <c r="BN132" s="271"/>
      <c r="BO132" s="271"/>
      <c r="BP132" s="271"/>
      <c r="BQ132" s="271"/>
      <c r="BR132" s="271"/>
      <c r="BT132" s="269">
        <f t="shared" ref="BT132:CM132" si="418">BT111/BT$16</f>
        <v>77.565242009170419</v>
      </c>
      <c r="BU132" s="269">
        <f t="shared" si="418"/>
        <v>76.448937468381516</v>
      </c>
      <c r="BV132" s="269">
        <f t="shared" si="418"/>
        <v>0</v>
      </c>
      <c r="BW132" s="269">
        <f t="shared" si="418"/>
        <v>0</v>
      </c>
      <c r="BX132" s="269">
        <f t="shared" si="418"/>
        <v>0</v>
      </c>
      <c r="BY132" s="269">
        <f t="shared" si="418"/>
        <v>0</v>
      </c>
      <c r="BZ132" s="269">
        <f t="shared" si="418"/>
        <v>0</v>
      </c>
      <c r="CA132" s="269">
        <f t="shared" si="418"/>
        <v>0</v>
      </c>
      <c r="CB132" s="269">
        <f t="shared" si="418"/>
        <v>0</v>
      </c>
      <c r="CC132" s="269">
        <f t="shared" si="418"/>
        <v>0</v>
      </c>
      <c r="CD132" s="269">
        <f t="shared" si="418"/>
        <v>0</v>
      </c>
      <c r="CE132" s="269">
        <f t="shared" si="418"/>
        <v>0</v>
      </c>
      <c r="CF132" s="269">
        <f t="shared" si="418"/>
        <v>0</v>
      </c>
      <c r="CG132" s="269">
        <f t="shared" si="418"/>
        <v>0</v>
      </c>
      <c r="CH132" s="269">
        <f t="shared" si="418"/>
        <v>0</v>
      </c>
      <c r="CI132" s="269">
        <f t="shared" si="418"/>
        <v>0</v>
      </c>
      <c r="CJ132" s="269">
        <f t="shared" si="418"/>
        <v>0</v>
      </c>
      <c r="CK132" s="269">
        <f t="shared" si="418"/>
        <v>0</v>
      </c>
      <c r="CL132" s="269">
        <f t="shared" si="418"/>
        <v>0</v>
      </c>
      <c r="CM132" s="269">
        <f t="shared" si="418"/>
        <v>0</v>
      </c>
      <c r="CN132" s="270"/>
      <c r="CO132" s="269">
        <f t="shared" ref="CO132:CX132" si="419">CO111/CO$16</f>
        <v>0</v>
      </c>
      <c r="CP132" s="269">
        <f t="shared" si="419"/>
        <v>0</v>
      </c>
      <c r="CQ132" s="269">
        <f t="shared" si="419"/>
        <v>0</v>
      </c>
      <c r="CR132" s="269">
        <f t="shared" si="419"/>
        <v>0</v>
      </c>
      <c r="CS132" s="269">
        <f t="shared" si="419"/>
        <v>0</v>
      </c>
      <c r="CT132" s="269">
        <f t="shared" si="419"/>
        <v>0</v>
      </c>
      <c r="CU132" s="269">
        <f t="shared" si="419"/>
        <v>0</v>
      </c>
      <c r="CV132" s="269">
        <f t="shared" si="419"/>
        <v>0</v>
      </c>
      <c r="CW132" s="269">
        <f t="shared" si="419"/>
        <v>0</v>
      </c>
      <c r="CX132" s="269">
        <f t="shared" si="419"/>
        <v>0</v>
      </c>
      <c r="CY132" s="269">
        <f t="shared" ref="CY132:CZ132" si="420">CY111/CY$16</f>
        <v>0</v>
      </c>
      <c r="CZ132" s="269">
        <f t="shared" si="420"/>
        <v>0</v>
      </c>
      <c r="DA132" s="269">
        <f t="shared" ref="DA132:DB132" si="421">DA111/DA$16</f>
        <v>0</v>
      </c>
      <c r="DB132" s="269">
        <f t="shared" si="421"/>
        <v>0</v>
      </c>
      <c r="DC132" s="269">
        <f t="shared" ref="DC132:DD132" si="422">DC111/DC$16</f>
        <v>0</v>
      </c>
      <c r="DD132" s="269">
        <f t="shared" si="422"/>
        <v>0</v>
      </c>
      <c r="DE132" s="269">
        <f t="shared" ref="DE132:DF132" si="423">DE111/DE$16</f>
        <v>0</v>
      </c>
      <c r="DF132" s="269">
        <f t="shared" si="423"/>
        <v>0</v>
      </c>
      <c r="DG132" s="269">
        <f t="shared" ref="DG132" si="424">DG111/DG$16</f>
        <v>0</v>
      </c>
    </row>
    <row r="133" spans="3:111" x14ac:dyDescent="0.35">
      <c r="C133" s="1" t="s">
        <v>8</v>
      </c>
      <c r="D133" s="1">
        <v>44</v>
      </c>
      <c r="E133" s="1"/>
      <c r="F133" s="1"/>
      <c r="G133" s="1"/>
      <c r="H133" s="1"/>
      <c r="I133" s="1"/>
      <c r="J133" s="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1"/>
      <c r="AR133" s="271"/>
      <c r="AS133" s="271"/>
      <c r="AT133" s="271"/>
      <c r="AU133" s="271"/>
      <c r="AV133" s="271"/>
      <c r="AW133" s="271"/>
      <c r="AX133" s="271"/>
      <c r="AY133" s="271"/>
      <c r="AZ133" s="271"/>
      <c r="BA133" s="271"/>
      <c r="BB133" s="271"/>
      <c r="BC133" s="271"/>
      <c r="BD133" s="271"/>
      <c r="BE133" s="271"/>
      <c r="BF133" s="271"/>
      <c r="BG133" s="271"/>
      <c r="BH133" s="271"/>
      <c r="BI133" s="271"/>
      <c r="BJ133" s="271"/>
      <c r="BK133" s="271"/>
      <c r="BL133" s="271"/>
      <c r="BM133" s="271"/>
      <c r="BN133" s="271"/>
      <c r="BO133" s="271"/>
      <c r="BP133" s="271"/>
      <c r="BQ133" s="271"/>
      <c r="BR133" s="271"/>
      <c r="BT133" s="269">
        <f t="shared" ref="BT133:CM133" si="425">BT112/BT$16</f>
        <v>84.049251071855778</v>
      </c>
      <c r="BU133" s="269">
        <f t="shared" si="425"/>
        <v>82.8725102532092</v>
      </c>
      <c r="BV133" s="269">
        <f t="shared" si="425"/>
        <v>81.440563917059507</v>
      </c>
      <c r="BW133" s="269">
        <f t="shared" si="425"/>
        <v>82.248198354090903</v>
      </c>
      <c r="BX133" s="269">
        <f t="shared" si="425"/>
        <v>82.088767798607904</v>
      </c>
      <c r="BY133" s="269">
        <f t="shared" si="425"/>
        <v>84.329297206943309</v>
      </c>
      <c r="BZ133" s="269">
        <f t="shared" si="425"/>
        <v>82.141444953195773</v>
      </c>
      <c r="CA133" s="269">
        <f t="shared" si="425"/>
        <v>78.56954323901202</v>
      </c>
      <c r="CB133" s="269">
        <f t="shared" si="425"/>
        <v>68.508843475986836</v>
      </c>
      <c r="CC133" s="269">
        <f t="shared" si="425"/>
        <v>70.995457162831002</v>
      </c>
      <c r="CD133" s="269">
        <f t="shared" si="425"/>
        <v>71.537478747787105</v>
      </c>
      <c r="CE133" s="269">
        <f t="shared" si="425"/>
        <v>70.060739726066089</v>
      </c>
      <c r="CF133" s="269">
        <f t="shared" si="425"/>
        <v>92.596063910701787</v>
      </c>
      <c r="CG133" s="269">
        <f t="shared" si="425"/>
        <v>95.828229202665781</v>
      </c>
      <c r="CH133" s="269">
        <f t="shared" si="425"/>
        <v>92.429695385329779</v>
      </c>
      <c r="CI133" s="269">
        <f t="shared" si="425"/>
        <v>91.170750781924411</v>
      </c>
      <c r="CJ133" s="269">
        <f t="shared" si="425"/>
        <v>81.966019977025468</v>
      </c>
      <c r="CK133" s="269">
        <f t="shared" si="425"/>
        <v>82.197677151579143</v>
      </c>
      <c r="CL133" s="269">
        <f t="shared" si="425"/>
        <v>82.296274804692402</v>
      </c>
      <c r="CM133" s="269">
        <f t="shared" si="425"/>
        <v>82.30216738639038</v>
      </c>
      <c r="CN133" s="270"/>
      <c r="CO133" s="269">
        <f t="shared" ref="CO133:CX133" si="426">CO112/CO$16</f>
        <v>96.347024769581168</v>
      </c>
      <c r="CP133" s="269">
        <f t="shared" si="426"/>
        <v>66.793276888671201</v>
      </c>
      <c r="CQ133" s="269">
        <f t="shared" si="426"/>
        <v>78.879487255400718</v>
      </c>
      <c r="CR133" s="269">
        <f t="shared" si="426"/>
        <v>82.689496227435555</v>
      </c>
      <c r="CS133" s="269">
        <f t="shared" si="426"/>
        <v>83.628616525720034</v>
      </c>
      <c r="CT133" s="269">
        <f t="shared" si="426"/>
        <v>83.067019274289166</v>
      </c>
      <c r="CU133" s="269">
        <f t="shared" si="426"/>
        <v>81.989163199576254</v>
      </c>
      <c r="CV133" s="269">
        <f t="shared" si="426"/>
        <v>81.255751994342674</v>
      </c>
      <c r="CW133" s="269">
        <f t="shared" si="426"/>
        <v>78.041493972271255</v>
      </c>
      <c r="CX133" s="269">
        <f t="shared" si="426"/>
        <v>75.85511121333937</v>
      </c>
      <c r="CY133" s="269">
        <f t="shared" ref="CY133:CZ133" si="427">CY112/CY$16</f>
        <v>73.759103697649991</v>
      </c>
      <c r="CZ133" s="269">
        <f t="shared" si="427"/>
        <v>71.024537245997692</v>
      </c>
      <c r="DA133" s="269">
        <f t="shared" ref="DA133:DB133" si="428">DA112/DA$16</f>
        <v>73.001379599828709</v>
      </c>
      <c r="DB133" s="269">
        <f t="shared" si="428"/>
        <v>75.142731098563942</v>
      </c>
      <c r="DC133" s="269">
        <f t="shared" ref="DC133:DD133" si="429">DC112/DC$16</f>
        <v>75.691204803054575</v>
      </c>
      <c r="DD133" s="269">
        <f t="shared" si="429"/>
        <v>74.179231845963614</v>
      </c>
      <c r="DE133" s="269">
        <f t="shared" ref="DE133:DF133" si="430">DE112/DE$16</f>
        <v>72.151795330288905</v>
      </c>
      <c r="DF133" s="269">
        <f t="shared" si="430"/>
        <v>71.356284939666381</v>
      </c>
      <c r="DG133" s="269">
        <f t="shared" ref="DG133" si="431">DG112/DG$16</f>
        <v>70.745079187836723</v>
      </c>
    </row>
    <row r="134" spans="3:111" x14ac:dyDescent="0.35">
      <c r="C134" s="1" t="s">
        <v>9</v>
      </c>
      <c r="D134" s="1">
        <v>42.6</v>
      </c>
      <c r="E134" s="1"/>
      <c r="F134" s="1"/>
      <c r="G134" s="1"/>
      <c r="H134" s="1"/>
      <c r="I134" s="1"/>
      <c r="J134" s="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1"/>
      <c r="AR134" s="271"/>
      <c r="AS134" s="271"/>
      <c r="AT134" s="271"/>
      <c r="AU134" s="271"/>
      <c r="AV134" s="271"/>
      <c r="AW134" s="271"/>
      <c r="AX134" s="271"/>
      <c r="AY134" s="271"/>
      <c r="AZ134" s="271"/>
      <c r="BA134" s="271"/>
      <c r="BB134" s="271"/>
      <c r="BC134" s="271"/>
      <c r="BD134" s="271"/>
      <c r="BE134" s="271"/>
      <c r="BF134" s="271"/>
      <c r="BG134" s="271"/>
      <c r="BH134" s="271"/>
      <c r="BI134" s="271"/>
      <c r="BJ134" s="271"/>
      <c r="BK134" s="271"/>
      <c r="BL134" s="271"/>
      <c r="BM134" s="271"/>
      <c r="BN134" s="271"/>
      <c r="BO134" s="271"/>
      <c r="BP134" s="271"/>
      <c r="BQ134" s="271"/>
      <c r="BR134" s="271"/>
      <c r="BT134" s="269">
        <f t="shared" ref="BT134:CM134" si="432">BT113/BT$16</f>
        <v>83.207516155323859</v>
      </c>
      <c r="BU134" s="269">
        <f t="shared" si="432"/>
        <v>81.994423909349322</v>
      </c>
      <c r="BV134" s="269">
        <f t="shared" si="432"/>
        <v>0</v>
      </c>
      <c r="BW134" s="269">
        <f t="shared" si="432"/>
        <v>0</v>
      </c>
      <c r="BX134" s="269">
        <f t="shared" si="432"/>
        <v>0</v>
      </c>
      <c r="BY134" s="269">
        <f t="shared" si="432"/>
        <v>0</v>
      </c>
      <c r="BZ134" s="269">
        <f t="shared" si="432"/>
        <v>0</v>
      </c>
      <c r="CA134" s="269">
        <f t="shared" si="432"/>
        <v>0</v>
      </c>
      <c r="CB134" s="269">
        <f t="shared" si="432"/>
        <v>0</v>
      </c>
      <c r="CC134" s="269">
        <f t="shared" si="432"/>
        <v>0</v>
      </c>
      <c r="CD134" s="269">
        <f t="shared" si="432"/>
        <v>0</v>
      </c>
      <c r="CE134" s="269">
        <f t="shared" si="432"/>
        <v>0</v>
      </c>
      <c r="CF134" s="269">
        <f t="shared" si="432"/>
        <v>0</v>
      </c>
      <c r="CG134" s="269">
        <f t="shared" si="432"/>
        <v>0</v>
      </c>
      <c r="CH134" s="269">
        <f t="shared" si="432"/>
        <v>0</v>
      </c>
      <c r="CI134" s="269">
        <f t="shared" si="432"/>
        <v>0</v>
      </c>
      <c r="CJ134" s="269">
        <f t="shared" si="432"/>
        <v>0</v>
      </c>
      <c r="CK134" s="269">
        <f t="shared" si="432"/>
        <v>0</v>
      </c>
      <c r="CL134" s="269">
        <f t="shared" si="432"/>
        <v>0</v>
      </c>
      <c r="CM134" s="269">
        <f t="shared" si="432"/>
        <v>0</v>
      </c>
      <c r="CN134" s="270"/>
      <c r="CO134" s="269">
        <f t="shared" ref="CO134:CX134" si="433">CO113/CO$16</f>
        <v>0</v>
      </c>
      <c r="CP134" s="269">
        <f t="shared" si="433"/>
        <v>0</v>
      </c>
      <c r="CQ134" s="269">
        <f t="shared" si="433"/>
        <v>0</v>
      </c>
      <c r="CR134" s="269">
        <f t="shared" si="433"/>
        <v>0</v>
      </c>
      <c r="CS134" s="269">
        <f t="shared" si="433"/>
        <v>0</v>
      </c>
      <c r="CT134" s="269">
        <f t="shared" si="433"/>
        <v>0</v>
      </c>
      <c r="CU134" s="269">
        <f t="shared" si="433"/>
        <v>0</v>
      </c>
      <c r="CV134" s="269">
        <f t="shared" si="433"/>
        <v>0</v>
      </c>
      <c r="CW134" s="269">
        <f t="shared" si="433"/>
        <v>0</v>
      </c>
      <c r="CX134" s="269">
        <f t="shared" si="433"/>
        <v>0</v>
      </c>
      <c r="CY134" s="269">
        <f t="shared" ref="CY134:CZ134" si="434">CY113/CY$16</f>
        <v>0</v>
      </c>
      <c r="CZ134" s="269">
        <f t="shared" si="434"/>
        <v>0</v>
      </c>
      <c r="DA134" s="269">
        <f t="shared" ref="DA134:DB134" si="435">DA113/DA$16</f>
        <v>0</v>
      </c>
      <c r="DB134" s="269">
        <f t="shared" si="435"/>
        <v>0</v>
      </c>
      <c r="DC134" s="269">
        <f t="shared" ref="DC134:DD134" si="436">DC113/DC$16</f>
        <v>0</v>
      </c>
      <c r="DD134" s="269">
        <f t="shared" si="436"/>
        <v>0</v>
      </c>
      <c r="DE134" s="269">
        <f t="shared" ref="DE134:DF134" si="437">DE113/DE$16</f>
        <v>0</v>
      </c>
      <c r="DF134" s="269">
        <f t="shared" si="437"/>
        <v>0</v>
      </c>
      <c r="DG134" s="269">
        <f t="shared" ref="DG134" si="438">DG113/DG$16</f>
        <v>0</v>
      </c>
    </row>
    <row r="135" spans="3:111" x14ac:dyDescent="0.35">
      <c r="C135" s="1" t="s">
        <v>9</v>
      </c>
      <c r="D135" s="1">
        <v>46.6</v>
      </c>
      <c r="E135" s="1"/>
      <c r="F135" s="1"/>
      <c r="G135" s="1"/>
      <c r="H135" s="1"/>
      <c r="I135" s="1"/>
      <c r="J135" s="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  <c r="AO135" s="271"/>
      <c r="AP135" s="271"/>
      <c r="AQ135" s="271"/>
      <c r="AR135" s="271"/>
      <c r="AS135" s="271"/>
      <c r="AT135" s="271"/>
      <c r="AU135" s="271"/>
      <c r="AV135" s="271"/>
      <c r="AW135" s="271"/>
      <c r="AX135" s="271"/>
      <c r="AY135" s="271"/>
      <c r="AZ135" s="271"/>
      <c r="BA135" s="271"/>
      <c r="BB135" s="271"/>
      <c r="BC135" s="271"/>
      <c r="BD135" s="271"/>
      <c r="BE135" s="271"/>
      <c r="BF135" s="271"/>
      <c r="BG135" s="271"/>
      <c r="BH135" s="271"/>
      <c r="BI135" s="271"/>
      <c r="BJ135" s="271"/>
      <c r="BK135" s="271"/>
      <c r="BL135" s="271"/>
      <c r="BM135" s="271"/>
      <c r="BN135" s="271"/>
      <c r="BO135" s="271"/>
      <c r="BP135" s="271"/>
      <c r="BQ135" s="271"/>
      <c r="BR135" s="271"/>
      <c r="BT135" s="269">
        <f t="shared" ref="BT135:CM135" si="439">BT114/BT$16</f>
        <v>89.691525218009247</v>
      </c>
      <c r="BU135" s="269">
        <f t="shared" si="439"/>
        <v>88.417996694176978</v>
      </c>
      <c r="BV135" s="269">
        <f t="shared" si="439"/>
        <v>86.879683764086963</v>
      </c>
      <c r="BW135" s="269">
        <f t="shared" si="439"/>
        <v>87.708747748004072</v>
      </c>
      <c r="BX135" s="269">
        <f t="shared" si="439"/>
        <v>87.517024346456623</v>
      </c>
      <c r="BY135" s="269">
        <f t="shared" si="439"/>
        <v>89.868301353439705</v>
      </c>
      <c r="BZ135" s="269">
        <f t="shared" si="439"/>
        <v>87.660202157098297</v>
      </c>
      <c r="CA135" s="269">
        <f t="shared" si="439"/>
        <v>83.848620778108256</v>
      </c>
      <c r="CB135" s="269">
        <f t="shared" si="439"/>
        <v>73.108018001370226</v>
      </c>
      <c r="CC135" s="269">
        <f t="shared" si="439"/>
        <v>75.741659075553059</v>
      </c>
      <c r="CD135" s="269">
        <f t="shared" si="439"/>
        <v>76.315709208711112</v>
      </c>
      <c r="CE135" s="269">
        <f t="shared" si="439"/>
        <v>74.741901689753718</v>
      </c>
      <c r="CF135" s="269">
        <f t="shared" si="439"/>
        <v>98.532986092481863</v>
      </c>
      <c r="CG135" s="269">
        <f t="shared" si="439"/>
        <v>102.03839475499375</v>
      </c>
      <c r="CH135" s="269">
        <f t="shared" si="439"/>
        <v>98.475923147137436</v>
      </c>
      <c r="CI135" s="269">
        <f t="shared" si="439"/>
        <v>97.186759630347524</v>
      </c>
      <c r="CJ135" s="269">
        <f t="shared" si="439"/>
        <v>87.451060672540933</v>
      </c>
      <c r="CK135" s="269">
        <f t="shared" si="439"/>
        <v>87.708644065887881</v>
      </c>
      <c r="CL135" s="269">
        <f t="shared" si="439"/>
        <v>87.818291049861358</v>
      </c>
      <c r="CM135" s="269">
        <f t="shared" si="439"/>
        <v>87.824839193934082</v>
      </c>
      <c r="CN135" s="270"/>
      <c r="CO135" s="269">
        <f t="shared" ref="CO135:CX135" si="440">CO114/CO$16</f>
        <v>102.70137045800902</v>
      </c>
      <c r="CP135" s="269">
        <f t="shared" si="440"/>
        <v>71.40010092223892</v>
      </c>
      <c r="CQ135" s="269">
        <f t="shared" si="440"/>
        <v>84.205208317859757</v>
      </c>
      <c r="CR135" s="269">
        <f t="shared" si="440"/>
        <v>88.245382507328728</v>
      </c>
      <c r="CS135" s="269">
        <f t="shared" si="440"/>
        <v>89.23944080150325</v>
      </c>
      <c r="CT135" s="269">
        <f t="shared" si="440"/>
        <v>88.642087701249338</v>
      </c>
      <c r="CU135" s="269">
        <f t="shared" si="440"/>
        <v>87.505281735770183</v>
      </c>
      <c r="CV135" s="269">
        <f t="shared" si="440"/>
        <v>86.730018761188674</v>
      </c>
      <c r="CW135" s="269">
        <f t="shared" si="440"/>
        <v>83.27177405567906</v>
      </c>
      <c r="CX135" s="269">
        <f t="shared" si="440"/>
        <v>80.946821144965213</v>
      </c>
      <c r="CY135" s="269">
        <f t="shared" ref="CY135:CZ135" si="441">CY114/CY$16</f>
        <v>78.765442931168238</v>
      </c>
      <c r="CZ135" s="269">
        <f t="shared" si="441"/>
        <v>75.817380492394506</v>
      </c>
      <c r="DA135" s="269">
        <f t="shared" ref="DA135:DB135" si="442">DA114/DA$16</f>
        <v>77.931712016961995</v>
      </c>
      <c r="DB135" s="269">
        <f t="shared" si="442"/>
        <v>80.185309937742744</v>
      </c>
      <c r="DC135" s="269">
        <f t="shared" ref="DC135:DD135" si="443">DC114/DC$16</f>
        <v>80.769228218881764</v>
      </c>
      <c r="DD135" s="269">
        <f t="shared" si="443"/>
        <v>79.17669370886837</v>
      </c>
      <c r="DE135" s="269">
        <f t="shared" ref="DE135:DF135" si="444">DE114/DE$16</f>
        <v>77.031678166696281</v>
      </c>
      <c r="DF135" s="269">
        <f t="shared" si="444"/>
        <v>76.196525171971146</v>
      </c>
      <c r="DG135" s="269">
        <f t="shared" ref="DG135" si="445">DG114/DG$16</f>
        <v>75.571248909446126</v>
      </c>
    </row>
    <row r="136" spans="3:111" x14ac:dyDescent="0.35">
      <c r="C136" s="99" t="s">
        <v>10</v>
      </c>
      <c r="D136" s="1">
        <v>46.6</v>
      </c>
      <c r="E136" s="1"/>
      <c r="F136" s="1"/>
      <c r="G136" s="1"/>
      <c r="H136" s="1"/>
      <c r="I136" s="1"/>
      <c r="J136" s="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  <c r="AO136" s="271"/>
      <c r="AP136" s="271"/>
      <c r="AQ136" s="271"/>
      <c r="AR136" s="271"/>
      <c r="AS136" s="271"/>
      <c r="AT136" s="271"/>
      <c r="AU136" s="271"/>
      <c r="AV136" s="271"/>
      <c r="AW136" s="271"/>
      <c r="AX136" s="271"/>
      <c r="AY136" s="271"/>
      <c r="AZ136" s="271"/>
      <c r="BA136" s="271"/>
      <c r="BB136" s="271"/>
      <c r="BC136" s="271"/>
      <c r="BD136" s="271"/>
      <c r="BE136" s="271"/>
      <c r="BF136" s="271"/>
      <c r="BG136" s="271"/>
      <c r="BH136" s="271"/>
      <c r="BI136" s="271"/>
      <c r="BJ136" s="271"/>
      <c r="BK136" s="271"/>
      <c r="BL136" s="271"/>
      <c r="BM136" s="271"/>
      <c r="BN136" s="271"/>
      <c r="BO136" s="271"/>
      <c r="BP136" s="271"/>
      <c r="BQ136" s="271"/>
      <c r="BR136" s="271"/>
      <c r="BT136" s="269">
        <f t="shared" ref="BT136:CM136" si="446">BT115/BT$16</f>
        <v>0</v>
      </c>
      <c r="BU136" s="269">
        <f t="shared" si="446"/>
        <v>0</v>
      </c>
      <c r="BV136" s="269">
        <f t="shared" si="446"/>
        <v>0</v>
      </c>
      <c r="BW136" s="269">
        <f t="shared" si="446"/>
        <v>0</v>
      </c>
      <c r="BX136" s="269">
        <f t="shared" si="446"/>
        <v>0</v>
      </c>
      <c r="BY136" s="269">
        <f t="shared" si="446"/>
        <v>0</v>
      </c>
      <c r="BZ136" s="269">
        <f t="shared" si="446"/>
        <v>0</v>
      </c>
      <c r="CA136" s="269">
        <f t="shared" si="446"/>
        <v>0</v>
      </c>
      <c r="CB136" s="269">
        <f t="shared" si="446"/>
        <v>0</v>
      </c>
      <c r="CC136" s="269">
        <f t="shared" si="446"/>
        <v>0</v>
      </c>
      <c r="CD136" s="269">
        <f t="shared" si="446"/>
        <v>0</v>
      </c>
      <c r="CE136" s="269">
        <f t="shared" si="446"/>
        <v>0</v>
      </c>
      <c r="CF136" s="269">
        <f t="shared" si="446"/>
        <v>0</v>
      </c>
      <c r="CG136" s="269">
        <f t="shared" si="446"/>
        <v>108.09259847993576</v>
      </c>
      <c r="CH136" s="269">
        <f t="shared" si="446"/>
        <v>105.39783033754345</v>
      </c>
      <c r="CI136" s="269">
        <f t="shared" si="446"/>
        <v>104.55237882013851</v>
      </c>
      <c r="CJ136" s="269">
        <f t="shared" si="446"/>
        <v>96.818303288909632</v>
      </c>
      <c r="CK136" s="269">
        <f t="shared" si="446"/>
        <v>97.075864420138231</v>
      </c>
      <c r="CL136" s="269">
        <f t="shared" si="446"/>
        <v>97.185560622402619</v>
      </c>
      <c r="CM136" s="269">
        <f t="shared" si="446"/>
        <v>97.192092514284084</v>
      </c>
      <c r="CN136" s="270"/>
      <c r="CO136" s="269">
        <f t="shared" ref="CO136:CX136" si="447">CO115/CO$16</f>
        <v>13.909669247744016</v>
      </c>
      <c r="CP136" s="269">
        <f t="shared" si="447"/>
        <v>13.885182597557014</v>
      </c>
      <c r="CQ136" s="269">
        <f t="shared" si="447"/>
        <v>13.984319392616461</v>
      </c>
      <c r="CR136" s="269">
        <f t="shared" si="447"/>
        <v>14.090114289059951</v>
      </c>
      <c r="CS136" s="269">
        <f t="shared" si="447"/>
        <v>89.23944080150325</v>
      </c>
      <c r="CT136" s="269">
        <f t="shared" si="447"/>
        <v>88.642087701249338</v>
      </c>
      <c r="CU136" s="269">
        <f t="shared" si="447"/>
        <v>87.505281735770183</v>
      </c>
      <c r="CV136" s="269">
        <f t="shared" si="447"/>
        <v>86.730018761188674</v>
      </c>
      <c r="CW136" s="269">
        <f t="shared" si="447"/>
        <v>83.27177405567906</v>
      </c>
      <c r="CX136" s="269">
        <f t="shared" si="447"/>
        <v>80.946821144965213</v>
      </c>
      <c r="CY136" s="269">
        <f t="shared" ref="CY136:CZ136" si="448">CY115/CY$16</f>
        <v>78.765442931168238</v>
      </c>
      <c r="CZ136" s="269">
        <f t="shared" si="448"/>
        <v>75.817380492394506</v>
      </c>
      <c r="DA136" s="269">
        <f t="shared" ref="DA136:DB136" si="449">DA115/DA$16</f>
        <v>77.931712016961995</v>
      </c>
      <c r="DB136" s="269">
        <f t="shared" si="449"/>
        <v>80.185309937742744</v>
      </c>
      <c r="DC136" s="269">
        <f t="shared" ref="DC136:DD136" si="450">DC115/DC$16</f>
        <v>80.769228218881764</v>
      </c>
      <c r="DD136" s="269">
        <f t="shared" si="450"/>
        <v>79.17669370886837</v>
      </c>
      <c r="DE136" s="269">
        <f t="shared" ref="DE136:DF136" si="451">DE115/DE$16</f>
        <v>77.031678166696281</v>
      </c>
      <c r="DF136" s="269">
        <f t="shared" si="451"/>
        <v>76.196525171971146</v>
      </c>
      <c r="DG136" s="269">
        <f t="shared" ref="DG136" si="452">DG115/DG$16</f>
        <v>75.571248909446126</v>
      </c>
    </row>
    <row r="137" spans="3:111" x14ac:dyDescent="0.35">
      <c r="C137" s="1" t="s">
        <v>9</v>
      </c>
      <c r="D137" s="1">
        <v>48</v>
      </c>
      <c r="E137" s="1"/>
      <c r="F137" s="1"/>
      <c r="G137" s="1"/>
      <c r="H137" s="1"/>
      <c r="I137" s="1"/>
      <c r="J137" s="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  <c r="AM137" s="271"/>
      <c r="AN137" s="271"/>
      <c r="AO137" s="271"/>
      <c r="AP137" s="271"/>
      <c r="AQ137" s="271"/>
      <c r="AR137" s="271"/>
      <c r="AS137" s="271"/>
      <c r="AT137" s="271"/>
      <c r="AU137" s="271"/>
      <c r="AV137" s="271"/>
      <c r="AW137" s="271"/>
      <c r="AX137" s="271"/>
      <c r="AY137" s="271"/>
      <c r="AZ137" s="271"/>
      <c r="BA137" s="271"/>
      <c r="BB137" s="271"/>
      <c r="BC137" s="271"/>
      <c r="BD137" s="271"/>
      <c r="BE137" s="271"/>
      <c r="BF137" s="271"/>
      <c r="BG137" s="271"/>
      <c r="BH137" s="271"/>
      <c r="BI137" s="271"/>
      <c r="BJ137" s="271"/>
      <c r="BK137" s="271"/>
      <c r="BL137" s="271"/>
      <c r="BM137" s="271"/>
      <c r="BN137" s="271"/>
      <c r="BO137" s="271"/>
      <c r="BP137" s="271"/>
      <c r="BQ137" s="271"/>
      <c r="BR137" s="271"/>
      <c r="BT137" s="269">
        <f t="shared" ref="BT137:CM137" si="453">BT116/BT$16</f>
        <v>91.960928389949117</v>
      </c>
      <c r="BU137" s="269">
        <f t="shared" si="453"/>
        <v>90.666247168866661</v>
      </c>
      <c r="BV137" s="269">
        <f t="shared" si="453"/>
        <v>89.093653465485858</v>
      </c>
      <c r="BW137" s="269">
        <f t="shared" si="453"/>
        <v>89.964245498767255</v>
      </c>
      <c r="BX137" s="269">
        <f t="shared" si="453"/>
        <v>89.781219453627159</v>
      </c>
      <c r="BY137" s="269">
        <f t="shared" si="453"/>
        <v>92.216818887018292</v>
      </c>
      <c r="BZ137" s="269">
        <f t="shared" si="453"/>
        <v>89.873461119116911</v>
      </c>
      <c r="CA137" s="269">
        <f t="shared" si="453"/>
        <v>85.965454737302082</v>
      </c>
      <c r="CB137" s="269">
        <f t="shared" si="453"/>
        <v>74.956158476446603</v>
      </c>
      <c r="CC137" s="269">
        <f t="shared" si="453"/>
        <v>77.668864215452913</v>
      </c>
      <c r="CD137" s="269">
        <f t="shared" si="453"/>
        <v>78.260160489950479</v>
      </c>
      <c r="CE137" s="269">
        <f t="shared" si="453"/>
        <v>76.645269949893603</v>
      </c>
      <c r="CF137" s="269">
        <f t="shared" si="453"/>
        <v>101.19906677548184</v>
      </c>
      <c r="CG137" s="269">
        <f t="shared" si="453"/>
        <v>104.75779705165375</v>
      </c>
      <c r="CH137" s="269">
        <f t="shared" si="453"/>
        <v>101.06498372151744</v>
      </c>
      <c r="CI137" s="269">
        <f t="shared" si="453"/>
        <v>99.709168187652523</v>
      </c>
      <c r="CJ137" s="269">
        <f t="shared" si="453"/>
        <v>89.67279618293513</v>
      </c>
      <c r="CK137" s="269">
        <f t="shared" si="453"/>
        <v>89.930382920377113</v>
      </c>
      <c r="CL137" s="269">
        <f t="shared" si="453"/>
        <v>90.04002251104508</v>
      </c>
      <c r="CM137" s="269">
        <f t="shared" si="453"/>
        <v>90.046573096434088</v>
      </c>
      <c r="CN137" s="270"/>
      <c r="CO137" s="269">
        <f t="shared" ref="CO137:CX137" si="454">CO116/CO$16</f>
        <v>105.36893229694401</v>
      </c>
      <c r="CP137" s="269">
        <f t="shared" si="454"/>
        <v>73.128016923409618</v>
      </c>
      <c r="CQ137" s="269">
        <f t="shared" si="454"/>
        <v>86.314848757673943</v>
      </c>
      <c r="CR137" s="269">
        <f t="shared" si="454"/>
        <v>90.473223183414063</v>
      </c>
      <c r="CS137" s="269">
        <f t="shared" si="454"/>
        <v>91.497497004658541</v>
      </c>
      <c r="CT137" s="269">
        <f t="shared" si="454"/>
        <v>90.883822514671508</v>
      </c>
      <c r="CU137" s="269">
        <f t="shared" si="454"/>
        <v>89.709866427044645</v>
      </c>
      <c r="CV137" s="269">
        <f t="shared" si="454"/>
        <v>88.910372889625393</v>
      </c>
      <c r="CW137" s="269">
        <f t="shared" si="454"/>
        <v>85.382399311681596</v>
      </c>
      <c r="CX137" s="269">
        <f t="shared" si="454"/>
        <v>82.993523816040693</v>
      </c>
      <c r="CY137" s="269">
        <f t="shared" ref="CY137:CZ137" si="455">CY116/CY$16</f>
        <v>80.722284835669626</v>
      </c>
      <c r="CZ137" s="269">
        <f t="shared" si="455"/>
        <v>77.718464860629126</v>
      </c>
      <c r="DA137" s="269">
        <f t="shared" ref="DA137:DB137" si="456">DA116/DA$16</f>
        <v>79.883247993028078</v>
      </c>
      <c r="DB137" s="269">
        <f t="shared" si="456"/>
        <v>82.213581962261046</v>
      </c>
      <c r="DC137" s="269">
        <f t="shared" ref="DC137:DD137" si="457">DC116/DC$16</f>
        <v>82.813124586195528</v>
      </c>
      <c r="DD137" s="269">
        <f t="shared" si="457"/>
        <v>81.167194425441878</v>
      </c>
      <c r="DE137" s="269">
        <f t="shared" ref="DE137:DF137" si="458">DE116/DE$16</f>
        <v>78.956330547396036</v>
      </c>
      <c r="DF137" s="269">
        <f t="shared" si="458"/>
        <v>78.091431834848606</v>
      </c>
      <c r="DG137" s="269">
        <f t="shared" ref="DG137" si="459">DG116/DG$16</f>
        <v>77.43343511987824</v>
      </c>
    </row>
    <row r="138" spans="3:111" x14ac:dyDescent="0.35">
      <c r="C138" s="1" t="s">
        <v>9</v>
      </c>
      <c r="D138" s="1">
        <v>49.6</v>
      </c>
      <c r="E138" s="1"/>
      <c r="F138" s="1"/>
      <c r="G138" s="1"/>
      <c r="H138" s="1"/>
      <c r="I138" s="1"/>
      <c r="J138" s="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  <c r="AO138" s="271"/>
      <c r="AP138" s="271"/>
      <c r="AQ138" s="271"/>
      <c r="AR138" s="271"/>
      <c r="AS138" s="271"/>
      <c r="AT138" s="271"/>
      <c r="AU138" s="271"/>
      <c r="AV138" s="271"/>
      <c r="AW138" s="271"/>
      <c r="AX138" s="271"/>
      <c r="AY138" s="271"/>
      <c r="AZ138" s="271"/>
      <c r="BA138" s="271"/>
      <c r="BB138" s="271"/>
      <c r="BC138" s="271"/>
      <c r="BD138" s="271"/>
      <c r="BE138" s="271"/>
      <c r="BF138" s="271"/>
      <c r="BG138" s="271"/>
      <c r="BH138" s="271"/>
      <c r="BI138" s="271"/>
      <c r="BJ138" s="271"/>
      <c r="BK138" s="271"/>
      <c r="BL138" s="271"/>
      <c r="BM138" s="271"/>
      <c r="BN138" s="271"/>
      <c r="BO138" s="271"/>
      <c r="BP138" s="272"/>
      <c r="BQ138" s="272"/>
      <c r="BR138" s="272"/>
      <c r="BT138" s="269">
        <f t="shared" ref="BT138:CM138" si="460">BT117/BT$16</f>
        <v>94.554532015023298</v>
      </c>
      <c r="BU138" s="269">
        <f t="shared" si="460"/>
        <v>93.235676282797741</v>
      </c>
      <c r="BV138" s="269">
        <f t="shared" si="460"/>
        <v>0</v>
      </c>
      <c r="BW138" s="269">
        <f t="shared" si="460"/>
        <v>0</v>
      </c>
      <c r="BX138" s="269">
        <f t="shared" si="460"/>
        <v>0</v>
      </c>
      <c r="BY138" s="269">
        <f t="shared" si="460"/>
        <v>0</v>
      </c>
      <c r="BZ138" s="269">
        <f t="shared" si="460"/>
        <v>0</v>
      </c>
      <c r="CA138" s="269">
        <f t="shared" si="460"/>
        <v>0</v>
      </c>
      <c r="CB138" s="269">
        <f t="shared" si="460"/>
        <v>0</v>
      </c>
      <c r="CC138" s="269">
        <f t="shared" si="460"/>
        <v>0</v>
      </c>
      <c r="CD138" s="269">
        <f t="shared" si="460"/>
        <v>0</v>
      </c>
      <c r="CE138" s="269">
        <f t="shared" si="460"/>
        <v>0</v>
      </c>
      <c r="CF138" s="269">
        <f t="shared" si="460"/>
        <v>0</v>
      </c>
      <c r="CG138" s="269">
        <f t="shared" si="460"/>
        <v>0</v>
      </c>
      <c r="CH138" s="269">
        <f t="shared" si="460"/>
        <v>0</v>
      </c>
      <c r="CI138" s="269">
        <f t="shared" si="460"/>
        <v>0</v>
      </c>
      <c r="CJ138" s="269">
        <f t="shared" si="460"/>
        <v>0</v>
      </c>
      <c r="CK138" s="269">
        <f t="shared" si="460"/>
        <v>0</v>
      </c>
      <c r="CL138" s="269">
        <f t="shared" si="460"/>
        <v>0</v>
      </c>
      <c r="CM138" s="269">
        <f t="shared" si="460"/>
        <v>0</v>
      </c>
      <c r="CN138" s="270"/>
      <c r="CO138" s="269">
        <f t="shared" ref="CO138:CX138" si="461">CO117/CO$16</f>
        <v>0</v>
      </c>
      <c r="CP138" s="269">
        <f t="shared" si="461"/>
        <v>0</v>
      </c>
      <c r="CQ138" s="269">
        <f t="shared" si="461"/>
        <v>0</v>
      </c>
      <c r="CR138" s="269">
        <f t="shared" si="461"/>
        <v>0</v>
      </c>
      <c r="CS138" s="269">
        <f t="shared" si="461"/>
        <v>0</v>
      </c>
      <c r="CT138" s="269">
        <f t="shared" si="461"/>
        <v>0</v>
      </c>
      <c r="CU138" s="269">
        <f t="shared" si="461"/>
        <v>0</v>
      </c>
      <c r="CV138" s="269">
        <f t="shared" si="461"/>
        <v>0</v>
      </c>
      <c r="CW138" s="269">
        <f t="shared" si="461"/>
        <v>0</v>
      </c>
      <c r="CX138" s="269">
        <f t="shared" si="461"/>
        <v>0</v>
      </c>
      <c r="CY138" s="269">
        <f t="shared" ref="CY138:CZ138" si="462">CY117/CY$16</f>
        <v>0</v>
      </c>
      <c r="CZ138" s="269">
        <f t="shared" si="462"/>
        <v>0</v>
      </c>
      <c r="DA138" s="269">
        <f t="shared" ref="DA138:DB138" si="463">DA117/DA$16</f>
        <v>0</v>
      </c>
      <c r="DB138" s="269">
        <f t="shared" si="463"/>
        <v>0</v>
      </c>
      <c r="DC138" s="269">
        <f t="shared" ref="DC138:DD138" si="464">DC117/DC$16</f>
        <v>0</v>
      </c>
      <c r="DD138" s="269">
        <f t="shared" si="464"/>
        <v>0</v>
      </c>
      <c r="DE138" s="269">
        <f t="shared" ref="DE138:DF138" si="465">DE117/DE$16</f>
        <v>0</v>
      </c>
      <c r="DF138" s="269">
        <f t="shared" si="465"/>
        <v>0</v>
      </c>
      <c r="DG138" s="269">
        <f t="shared" ref="DG138" si="466">DG117/DG$16</f>
        <v>0</v>
      </c>
    </row>
    <row r="139" spans="3:111" x14ac:dyDescent="0.35">
      <c r="C139" s="1" t="s">
        <v>9</v>
      </c>
      <c r="D139" s="1">
        <v>52</v>
      </c>
      <c r="E139" s="1"/>
      <c r="F139" s="1"/>
      <c r="G139" s="1"/>
      <c r="H139" s="1"/>
      <c r="I139" s="1"/>
      <c r="J139" s="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1"/>
      <c r="AR139" s="271"/>
      <c r="AS139" s="271"/>
      <c r="AT139" s="271"/>
      <c r="AU139" s="271"/>
      <c r="AV139" s="271"/>
      <c r="AW139" s="271"/>
      <c r="AX139" s="271"/>
      <c r="AY139" s="271"/>
      <c r="AZ139" s="271"/>
      <c r="BA139" s="271"/>
      <c r="BB139" s="271"/>
      <c r="BC139" s="271"/>
      <c r="BD139" s="271"/>
      <c r="BE139" s="271"/>
      <c r="BF139" s="271"/>
      <c r="BG139" s="271"/>
      <c r="BH139" s="271"/>
      <c r="BI139" s="271"/>
      <c r="BJ139" s="271"/>
      <c r="BK139" s="271"/>
      <c r="BL139" s="271"/>
      <c r="BM139" s="271"/>
      <c r="BN139" s="271"/>
      <c r="BO139" s="271"/>
      <c r="BP139" s="271"/>
      <c r="BQ139" s="271"/>
      <c r="BR139" s="271"/>
      <c r="BT139" s="269">
        <f t="shared" ref="BT139:CM139" si="467">BT118/BT$16</f>
        <v>98.44493745263452</v>
      </c>
      <c r="BU139" s="269">
        <f t="shared" si="467"/>
        <v>97.089819953694345</v>
      </c>
      <c r="BV139" s="269">
        <f t="shared" si="467"/>
        <v>95.419281183768476</v>
      </c>
      <c r="BW139" s="269">
        <f t="shared" si="467"/>
        <v>96.408524786662014</v>
      </c>
      <c r="BX139" s="269">
        <f t="shared" si="467"/>
        <v>96.250348331257356</v>
      </c>
      <c r="BY139" s="269">
        <f t="shared" si="467"/>
        <v>98.926868982957089</v>
      </c>
      <c r="BZ139" s="269">
        <f t="shared" si="467"/>
        <v>96.197058153455771</v>
      </c>
      <c r="CA139" s="269">
        <f t="shared" si="467"/>
        <v>92.013551763570206</v>
      </c>
      <c r="CB139" s="269">
        <f t="shared" si="467"/>
        <v>80.236559833807647</v>
      </c>
      <c r="CC139" s="269">
        <f t="shared" si="467"/>
        <v>83.17516461516675</v>
      </c>
      <c r="CD139" s="269">
        <f t="shared" si="467"/>
        <v>83.815735579205764</v>
      </c>
      <c r="CE139" s="269">
        <f t="shared" si="467"/>
        <v>82.083464978864711</v>
      </c>
      <c r="CF139" s="269">
        <f t="shared" si="467"/>
        <v>108.81644015548183</v>
      </c>
      <c r="CG139" s="269">
        <f t="shared" si="467"/>
        <v>112.52751789925374</v>
      </c>
      <c r="CH139" s="269">
        <f t="shared" si="467"/>
        <v>108.46229964831745</v>
      </c>
      <c r="CI139" s="269">
        <f t="shared" si="467"/>
        <v>106.9160497799525</v>
      </c>
      <c r="CJ139" s="269">
        <f t="shared" si="467"/>
        <v>96.020611926918519</v>
      </c>
      <c r="CK139" s="269">
        <f t="shared" si="467"/>
        <v>96.278208218917726</v>
      </c>
      <c r="CL139" s="269">
        <f t="shared" si="467"/>
        <v>96.387826685855686</v>
      </c>
      <c r="CM139" s="269">
        <f t="shared" si="467"/>
        <v>96.394384246434086</v>
      </c>
      <c r="CN139" s="270"/>
      <c r="CO139" s="269">
        <f t="shared" ref="CO139:CX139" si="468">CO118/CO$16</f>
        <v>112.99053755104403</v>
      </c>
      <c r="CP139" s="269">
        <f t="shared" si="468"/>
        <v>78.064919783897338</v>
      </c>
      <c r="CQ139" s="269">
        <f t="shared" si="468"/>
        <v>92.342392871428714</v>
      </c>
      <c r="CR139" s="269">
        <f t="shared" si="468"/>
        <v>96.838482257943554</v>
      </c>
      <c r="CS139" s="269">
        <f t="shared" si="468"/>
        <v>97.949086156530853</v>
      </c>
      <c r="CT139" s="269">
        <f t="shared" si="468"/>
        <v>97.288779124449064</v>
      </c>
      <c r="CU139" s="269">
        <f t="shared" si="468"/>
        <v>96.008679830685949</v>
      </c>
      <c r="CV139" s="269">
        <f t="shared" si="468"/>
        <v>95.139956113730349</v>
      </c>
      <c r="CW139" s="269">
        <f t="shared" si="468"/>
        <v>91.412757185974613</v>
      </c>
      <c r="CX139" s="269">
        <f t="shared" si="468"/>
        <v>88.841245733399163</v>
      </c>
      <c r="CY139" s="269">
        <f t="shared" ref="CY139:CZ139" si="469">CY118/CY$16</f>
        <v>86.31326170567354</v>
      </c>
      <c r="CZ139" s="269">
        <f t="shared" si="469"/>
        <v>83.150134484156681</v>
      </c>
      <c r="DA139" s="269">
        <f t="shared" ref="DA139:DB139" si="470">DA118/DA$16</f>
        <v>85.459065067502678</v>
      </c>
      <c r="DB139" s="269">
        <f t="shared" si="470"/>
        <v>88.008644889456136</v>
      </c>
      <c r="DC139" s="269">
        <f t="shared" ref="DC139:DD139" si="471">DC118/DC$16</f>
        <v>88.652828492806279</v>
      </c>
      <c r="DD139" s="269">
        <f t="shared" si="471"/>
        <v>86.854339329937673</v>
      </c>
      <c r="DE139" s="269">
        <f t="shared" ref="DE139:DF139" si="472">DE118/DE$16</f>
        <v>84.455337349395307</v>
      </c>
      <c r="DF139" s="269">
        <f t="shared" si="472"/>
        <v>83.505450871641386</v>
      </c>
      <c r="DG139" s="269">
        <f t="shared" ref="DG139" si="473">DG118/DG$16</f>
        <v>82.753967149684314</v>
      </c>
    </row>
    <row r="140" spans="3:111" x14ac:dyDescent="0.35">
      <c r="C140" s="1" t="s">
        <v>11</v>
      </c>
      <c r="D140" s="1">
        <v>54.7</v>
      </c>
      <c r="E140" s="1"/>
      <c r="F140" s="1"/>
      <c r="G140" s="1"/>
      <c r="H140" s="1"/>
      <c r="I140" s="1"/>
      <c r="J140" s="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1"/>
      <c r="AW140" s="271"/>
      <c r="AX140" s="271"/>
      <c r="AY140" s="271"/>
      <c r="AZ140" s="271"/>
      <c r="BA140" s="271"/>
      <c r="BB140" s="271"/>
      <c r="BC140" s="271"/>
      <c r="BD140" s="271"/>
      <c r="BE140" s="271"/>
      <c r="BF140" s="271"/>
      <c r="BG140" s="271"/>
      <c r="BH140" s="271"/>
      <c r="BI140" s="271"/>
      <c r="BJ140" s="271"/>
      <c r="BK140" s="271"/>
      <c r="BL140" s="271"/>
      <c r="BM140" s="271"/>
      <c r="BN140" s="271"/>
      <c r="BO140" s="271"/>
      <c r="BP140" s="271"/>
      <c r="BQ140" s="271"/>
      <c r="BR140" s="271"/>
      <c r="BT140" s="269">
        <f t="shared" ref="BT140:CM140" si="474">BT119/BT$16</f>
        <v>103.20235510472259</v>
      </c>
      <c r="BU140" s="269">
        <f t="shared" si="474"/>
        <v>101.79110868500766</v>
      </c>
      <c r="BV140" s="269">
        <f t="shared" si="474"/>
        <v>100.04306971498087</v>
      </c>
      <c r="BW140" s="269">
        <f t="shared" si="474"/>
        <v>101.09755140113275</v>
      </c>
      <c r="BX140" s="269">
        <f t="shared" si="474"/>
        <v>100.94322973096151</v>
      </c>
      <c r="BY140" s="269">
        <f t="shared" si="474"/>
        <v>103.77014522015213</v>
      </c>
      <c r="BZ140" s="269">
        <f t="shared" si="474"/>
        <v>100.84106458672314</v>
      </c>
      <c r="CA140" s="269">
        <f t="shared" si="474"/>
        <v>96.455434448840364</v>
      </c>
      <c r="CB140" s="269">
        <f t="shared" si="474"/>
        <v>84.112007721519376</v>
      </c>
      <c r="CC140" s="269">
        <f t="shared" si="474"/>
        <v>87.203145825749061</v>
      </c>
      <c r="CD140" s="269">
        <f t="shared" si="474"/>
        <v>87.876977205228584</v>
      </c>
      <c r="CE140" s="269">
        <f t="shared" si="474"/>
        <v>86.059936008715255</v>
      </c>
      <c r="CF140" s="269">
        <f t="shared" si="474"/>
        <v>114.22100171625651</v>
      </c>
      <c r="CG140" s="269">
        <f t="shared" si="474"/>
        <v>118.08137200508723</v>
      </c>
      <c r="CH140" s="269">
        <f t="shared" si="474"/>
        <v>113.78561387474416</v>
      </c>
      <c r="CI140" s="269">
        <f t="shared" si="474"/>
        <v>112.13577107166918</v>
      </c>
      <c r="CJ140" s="269">
        <f t="shared" si="474"/>
        <v>100.66777701062099</v>
      </c>
      <c r="CK140" s="269">
        <f t="shared" si="474"/>
        <v>100.93229175416795</v>
      </c>
      <c r="CL140" s="269">
        <f t="shared" si="474"/>
        <v>101.04484611226407</v>
      </c>
      <c r="CM140" s="269">
        <f t="shared" si="474"/>
        <v>101.05158198869573</v>
      </c>
      <c r="CN140" s="270"/>
      <c r="CO140" s="269">
        <f t="shared" ref="CO140:CX140" si="475">CO119/CO$16</f>
        <v>118.50853503709827</v>
      </c>
      <c r="CP140" s="269">
        <f t="shared" si="475"/>
        <v>81.770085794526736</v>
      </c>
      <c r="CQ140" s="269">
        <f t="shared" si="475"/>
        <v>96.786403118484799</v>
      </c>
      <c r="CR140" s="269">
        <f t="shared" si="475"/>
        <v>101.51329023497071</v>
      </c>
      <c r="CS140" s="269">
        <f t="shared" si="475"/>
        <v>102.68185318792898</v>
      </c>
      <c r="CT140" s="269">
        <f t="shared" si="475"/>
        <v>101.98861727087687</v>
      </c>
      <c r="CU140" s="269">
        <f t="shared" si="475"/>
        <v>100.63954949783104</v>
      </c>
      <c r="CV140" s="269">
        <f t="shared" si="475"/>
        <v>99.724934835648611</v>
      </c>
      <c r="CW140" s="269">
        <f t="shared" si="475"/>
        <v>95.832728075153682</v>
      </c>
      <c r="CX140" s="269">
        <f t="shared" si="475"/>
        <v>93.132642210374271</v>
      </c>
      <c r="CY140" s="269">
        <f t="shared" ref="CY140:CZ140" si="476">CY119/CY$16</f>
        <v>90.453092231063721</v>
      </c>
      <c r="CZ140" s="269">
        <f t="shared" si="476"/>
        <v>87.15311361099883</v>
      </c>
      <c r="DA140" s="269">
        <f t="shared" ref="DA140:DB140" si="477">DA119/DA$16</f>
        <v>89.571021944432985</v>
      </c>
      <c r="DB140" s="269">
        <f t="shared" si="477"/>
        <v>92.26052248171338</v>
      </c>
      <c r="DC140" s="269">
        <f t="shared" ref="DC140:DD140" si="478">DC119/DC$16</f>
        <v>92.936552863509917</v>
      </c>
      <c r="DD140" s="269">
        <f t="shared" si="478"/>
        <v>91.040046853800973</v>
      </c>
      <c r="DE140" s="269">
        <f t="shared" ref="DE140:DF140" si="479">DE119/DE$16</f>
        <v>88.515307851440298</v>
      </c>
      <c r="DF140" s="269">
        <f t="shared" si="479"/>
        <v>87.512214483713677</v>
      </c>
      <c r="DG140" s="269">
        <f t="shared" ref="DG140" si="480">DG119/DG$16</f>
        <v>86.710079310399522</v>
      </c>
    </row>
    <row r="141" spans="3:111" x14ac:dyDescent="0.35">
      <c r="C141" s="1" t="s">
        <v>11</v>
      </c>
      <c r="D141" s="1">
        <v>58</v>
      </c>
      <c r="E141" s="1"/>
      <c r="F141" s="1"/>
      <c r="G141" s="1"/>
      <c r="H141" s="1"/>
      <c r="I141" s="1"/>
      <c r="J141" s="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1"/>
      <c r="AR141" s="271"/>
      <c r="AS141" s="271"/>
      <c r="AT141" s="271"/>
      <c r="AU141" s="271"/>
      <c r="AV141" s="271"/>
      <c r="AW141" s="271"/>
      <c r="AX141" s="271"/>
      <c r="AY141" s="271"/>
      <c r="AZ141" s="271"/>
      <c r="BA141" s="271"/>
      <c r="BB141" s="271"/>
      <c r="BC141" s="271"/>
      <c r="BD141" s="271"/>
      <c r="BE141" s="271"/>
      <c r="BF141" s="271"/>
      <c r="BG141" s="271"/>
      <c r="BH141" s="271"/>
      <c r="BI141" s="271"/>
      <c r="BJ141" s="271"/>
      <c r="BK141" s="271"/>
      <c r="BL141" s="271"/>
      <c r="BM141" s="271"/>
      <c r="BN141" s="271"/>
      <c r="BO141" s="271"/>
      <c r="BP141" s="271"/>
      <c r="BQ141" s="271"/>
      <c r="BR141" s="271"/>
      <c r="BT141" s="269">
        <f t="shared" ref="BT141:CM141" si="481">BT120/BT$16</f>
        <v>108.55166258143804</v>
      </c>
      <c r="BU141" s="269">
        <f t="shared" si="481"/>
        <v>107.09055623249047</v>
      </c>
      <c r="BV141" s="269">
        <f t="shared" si="481"/>
        <v>0</v>
      </c>
      <c r="BW141" s="269">
        <f t="shared" si="481"/>
        <v>0</v>
      </c>
      <c r="BX141" s="269">
        <f t="shared" si="481"/>
        <v>0</v>
      </c>
      <c r="BY141" s="269">
        <f t="shared" si="481"/>
        <v>0</v>
      </c>
      <c r="BZ141" s="269">
        <f t="shared" si="481"/>
        <v>0</v>
      </c>
      <c r="CA141" s="269">
        <f t="shared" si="481"/>
        <v>0</v>
      </c>
      <c r="CB141" s="269">
        <f t="shared" si="481"/>
        <v>0</v>
      </c>
      <c r="CC141" s="269">
        <f t="shared" si="481"/>
        <v>0</v>
      </c>
      <c r="CD141" s="269">
        <f t="shared" si="481"/>
        <v>0</v>
      </c>
      <c r="CE141" s="269">
        <f t="shared" si="481"/>
        <v>0</v>
      </c>
      <c r="CF141" s="269">
        <f t="shared" si="481"/>
        <v>0</v>
      </c>
      <c r="CG141" s="269">
        <f t="shared" si="481"/>
        <v>0</v>
      </c>
      <c r="CH141" s="269">
        <f t="shared" si="481"/>
        <v>0</v>
      </c>
      <c r="CI141" s="269">
        <f t="shared" si="481"/>
        <v>0</v>
      </c>
      <c r="CJ141" s="269">
        <f t="shared" si="481"/>
        <v>0</v>
      </c>
      <c r="CK141" s="269">
        <f t="shared" si="481"/>
        <v>0</v>
      </c>
      <c r="CL141" s="269">
        <f t="shared" si="481"/>
        <v>0</v>
      </c>
      <c r="CM141" s="269">
        <f t="shared" si="481"/>
        <v>0</v>
      </c>
      <c r="CN141" s="270"/>
      <c r="CO141" s="269">
        <f t="shared" ref="CO141:CX141" si="482">CO120/CO$16</f>
        <v>0</v>
      </c>
      <c r="CP141" s="269">
        <f t="shared" si="482"/>
        <v>0</v>
      </c>
      <c r="CQ141" s="269">
        <f t="shared" si="482"/>
        <v>0</v>
      </c>
      <c r="CR141" s="269">
        <f t="shared" si="482"/>
        <v>0</v>
      </c>
      <c r="CS141" s="269">
        <f t="shared" si="482"/>
        <v>0</v>
      </c>
      <c r="CT141" s="269">
        <f t="shared" si="482"/>
        <v>0</v>
      </c>
      <c r="CU141" s="269">
        <f t="shared" si="482"/>
        <v>0</v>
      </c>
      <c r="CV141" s="269">
        <f t="shared" si="482"/>
        <v>0</v>
      </c>
      <c r="CW141" s="269">
        <f t="shared" si="482"/>
        <v>0</v>
      </c>
      <c r="CX141" s="269">
        <f t="shared" si="482"/>
        <v>0</v>
      </c>
      <c r="CY141" s="269">
        <f t="shared" ref="CY141:CZ141" si="483">CY120/CY$16</f>
        <v>81.069164615057005</v>
      </c>
      <c r="CZ141" s="269">
        <f t="shared" si="483"/>
        <v>78.759209541149531</v>
      </c>
      <c r="DA141" s="269">
        <f t="shared" ref="DA141:DB141" si="484">DA120/DA$16</f>
        <v>80.849347579881481</v>
      </c>
      <c r="DB141" s="269">
        <f t="shared" si="484"/>
        <v>84.028412444329106</v>
      </c>
      <c r="DC141" s="269">
        <f t="shared" ref="DC141:DD141" si="485">DC120/DC$16</f>
        <v>84.675706645856067</v>
      </c>
      <c r="DD141" s="269">
        <f t="shared" si="485"/>
        <v>82.463601115188922</v>
      </c>
      <c r="DE141" s="269">
        <f t="shared" ref="DE141:DF141" si="486">DE120/DE$16</f>
        <v>79.735598628989877</v>
      </c>
      <c r="DF141" s="269">
        <f t="shared" si="486"/>
        <v>78.503276033495041</v>
      </c>
      <c r="DG141" s="269">
        <f t="shared" ref="DG141" si="487">DG120/DG$16</f>
        <v>77.147714432187811</v>
      </c>
    </row>
    <row r="142" spans="3:111" x14ac:dyDescent="0.35">
      <c r="C142" s="1" t="s">
        <v>11</v>
      </c>
      <c r="D142" s="1">
        <v>62</v>
      </c>
      <c r="E142" s="1"/>
      <c r="F142" s="1"/>
      <c r="G142" s="1"/>
      <c r="H142" s="1"/>
      <c r="I142" s="1"/>
      <c r="J142" s="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1"/>
      <c r="AW142" s="271"/>
      <c r="AX142" s="271"/>
      <c r="AY142" s="271"/>
      <c r="AZ142" s="271"/>
      <c r="BA142" s="271"/>
      <c r="BB142" s="271"/>
      <c r="BC142" s="271"/>
      <c r="BD142" s="271"/>
      <c r="BE142" s="271"/>
      <c r="BF142" s="271"/>
      <c r="BG142" s="271"/>
      <c r="BH142" s="271"/>
      <c r="BI142" s="271"/>
      <c r="BJ142" s="271"/>
      <c r="BK142" s="271"/>
      <c r="BL142" s="271"/>
      <c r="BM142" s="271"/>
      <c r="BN142" s="271"/>
      <c r="BO142" s="271"/>
      <c r="BP142" s="271"/>
      <c r="BQ142" s="271"/>
      <c r="BR142" s="271"/>
      <c r="BT142" s="269">
        <f t="shared" ref="BT142:CM142" si="488">BT121/BT$16</f>
        <v>115.0356716441234</v>
      </c>
      <c r="BU142" s="269">
        <f t="shared" si="488"/>
        <v>113.51412901731817</v>
      </c>
      <c r="BV142" s="269">
        <f t="shared" si="488"/>
        <v>111.58734030084656</v>
      </c>
      <c r="BW142" s="269">
        <f t="shared" si="488"/>
        <v>112.85836110154065</v>
      </c>
      <c r="BX142" s="269">
        <f t="shared" si="488"/>
        <v>112.7493899326366</v>
      </c>
      <c r="BY142" s="269">
        <f t="shared" si="488"/>
        <v>116.01598664524046</v>
      </c>
      <c r="BZ142" s="269">
        <f t="shared" si="488"/>
        <v>112.38162917439156</v>
      </c>
      <c r="CA142" s="269">
        <f t="shared" si="488"/>
        <v>107.49321152177968</v>
      </c>
      <c r="CB142" s="269">
        <f t="shared" si="488"/>
        <v>93.748740198703288</v>
      </c>
      <c r="CC142" s="269">
        <f t="shared" si="488"/>
        <v>97.252144055226836</v>
      </c>
      <c r="CD142" s="269">
        <f t="shared" si="488"/>
        <v>98.015901743119514</v>
      </c>
      <c r="CE142" s="269">
        <f t="shared" si="488"/>
        <v>95.984641936587479</v>
      </c>
      <c r="CF142" s="269">
        <f t="shared" si="488"/>
        <v>128.12270813475652</v>
      </c>
      <c r="CG142" s="269">
        <f t="shared" si="488"/>
        <v>132.26111255195721</v>
      </c>
      <c r="CH142" s="269">
        <f t="shared" si="488"/>
        <v>127.28571544115417</v>
      </c>
      <c r="CI142" s="269">
        <f t="shared" si="488"/>
        <v>125.28832997761668</v>
      </c>
      <c r="CJ142" s="269">
        <f t="shared" si="488"/>
        <v>112.25254074339068</v>
      </c>
      <c r="CK142" s="269">
        <f t="shared" si="488"/>
        <v>112.51707292400457</v>
      </c>
      <c r="CL142" s="269">
        <f t="shared" si="488"/>
        <v>112.62958873129344</v>
      </c>
      <c r="CM142" s="269">
        <f t="shared" si="488"/>
        <v>112.63633733744575</v>
      </c>
      <c r="CN142" s="270"/>
      <c r="CO142" s="269">
        <f t="shared" ref="CO142:CX142" si="489">CO121/CO$16</f>
        <v>132.41796462583073</v>
      </c>
      <c r="CP142" s="269">
        <f t="shared" si="489"/>
        <v>90.779933514916834</v>
      </c>
      <c r="CQ142" s="269">
        <f t="shared" si="489"/>
        <v>107.78667112608727</v>
      </c>
      <c r="CR142" s="269">
        <f t="shared" si="489"/>
        <v>113.12988804598704</v>
      </c>
      <c r="CS142" s="269">
        <f t="shared" si="489"/>
        <v>114.45600339009592</v>
      </c>
      <c r="CT142" s="269">
        <f t="shared" si="489"/>
        <v>113.67766308372092</v>
      </c>
      <c r="CU142" s="269">
        <f t="shared" si="489"/>
        <v>112.1348839594764</v>
      </c>
      <c r="CV142" s="269">
        <f t="shared" si="489"/>
        <v>111.09392421964016</v>
      </c>
      <c r="CW142" s="269">
        <f t="shared" si="489"/>
        <v>106.83813119573838</v>
      </c>
      <c r="CX142" s="269">
        <f t="shared" si="489"/>
        <v>103.80473470955351</v>
      </c>
      <c r="CY142" s="269">
        <f t="shared" ref="CY142" si="490">CY121/CY$16</f>
        <v>100.65662501882088</v>
      </c>
      <c r="CZ142" s="269">
        <f t="shared" ref="CZ142:DE142" si="491">CZ121/CZ$16</f>
        <v>97.065910673936614</v>
      </c>
      <c r="DA142" s="269">
        <f t="shared" si="491"/>
        <v>99.746888105349086</v>
      </c>
      <c r="DB142" s="269">
        <f t="shared" si="491"/>
        <v>102.83651232384446</v>
      </c>
      <c r="DC142" s="269">
        <f t="shared" si="491"/>
        <v>103.59401249307459</v>
      </c>
      <c r="DD142" s="269">
        <f t="shared" si="491"/>
        <v>101.4190863045058</v>
      </c>
      <c r="DE142" s="269">
        <f t="shared" si="491"/>
        <v>98.550995265089014</v>
      </c>
      <c r="DF142" s="269">
        <f t="shared" ref="DF142:DG142" si="492">DF121/DF$16</f>
        <v>97.392799225860472</v>
      </c>
      <c r="DG142" s="269">
        <f t="shared" si="492"/>
        <v>96.420050264795549</v>
      </c>
    </row>
  </sheetData>
  <mergeCells count="1">
    <mergeCell ref="C9:D9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9550-4DFB-4C76-BB72-94219E1A8ADE}">
  <sheetPr codeName="Hoja4"/>
  <dimension ref="A1:DK68"/>
  <sheetViews>
    <sheetView showGridLines="0" zoomScale="80" zoomScaleNormal="80" workbookViewId="0">
      <pane xSplit="5" ySplit="15" topLeftCell="DC59" activePane="bottomRight" state="frozen"/>
      <selection activeCell="N906" sqref="N906:O906"/>
      <selection pane="topRight" activeCell="N906" sqref="N906:O906"/>
      <selection pane="bottomLeft" activeCell="N906" sqref="N906:O906"/>
      <selection pane="bottomRight" activeCell="DK56" sqref="DK56:DK63"/>
    </sheetView>
  </sheetViews>
  <sheetFormatPr defaultColWidth="9.453125" defaultRowHeight="14.5" outlineLevelCol="2" x14ac:dyDescent="0.35"/>
  <cols>
    <col min="1" max="1" width="8.453125" customWidth="1"/>
    <col min="2" max="2" width="1.453125" customWidth="1"/>
    <col min="3" max="3" width="34" bestFit="1" customWidth="1"/>
    <col min="4" max="4" width="11.7265625" customWidth="1"/>
    <col min="5" max="5" width="8.81640625" customWidth="1"/>
    <col min="6" max="6" width="6.54296875" customWidth="1" outlineLevel="1"/>
    <col min="7" max="7" width="7.1796875" customWidth="1" outlineLevel="1"/>
    <col min="8" max="8" width="6.54296875" customWidth="1" outlineLevel="1"/>
    <col min="9" max="9" width="7.453125" customWidth="1" outlineLevel="1"/>
    <col min="10" max="10" width="6.453125" customWidth="1" outlineLevel="1"/>
    <col min="11" max="11" width="5.54296875" customWidth="1" outlineLevel="2"/>
    <col min="12" max="13" width="7.1796875" customWidth="1" outlineLevel="2"/>
    <col min="14" max="14" width="6.54296875" customWidth="1" outlineLevel="2"/>
    <col min="15" max="15" width="7.1796875" customWidth="1" outlineLevel="2"/>
    <col min="16" max="16" width="6.453125" customWidth="1" outlineLevel="2"/>
    <col min="17" max="54" width="8.453125" customWidth="1" outlineLevel="1"/>
    <col min="55" max="55" width="6.81640625" customWidth="1" outlineLevel="1"/>
    <col min="56" max="56" width="7.453125" customWidth="1" outlineLevel="1"/>
    <col min="57" max="58" width="6.81640625" customWidth="1" outlineLevel="1"/>
    <col min="59" max="59" width="7.1796875" customWidth="1" outlineLevel="1"/>
    <col min="60" max="75" width="9.54296875" customWidth="1" outlineLevel="1"/>
    <col min="76" max="88" width="9.54296875" bestFit="1" customWidth="1"/>
    <col min="89" max="95" width="10.1796875" bestFit="1" customWidth="1"/>
    <col min="96" max="96" width="4.7265625" customWidth="1"/>
    <col min="97" max="108" width="10.1796875" style="244" bestFit="1" customWidth="1"/>
    <col min="109" max="115" width="11.81640625" style="244" customWidth="1"/>
  </cols>
  <sheetData>
    <row r="1" spans="1:115" ht="3" customHeight="1" thickBot="1" x14ac:dyDescent="0.4"/>
    <row r="2" spans="1:115" ht="14.25" customHeight="1" thickBot="1" x14ac:dyDescent="0.4">
      <c r="C2" s="59" t="s">
        <v>34</v>
      </c>
      <c r="D2" s="60"/>
      <c r="E2" s="60"/>
      <c r="F2" s="61">
        <v>42767</v>
      </c>
      <c r="G2" s="61">
        <v>42795</v>
      </c>
      <c r="H2" s="61">
        <v>42826</v>
      </c>
      <c r="I2" s="61">
        <v>42856</v>
      </c>
      <c r="J2" s="61">
        <v>42887</v>
      </c>
      <c r="K2" s="61">
        <v>42917</v>
      </c>
      <c r="L2" s="61">
        <v>42948</v>
      </c>
      <c r="M2" s="61">
        <v>42979</v>
      </c>
      <c r="N2" s="61">
        <v>43009</v>
      </c>
      <c r="O2" s="61">
        <v>43040</v>
      </c>
      <c r="P2" s="61">
        <v>43070</v>
      </c>
      <c r="Q2" s="61">
        <v>43101</v>
      </c>
      <c r="R2" s="61">
        <v>43132</v>
      </c>
      <c r="S2" s="61">
        <v>43160</v>
      </c>
      <c r="T2" s="61">
        <v>43191</v>
      </c>
      <c r="U2" s="61">
        <v>43221</v>
      </c>
      <c r="V2" s="61">
        <v>43252</v>
      </c>
      <c r="W2" s="61">
        <v>43282</v>
      </c>
      <c r="X2" s="61">
        <v>43313</v>
      </c>
      <c r="Y2" s="61">
        <v>43344</v>
      </c>
      <c r="Z2" s="61">
        <v>43374</v>
      </c>
      <c r="AA2" s="61">
        <v>43405</v>
      </c>
      <c r="AB2" s="61">
        <v>43435</v>
      </c>
      <c r="AC2" s="61">
        <v>43466</v>
      </c>
      <c r="AD2" s="61">
        <v>43497</v>
      </c>
      <c r="AE2" s="61">
        <v>43525</v>
      </c>
      <c r="AF2" s="61">
        <v>43556</v>
      </c>
      <c r="AG2" s="61">
        <v>43586</v>
      </c>
      <c r="AH2" s="61">
        <v>43617</v>
      </c>
      <c r="AI2" s="61">
        <v>43678</v>
      </c>
      <c r="AJ2" s="61">
        <v>43709</v>
      </c>
      <c r="AK2" s="61">
        <v>43739</v>
      </c>
      <c r="AL2" s="61">
        <v>43770</v>
      </c>
      <c r="AM2" s="61">
        <v>43800</v>
      </c>
      <c r="AN2" s="61">
        <v>43831</v>
      </c>
      <c r="AO2" s="61">
        <v>43862</v>
      </c>
      <c r="AP2" s="61">
        <v>43891</v>
      </c>
      <c r="AQ2" s="61">
        <v>43922</v>
      </c>
      <c r="AR2" s="61">
        <v>43952</v>
      </c>
      <c r="AS2" s="61">
        <v>43983</v>
      </c>
      <c r="AT2" s="61">
        <v>44013</v>
      </c>
      <c r="AU2" s="61">
        <v>44044</v>
      </c>
      <c r="AV2" s="61">
        <v>44075</v>
      </c>
      <c r="AW2" s="61">
        <v>44105</v>
      </c>
      <c r="AX2" s="61">
        <v>44136</v>
      </c>
      <c r="AY2" s="61">
        <v>44166</v>
      </c>
      <c r="AZ2" s="61">
        <v>44197</v>
      </c>
      <c r="BA2" s="61">
        <v>44228</v>
      </c>
      <c r="BB2" s="61">
        <v>44256</v>
      </c>
      <c r="BC2" s="61">
        <v>44287</v>
      </c>
      <c r="BD2" s="61">
        <v>44317</v>
      </c>
      <c r="BE2" s="61">
        <v>44348</v>
      </c>
      <c r="BF2" s="61">
        <v>44378</v>
      </c>
      <c r="BG2" s="61">
        <v>44409</v>
      </c>
      <c r="BH2" s="61">
        <v>44440</v>
      </c>
      <c r="BI2" s="61">
        <v>44470</v>
      </c>
      <c r="BJ2" s="61">
        <v>44501</v>
      </c>
      <c r="BK2" s="61">
        <v>44531</v>
      </c>
      <c r="BL2" s="61">
        <v>44562</v>
      </c>
      <c r="BM2" s="61">
        <v>44593</v>
      </c>
      <c r="BN2" s="61">
        <v>44621</v>
      </c>
      <c r="BO2" s="61">
        <v>44652</v>
      </c>
      <c r="BP2" s="61">
        <v>44682</v>
      </c>
      <c r="BQ2" s="61">
        <v>44713</v>
      </c>
      <c r="BR2" s="61">
        <v>44743</v>
      </c>
      <c r="BS2" s="61">
        <v>44774</v>
      </c>
      <c r="BT2" s="61">
        <v>44805</v>
      </c>
      <c r="BU2" s="61">
        <v>44835</v>
      </c>
      <c r="BV2" s="61">
        <v>44866</v>
      </c>
      <c r="BW2" s="61">
        <v>44896</v>
      </c>
      <c r="BX2" s="61">
        <v>44927</v>
      </c>
      <c r="BY2" s="62">
        <f>+'CSD Pricing'!BU2</f>
        <v>44958</v>
      </c>
      <c r="BZ2" s="62">
        <f>+'CSD Pricing'!BV2</f>
        <v>44986</v>
      </c>
      <c r="CA2" s="62">
        <f>+'CSD Pricing'!BW2</f>
        <v>45017</v>
      </c>
      <c r="CB2" s="62">
        <f>+'CSD Pricing'!BX2</f>
        <v>45047</v>
      </c>
      <c r="CC2" s="62">
        <f>+'CSD Pricing'!BY2</f>
        <v>45078</v>
      </c>
      <c r="CD2" s="62">
        <f>+'CSD Pricing'!BZ2</f>
        <v>45108</v>
      </c>
      <c r="CE2" s="62">
        <f>+'CSD Pricing'!CA2</f>
        <v>45139</v>
      </c>
      <c r="CF2" s="62">
        <f>+'CSD Pricing'!CB2</f>
        <v>45170</v>
      </c>
      <c r="CG2" s="62">
        <f>+'CSD Pricing'!CC2</f>
        <v>45200</v>
      </c>
      <c r="CH2" s="62">
        <f>+'CSD Pricing'!CD2</f>
        <v>45231</v>
      </c>
      <c r="CI2" s="62">
        <f>+'CSD Pricing'!CE2</f>
        <v>45261</v>
      </c>
      <c r="CJ2" s="62">
        <f>+'CSD Pricing'!CF2</f>
        <v>45292</v>
      </c>
      <c r="CK2" s="62">
        <f>+'CSD Pricing'!CG2</f>
        <v>45323</v>
      </c>
      <c r="CL2" s="62">
        <f>+'CSD Pricing'!CH2</f>
        <v>45352</v>
      </c>
      <c r="CM2" s="62">
        <f>+'CSD Pricing'!CI2</f>
        <v>45383</v>
      </c>
      <c r="CN2" s="62">
        <f>+'CSD Pricing'!CJ2</f>
        <v>45413</v>
      </c>
      <c r="CO2" s="62">
        <f>+'CSD Pricing'!CK2</f>
        <v>45444</v>
      </c>
      <c r="CP2" s="62">
        <f>+'CSD Pricing'!CL2</f>
        <v>45474</v>
      </c>
      <c r="CQ2" s="62">
        <f>+'CSD Pricing'!CM2</f>
        <v>45505</v>
      </c>
      <c r="CR2" s="108"/>
      <c r="CS2" s="62">
        <f>+'CSD Pricing'!CO2</f>
        <v>45536</v>
      </c>
      <c r="CT2" s="62">
        <f>+'CSD Pricing'!CP2</f>
        <v>45566</v>
      </c>
      <c r="CU2" s="62">
        <f>+'CSD Pricing'!CQ2</f>
        <v>45597</v>
      </c>
      <c r="CV2" s="62">
        <f>+'CSD Pricing'!CR2</f>
        <v>45627</v>
      </c>
      <c r="CW2" s="62">
        <f>+'CSD Pricing'!CS2</f>
        <v>45658</v>
      </c>
      <c r="CX2" s="62">
        <f>+'CSD Pricing'!CT2</f>
        <v>45689</v>
      </c>
      <c r="CY2" s="62">
        <f>+'CSD Pricing'!CU2</f>
        <v>45717</v>
      </c>
      <c r="CZ2" s="62">
        <f>+'CSD Pricing'!CV2</f>
        <v>45748</v>
      </c>
      <c r="DA2" s="62">
        <f>+'CSD Pricing'!CW2</f>
        <v>45778</v>
      </c>
      <c r="DB2" s="62">
        <f>+'CSD Pricing'!CX2</f>
        <v>45809</v>
      </c>
      <c r="DC2" s="62">
        <f>+'CSD Pricing'!CY2</f>
        <v>45839</v>
      </c>
      <c r="DD2" s="62">
        <f>+'CSD Pricing'!CZ2</f>
        <v>45870</v>
      </c>
      <c r="DE2" s="62">
        <f>+'CSD Pricing'!DA2</f>
        <v>45901</v>
      </c>
      <c r="DF2" s="62">
        <f>+'CSD Pricing'!DB2</f>
        <v>45931</v>
      </c>
      <c r="DG2" s="62">
        <f>+'CSD Pricing'!DC2</f>
        <v>45962</v>
      </c>
      <c r="DH2" s="62">
        <f>+'CSD Pricing'!DD2</f>
        <v>45992</v>
      </c>
      <c r="DI2" s="62">
        <f>+'CSD Pricing'!DE2</f>
        <v>46023</v>
      </c>
      <c r="DJ2" s="62">
        <f>+'CSD Pricing'!DF2</f>
        <v>46054</v>
      </c>
      <c r="DK2" s="62">
        <f>+'CSD Pricing'!DG2</f>
        <v>46082</v>
      </c>
    </row>
    <row r="3" spans="1:115" ht="14.25" customHeight="1" x14ac:dyDescent="0.35">
      <c r="C3" s="63" t="s">
        <v>57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84">
        <v>1445.0614415241489</v>
      </c>
      <c r="R3" s="84">
        <v>1487.4143921523705</v>
      </c>
      <c r="S3" s="84">
        <v>1513.6094645220589</v>
      </c>
      <c r="T3" s="84">
        <v>1536.810580734666</v>
      </c>
      <c r="U3" s="84">
        <v>1585.5180788706264</v>
      </c>
      <c r="V3" s="84">
        <v>1637.1373626673601</v>
      </c>
      <c r="W3" s="84">
        <v>1698.9091753636337</v>
      </c>
      <c r="X3" s="84">
        <v>1768.6685002933848</v>
      </c>
      <c r="Y3" s="84">
        <v>1819.1847286975405</v>
      </c>
      <c r="Z3" s="84">
        <v>1823.8546316237025</v>
      </c>
      <c r="AA3" s="84">
        <v>1823.8546316237023</v>
      </c>
      <c r="AB3" s="84">
        <v>1842.4122792900605</v>
      </c>
      <c r="AC3" s="84">
        <v>1829.878391682917</v>
      </c>
      <c r="AD3" s="84">
        <v>1757.332188722984</v>
      </c>
      <c r="AE3" s="84">
        <v>1705.831838402212</v>
      </c>
      <c r="AF3" s="84">
        <v>1705.831838402212</v>
      </c>
      <c r="AG3" s="84">
        <v>1705.831838402212</v>
      </c>
      <c r="AH3" s="84">
        <v>1705.831838402212</v>
      </c>
      <c r="AI3" s="84">
        <v>1346.1205179409849</v>
      </c>
      <c r="AJ3" s="84">
        <v>1400.0599544617269</v>
      </c>
      <c r="AK3" s="84">
        <v>1297.6608064353754</v>
      </c>
      <c r="AL3" s="84">
        <v>1271.7759062417028</v>
      </c>
      <c r="AM3" s="84">
        <v>1239.2046211734837</v>
      </c>
      <c r="AN3" s="84">
        <v>1208.1291539508218</v>
      </c>
      <c r="AO3" s="84">
        <v>1214.1156332589383</v>
      </c>
      <c r="AP3" s="84">
        <v>1233.5875221288056</v>
      </c>
      <c r="AQ3" s="84">
        <v>1183.9711810198801</v>
      </c>
      <c r="AR3" s="84">
        <v>1092.5177839809589</v>
      </c>
      <c r="AS3" s="84">
        <v>986.23533419270689</v>
      </c>
      <c r="AT3" s="84">
        <v>1004.0125118520048</v>
      </c>
      <c r="AU3" s="84">
        <v>1014.7861016129309</v>
      </c>
      <c r="AV3" s="84">
        <v>989.72232161479451</v>
      </c>
      <c r="AW3" s="84">
        <v>974.90606006767121</v>
      </c>
      <c r="AX3" s="84">
        <v>977.26889365793909</v>
      </c>
      <c r="AY3" s="84">
        <v>973.65577657205483</v>
      </c>
      <c r="AZ3" s="84">
        <v>982.08224857277401</v>
      </c>
      <c r="BA3" s="84">
        <v>1065.7810409250958</v>
      </c>
      <c r="BB3" s="84">
        <v>1252.6158394826487</v>
      </c>
      <c r="BC3" s="84" t="e">
        <v>#N/A</v>
      </c>
      <c r="BD3" s="84" t="e">
        <v>#N/A</v>
      </c>
      <c r="BE3" s="84" t="e">
        <v>#N/A</v>
      </c>
      <c r="BF3" s="84" t="e">
        <v>#N/A</v>
      </c>
      <c r="BG3" s="84" t="e">
        <v>#N/A</v>
      </c>
      <c r="BH3" s="84">
        <v>1645.1726730913972</v>
      </c>
      <c r="BI3" s="84">
        <v>1653.8608304733698</v>
      </c>
      <c r="BJ3" s="84">
        <v>1636.7191495742463</v>
      </c>
      <c r="BK3" s="84">
        <v>1840.1347616054029</v>
      </c>
      <c r="BL3" s="84">
        <v>1856.1104572305858</v>
      </c>
      <c r="BM3" s="84">
        <v>1732.0038755447724</v>
      </c>
      <c r="BN3" s="84">
        <v>1871.8102601978492</v>
      </c>
      <c r="BO3" s="84">
        <v>2042.5757289614789</v>
      </c>
      <c r="BP3" s="84">
        <v>2175.8063648666298</v>
      </c>
      <c r="BQ3" s="84">
        <v>2311.8188708153016</v>
      </c>
      <c r="BR3" s="84">
        <v>2365.2235311918771</v>
      </c>
      <c r="BS3" s="84">
        <v>2367.2285244524937</v>
      </c>
      <c r="BT3" s="84">
        <v>2118.2854820392986</v>
      </c>
      <c r="BU3" s="84">
        <v>1926.0336553792192</v>
      </c>
      <c r="BV3" s="84">
        <v>1863.8188817512878</v>
      </c>
      <c r="BW3" s="84">
        <v>1779.7864449457818</v>
      </c>
      <c r="BX3" s="84">
        <v>1676.9152589299424</v>
      </c>
      <c r="BY3" s="84">
        <v>1660.9260700514249</v>
      </c>
      <c r="BZ3" s="84">
        <v>1633.2382430854973</v>
      </c>
      <c r="CA3" s="84">
        <v>1665.0543793671891</v>
      </c>
      <c r="CB3" s="84">
        <v>1671.7261913100272</v>
      </c>
      <c r="CC3" s="84">
        <v>1736.6669460368084</v>
      </c>
      <c r="CD3" s="84">
        <v>1632.51634670978</v>
      </c>
      <c r="CE3" s="84">
        <v>1558.5062062465754</v>
      </c>
      <c r="CF3" s="84">
        <v>1554.8877908534248</v>
      </c>
      <c r="CG3" s="84">
        <v>1613.9385269041097</v>
      </c>
      <c r="CH3" s="84">
        <v>1627.1220526600343</v>
      </c>
      <c r="CI3" s="84">
        <v>1595.7007302000256</v>
      </c>
      <c r="CJ3" s="84">
        <v>1827</v>
      </c>
      <c r="CK3" s="84">
        <v>1863</v>
      </c>
      <c r="CL3" s="84">
        <v>1863</v>
      </c>
      <c r="CM3" s="84">
        <v>1863</v>
      </c>
      <c r="CN3" s="84">
        <v>1863</v>
      </c>
      <c r="CO3" s="84">
        <v>1863</v>
      </c>
      <c r="CP3" s="84">
        <v>1863</v>
      </c>
      <c r="CQ3" s="84">
        <v>1863</v>
      </c>
      <c r="CR3" s="114"/>
      <c r="CS3" s="119">
        <v>1977</v>
      </c>
      <c r="CT3" s="119">
        <f>'Balance Resinas'!K19</f>
        <v>1617.772266634177</v>
      </c>
      <c r="CU3" s="119">
        <f>'Balance Resinas'!$K28</f>
        <v>1730.9967294010069</v>
      </c>
      <c r="CV3" s="119">
        <f>'Balance Resinas'!$K37</f>
        <v>1699.112363301912</v>
      </c>
      <c r="CW3" s="119">
        <f>'Balance Resinas'!$K46</f>
        <v>1654.7808654866649</v>
      </c>
      <c r="CX3" s="119">
        <f>'Balance Resinas'!$K55</f>
        <v>1615.9788498976272</v>
      </c>
      <c r="CY3" s="119">
        <f>'Balance Resinas'!$K64</f>
        <v>1577.1935103105441</v>
      </c>
      <c r="CZ3" s="265">
        <f>'Balance Resinas'!$K73</f>
        <v>1555.8388309166462</v>
      </c>
      <c r="DA3" s="265">
        <f>'Balance Resinas'!$K82</f>
        <v>1484.8149217541004</v>
      </c>
      <c r="DB3" s="265">
        <f>'Balance Resinas'!$K91</f>
        <v>1423.1806167701559</v>
      </c>
      <c r="DC3" s="265">
        <f>'Balance Resinas'!$K100</f>
        <v>1391.4456923776586</v>
      </c>
      <c r="DD3" s="265">
        <f>'Balance Resinas'!$K109</f>
        <v>1348.1354827134876</v>
      </c>
      <c r="DE3" s="265">
        <f>'Balance Resinas'!$K118</f>
        <v>1373.3388416137677</v>
      </c>
      <c r="DF3" s="119">
        <f>'Balance Resinas'!$K127</f>
        <v>1409.7608123191469</v>
      </c>
      <c r="DG3" s="119">
        <f>'Balance Resinas'!$K136</f>
        <v>1412.0573719746653</v>
      </c>
      <c r="DH3" s="119">
        <f>'Balance Resinas'!$K145</f>
        <v>1356.0203739808417</v>
      </c>
      <c r="DI3" s="119">
        <f>'Balance Resinas'!$K154</f>
        <v>1325.7720863560073</v>
      </c>
      <c r="DJ3" s="119">
        <f>'Balance Resinas'!$K163</f>
        <v>1308.61562348149</v>
      </c>
      <c r="DK3" s="119">
        <f>'Balance Resinas'!$K172</f>
        <v>1287.431529648705</v>
      </c>
    </row>
    <row r="4" spans="1:115" ht="14.25" customHeight="1" thickBot="1" x14ac:dyDescent="0.4">
      <c r="C4" s="67" t="s">
        <v>58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>
        <v>1163.1291539508218</v>
      </c>
      <c r="AO4" s="85">
        <v>1169.1156332589383</v>
      </c>
      <c r="AP4" s="85">
        <v>1188.5875221288056</v>
      </c>
      <c r="AQ4" s="85">
        <v>1138.9711810198801</v>
      </c>
      <c r="AR4" s="85">
        <v>1047.5177839809589</v>
      </c>
      <c r="AS4" s="85">
        <v>941.23533419270689</v>
      </c>
      <c r="AT4" s="85">
        <v>959.01251185200476</v>
      </c>
      <c r="AU4" s="85">
        <v>997.71874008197256</v>
      </c>
      <c r="AV4" s="85">
        <v>975.63903616438358</v>
      </c>
      <c r="AW4" s="85">
        <v>962.60359397260265</v>
      </c>
      <c r="AX4" s="85">
        <v>964.67819686553423</v>
      </c>
      <c r="AY4" s="85">
        <v>961.37866767123285</v>
      </c>
      <c r="AZ4" s="85">
        <v>968.78501763698625</v>
      </c>
      <c r="BA4" s="85">
        <v>1042.4355087123288</v>
      </c>
      <c r="BB4" s="85">
        <v>1205.6980058326574</v>
      </c>
      <c r="BC4" s="85" t="e">
        <v>#N/A</v>
      </c>
      <c r="BD4" s="85" t="e">
        <v>#N/A</v>
      </c>
      <c r="BE4" s="85" t="e">
        <v>#N/A</v>
      </c>
      <c r="BF4" s="85" t="e">
        <v>#N/A</v>
      </c>
      <c r="BG4" s="85" t="e">
        <v>#N/A</v>
      </c>
      <c r="BH4" s="85">
        <v>1539.3255970958905</v>
      </c>
      <c r="BI4" s="85">
        <v>1546.9695981643836</v>
      </c>
      <c r="BJ4" s="85">
        <v>1531.8851407671232</v>
      </c>
      <c r="BK4" s="85">
        <v>1709.4992116547949</v>
      </c>
      <c r="BL4" s="85">
        <v>1723.4033176107398</v>
      </c>
      <c r="BM4" s="85">
        <v>1615.4271205753423</v>
      </c>
      <c r="BN4" s="85">
        <v>1778.0951009452056</v>
      </c>
      <c r="BO4" s="85">
        <v>1891.0530806575341</v>
      </c>
      <c r="BP4" s="85">
        <v>2011.1218090958903</v>
      </c>
      <c r="BQ4" s="85">
        <v>2149.0935175753425</v>
      </c>
      <c r="BR4" s="85">
        <v>2199.5856111369862</v>
      </c>
      <c r="BS4" s="85">
        <v>2198.4699970958904</v>
      </c>
      <c r="BT4" s="85">
        <v>1982.5750231945206</v>
      </c>
      <c r="BU4" s="85">
        <v>1794.7902900958902</v>
      </c>
      <c r="BV4" s="85">
        <v>1740.6645214246576</v>
      </c>
      <c r="BW4" s="85">
        <v>1667.6628363486302</v>
      </c>
      <c r="BX4" s="85">
        <v>1577.1838290712328</v>
      </c>
      <c r="BY4" s="85">
        <v>1562.9026202191781</v>
      </c>
      <c r="BZ4" s="85">
        <v>1539.7580123620821</v>
      </c>
      <c r="CA4" s="85">
        <v>1567.7956067726027</v>
      </c>
      <c r="CB4" s="85">
        <v>1573.6676126849316</v>
      </c>
      <c r="CC4" s="85">
        <v>1630.5977605616438</v>
      </c>
      <c r="CD4" s="85">
        <v>1539.2781578352876</v>
      </c>
      <c r="CE4" s="85">
        <v>1474.1769753424658</v>
      </c>
      <c r="CF4" s="85">
        <v>1464.77</v>
      </c>
      <c r="CG4" s="85">
        <v>1518.15</v>
      </c>
      <c r="CH4" s="85">
        <v>1529.79</v>
      </c>
      <c r="CI4" s="85">
        <v>1502.06</v>
      </c>
      <c r="CJ4" s="85">
        <v>1800</v>
      </c>
      <c r="CK4" s="85">
        <v>1836</v>
      </c>
      <c r="CL4" s="85">
        <v>1836</v>
      </c>
      <c r="CM4" s="85">
        <v>1703</v>
      </c>
      <c r="CN4" s="85">
        <v>1530.001085567123</v>
      </c>
      <c r="CO4" s="85">
        <v>1530.0033433273973</v>
      </c>
      <c r="CP4" s="85">
        <v>1529.9983517493149</v>
      </c>
      <c r="CQ4" s="85">
        <v>1530</v>
      </c>
      <c r="CR4" s="114"/>
      <c r="CS4" s="120">
        <v>1835</v>
      </c>
      <c r="CT4" s="120">
        <f>'Balance Resinas'!G19</f>
        <v>1514.2571011740988</v>
      </c>
      <c r="CU4" s="120">
        <f>'Balance Resinas'!$G28</f>
        <v>1581.6790259608529</v>
      </c>
      <c r="CV4" s="120">
        <f>'Balance Resinas'!$G37</f>
        <v>1581.6790259608529</v>
      </c>
      <c r="CW4" s="120">
        <f>'Balance Resinas'!$G46</f>
        <v>1575.148588011366</v>
      </c>
      <c r="CX4" s="120">
        <f>'Balance Resinas'!$G55</f>
        <v>1564.6820277267391</v>
      </c>
      <c r="CY4" s="120">
        <f>'Balance Resinas'!$G64</f>
        <v>1564.6820277267389</v>
      </c>
      <c r="CZ4" s="266">
        <f>'Balance Resinas'!$G73</f>
        <v>1506.6541410553762</v>
      </c>
      <c r="DA4" s="266">
        <f>'Balance Resinas'!$G82</f>
        <v>1420.2929351378709</v>
      </c>
      <c r="DB4" s="266">
        <f>'Balance Resinas'!$G91</f>
        <v>1406.0760297966342</v>
      </c>
      <c r="DC4" s="266">
        <f>'Balance Resinas'!$G100</f>
        <v>1347.8196613739697</v>
      </c>
      <c r="DD4" s="266">
        <f>'Balance Resinas'!$G109</f>
        <v>1328.533613359235</v>
      </c>
      <c r="DE4" s="266">
        <f>'Balance Resinas'!$G118</f>
        <v>1334.3696987363942</v>
      </c>
      <c r="DF4" s="120">
        <f>'Balance Resinas'!$G127</f>
        <v>1411.8682900406488</v>
      </c>
      <c r="DG4" s="120">
        <f>'Balance Resinas'!$G136</f>
        <v>1415.0425258095249</v>
      </c>
      <c r="DH4" s="120">
        <f>'Balance Resinas'!$G145</f>
        <v>1358.8205465029109</v>
      </c>
      <c r="DI4" s="120">
        <f>'Balance Resinas'!$G154</f>
        <v>1324.1992928043107</v>
      </c>
      <c r="DJ4" s="120">
        <f>'Balance Resinas'!$G163</f>
        <v>1293.8228356690543</v>
      </c>
      <c r="DK4" s="120">
        <f>'Balance Resinas'!$G172</f>
        <v>1293.8228356690543</v>
      </c>
    </row>
    <row r="5" spans="1:115" ht="14.25" customHeight="1" x14ac:dyDescent="0.35">
      <c r="C5" s="67" t="s">
        <v>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>
        <v>2450</v>
      </c>
      <c r="CL5" s="85">
        <v>2450</v>
      </c>
      <c r="CM5" s="85">
        <v>2450</v>
      </c>
      <c r="CN5" s="85">
        <v>2450</v>
      </c>
      <c r="CO5" s="85">
        <v>2450</v>
      </c>
      <c r="CP5" s="85">
        <v>2450</v>
      </c>
      <c r="CQ5" s="85">
        <v>2450</v>
      </c>
      <c r="CR5" s="114"/>
      <c r="CS5" s="120">
        <f>+CS3</f>
        <v>1977</v>
      </c>
      <c r="CT5" s="120">
        <f t="shared" ref="CT5:CY5" si="0">CT3</f>
        <v>1617.772266634177</v>
      </c>
      <c r="CU5" s="120">
        <f t="shared" si="0"/>
        <v>1730.9967294010069</v>
      </c>
      <c r="CV5" s="120">
        <f t="shared" si="0"/>
        <v>1699.112363301912</v>
      </c>
      <c r="CW5" s="120">
        <f t="shared" si="0"/>
        <v>1654.7808654866649</v>
      </c>
      <c r="CX5" s="120">
        <f t="shared" si="0"/>
        <v>1615.9788498976272</v>
      </c>
      <c r="CY5" s="120">
        <f t="shared" si="0"/>
        <v>1577.1935103105441</v>
      </c>
      <c r="CZ5" s="120">
        <f t="shared" ref="CZ5:DA5" si="1">CZ3</f>
        <v>1555.8388309166462</v>
      </c>
      <c r="DA5" s="120">
        <f t="shared" si="1"/>
        <v>1484.8149217541004</v>
      </c>
      <c r="DB5" s="120">
        <f t="shared" ref="DB5:DC5" si="2">DB3</f>
        <v>1423.1806167701559</v>
      </c>
      <c r="DC5" s="120">
        <f t="shared" si="2"/>
        <v>1391.4456923776586</v>
      </c>
      <c r="DD5" s="120">
        <f t="shared" ref="DD5:DE5" si="3">DD3</f>
        <v>1348.1354827134876</v>
      </c>
      <c r="DE5" s="120">
        <f t="shared" si="3"/>
        <v>1373.3388416137677</v>
      </c>
      <c r="DF5" s="265">
        <f t="shared" ref="DF5:DG5" si="4">DF3</f>
        <v>1409.7608123191469</v>
      </c>
      <c r="DG5" s="265">
        <f t="shared" si="4"/>
        <v>1412.0573719746653</v>
      </c>
      <c r="DH5" s="265">
        <f t="shared" ref="DH5:DI5" si="5">DH3</f>
        <v>1356.0203739808417</v>
      </c>
      <c r="DI5" s="265">
        <f t="shared" si="5"/>
        <v>1325.7720863560073</v>
      </c>
      <c r="DJ5" s="265">
        <f t="shared" ref="DJ5:DK5" si="6">DJ3</f>
        <v>1308.61562348149</v>
      </c>
      <c r="DK5" s="265">
        <f t="shared" si="6"/>
        <v>1287.431529648705</v>
      </c>
    </row>
    <row r="6" spans="1:115" ht="14.25" customHeight="1" x14ac:dyDescent="0.35">
      <c r="C6" s="67" t="s">
        <v>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70">
        <v>5.0000000000000001E-3</v>
      </c>
      <c r="R6" s="70">
        <v>5.0000000000000001E-3</v>
      </c>
      <c r="S6" s="70">
        <v>5.0000000000000001E-3</v>
      </c>
      <c r="T6" s="70">
        <v>5.0000000000000001E-3</v>
      </c>
      <c r="U6" s="70">
        <v>5.0000000000000001E-3</v>
      </c>
      <c r="V6" s="70">
        <v>5.0000000000000001E-3</v>
      </c>
      <c r="W6" s="70">
        <v>5.0000000000000001E-3</v>
      </c>
      <c r="X6" s="70">
        <v>5.0000000000000001E-3</v>
      </c>
      <c r="Y6" s="70">
        <v>5.0000000000000001E-3</v>
      </c>
      <c r="Z6" s="70">
        <v>5.0000000000000001E-3</v>
      </c>
      <c r="AA6" s="70">
        <v>5.0000000000000001E-3</v>
      </c>
      <c r="AB6" s="70">
        <v>5.0000000000000001E-3</v>
      </c>
      <c r="AC6" s="70">
        <v>5.0000000000000001E-3</v>
      </c>
      <c r="AD6" s="70">
        <v>5.0000000000000001E-3</v>
      </c>
      <c r="AE6" s="70">
        <v>5.0000000000000001E-3</v>
      </c>
      <c r="AF6" s="70">
        <v>5.0000000000000001E-3</v>
      </c>
      <c r="AG6" s="70">
        <v>5.0000000000000001E-3</v>
      </c>
      <c r="AH6" s="70">
        <v>5.0000000000000001E-3</v>
      </c>
      <c r="AI6" s="70">
        <v>5.0000000000000001E-3</v>
      </c>
      <c r="AJ6" s="70">
        <v>5.0000000000000001E-3</v>
      </c>
      <c r="AK6" s="70">
        <v>5.0000000000000001E-3</v>
      </c>
      <c r="AL6" s="70">
        <v>5.0000000000000001E-3</v>
      </c>
      <c r="AM6" s="70">
        <v>5.0000000000000001E-3</v>
      </c>
      <c r="AN6" s="70">
        <v>5.0000000000000001E-3</v>
      </c>
      <c r="AO6" s="70">
        <v>5.0000000000000001E-3</v>
      </c>
      <c r="AP6" s="70">
        <v>5.0000000000000001E-3</v>
      </c>
      <c r="AQ6" s="70">
        <v>5.0000000000000001E-3</v>
      </c>
      <c r="AR6" s="70">
        <v>5.0000000000000001E-3</v>
      </c>
      <c r="AS6" s="70">
        <v>5.0000000000000001E-3</v>
      </c>
      <c r="AT6" s="70">
        <v>5.0000000000000001E-3</v>
      </c>
      <c r="AU6" s="70">
        <v>5.0000000000000001E-3</v>
      </c>
      <c r="AV6" s="70">
        <v>5.0000000000000001E-3</v>
      </c>
      <c r="AW6" s="70">
        <v>5.0000000000000001E-3</v>
      </c>
      <c r="AX6" s="70">
        <v>5.0000000000000001E-3</v>
      </c>
      <c r="AY6" s="70">
        <v>5.0000000000000001E-3</v>
      </c>
      <c r="AZ6" s="70">
        <v>5.0000000000000001E-3</v>
      </c>
      <c r="BA6" s="70">
        <v>5.0000000000000001E-3</v>
      </c>
      <c r="BB6" s="70">
        <v>5.0000000000000001E-3</v>
      </c>
      <c r="BC6" s="70">
        <v>5.0000000000000001E-3</v>
      </c>
      <c r="BD6" s="70">
        <v>5.0000000000000001E-3</v>
      </c>
      <c r="BE6" s="70">
        <v>5.0000000000000001E-3</v>
      </c>
      <c r="BF6" s="70">
        <v>5.0000000000000001E-3</v>
      </c>
      <c r="BG6" s="70">
        <v>5.0000000000000001E-3</v>
      </c>
      <c r="BH6" s="70">
        <v>5.0000000000000001E-3</v>
      </c>
      <c r="BI6" s="70">
        <v>5.0000000000000001E-3</v>
      </c>
      <c r="BJ6" s="70">
        <v>5.0000000000000001E-3</v>
      </c>
      <c r="BK6" s="70">
        <v>5.0000000000000001E-3</v>
      </c>
      <c r="BL6" s="70">
        <v>5.0000000000000001E-3</v>
      </c>
      <c r="BM6" s="70">
        <v>5.0000000000000001E-3</v>
      </c>
      <c r="BN6" s="70">
        <v>5.0000000000000001E-3</v>
      </c>
      <c r="BO6" s="70">
        <v>5.0000000000000001E-3</v>
      </c>
      <c r="BP6" s="70">
        <v>5.0000000000000001E-3</v>
      </c>
      <c r="BQ6" s="70">
        <v>5.0000000000000001E-3</v>
      </c>
      <c r="BR6" s="70">
        <v>5.0000000000000001E-3</v>
      </c>
      <c r="BS6" s="70">
        <v>5.0000000000000001E-3</v>
      </c>
      <c r="BT6" s="70">
        <v>5.0000000000000001E-3</v>
      </c>
      <c r="BU6" s="70">
        <v>5.0000000000000001E-3</v>
      </c>
      <c r="BV6" s="70">
        <v>5.0000000000000001E-3</v>
      </c>
      <c r="BW6" s="70">
        <v>5.0000000000000001E-3</v>
      </c>
      <c r="BX6" s="70">
        <v>5.0000000000000001E-3</v>
      </c>
      <c r="BY6" s="71">
        <v>5.0000000000000001E-3</v>
      </c>
      <c r="BZ6" s="71">
        <v>5.0000000000000001E-3</v>
      </c>
      <c r="CA6" s="71">
        <v>5.0000000000000001E-3</v>
      </c>
      <c r="CB6" s="71">
        <v>5.0000000000000001E-3</v>
      </c>
      <c r="CC6" s="71">
        <v>5.0000000000000001E-3</v>
      </c>
      <c r="CD6" s="71">
        <v>5.0000000000000001E-3</v>
      </c>
      <c r="CE6" s="71">
        <v>5.0000000000000001E-3</v>
      </c>
      <c r="CF6" s="71">
        <v>5.0000000000000001E-3</v>
      </c>
      <c r="CG6" s="71">
        <v>5.0000000000000001E-3</v>
      </c>
      <c r="CH6" s="71">
        <v>5.0000000000000001E-3</v>
      </c>
      <c r="CI6" s="71">
        <v>5.0000000000000001E-3</v>
      </c>
      <c r="CJ6" s="71">
        <v>5.0000000000000001E-3</v>
      </c>
      <c r="CK6" s="71">
        <v>5.0000000000000001E-3</v>
      </c>
      <c r="CL6" s="71">
        <v>5.0000000000000001E-3</v>
      </c>
      <c r="CM6" s="71">
        <v>5.0000000000000001E-3</v>
      </c>
      <c r="CN6" s="71">
        <v>5.0000000000000001E-3</v>
      </c>
      <c r="CO6" s="71">
        <v>5.0000000000000001E-3</v>
      </c>
      <c r="CP6" s="71">
        <v>5.0000000000000001E-3</v>
      </c>
      <c r="CQ6" s="71">
        <v>5.0000000000000001E-3</v>
      </c>
      <c r="CR6" s="109"/>
      <c r="CS6" s="71">
        <v>5.0000000000000001E-3</v>
      </c>
      <c r="CT6" s="71">
        <v>5.0000000000000001E-3</v>
      </c>
      <c r="CU6" s="71">
        <v>5.0000000000000001E-3</v>
      </c>
      <c r="CV6" s="71">
        <v>5.0000000000000001E-3</v>
      </c>
      <c r="CW6" s="71">
        <v>5.0000000000000001E-3</v>
      </c>
      <c r="CX6" s="71">
        <v>5.0000000000000001E-3</v>
      </c>
      <c r="CY6" s="71">
        <v>5.0000000000000001E-3</v>
      </c>
      <c r="CZ6" s="71">
        <v>5.0000000000000001E-3</v>
      </c>
      <c r="DA6" s="71">
        <v>5.0000000000000001E-3</v>
      </c>
      <c r="DB6" s="71">
        <v>5.0000000000000001E-3</v>
      </c>
      <c r="DC6" s="71">
        <v>5.0000000000000001E-3</v>
      </c>
      <c r="DD6" s="71">
        <v>5.0000000000000001E-3</v>
      </c>
      <c r="DE6" s="71">
        <v>5.0000000000000001E-3</v>
      </c>
      <c r="DF6" s="71">
        <v>5.0000000000000001E-3</v>
      </c>
      <c r="DG6" s="71">
        <v>5.0000000000000001E-3</v>
      </c>
      <c r="DH6" s="71">
        <v>5.0000000000000001E-3</v>
      </c>
      <c r="DI6" s="71">
        <v>5.0000000000000001E-3</v>
      </c>
      <c r="DJ6" s="71">
        <v>5.0000000000000001E-3</v>
      </c>
      <c r="DK6" s="71">
        <v>5.0000000000000001E-3</v>
      </c>
    </row>
    <row r="7" spans="1:115" ht="14.25" customHeight="1" x14ac:dyDescent="0.35">
      <c r="C7" s="67" t="s">
        <v>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109"/>
      <c r="CS7" s="71"/>
      <c r="CT7" s="71"/>
      <c r="CU7" s="71"/>
      <c r="CV7" s="70">
        <v>5.2499999999999998E-2</v>
      </c>
      <c r="CW7" s="70">
        <v>5.2499999999999998E-2</v>
      </c>
      <c r="CX7" s="70">
        <v>5.2499999999999998E-2</v>
      </c>
      <c r="CY7" s="70">
        <v>5.2499999999999998E-2</v>
      </c>
      <c r="CZ7" s="70">
        <v>5.2499999999999998E-2</v>
      </c>
      <c r="DA7" s="70">
        <v>5.2499999999999998E-2</v>
      </c>
      <c r="DB7" s="70">
        <v>5.2499999999999998E-2</v>
      </c>
      <c r="DC7" s="70">
        <v>5.2499999999999998E-2</v>
      </c>
      <c r="DD7" s="70">
        <v>5.2499999999999998E-2</v>
      </c>
      <c r="DE7" s="70">
        <v>5.2499999999999998E-2</v>
      </c>
      <c r="DF7" s="70">
        <v>5.2499999999999998E-2</v>
      </c>
      <c r="DG7" s="70">
        <v>5.2499999999999998E-2</v>
      </c>
      <c r="DH7" s="70">
        <v>5.2499999999999998E-2</v>
      </c>
      <c r="DI7" s="70">
        <v>5.2499999999999998E-2</v>
      </c>
      <c r="DJ7" s="70">
        <v>5.2499999999999998E-2</v>
      </c>
      <c r="DK7" s="70">
        <v>5.2499999999999998E-2</v>
      </c>
    </row>
    <row r="8" spans="1:115" ht="14.25" customHeight="1" x14ac:dyDescent="0.35">
      <c r="C8" s="313" t="s">
        <v>41</v>
      </c>
      <c r="D8" s="314"/>
      <c r="E8" s="1"/>
      <c r="F8" s="72">
        <v>2.1999999999999999E-2</v>
      </c>
      <c r="G8" s="72">
        <v>2.9000000000000001E-2</v>
      </c>
      <c r="H8" s="72">
        <v>2.1000000000000001E-2</v>
      </c>
      <c r="I8" s="72">
        <v>1.7999999999999999E-2</v>
      </c>
      <c r="J8" s="72">
        <v>1.4999999999999999E-2</v>
      </c>
      <c r="K8" s="72">
        <v>1.7999999999999999E-2</v>
      </c>
      <c r="L8" s="72">
        <v>1.6E-2</v>
      </c>
      <c r="M8" s="72">
        <v>1.6E-2</v>
      </c>
      <c r="N8" s="72">
        <v>1.4999999999999999E-2</v>
      </c>
      <c r="O8" s="72">
        <v>1.2999999999999999E-2</v>
      </c>
      <c r="P8" s="72">
        <v>3.3000000000000002E-2</v>
      </c>
      <c r="Q8" s="70">
        <v>1.6E-2</v>
      </c>
      <c r="R8" s="70">
        <v>2.5999999999999999E-2</v>
      </c>
      <c r="S8" s="70">
        <v>2.1000000000000001E-2</v>
      </c>
      <c r="T8" s="70">
        <v>0.03</v>
      </c>
      <c r="U8" s="70">
        <v>2.3E-2</v>
      </c>
      <c r="V8" s="70">
        <v>3.6999999999999998E-2</v>
      </c>
      <c r="W8" s="70">
        <v>2.7E-2</v>
      </c>
      <c r="X8" s="70">
        <v>3.6999999999999998E-2</v>
      </c>
      <c r="Y8" s="70">
        <v>0.06</v>
      </c>
      <c r="Z8" s="70">
        <v>5.2999999999999999E-2</v>
      </c>
      <c r="AA8" s="70">
        <v>2.8000000000000001E-2</v>
      </c>
      <c r="AB8" s="70">
        <v>2.4E-2</v>
      </c>
      <c r="AC8" s="70">
        <v>3.7999999999999999E-2</v>
      </c>
      <c r="AD8" s="70">
        <v>3.4000000000000002E-2</v>
      </c>
      <c r="AE8" s="70">
        <v>0.04</v>
      </c>
      <c r="AF8" s="70">
        <v>3.6999999999999998E-2</v>
      </c>
      <c r="AG8" s="70">
        <v>3.1E-2</v>
      </c>
      <c r="AH8" s="70">
        <v>2.8000000000000001E-2</v>
      </c>
      <c r="AI8" s="70">
        <v>2.1999999999999999E-2</v>
      </c>
      <c r="AJ8" s="70">
        <v>3.4000000000000002E-2</v>
      </c>
      <c r="AK8" s="70">
        <v>0.05</v>
      </c>
      <c r="AL8" s="70">
        <v>2.8000000000000001E-2</v>
      </c>
      <c r="AM8" s="70">
        <v>0.04</v>
      </c>
      <c r="AN8" s="70">
        <v>3.5000000000000003E-2</v>
      </c>
      <c r="AO8" s="70">
        <v>2.4E-2</v>
      </c>
      <c r="AP8" s="70">
        <v>1.7999999999999999E-2</v>
      </c>
      <c r="AQ8" s="70">
        <v>2.7E-2</v>
      </c>
      <c r="AR8" s="70">
        <v>0.02</v>
      </c>
      <c r="AS8" s="70">
        <v>0.01</v>
      </c>
      <c r="AT8" s="70">
        <v>1.4E-2</v>
      </c>
      <c r="AU8" s="70">
        <v>1.6E-2</v>
      </c>
      <c r="AV8" s="70">
        <v>2.4E-2</v>
      </c>
      <c r="AW8" s="70">
        <v>2.1999999999999999E-2</v>
      </c>
      <c r="AX8" s="70">
        <v>2.5000000000000001E-2</v>
      </c>
      <c r="AY8" s="70">
        <v>3.1E-2</v>
      </c>
      <c r="AZ8" s="70">
        <v>3.7999999999999999E-2</v>
      </c>
      <c r="BA8" s="70">
        <v>3.7999999999999999E-2</v>
      </c>
      <c r="BB8" s="70">
        <v>2.9000000000000001E-2</v>
      </c>
      <c r="BC8" s="70">
        <v>3.9E-2</v>
      </c>
      <c r="BD8" s="70">
        <v>0.04</v>
      </c>
      <c r="BE8" s="70">
        <v>3.5999999999999997E-2</v>
      </c>
      <c r="BF8" s="70">
        <v>3.2000000000000001E-2</v>
      </c>
      <c r="BG8" s="70">
        <v>2.9000000000000001E-2</v>
      </c>
      <c r="BH8" s="70">
        <v>2.9000000000000001E-2</v>
      </c>
      <c r="BI8" s="70">
        <v>3.4000000000000002E-2</v>
      </c>
      <c r="BJ8" s="70">
        <v>3.6999999999999998E-2</v>
      </c>
      <c r="BK8" s="70">
        <v>2.5000000000000001E-2</v>
      </c>
      <c r="BL8" s="70">
        <v>3.7999999999999999E-2</v>
      </c>
      <c r="BM8" s="70">
        <v>0.04</v>
      </c>
      <c r="BN8" s="70">
        <v>4.1000000000000002E-2</v>
      </c>
      <c r="BO8" s="70">
        <v>5.8999999999999997E-2</v>
      </c>
      <c r="BP8" s="70">
        <v>5.2999999999999999E-2</v>
      </c>
      <c r="BQ8" s="70">
        <v>5.5E-2</v>
      </c>
      <c r="BR8" s="70">
        <v>5.0999999999999997E-2</v>
      </c>
      <c r="BS8" s="70">
        <v>7.6999999999999999E-2</v>
      </c>
      <c r="BT8" s="70">
        <v>6.2E-2</v>
      </c>
      <c r="BU8" s="70">
        <v>5.6000000000000001E-2</v>
      </c>
      <c r="BV8" s="70">
        <v>7.0000000000000007E-2</v>
      </c>
      <c r="BW8" s="70">
        <v>5.8000000000000003E-2</v>
      </c>
      <c r="BX8" s="70">
        <v>5.8000000000000003E-2</v>
      </c>
      <c r="BY8" s="71">
        <f>+'CSD Pricing'!BU9</f>
        <v>7.2999999999999995E-2</v>
      </c>
      <c r="BZ8" s="71">
        <f>+'CSD Pricing'!BV9</f>
        <v>0.06</v>
      </c>
      <c r="CA8" s="71">
        <f>+'CSD Pricing'!BW9</f>
        <v>7.0999999999999994E-2</v>
      </c>
      <c r="CB8" s="71">
        <f>+'CSD Pricing'!BX9</f>
        <v>7.8E-2</v>
      </c>
      <c r="CC8" s="71">
        <f>+'CSD Pricing'!BY9</f>
        <v>7.4999999999999997E-2</v>
      </c>
      <c r="CD8" s="71">
        <f>+'CSD Pricing'!BZ9</f>
        <v>7.0999999999999994E-2</v>
      </c>
      <c r="CE8" s="71">
        <f>+'CSD Pricing'!CA9</f>
        <v>7.2999999999999995E-2</v>
      </c>
      <c r="CF8" s="71">
        <f>+'CSD Pricing'!CB9</f>
        <v>0.108</v>
      </c>
      <c r="CG8" s="71">
        <f>+'CSD Pricing'!CC9</f>
        <v>0.12</v>
      </c>
      <c r="CH8" s="71">
        <f>+'CSD Pricing'!CD9</f>
        <v>9.4E-2</v>
      </c>
      <c r="CI8" s="71">
        <f>+'CSD Pricing'!CE9</f>
        <v>0.11899999999999999</v>
      </c>
      <c r="CJ8" s="71">
        <f>+'CSD Pricing'!CF9</f>
        <v>0.21099999999999999</v>
      </c>
      <c r="CK8" s="71">
        <f>+'CSD Pricing'!CG9</f>
        <v>0.217</v>
      </c>
      <c r="CL8" s="71">
        <f>+'CSD Pricing'!CH9</f>
        <v>0.14099999999999999</v>
      </c>
      <c r="CM8" s="71">
        <f>+'CSD Pricing'!CI9</f>
        <v>0.13200000000000001</v>
      </c>
      <c r="CN8" s="71">
        <f>+'CSD Pricing'!CJ9</f>
        <v>9.8000000000000004E-2</v>
      </c>
      <c r="CO8" s="71">
        <f>+'CSD Pricing'!CK9</f>
        <v>4.3999999999999997E-2</v>
      </c>
      <c r="CP8" s="71">
        <f>+'CSD Pricing'!CL9</f>
        <v>4.8000000000000001E-2</v>
      </c>
      <c r="CQ8" s="71">
        <f>+'CSD Pricing'!CM9</f>
        <v>5.0999999999999997E-2</v>
      </c>
      <c r="CR8" s="109"/>
      <c r="CS8" s="71">
        <f>+'CSD Pricing'!CO9</f>
        <v>4.2000000000000003E-2</v>
      </c>
      <c r="CT8" s="71">
        <f>+'CSD Pricing'!CP9</f>
        <v>0.04</v>
      </c>
      <c r="CU8" s="71">
        <f>+'CSD Pricing'!CQ9</f>
        <v>3.2000000000000001E-2</v>
      </c>
      <c r="CV8" s="71">
        <f>+'CSD Pricing'!CR9</f>
        <v>3.2000000000000001E-2</v>
      </c>
      <c r="CW8" s="71">
        <f>+'CSD Pricing'!CS9</f>
        <v>3.3000000000000002E-2</v>
      </c>
      <c r="CX8" s="71">
        <f>+'CSD Pricing'!CT9</f>
        <v>3.1E-2</v>
      </c>
      <c r="CY8" s="71">
        <f>+'CSD Pricing'!CU9</f>
        <v>2.1000000000000001E-2</v>
      </c>
      <c r="CZ8" s="71">
        <f>+'CSD Pricing'!CV9</f>
        <v>3.2000000000000001E-2</v>
      </c>
      <c r="DA8" s="71">
        <f>+'CSD Pricing'!CW9</f>
        <v>2.3E-2</v>
      </c>
      <c r="DB8" s="71">
        <f>+'CSD Pricing'!CX9</f>
        <v>1.6E-2</v>
      </c>
      <c r="DC8" s="71">
        <f>+'CSD Pricing'!CY9</f>
        <v>2.1000000000000001E-2</v>
      </c>
      <c r="DD8" s="71">
        <f>+'CSD Pricing'!CZ9</f>
        <v>2.5000000000000001E-2</v>
      </c>
      <c r="DE8" s="71">
        <f>+'CSD Pricing'!DA9</f>
        <v>1.6E-2</v>
      </c>
      <c r="DF8" s="71">
        <f>+'CSD Pricing'!DB9</f>
        <v>2.1999999999999999E-2</v>
      </c>
      <c r="DG8" s="71">
        <f>+'CSD Pricing'!DC9</f>
        <v>2.1999999999999999E-2</v>
      </c>
      <c r="DH8" s="71">
        <f>+'CSD Pricing'!DD9</f>
        <v>2.4E-2</v>
      </c>
      <c r="DI8" s="71">
        <f>+'CSD Pricing'!DE9</f>
        <v>2.7E-2</v>
      </c>
      <c r="DJ8" s="71">
        <f>+'CSD Pricing'!DF9</f>
        <v>3.1E-2</v>
      </c>
      <c r="DK8" s="71"/>
    </row>
    <row r="9" spans="1:115" ht="14.25" customHeight="1" x14ac:dyDescent="0.35">
      <c r="C9" s="67" t="s">
        <v>42</v>
      </c>
      <c r="D9" s="1"/>
      <c r="E9" s="1"/>
      <c r="F9" s="72">
        <v>2.1000000000000001E-2</v>
      </c>
      <c r="G9" s="72">
        <v>8.9999999999999993E-3</v>
      </c>
      <c r="H9" s="72">
        <v>1.2E-2</v>
      </c>
      <c r="I9" s="72">
        <v>1.4E-2</v>
      </c>
      <c r="J9" s="72">
        <v>2E-3</v>
      </c>
      <c r="K9" s="72">
        <v>1.7999999999999999E-2</v>
      </c>
      <c r="L9" s="72">
        <v>1.7999999999999999E-2</v>
      </c>
      <c r="M9" s="72">
        <v>1.4E-2</v>
      </c>
      <c r="N9" s="72">
        <v>8.9999999999999993E-3</v>
      </c>
      <c r="O9" s="72">
        <v>8.0000000000000002E-3</v>
      </c>
      <c r="P9" s="72">
        <v>1.9E-2</v>
      </c>
      <c r="Q9" s="70">
        <v>2.5000000000000001E-2</v>
      </c>
      <c r="R9" s="70">
        <v>0.04</v>
      </c>
      <c r="S9" s="70">
        <v>2.4E-2</v>
      </c>
      <c r="T9" s="70">
        <v>1.6E-2</v>
      </c>
      <c r="U9" s="70">
        <v>9.7000000000000003E-2</v>
      </c>
      <c r="V9" s="70">
        <v>7.8488053093953347E-2</v>
      </c>
      <c r="W9" s="70">
        <v>4.1000000000000002E-2</v>
      </c>
      <c r="X9" s="70">
        <v>4.1000000000000002E-2</v>
      </c>
      <c r="Y9" s="70">
        <v>0.18099999999999999</v>
      </c>
      <c r="Z9" s="70">
        <v>2.8000000000000001E-2</v>
      </c>
      <c r="AA9" s="70">
        <v>6.0000000000000001E-3</v>
      </c>
      <c r="AB9" s="70">
        <v>3.2000000000000001E-2</v>
      </c>
      <c r="AC9" s="70">
        <v>1.2999999999999999E-2</v>
      </c>
      <c r="AD9" s="70">
        <v>2.7E-2</v>
      </c>
      <c r="AE9" s="70">
        <v>2.5999999999999999E-2</v>
      </c>
      <c r="AF9" s="70">
        <v>5.1999999999999998E-2</v>
      </c>
      <c r="AG9" s="70">
        <v>0.04</v>
      </c>
      <c r="AH9" s="70">
        <v>1.0999999999999999E-2</v>
      </c>
      <c r="AI9" s="70">
        <v>6.0000000000000001E-3</v>
      </c>
      <c r="AJ9" s="70">
        <v>0.13500000000000001</v>
      </c>
      <c r="AK9" s="70">
        <v>6.7000000000000004E-2</v>
      </c>
      <c r="AL9" s="70">
        <v>4.4999999999999998E-2</v>
      </c>
      <c r="AM9" s="70">
        <v>4.2999999999999997E-2</v>
      </c>
      <c r="AN9" s="70">
        <v>1.9E-2</v>
      </c>
      <c r="AO9" s="70">
        <v>1.7000000000000001E-2</v>
      </c>
      <c r="AP9" s="70">
        <v>1.0999999999999999E-2</v>
      </c>
      <c r="AQ9" s="70">
        <v>1.4E-2</v>
      </c>
      <c r="AR9" s="70">
        <v>1.0999999999999999E-2</v>
      </c>
      <c r="AS9" s="70">
        <v>4.9000000000000002E-2</v>
      </c>
      <c r="AT9" s="70">
        <v>2.5000000000000001E-2</v>
      </c>
      <c r="AU9" s="70">
        <v>4.5999999999999999E-2</v>
      </c>
      <c r="AV9" s="70">
        <v>0.03</v>
      </c>
      <c r="AW9" s="70">
        <v>0.04</v>
      </c>
      <c r="AX9" s="70">
        <v>4.9000000000000002E-2</v>
      </c>
      <c r="AY9" s="70">
        <v>7.0000000000000007E-2</v>
      </c>
      <c r="AZ9" s="70">
        <v>3.4000000000000002E-2</v>
      </c>
      <c r="BA9" s="70">
        <v>6.8000000000000005E-2</v>
      </c>
      <c r="BB9" s="70">
        <v>6.5000000000000002E-2</v>
      </c>
      <c r="BC9" s="70">
        <v>5.6000000000000001E-2</v>
      </c>
      <c r="BD9" s="70">
        <v>6.7000000000000004E-2</v>
      </c>
      <c r="BE9" s="70">
        <v>4.1000000000000002E-2</v>
      </c>
      <c r="BF9" s="70">
        <v>3.4000000000000002E-2</v>
      </c>
      <c r="BG9" s="70">
        <v>3.5999999999999997E-2</v>
      </c>
      <c r="BH9" s="70">
        <v>2.7E-2</v>
      </c>
      <c r="BI9" s="70">
        <v>1.7999999999999999E-2</v>
      </c>
      <c r="BJ9" s="70">
        <v>2.9000000000000001E-2</v>
      </c>
      <c r="BK9" s="70">
        <v>4.3999999999999997E-2</v>
      </c>
      <c r="BL9" s="70">
        <v>2.7E-2</v>
      </c>
      <c r="BM9" s="70">
        <v>3.1E-2</v>
      </c>
      <c r="BN9" s="70">
        <v>0.04</v>
      </c>
      <c r="BO9" s="70">
        <v>5.0999999999999997E-2</v>
      </c>
      <c r="BP9" s="70">
        <v>4.5999999999999999E-2</v>
      </c>
      <c r="BQ9" s="70">
        <v>5.3999999999999999E-2</v>
      </c>
      <c r="BR9" s="70">
        <v>4.5999999999999999E-2</v>
      </c>
      <c r="BS9" s="70">
        <v>9.4E-2</v>
      </c>
      <c r="BT9" s="70">
        <v>6.4000000000000001E-2</v>
      </c>
      <c r="BU9" s="70">
        <v>6.0999999999999999E-2</v>
      </c>
      <c r="BV9" s="70">
        <v>7.0000000000000007E-2</v>
      </c>
      <c r="BW9" s="70">
        <v>5.7000000000000002E-2</v>
      </c>
      <c r="BX9" s="70">
        <v>6.0999999999999999E-2</v>
      </c>
      <c r="BY9" s="71">
        <f>+'CSD Pricing'!BU10</f>
        <v>6.4000000000000001E-2</v>
      </c>
      <c r="BZ9" s="71">
        <f>+'CSD Pricing'!BV10</f>
        <v>6.2E-2</v>
      </c>
      <c r="CA9" s="71">
        <f>+'CSD Pricing'!BW10</f>
        <v>6.3E-2</v>
      </c>
      <c r="CB9" s="71">
        <f>+'CSD Pricing'!BX10</f>
        <v>6.9000000000000006E-2</v>
      </c>
      <c r="CC9" s="71">
        <f>+'CSD Pricing'!BY10</f>
        <v>8.1000000000000003E-2</v>
      </c>
      <c r="CD9" s="71">
        <f>+'CSD Pricing'!BZ10</f>
        <v>7.0999999999999994E-2</v>
      </c>
      <c r="CE9" s="71">
        <f>+'CSD Pricing'!CA10</f>
        <v>7.1999999999999995E-2</v>
      </c>
      <c r="CF9" s="71">
        <f>+'CSD Pricing'!CB10</f>
        <v>0.17</v>
      </c>
      <c r="CG9" s="71">
        <f>+'CSD Pricing'!CC10</f>
        <v>0.1</v>
      </c>
      <c r="CH9" s="71">
        <f>+'CSD Pricing'!CD10</f>
        <v>8.5999999999999993E-2</v>
      </c>
      <c r="CI9" s="71">
        <f>+'CSD Pricing'!CE10</f>
        <v>0.111</v>
      </c>
      <c r="CJ9" s="71">
        <f>+'CSD Pricing'!CF10</f>
        <v>0.68300000000000005</v>
      </c>
      <c r="CK9" s="71">
        <f>+'CSD Pricing'!CG10</f>
        <v>0.122</v>
      </c>
      <c r="CL9" s="71">
        <f>+'CSD Pricing'!CH10</f>
        <v>0.17699999999999999</v>
      </c>
      <c r="CM9" s="71">
        <f>+'CSD Pricing'!CI10</f>
        <v>3.2000000000000001E-2</v>
      </c>
      <c r="CN9" s="71">
        <f>+'CSD Pricing'!CJ10</f>
        <v>1.4999999999999999E-2</v>
      </c>
      <c r="CO9" s="71">
        <f>+'CSD Pricing'!CK10</f>
        <v>2E-3</v>
      </c>
      <c r="CP9" s="71">
        <f>+'CSD Pricing'!CL10</f>
        <v>-4.0000000000000001E-3</v>
      </c>
      <c r="CQ9" s="71">
        <f>+'CSD Pricing'!CM10</f>
        <v>4.0000000000000001E-3</v>
      </c>
      <c r="CR9" s="109"/>
      <c r="CS9" s="71">
        <f>+'CSD Pricing'!CO10</f>
        <v>-1E-3</v>
      </c>
      <c r="CT9" s="71">
        <f>+'CSD Pricing'!CP10</f>
        <v>2.7E-2</v>
      </c>
      <c r="CU9" s="71">
        <f>+'CSD Pricing'!CQ10</f>
        <v>0.02</v>
      </c>
      <c r="CV9" s="71">
        <f>+'CSD Pricing'!CR10</f>
        <v>0.01</v>
      </c>
      <c r="CW9" s="71">
        <f>+'CSD Pricing'!CS10</f>
        <v>-7.0000000000000001E-3</v>
      </c>
      <c r="CX9" s="71">
        <f>+'CSD Pricing'!CT10</f>
        <v>8.0000000000000002E-3</v>
      </c>
      <c r="CY9" s="71">
        <f>+'CSD Pricing'!CU10</f>
        <v>7.0000000000000001E-3</v>
      </c>
      <c r="CZ9" s="71">
        <f>+'CSD Pricing'!CV10</f>
        <v>5.0000000000000001E-3</v>
      </c>
      <c r="DA9" s="71">
        <f>+'CSD Pricing'!CW10</f>
        <v>3.9E-2</v>
      </c>
      <c r="DB9" s="71">
        <f>+'CSD Pricing'!CX10</f>
        <v>4.0000000000000001E-3</v>
      </c>
      <c r="DC9" s="71">
        <f>+'CSD Pricing'!CY10</f>
        <v>1.2E-2</v>
      </c>
      <c r="DD9" s="71">
        <f>+'CSD Pricing'!CZ10</f>
        <v>0.03</v>
      </c>
      <c r="DE9" s="71">
        <f>+'CSD Pricing'!DA10</f>
        <v>3.2000000000000001E-2</v>
      </c>
      <c r="DF9" s="71">
        <f>+'CSD Pricing'!DB10</f>
        <v>0.04</v>
      </c>
      <c r="DG9" s="71">
        <f>+'CSD Pricing'!DC10</f>
        <v>1.2E-2</v>
      </c>
      <c r="DH9" s="71">
        <f>+'CSD Pricing'!DD10</f>
        <v>1.4E-2</v>
      </c>
      <c r="DI9" s="71">
        <f>+'CSD Pricing'!DE10</f>
        <v>0.01</v>
      </c>
      <c r="DJ9" s="71">
        <f>+'CSD Pricing'!DF10</f>
        <v>1.2E-2</v>
      </c>
      <c r="DK9" s="71"/>
    </row>
    <row r="10" spans="1:115" ht="14.25" customHeight="1" x14ac:dyDescent="0.35">
      <c r="C10" s="67" t="s">
        <v>60</v>
      </c>
      <c r="D10" s="1"/>
      <c r="E10" s="1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3">
        <v>3.3000000000000002E-2</v>
      </c>
      <c r="AF10" s="73">
        <v>4.4499999999999998E-2</v>
      </c>
      <c r="AG10" s="73">
        <v>3.5500000000000004E-2</v>
      </c>
      <c r="AH10" s="73">
        <v>1.95E-2</v>
      </c>
      <c r="AI10" s="73">
        <v>1.3999999999999999E-2</v>
      </c>
      <c r="AJ10" s="73">
        <v>8.4500000000000006E-2</v>
      </c>
      <c r="AK10" s="73">
        <v>5.8500000000000003E-2</v>
      </c>
      <c r="AL10" s="73">
        <v>3.6499999999999998E-2</v>
      </c>
      <c r="AM10" s="73">
        <v>4.1499999999999995E-2</v>
      </c>
      <c r="AN10" s="73">
        <v>2.7000000000000003E-2</v>
      </c>
      <c r="AO10" s="73">
        <v>2.0500000000000001E-2</v>
      </c>
      <c r="AP10" s="73">
        <v>1.4499999999999999E-2</v>
      </c>
      <c r="AQ10" s="73">
        <v>2.0500000000000001E-2</v>
      </c>
      <c r="AR10" s="73">
        <v>1.55E-2</v>
      </c>
      <c r="AS10" s="73">
        <v>2.9500000000000002E-2</v>
      </c>
      <c r="AT10" s="73">
        <v>1.95E-2</v>
      </c>
      <c r="AU10" s="73">
        <v>3.1E-2</v>
      </c>
      <c r="AV10" s="73">
        <v>2.7E-2</v>
      </c>
      <c r="AW10" s="73">
        <v>3.1E-2</v>
      </c>
      <c r="AX10" s="86">
        <v>3.7000000000000005E-2</v>
      </c>
      <c r="AY10" s="86">
        <v>5.0500000000000003E-2</v>
      </c>
      <c r="AZ10" s="86">
        <v>3.6000000000000004E-2</v>
      </c>
      <c r="BA10" s="86">
        <v>5.3000000000000005E-2</v>
      </c>
      <c r="BB10" s="86">
        <v>4.7E-2</v>
      </c>
      <c r="BC10" s="86">
        <v>4.7500000000000001E-2</v>
      </c>
      <c r="BD10" s="86">
        <v>5.3500000000000006E-2</v>
      </c>
      <c r="BE10" s="86">
        <v>3.85E-2</v>
      </c>
      <c r="BF10" s="86">
        <v>3.3000000000000002E-2</v>
      </c>
      <c r="BG10" s="86">
        <v>3.2500000000000001E-2</v>
      </c>
      <c r="BH10" s="86">
        <v>2.8000000000000001E-2</v>
      </c>
      <c r="BI10" s="86">
        <v>2.6000000000000002E-2</v>
      </c>
      <c r="BJ10" s="86">
        <v>3.3000000000000002E-2</v>
      </c>
      <c r="BK10" s="86">
        <v>3.4500000000000003E-2</v>
      </c>
      <c r="BL10" s="86">
        <v>3.2500000000000001E-2</v>
      </c>
      <c r="BM10" s="86">
        <v>3.5500000000000004E-2</v>
      </c>
      <c r="BN10" s="86">
        <v>4.0500000000000001E-2</v>
      </c>
      <c r="BO10" s="86">
        <v>5.4999999999999993E-2</v>
      </c>
      <c r="BP10" s="86">
        <v>4.9500000000000002E-2</v>
      </c>
      <c r="BQ10" s="86">
        <v>5.45E-2</v>
      </c>
      <c r="BR10" s="86">
        <v>4.8500000000000001E-2</v>
      </c>
      <c r="BS10" s="86">
        <v>8.5499999999999993E-2</v>
      </c>
      <c r="BT10" s="86">
        <v>6.3E-2</v>
      </c>
      <c r="BU10" s="86">
        <v>5.8499999999999996E-2</v>
      </c>
      <c r="BV10" s="86">
        <v>7.0000000000000007E-2</v>
      </c>
      <c r="BW10" s="86">
        <v>5.7500000000000002E-2</v>
      </c>
      <c r="BX10" s="86">
        <v>5.9499999999999997E-2</v>
      </c>
      <c r="BY10" s="87">
        <f t="shared" ref="BY10" si="7">+(+BY8+BY9)/2</f>
        <v>6.8500000000000005E-2</v>
      </c>
      <c r="BZ10" s="87">
        <f t="shared" ref="BZ10:CA10" si="8">+(+BZ8+BZ9)/2</f>
        <v>6.0999999999999999E-2</v>
      </c>
      <c r="CA10" s="87">
        <f t="shared" si="8"/>
        <v>6.7000000000000004E-2</v>
      </c>
      <c r="CB10" s="87">
        <f t="shared" ref="CB10:CC10" si="9">+(+CB8+CB9)/2</f>
        <v>7.350000000000001E-2</v>
      </c>
      <c r="CC10" s="87">
        <f t="shared" si="9"/>
        <v>7.8E-2</v>
      </c>
      <c r="CD10" s="87">
        <f t="shared" ref="CD10:CE10" si="10">+(+CD8+CD9)/2</f>
        <v>7.0999999999999994E-2</v>
      </c>
      <c r="CE10" s="87">
        <f t="shared" si="10"/>
        <v>7.2499999999999995E-2</v>
      </c>
      <c r="CF10" s="87">
        <f t="shared" ref="CF10:CG10" si="11">+(+CF8+CF9)/2</f>
        <v>0.13900000000000001</v>
      </c>
      <c r="CG10" s="87">
        <f t="shared" si="11"/>
        <v>0.11</v>
      </c>
      <c r="CH10" s="87">
        <f t="shared" ref="CH10:CI10" si="12">+(+CH8+CH9)/2</f>
        <v>0.09</v>
      </c>
      <c r="CI10" s="87">
        <f t="shared" si="12"/>
        <v>0.11499999999999999</v>
      </c>
      <c r="CJ10" s="87">
        <f>+(+CJ8+CJ9)/2</f>
        <v>0.44700000000000001</v>
      </c>
      <c r="CK10" s="87">
        <f t="shared" ref="CK10:CL10" si="13">+(+CK8+CK9)/2</f>
        <v>0.16949999999999998</v>
      </c>
      <c r="CL10" s="87">
        <f t="shared" si="13"/>
        <v>0.15899999999999997</v>
      </c>
      <c r="CM10" s="87">
        <f t="shared" ref="CM10" si="14">+(+CM8+CM9)/2</f>
        <v>8.2000000000000003E-2</v>
      </c>
      <c r="CN10" s="87">
        <f>+(+CN8+CN9)/2</f>
        <v>5.6500000000000002E-2</v>
      </c>
      <c r="CO10" s="87">
        <f t="shared" ref="CO10" si="15">+(+CO8+CO9)/2</f>
        <v>2.3E-2</v>
      </c>
      <c r="CP10" s="87">
        <f t="shared" ref="CP10:CQ10" si="16">+(+CP8+CP9)/2</f>
        <v>2.1999999999999999E-2</v>
      </c>
      <c r="CQ10" s="87">
        <f t="shared" si="16"/>
        <v>2.7499999999999997E-2</v>
      </c>
      <c r="CR10" s="115"/>
      <c r="CS10" s="87">
        <f t="shared" ref="CS10:CX10" si="17">+(+CS8+CS9)/2</f>
        <v>2.0500000000000001E-2</v>
      </c>
      <c r="CT10" s="87">
        <f t="shared" si="17"/>
        <v>3.3500000000000002E-2</v>
      </c>
      <c r="CU10" s="87">
        <f t="shared" si="17"/>
        <v>2.6000000000000002E-2</v>
      </c>
      <c r="CV10" s="87">
        <f t="shared" si="17"/>
        <v>2.1000000000000001E-2</v>
      </c>
      <c r="CW10" s="87">
        <f t="shared" si="17"/>
        <v>1.3000000000000001E-2</v>
      </c>
      <c r="CX10" s="87">
        <f t="shared" si="17"/>
        <v>1.95E-2</v>
      </c>
      <c r="CY10" s="87">
        <f t="shared" ref="CY10:CZ10" si="18">+(+CY8+CY9)/2</f>
        <v>1.4E-2</v>
      </c>
      <c r="CZ10" s="87">
        <f t="shared" si="18"/>
        <v>1.8499999999999999E-2</v>
      </c>
      <c r="DA10" s="87">
        <f t="shared" ref="DA10:DB10" si="19">+(+DA8+DA9)/2</f>
        <v>3.1E-2</v>
      </c>
      <c r="DB10" s="87">
        <f t="shared" si="19"/>
        <v>0.01</v>
      </c>
      <c r="DC10" s="87">
        <f t="shared" ref="DC10:DD10" si="20">+(+DC8+DC9)/2</f>
        <v>1.6500000000000001E-2</v>
      </c>
      <c r="DD10" s="87">
        <f t="shared" si="20"/>
        <v>2.75E-2</v>
      </c>
      <c r="DE10" s="87">
        <f t="shared" ref="DE10" si="21">+(+DE8+DE9)/2</f>
        <v>2.4E-2</v>
      </c>
      <c r="DF10" s="87">
        <f t="shared" ref="DF10:DG10" si="22">+(+DF8+DF9)/2</f>
        <v>3.1E-2</v>
      </c>
      <c r="DG10" s="87">
        <f t="shared" si="22"/>
        <v>1.7000000000000001E-2</v>
      </c>
      <c r="DH10" s="87">
        <f t="shared" ref="DH10:DI10" si="23">+(+DH8+DH9)/2</f>
        <v>1.9E-2</v>
      </c>
      <c r="DI10" s="87">
        <f t="shared" si="23"/>
        <v>1.8499999999999999E-2</v>
      </c>
      <c r="DJ10" s="87">
        <f t="shared" ref="DJ10" si="24">+(+DJ8+DJ9)/2</f>
        <v>2.1499999999999998E-2</v>
      </c>
      <c r="DK10" s="87"/>
    </row>
    <row r="11" spans="1:115" ht="14.25" customHeight="1" x14ac:dyDescent="0.35">
      <c r="C11" s="67" t="s">
        <v>61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3"/>
      <c r="R11" s="73">
        <v>0.23356907235492308</v>
      </c>
      <c r="S11" s="73">
        <v>0.23356907235492308</v>
      </c>
      <c r="T11" s="73">
        <v>0</v>
      </c>
      <c r="U11" s="73">
        <v>0</v>
      </c>
      <c r="V11" s="73">
        <v>0</v>
      </c>
      <c r="W11" s="73">
        <v>0</v>
      </c>
      <c r="X11" s="73">
        <v>0.41450682516051485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0.62297995943243545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0.61348630801041271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0.52183846768622044</v>
      </c>
      <c r="AQ11" s="73">
        <v>0</v>
      </c>
      <c r="AR11" s="73">
        <v>0</v>
      </c>
      <c r="AS11" s="73">
        <v>0</v>
      </c>
      <c r="AT11" s="73">
        <v>0</v>
      </c>
      <c r="AU11" s="73">
        <v>0</v>
      </c>
      <c r="AV11" s="73">
        <v>0.39923472267919058</v>
      </c>
      <c r="AW11" s="73">
        <v>0</v>
      </c>
      <c r="AX11" s="73">
        <v>0</v>
      </c>
      <c r="AY11" s="73">
        <v>0</v>
      </c>
      <c r="AZ11" s="73">
        <v>0</v>
      </c>
      <c r="BA11" s="73">
        <v>0</v>
      </c>
      <c r="BB11" s="73">
        <v>0.47741979456761263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0</v>
      </c>
      <c r="BJ11" s="73">
        <v>0</v>
      </c>
      <c r="BK11" s="73">
        <v>0.59792766681882981</v>
      </c>
      <c r="BL11" s="73">
        <v>0</v>
      </c>
      <c r="BM11" s="73">
        <v>0</v>
      </c>
      <c r="BN11" s="73">
        <v>0</v>
      </c>
      <c r="BO11" s="73">
        <v>0</v>
      </c>
      <c r="BP11" s="73">
        <v>0</v>
      </c>
      <c r="BQ11" s="73">
        <v>0.53774854698907637</v>
      </c>
      <c r="BR11" s="73">
        <v>0</v>
      </c>
      <c r="BS11" s="73">
        <v>0</v>
      </c>
      <c r="BT11" s="73">
        <v>0</v>
      </c>
      <c r="BU11" s="73">
        <v>0</v>
      </c>
      <c r="BV11" s="73">
        <v>0</v>
      </c>
      <c r="BW11" s="73">
        <v>0.84119758631053521</v>
      </c>
      <c r="BX11" s="73">
        <v>0</v>
      </c>
      <c r="BY11" s="74">
        <v>0</v>
      </c>
      <c r="BZ11" s="74">
        <v>0</v>
      </c>
      <c r="CA11" s="74">
        <v>0</v>
      </c>
      <c r="CB11" s="74">
        <v>0</v>
      </c>
      <c r="CC11" s="73">
        <f>(1+BR10)*(1+BS10)*(1+BT10)*(1+BU10)*(1+BV10)*(1+BW10)*(1+BX10)*(1+BY10)*(1+BZ10)*(1+CA10)*(1+CB10)*(1+BQ10)-1</f>
        <v>1.1022795558624789</v>
      </c>
      <c r="CD11" s="74">
        <v>0</v>
      </c>
      <c r="CE11" s="74">
        <v>0</v>
      </c>
      <c r="CF11" s="74">
        <v>0</v>
      </c>
      <c r="CG11" s="74">
        <v>0</v>
      </c>
      <c r="CH11" s="74">
        <v>0</v>
      </c>
      <c r="CI11" s="73">
        <f>(1+BX10)*(1+BY10)*(1+BZ10)*(1+CA10)*(1+CB10)*(1+CC10)*(1+CD10)*(1+CE10)*(1+CF10)*(1+CG10)*(1+CH10)*(1+BW10)-1</f>
        <v>1.4826554381514985</v>
      </c>
      <c r="CJ11" s="73">
        <f>+(1+CI10)*1</f>
        <v>1.115</v>
      </c>
      <c r="CK11" s="73">
        <f>+(1+CJ10)*1</f>
        <v>1.4470000000000001</v>
      </c>
      <c r="CL11" s="73">
        <f>+(1+CK10)*1</f>
        <v>1.1695</v>
      </c>
      <c r="CM11" s="73">
        <f>+(1+CL10)*1</f>
        <v>1.159</v>
      </c>
      <c r="CN11" s="73">
        <f>+(1+CM10)*1</f>
        <v>1.0820000000000001</v>
      </c>
      <c r="CO11" s="73">
        <f t="shared" ref="CO11:CQ11" si="25">+(1+CN10)*1</f>
        <v>1.0565</v>
      </c>
      <c r="CP11" s="73">
        <f t="shared" si="25"/>
        <v>1.0229999999999999</v>
      </c>
      <c r="CQ11" s="73">
        <f t="shared" si="25"/>
        <v>1.022</v>
      </c>
      <c r="CR11" s="110"/>
      <c r="CS11" s="73">
        <f>+(1+CQ10)*1</f>
        <v>1.0275000000000001</v>
      </c>
      <c r="CT11" s="73">
        <f t="shared" ref="CT11:DJ11" si="26">+(1+CS10)*1</f>
        <v>1.0205</v>
      </c>
      <c r="CU11" s="73">
        <f t="shared" si="26"/>
        <v>1.0335000000000001</v>
      </c>
      <c r="CV11" s="73">
        <f t="shared" si="26"/>
        <v>1.026</v>
      </c>
      <c r="CW11" s="73">
        <f t="shared" si="26"/>
        <v>1.0209999999999999</v>
      </c>
      <c r="CX11" s="73">
        <f t="shared" si="26"/>
        <v>1.0129999999999999</v>
      </c>
      <c r="CY11" s="73">
        <f t="shared" si="26"/>
        <v>1.0195000000000001</v>
      </c>
      <c r="CZ11" s="73">
        <f t="shared" si="26"/>
        <v>1.014</v>
      </c>
      <c r="DA11" s="73">
        <f t="shared" si="26"/>
        <v>1.0185</v>
      </c>
      <c r="DB11" s="73">
        <f t="shared" si="26"/>
        <v>1.0309999999999999</v>
      </c>
      <c r="DC11" s="73">
        <f t="shared" si="26"/>
        <v>1.01</v>
      </c>
      <c r="DD11" s="73">
        <f t="shared" si="26"/>
        <v>1.0165</v>
      </c>
      <c r="DE11" s="73">
        <f t="shared" si="26"/>
        <v>1.0275000000000001</v>
      </c>
      <c r="DF11" s="73">
        <f t="shared" si="26"/>
        <v>1.024</v>
      </c>
      <c r="DG11" s="73">
        <f t="shared" si="26"/>
        <v>1.0309999999999999</v>
      </c>
      <c r="DH11" s="73">
        <f t="shared" si="26"/>
        <v>1.0169999999999999</v>
      </c>
      <c r="DI11" s="73">
        <f t="shared" si="26"/>
        <v>1.0189999999999999</v>
      </c>
      <c r="DJ11" s="73">
        <f t="shared" si="26"/>
        <v>1.0185</v>
      </c>
      <c r="DK11" s="73"/>
    </row>
    <row r="12" spans="1:115" ht="14.25" customHeight="1" x14ac:dyDescent="0.35">
      <c r="C12" s="67" t="s">
        <v>62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3"/>
      <c r="R12" s="73">
        <v>0.1</v>
      </c>
      <c r="S12" s="73">
        <v>0.1</v>
      </c>
      <c r="T12" s="73">
        <v>0</v>
      </c>
      <c r="U12" s="73">
        <v>0</v>
      </c>
      <c r="V12" s="73">
        <v>0</v>
      </c>
      <c r="W12" s="73">
        <v>0</v>
      </c>
      <c r="X12" s="73">
        <v>0.1</v>
      </c>
      <c r="Y12" s="73">
        <v>0</v>
      </c>
      <c r="Z12" s="73">
        <v>0</v>
      </c>
      <c r="AA12" s="73">
        <v>0</v>
      </c>
      <c r="AB12" s="73">
        <v>0</v>
      </c>
      <c r="AC12" s="73">
        <v>0</v>
      </c>
      <c r="AD12" s="73">
        <v>0.1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0.1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0.1</v>
      </c>
      <c r="AQ12" s="73">
        <v>0</v>
      </c>
      <c r="AR12" s="73">
        <v>0</v>
      </c>
      <c r="AS12" s="73">
        <v>0</v>
      </c>
      <c r="AT12" s="73">
        <v>0</v>
      </c>
      <c r="AU12" s="73">
        <v>0</v>
      </c>
      <c r="AV12" s="73">
        <v>0.1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0.1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3">
        <v>0.1</v>
      </c>
      <c r="BL12" s="73">
        <v>0</v>
      </c>
      <c r="BM12" s="73">
        <v>0</v>
      </c>
      <c r="BN12" s="73">
        <v>0</v>
      </c>
      <c r="BO12" s="73">
        <v>0</v>
      </c>
      <c r="BP12" s="73">
        <v>0</v>
      </c>
      <c r="BQ12" s="73">
        <v>0.1</v>
      </c>
      <c r="BR12" s="73">
        <v>0</v>
      </c>
      <c r="BS12" s="73">
        <v>0</v>
      </c>
      <c r="BT12" s="73">
        <v>0</v>
      </c>
      <c r="BU12" s="73">
        <v>0</v>
      </c>
      <c r="BV12" s="73">
        <v>0</v>
      </c>
      <c r="BW12" s="73">
        <v>0.1</v>
      </c>
      <c r="BX12" s="73">
        <v>0</v>
      </c>
      <c r="BY12" s="74">
        <f t="shared" ref="BY12:BZ12" si="27">+IF(BY11=0,0,IF(BY11&lt;=10%,50%,IF(BY11&lt;=20%,15%,10%)))</f>
        <v>0</v>
      </c>
      <c r="BZ12" s="74">
        <f t="shared" si="27"/>
        <v>0</v>
      </c>
      <c r="CA12" s="74">
        <f t="shared" ref="CA12:CB12" si="28">+IF(CA11=0,0,IF(CA11&lt;=10%,50%,IF(CA11&lt;=20%,15%,10%)))</f>
        <v>0</v>
      </c>
      <c r="CB12" s="74">
        <f t="shared" si="28"/>
        <v>0</v>
      </c>
      <c r="CC12" s="73">
        <f>+IF(CC11=0,0,IF(CC11&lt;=10%,50%,IF(CC11&lt;=20%,15%,10%)))</f>
        <v>0.1</v>
      </c>
      <c r="CD12" s="74">
        <f t="shared" ref="CD12:CE12" si="29">+IF(CD11=0,0,IF(CD11&lt;=10%,50%,IF(CD11&lt;=20%,15%,10%)))</f>
        <v>0</v>
      </c>
      <c r="CE12" s="74">
        <f t="shared" si="29"/>
        <v>0</v>
      </c>
      <c r="CF12" s="74">
        <f t="shared" ref="CF12:CG12" si="30">+IF(CF11=0,0,IF(CF11&lt;=10%,50%,IF(CF11&lt;=20%,15%,10%)))</f>
        <v>0</v>
      </c>
      <c r="CG12" s="74">
        <f t="shared" si="30"/>
        <v>0</v>
      </c>
      <c r="CH12" s="74">
        <f t="shared" ref="CH12:CI12" si="31">+IF(CH11=0,0,IF(CH11&lt;=10%,50%,IF(CH11&lt;=20%,15%,10%)))</f>
        <v>0</v>
      </c>
      <c r="CI12" s="74">
        <f t="shared" si="31"/>
        <v>0.1</v>
      </c>
      <c r="CJ12" s="74">
        <f>+IF(CJ11=0,0,IF(CJ11&lt;=10%,50%,IF(CJ11&lt;=20%,15%,10%)))</f>
        <v>0.1</v>
      </c>
      <c r="CK12" s="74">
        <f t="shared" ref="CK12:CL12" si="32">+IF(CK11=0,0,IF(CK11&lt;=10%,50%,IF(CK11&lt;=20%,15%,10%)))</f>
        <v>0.1</v>
      </c>
      <c r="CL12" s="74">
        <f t="shared" si="32"/>
        <v>0.1</v>
      </c>
      <c r="CM12" s="74">
        <f t="shared" ref="CM12" si="33">+IF(CM11=0,0,IF(CM11&lt;=10%,50%,IF(CM11&lt;=20%,15%,10%)))</f>
        <v>0.1</v>
      </c>
      <c r="CN12" s="74">
        <f>+IF(CN11=0,0,IF(CN11&lt;=10%,50%,IF(CN11&lt;=20%,15%,10%)))</f>
        <v>0.1</v>
      </c>
      <c r="CO12" s="74">
        <f>+IF(CO11=0,0,IF(CO11&lt;=10%,50%,IF(CO11&lt;=20%,15%,10%)))</f>
        <v>0.1</v>
      </c>
      <c r="CP12" s="74">
        <f>+IF(CP11=0,0,IF(CP11&lt;=10%,50%,IF(CP11&lt;=20%,15%,10%)))</f>
        <v>0.1</v>
      </c>
      <c r="CQ12" s="74"/>
      <c r="CR12" s="110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</row>
    <row r="13" spans="1:115" ht="14.25" customHeight="1" x14ac:dyDescent="0.35">
      <c r="C13" s="67" t="s">
        <v>63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88"/>
      <c r="Q13" s="89">
        <v>1</v>
      </c>
      <c r="R13" s="89">
        <v>1.1103830998498623</v>
      </c>
      <c r="S13" s="89">
        <v>1.1103830998498623</v>
      </c>
      <c r="T13" s="89">
        <v>1</v>
      </c>
      <c r="U13" s="89">
        <v>1</v>
      </c>
      <c r="V13" s="89">
        <v>1</v>
      </c>
      <c r="W13" s="89">
        <v>1</v>
      </c>
      <c r="X13" s="89">
        <v>1.2339763388265992</v>
      </c>
      <c r="Y13" s="89">
        <v>1</v>
      </c>
      <c r="Z13" s="89">
        <v>1</v>
      </c>
      <c r="AA13" s="89">
        <v>1</v>
      </c>
      <c r="AB13" s="89">
        <v>1</v>
      </c>
      <c r="AC13" s="89">
        <v>1</v>
      </c>
      <c r="AD13" s="89">
        <v>1.2592955885663286</v>
      </c>
      <c r="AE13" s="89">
        <v>1</v>
      </c>
      <c r="AF13" s="89">
        <v>1</v>
      </c>
      <c r="AG13" s="89">
        <v>1</v>
      </c>
      <c r="AH13" s="89">
        <v>1</v>
      </c>
      <c r="AI13" s="89">
        <v>1</v>
      </c>
      <c r="AJ13" s="89">
        <v>1.2273431231672967</v>
      </c>
      <c r="AK13" s="89">
        <v>1</v>
      </c>
      <c r="AL13" s="89">
        <v>1</v>
      </c>
      <c r="AM13" s="89">
        <v>1</v>
      </c>
      <c r="AN13" s="89">
        <v>1</v>
      </c>
      <c r="AO13" s="89">
        <v>1</v>
      </c>
      <c r="AP13" s="89">
        <v>1.1934462928753837</v>
      </c>
      <c r="AQ13" s="89">
        <v>1</v>
      </c>
      <c r="AR13" s="89">
        <v>1</v>
      </c>
      <c r="AS13" s="89">
        <v>1</v>
      </c>
      <c r="AT13" s="89">
        <v>1</v>
      </c>
      <c r="AU13" s="89">
        <v>1</v>
      </c>
      <c r="AV13" s="89">
        <v>1.1365210735588562</v>
      </c>
      <c r="AW13" s="89">
        <v>1</v>
      </c>
      <c r="AX13" s="89">
        <v>1</v>
      </c>
      <c r="AY13" s="89">
        <v>1</v>
      </c>
      <c r="AZ13" s="89">
        <v>1</v>
      </c>
      <c r="BA13" s="89">
        <v>1</v>
      </c>
      <c r="BB13" s="89">
        <v>1.2545448173966278</v>
      </c>
      <c r="BC13" s="89">
        <v>1</v>
      </c>
      <c r="BD13" s="89">
        <v>1</v>
      </c>
      <c r="BE13" s="89">
        <v>1</v>
      </c>
      <c r="BF13" s="89">
        <v>1</v>
      </c>
      <c r="BG13" s="89">
        <v>1</v>
      </c>
      <c r="BH13" s="89">
        <v>1</v>
      </c>
      <c r="BI13" s="89">
        <v>1</v>
      </c>
      <c r="BJ13" s="89">
        <v>1</v>
      </c>
      <c r="BK13" s="89">
        <v>1.3399359609219343</v>
      </c>
      <c r="BL13" s="89">
        <v>1</v>
      </c>
      <c r="BM13" s="89">
        <v>1</v>
      </c>
      <c r="BN13" s="89">
        <v>1</v>
      </c>
      <c r="BO13" s="89">
        <v>1</v>
      </c>
      <c r="BP13" s="89">
        <v>1</v>
      </c>
      <c r="BQ13" s="89">
        <v>1.2689777477749729</v>
      </c>
      <c r="BR13" s="89">
        <v>1</v>
      </c>
      <c r="BS13" s="89">
        <v>1</v>
      </c>
      <c r="BT13" s="89">
        <v>1</v>
      </c>
      <c r="BU13" s="89">
        <v>1</v>
      </c>
      <c r="BV13" s="89">
        <v>1</v>
      </c>
      <c r="BW13" s="89">
        <v>1.404154525198563</v>
      </c>
      <c r="BX13" s="89">
        <v>1</v>
      </c>
      <c r="BY13" s="90">
        <f t="shared" ref="BY13:CH13" si="34">IF(BY12=0,1,1+(((1+BS10)*(1+BT10)*(1+BU10)*(1+BV10)*(1+BW10)*(1+BX10)-1)*(1-BY12)))</f>
        <v>1</v>
      </c>
      <c r="BZ13" s="90">
        <f t="shared" si="34"/>
        <v>1</v>
      </c>
      <c r="CA13" s="90">
        <f t="shared" si="34"/>
        <v>1</v>
      </c>
      <c r="CB13" s="90">
        <f t="shared" si="34"/>
        <v>1</v>
      </c>
      <c r="CC13" s="89">
        <f>IF(CC12=0,1,1+(((1+BX10)*(1+BY10)*(1+BZ10)*(1+CA10)*(1+CB10)*(1+CC10)-1)*(1-CC12)))</f>
        <v>1.4348074131331692</v>
      </c>
      <c r="CD13" s="90">
        <f t="shared" si="34"/>
        <v>1</v>
      </c>
      <c r="CE13" s="90">
        <f t="shared" si="34"/>
        <v>1</v>
      </c>
      <c r="CF13" s="90">
        <f t="shared" si="34"/>
        <v>1</v>
      </c>
      <c r="CG13" s="90">
        <f t="shared" si="34"/>
        <v>1</v>
      </c>
      <c r="CH13" s="90">
        <f t="shared" si="34"/>
        <v>1</v>
      </c>
      <c r="CI13" s="90">
        <f>IF(CI12=0,1,1+(((1+CD10)*(1+CE10)*(1+CF10)*(1+CG10)*(1+CH10)*(1+CI10)-1)*(1-CI12)))</f>
        <v>1.6884638999095118</v>
      </c>
      <c r="CJ13" s="90">
        <f t="shared" ref="CJ13:CM13" si="35">IF(CJ12=0,1,1+(((1+CJ10)-1)*(1-CJ12)))</f>
        <v>1.4023000000000001</v>
      </c>
      <c r="CK13" s="90">
        <f t="shared" si="35"/>
        <v>1.15255</v>
      </c>
      <c r="CL13" s="90">
        <f t="shared" si="35"/>
        <v>1.1431</v>
      </c>
      <c r="CM13" s="90">
        <f t="shared" si="35"/>
        <v>1.0738000000000001</v>
      </c>
      <c r="CN13" s="90">
        <f>IF(CN12=0,1,1+(((1+CN10)-1)*(1-CN12)))</f>
        <v>1.0508500000000001</v>
      </c>
      <c r="CO13" s="90">
        <f>IF(CO12=0,1,1+(((1+CO10)-1)*(1-CO12)))</f>
        <v>1.0206999999999999</v>
      </c>
      <c r="CP13" s="90">
        <f t="shared" ref="CP13" si="36">IF(CP12=0,1,1+(((1+CP10)-1)*(1-CP12)))</f>
        <v>1.0198</v>
      </c>
      <c r="CQ13" s="90">
        <f>1+(((1+CQ10)-1))</f>
        <v>1.0275000000000001</v>
      </c>
      <c r="CR13" s="116"/>
      <c r="CS13" s="90">
        <f t="shared" ref="CS13:CX13" si="37">1+(((1+CS10)-1))</f>
        <v>1.0205</v>
      </c>
      <c r="CT13" s="90">
        <f t="shared" si="37"/>
        <v>1.0335000000000001</v>
      </c>
      <c r="CU13" s="90">
        <f t="shared" si="37"/>
        <v>1.026</v>
      </c>
      <c r="CV13" s="90">
        <f t="shared" si="37"/>
        <v>1.0209999999999999</v>
      </c>
      <c r="CW13" s="90">
        <f t="shared" si="37"/>
        <v>1.0129999999999999</v>
      </c>
      <c r="CX13" s="90">
        <f t="shared" si="37"/>
        <v>1.0195000000000001</v>
      </c>
      <c r="CY13" s="90">
        <f t="shared" ref="CY13" si="38">1+(((1+CY10)-1))</f>
        <v>1.014</v>
      </c>
      <c r="CZ13" s="90">
        <f>1+(((1+CZ10)-1))</f>
        <v>1.0185</v>
      </c>
      <c r="DA13" s="90">
        <f t="shared" ref="DA13" si="39">1+(((1+DA10)-1))</f>
        <v>1.0309999999999999</v>
      </c>
      <c r="DB13" s="90">
        <f>1+(((1+DB10)-1))</f>
        <v>1.01</v>
      </c>
      <c r="DC13" s="90">
        <f t="shared" ref="DC13:DD13" si="40">1+(((1+DC10)-1))</f>
        <v>1.0165</v>
      </c>
      <c r="DD13" s="90">
        <f t="shared" si="40"/>
        <v>1.0275000000000001</v>
      </c>
      <c r="DE13" s="90">
        <f t="shared" ref="DE13:DF13" si="41">1+(((1+DE10)-1))</f>
        <v>1.024</v>
      </c>
      <c r="DF13" s="90">
        <f t="shared" si="41"/>
        <v>1.0309999999999999</v>
      </c>
      <c r="DG13" s="90">
        <f t="shared" ref="DG13:DH13" si="42">1+(((1+DG10)-1))</f>
        <v>1.0169999999999999</v>
      </c>
      <c r="DH13" s="90">
        <f t="shared" si="42"/>
        <v>1.0189999999999999</v>
      </c>
      <c r="DI13" s="90">
        <f t="shared" ref="DI13:DJ13" si="43">1+(((1+DI10)-1))</f>
        <v>1.0185</v>
      </c>
      <c r="DJ13" s="90">
        <f t="shared" si="43"/>
        <v>1.0215000000000001</v>
      </c>
      <c r="DK13" s="90">
        <f t="shared" ref="DK13" si="44">1+(((1+DK10)-1))</f>
        <v>1</v>
      </c>
    </row>
    <row r="14" spans="1:115" ht="14.25" customHeight="1" x14ac:dyDescent="0.35">
      <c r="A14" s="3">
        <v>17.399999999999999</v>
      </c>
      <c r="C14" s="67" t="s">
        <v>47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1">
        <v>18.6678</v>
      </c>
      <c r="R14" s="81">
        <v>19.637799999999999</v>
      </c>
      <c r="S14" s="81">
        <v>20.200800000000001</v>
      </c>
      <c r="T14" s="81">
        <v>20.188300000000002</v>
      </c>
      <c r="U14" s="81">
        <v>22.3873</v>
      </c>
      <c r="V14" s="81">
        <v>25.5732</v>
      </c>
      <c r="W14" s="81">
        <v>27.6313</v>
      </c>
      <c r="X14" s="81">
        <v>28.155799999999999</v>
      </c>
      <c r="Y14" s="81">
        <v>36.040100000000002</v>
      </c>
      <c r="Z14" s="81">
        <v>37.741900000000001</v>
      </c>
      <c r="AA14" s="81">
        <v>36.0974</v>
      </c>
      <c r="AB14" s="81">
        <v>37.6768</v>
      </c>
      <c r="AC14" s="81">
        <v>37.540588235294123</v>
      </c>
      <c r="AD14" s="81">
        <v>37.842599999999997</v>
      </c>
      <c r="AE14" s="81">
        <v>40.278833333333331</v>
      </c>
      <c r="AF14" s="81">
        <v>42.749499999999998</v>
      </c>
      <c r="AG14" s="81">
        <v>44.629800000000003</v>
      </c>
      <c r="AH14" s="81">
        <v>44.501399999999997</v>
      </c>
      <c r="AI14" s="81">
        <v>42.363300000000002</v>
      </c>
      <c r="AJ14" s="81">
        <v>57.9</v>
      </c>
      <c r="AK14" s="81">
        <v>56.358899999999998</v>
      </c>
      <c r="AL14" s="81">
        <v>60</v>
      </c>
      <c r="AM14" s="81">
        <v>59.85</v>
      </c>
      <c r="AN14" s="81">
        <v>59.814999999999998</v>
      </c>
      <c r="AO14" s="81">
        <v>60.35</v>
      </c>
      <c r="AP14" s="81">
        <v>62.21</v>
      </c>
      <c r="AQ14" s="81">
        <v>64.409000000000006</v>
      </c>
      <c r="AR14" s="81">
        <v>66.84</v>
      </c>
      <c r="AS14" s="81">
        <v>68.540000000000006</v>
      </c>
      <c r="AT14" s="81">
        <v>70.459999999999994</v>
      </c>
      <c r="AU14" s="81">
        <v>72.319999999999993</v>
      </c>
      <c r="AV14" s="81">
        <v>74.180000000000007</v>
      </c>
      <c r="AW14" s="81">
        <v>76.180000000000007</v>
      </c>
      <c r="AX14" s="81">
        <v>78.319999999999993</v>
      </c>
      <c r="AY14" s="81">
        <v>81.31</v>
      </c>
      <c r="AZ14" s="81">
        <v>84.15</v>
      </c>
      <c r="BA14" s="81">
        <v>87.33</v>
      </c>
      <c r="BB14" s="81">
        <v>89.82</v>
      </c>
      <c r="BC14" s="81">
        <v>92</v>
      </c>
      <c r="BD14" s="81">
        <v>93.56</v>
      </c>
      <c r="BE14" s="81">
        <v>94.73</v>
      </c>
      <c r="BF14" s="81">
        <v>95.72</v>
      </c>
      <c r="BG14" s="81">
        <v>96.69</v>
      </c>
      <c r="BH14" s="81">
        <v>97.74</v>
      </c>
      <c r="BI14" s="81">
        <v>98.74</v>
      </c>
      <c r="BJ14" s="81">
        <v>99.72</v>
      </c>
      <c r="BK14" s="81">
        <v>100.96</v>
      </c>
      <c r="BL14" s="81">
        <v>102.72</v>
      </c>
      <c r="BM14" s="81">
        <v>105.02</v>
      </c>
      <c r="BN14" s="81">
        <v>107.45</v>
      </c>
      <c r="BO14" s="81">
        <v>110.89</v>
      </c>
      <c r="BP14" s="81">
        <v>115.73</v>
      </c>
      <c r="BQ14" s="81">
        <v>120.2</v>
      </c>
      <c r="BR14" s="81">
        <v>125.45</v>
      </c>
      <c r="BS14" s="81">
        <v>132.41999999999999</v>
      </c>
      <c r="BT14" s="81">
        <v>141.15</v>
      </c>
      <c r="BU14" s="81">
        <v>150.69</v>
      </c>
      <c r="BV14" s="81">
        <v>157.28</v>
      </c>
      <c r="BW14" s="81">
        <v>166.96</v>
      </c>
      <c r="BX14" s="81">
        <v>176.05</v>
      </c>
      <c r="BY14" s="82">
        <v>187.57</v>
      </c>
      <c r="BZ14" s="82">
        <v>197.15</v>
      </c>
      <c r="CA14" s="82">
        <v>211.22</v>
      </c>
      <c r="CB14" s="82">
        <v>225.2</v>
      </c>
      <c r="CC14" s="82">
        <v>240.25</v>
      </c>
      <c r="CD14" s="82">
        <v>257.89999999999998</v>
      </c>
      <c r="CE14" s="82">
        <v>276.14999999999998</v>
      </c>
      <c r="CF14" s="82">
        <v>350.1</v>
      </c>
      <c r="CG14" s="82">
        <v>350</v>
      </c>
      <c r="CH14" s="82">
        <v>350</v>
      </c>
      <c r="CI14" s="82">
        <v>361.1</v>
      </c>
      <c r="CJ14" s="82">
        <v>807.95</v>
      </c>
      <c r="CK14" s="82">
        <v>825.7</v>
      </c>
      <c r="CL14" s="82">
        <v>848</v>
      </c>
      <c r="CM14" s="82">
        <v>858</v>
      </c>
      <c r="CN14" s="82">
        <v>890.5</v>
      </c>
      <c r="CO14" s="82">
        <v>907.5</v>
      </c>
      <c r="CP14" s="82">
        <v>914.5</v>
      </c>
      <c r="CQ14" s="82">
        <v>931.5</v>
      </c>
      <c r="CR14" s="111"/>
      <c r="CS14" s="82">
        <f>+'CSD Pricing'!CO16</f>
        <v>953.5</v>
      </c>
      <c r="CT14" s="82">
        <f>+'CSD Pricing'!CP16</f>
        <v>975.5</v>
      </c>
      <c r="CU14" s="82">
        <f>+'CSD Pricing'!CQ16</f>
        <v>998</v>
      </c>
      <c r="CV14" s="82">
        <f>+'CSD Pricing'!CR16</f>
        <v>1013</v>
      </c>
      <c r="CW14" s="82">
        <f>+'CSD Pricing'!CS16</f>
        <v>1035.5</v>
      </c>
      <c r="CX14" s="82">
        <f>+'CSD Pricing'!CT16</f>
        <v>1054.75</v>
      </c>
      <c r="CY14" s="82">
        <f>+'CSD Pricing'!CU16</f>
        <v>1064.5</v>
      </c>
      <c r="CZ14" s="82">
        <f>+'CSD Pricing'!CV16</f>
        <v>1076</v>
      </c>
      <c r="DA14" s="82">
        <f>+'CSD Pricing'!CW16</f>
        <v>1170</v>
      </c>
      <c r="DB14" s="82">
        <f>+'CSD Pricing'!CX16</f>
        <v>1188</v>
      </c>
      <c r="DC14" s="82">
        <f>+'CSD Pricing'!CY16</f>
        <v>1205</v>
      </c>
      <c r="DD14" s="82">
        <f>+'CSD Pricing'!CZ16</f>
        <v>1374</v>
      </c>
      <c r="DE14" s="82">
        <f>+'CSD Pricing'!DA16</f>
        <v>1342</v>
      </c>
      <c r="DF14" s="82">
        <f>+'CSD Pricing'!DB16</f>
        <v>1401.7</v>
      </c>
      <c r="DG14" s="82">
        <f>+'CSD Pricing'!DC16</f>
        <v>1434.43</v>
      </c>
      <c r="DH14" s="82">
        <f>+'CSD Pricing'!DD16</f>
        <v>1428.15</v>
      </c>
      <c r="DI14" s="82">
        <f>+'CSD Pricing'!DE16</f>
        <v>1447.578947368421</v>
      </c>
      <c r="DJ14" s="82">
        <f>+'CSD Pricing'!DF16</f>
        <v>1448.952380952381</v>
      </c>
      <c r="DK14" s="82">
        <f>+'CSD Pricing'!DG16</f>
        <v>1407.5</v>
      </c>
    </row>
    <row r="15" spans="1:115" ht="15" thickBot="1" x14ac:dyDescent="0.4">
      <c r="C15" s="75" t="s">
        <v>2</v>
      </c>
      <c r="D15" s="76" t="s">
        <v>48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 t="s">
        <v>49</v>
      </c>
      <c r="R15" s="76" t="s">
        <v>49</v>
      </c>
      <c r="S15" s="76" t="s">
        <v>49</v>
      </c>
      <c r="T15" s="76" t="s">
        <v>49</v>
      </c>
      <c r="U15" s="76" t="s">
        <v>49</v>
      </c>
      <c r="V15" s="76" t="s">
        <v>49</v>
      </c>
      <c r="W15" s="76" t="s">
        <v>49</v>
      </c>
      <c r="X15" s="76" t="s">
        <v>49</v>
      </c>
      <c r="Y15" s="76" t="s">
        <v>49</v>
      </c>
      <c r="Z15" s="76" t="s">
        <v>49</v>
      </c>
      <c r="AA15" s="76" t="s">
        <v>49</v>
      </c>
      <c r="AB15" s="76" t="s">
        <v>49</v>
      </c>
      <c r="AC15" s="76" t="s">
        <v>49</v>
      </c>
      <c r="AD15" s="76" t="s">
        <v>49</v>
      </c>
      <c r="AE15" s="76" t="s">
        <v>49</v>
      </c>
      <c r="AF15" s="76" t="s">
        <v>49</v>
      </c>
      <c r="AG15" s="76" t="s">
        <v>49</v>
      </c>
      <c r="AH15" s="76" t="s">
        <v>49</v>
      </c>
      <c r="AI15" s="76" t="s">
        <v>49</v>
      </c>
      <c r="AJ15" s="76" t="s">
        <v>49</v>
      </c>
      <c r="AK15" s="76" t="s">
        <v>49</v>
      </c>
      <c r="AL15" s="76" t="s">
        <v>49</v>
      </c>
      <c r="AM15" s="76" t="s">
        <v>49</v>
      </c>
      <c r="AN15" s="76" t="s">
        <v>49</v>
      </c>
      <c r="AO15" s="76" t="s">
        <v>49</v>
      </c>
      <c r="AP15" s="76" t="s">
        <v>49</v>
      </c>
      <c r="AQ15" s="76" t="s">
        <v>49</v>
      </c>
      <c r="AR15" s="76" t="s">
        <v>49</v>
      </c>
      <c r="AS15" s="76" t="s">
        <v>49</v>
      </c>
      <c r="AT15" s="76" t="s">
        <v>49</v>
      </c>
      <c r="AU15" s="76" t="s">
        <v>49</v>
      </c>
      <c r="AV15" s="76" t="s">
        <v>49</v>
      </c>
      <c r="AW15" s="76" t="s">
        <v>49</v>
      </c>
      <c r="AX15" s="76" t="s">
        <v>49</v>
      </c>
      <c r="AY15" s="76" t="s">
        <v>49</v>
      </c>
      <c r="AZ15" s="76" t="s">
        <v>49</v>
      </c>
      <c r="BA15" s="76" t="s">
        <v>49</v>
      </c>
      <c r="BB15" s="76" t="s">
        <v>49</v>
      </c>
      <c r="BC15" s="76" t="s">
        <v>49</v>
      </c>
      <c r="BD15" s="76" t="s">
        <v>49</v>
      </c>
      <c r="BE15" s="76" t="s">
        <v>49</v>
      </c>
      <c r="BF15" s="76" t="s">
        <v>49</v>
      </c>
      <c r="BG15" s="76" t="s">
        <v>49</v>
      </c>
      <c r="BH15" s="76" t="s">
        <v>49</v>
      </c>
      <c r="BI15" s="76" t="s">
        <v>49</v>
      </c>
      <c r="BJ15" s="76" t="s">
        <v>49</v>
      </c>
      <c r="BK15" s="76" t="s">
        <v>49</v>
      </c>
      <c r="BL15" s="76" t="s">
        <v>49</v>
      </c>
      <c r="BM15" s="76" t="s">
        <v>49</v>
      </c>
      <c r="BN15" s="76" t="s">
        <v>49</v>
      </c>
      <c r="BO15" s="76" t="s">
        <v>49</v>
      </c>
      <c r="BP15" s="76" t="s">
        <v>49</v>
      </c>
      <c r="BQ15" s="76" t="s">
        <v>49</v>
      </c>
      <c r="BR15" s="76" t="s">
        <v>49</v>
      </c>
      <c r="BS15" s="76" t="s">
        <v>49</v>
      </c>
      <c r="BT15" s="76" t="s">
        <v>49</v>
      </c>
      <c r="BU15" s="76" t="s">
        <v>49</v>
      </c>
      <c r="BV15" s="76" t="s">
        <v>49</v>
      </c>
      <c r="BW15" s="76" t="s">
        <v>49</v>
      </c>
      <c r="BX15" s="76" t="s">
        <v>49</v>
      </c>
      <c r="BY15" s="83" t="s">
        <v>49</v>
      </c>
      <c r="BZ15" s="83" t="s">
        <v>49</v>
      </c>
      <c r="CA15" s="83" t="s">
        <v>49</v>
      </c>
      <c r="CB15" s="83" t="s">
        <v>49</v>
      </c>
      <c r="CC15" s="83" t="s">
        <v>49</v>
      </c>
      <c r="CD15" s="83" t="s">
        <v>49</v>
      </c>
      <c r="CE15" s="83" t="s">
        <v>49</v>
      </c>
      <c r="CF15" s="83" t="s">
        <v>49</v>
      </c>
      <c r="CG15" s="83" t="s">
        <v>49</v>
      </c>
      <c r="CH15" s="83" t="s">
        <v>49</v>
      </c>
      <c r="CI15" s="83" t="s">
        <v>49</v>
      </c>
      <c r="CJ15" s="83" t="s">
        <v>49</v>
      </c>
      <c r="CK15" s="83" t="s">
        <v>49</v>
      </c>
      <c r="CL15" s="83" t="s">
        <v>49</v>
      </c>
      <c r="CM15" s="83" t="s">
        <v>49</v>
      </c>
      <c r="CN15" s="83" t="s">
        <v>49</v>
      </c>
      <c r="CO15" s="83" t="s">
        <v>49</v>
      </c>
      <c r="CP15" s="83" t="s">
        <v>49</v>
      </c>
      <c r="CQ15" s="83" t="s">
        <v>49</v>
      </c>
      <c r="CR15" s="112"/>
      <c r="CS15" s="83" t="s">
        <v>49</v>
      </c>
      <c r="CT15" s="83" t="s">
        <v>49</v>
      </c>
      <c r="CU15" s="83" t="s">
        <v>49</v>
      </c>
      <c r="CV15" s="83" t="s">
        <v>49</v>
      </c>
      <c r="CW15" s="83" t="s">
        <v>49</v>
      </c>
      <c r="CX15" s="83" t="s">
        <v>49</v>
      </c>
      <c r="CY15" s="83" t="s">
        <v>49</v>
      </c>
      <c r="CZ15" s="83" t="s">
        <v>49</v>
      </c>
      <c r="DA15" s="83" t="s">
        <v>49</v>
      </c>
      <c r="DB15" s="83" t="s">
        <v>49</v>
      </c>
      <c r="DC15" s="83" t="s">
        <v>49</v>
      </c>
      <c r="DD15" s="83" t="s">
        <v>49</v>
      </c>
      <c r="DE15" s="83" t="s">
        <v>49</v>
      </c>
      <c r="DF15" s="83" t="s">
        <v>49</v>
      </c>
      <c r="DG15" s="83" t="s">
        <v>49</v>
      </c>
      <c r="DH15" s="83" t="s">
        <v>49</v>
      </c>
      <c r="DI15" s="83" t="s">
        <v>49</v>
      </c>
      <c r="DJ15" s="83" t="s">
        <v>49</v>
      </c>
      <c r="DK15" s="83" t="s">
        <v>49</v>
      </c>
    </row>
    <row r="16" spans="1:115" s="29" customFormat="1" x14ac:dyDescent="0.35">
      <c r="C16" s="30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112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</row>
    <row r="17" spans="1:115" x14ac:dyDescent="0.35">
      <c r="A17" s="4"/>
      <c r="C17" s="314" t="s">
        <v>65</v>
      </c>
      <c r="D17" s="1">
        <v>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>
        <f t="shared" ref="Q17:Z19" si="45">+$D17/1000*(1+Q$6)*Q$3</f>
        <v>34.85488196956247</v>
      </c>
      <c r="R17" s="2">
        <f t="shared" si="45"/>
        <v>35.876435138715173</v>
      </c>
      <c r="S17" s="2">
        <f t="shared" si="45"/>
        <v>36.508260284272062</v>
      </c>
      <c r="T17" s="2">
        <f t="shared" si="45"/>
        <v>37.067871207320145</v>
      </c>
      <c r="U17" s="2">
        <f t="shared" si="45"/>
        <v>38.242696062359506</v>
      </c>
      <c r="V17" s="2">
        <f t="shared" si="45"/>
        <v>39.487753187536725</v>
      </c>
      <c r="W17" s="2">
        <f t="shared" si="45"/>
        <v>40.977689309770845</v>
      </c>
      <c r="X17" s="2">
        <f t="shared" si="45"/>
        <v>42.660284227076438</v>
      </c>
      <c r="Y17" s="2">
        <f t="shared" si="45"/>
        <v>43.878735656184674</v>
      </c>
      <c r="Z17" s="2">
        <f t="shared" si="45"/>
        <v>43.991373714763704</v>
      </c>
      <c r="AA17" s="2">
        <f t="shared" ref="AA17:AJ19" si="46">+$D17/1000*(1+AA$6)*AA$3</f>
        <v>43.991373714763697</v>
      </c>
      <c r="AB17" s="2">
        <f t="shared" si="46"/>
        <v>44.438984176476261</v>
      </c>
      <c r="AC17" s="2">
        <f t="shared" si="46"/>
        <v>44.136666807391954</v>
      </c>
      <c r="AD17" s="2">
        <f t="shared" si="46"/>
        <v>42.386852391998374</v>
      </c>
      <c r="AE17" s="2">
        <f t="shared" si="46"/>
        <v>41.144663942261353</v>
      </c>
      <c r="AF17" s="2">
        <f t="shared" si="46"/>
        <v>41.144663942261353</v>
      </c>
      <c r="AG17" s="2">
        <f t="shared" si="46"/>
        <v>41.144663942261353</v>
      </c>
      <c r="AH17" s="2">
        <f t="shared" si="46"/>
        <v>41.144663942261353</v>
      </c>
      <c r="AI17" s="2">
        <f t="shared" si="46"/>
        <v>32.468426892736552</v>
      </c>
      <c r="AJ17" s="2">
        <f t="shared" si="46"/>
        <v>33.76944610161685</v>
      </c>
      <c r="AK17" s="2">
        <f t="shared" ref="AK17:AT19" si="47">+$D17/1000*(1+AK$6)*AK$3</f>
        <v>31.299578651221253</v>
      </c>
      <c r="AL17" s="2">
        <f t="shared" si="47"/>
        <v>30.675234858549871</v>
      </c>
      <c r="AM17" s="2">
        <f t="shared" si="47"/>
        <v>29.889615462704427</v>
      </c>
      <c r="AN17" s="2">
        <f t="shared" si="47"/>
        <v>29.140075193293821</v>
      </c>
      <c r="AO17" s="2">
        <f t="shared" si="47"/>
        <v>29.284469074205589</v>
      </c>
      <c r="AP17" s="2">
        <f t="shared" si="47"/>
        <v>29.754131033746791</v>
      </c>
      <c r="AQ17" s="2">
        <f t="shared" si="47"/>
        <v>28.557384886199507</v>
      </c>
      <c r="AR17" s="2">
        <f t="shared" si="47"/>
        <v>26.351528949620729</v>
      </c>
      <c r="AS17" s="2">
        <f t="shared" si="47"/>
        <v>23.787996260728089</v>
      </c>
      <c r="AT17" s="2">
        <f t="shared" si="47"/>
        <v>24.216781785870353</v>
      </c>
      <c r="AU17" s="2">
        <f t="shared" ref="AU17:BI19" si="48">+$D17/1000*(1+AU$6)*AU$3</f>
        <v>24.476640770903892</v>
      </c>
      <c r="AV17" s="2">
        <f t="shared" si="48"/>
        <v>23.872102397348844</v>
      </c>
      <c r="AW17" s="2">
        <f t="shared" si="48"/>
        <v>23.514734168832227</v>
      </c>
      <c r="AX17" s="2">
        <f t="shared" si="48"/>
        <v>23.571725715029491</v>
      </c>
      <c r="AY17" s="2">
        <f t="shared" si="48"/>
        <v>23.484577330917961</v>
      </c>
      <c r="AZ17" s="2">
        <f t="shared" si="48"/>
        <v>23.687823835575308</v>
      </c>
      <c r="BA17" s="2">
        <f t="shared" si="48"/>
        <v>25.70663870711331</v>
      </c>
      <c r="BB17" s="2">
        <f t="shared" si="48"/>
        <v>30.213094048321484</v>
      </c>
      <c r="BC17" s="2" t="e">
        <f t="shared" si="48"/>
        <v>#N/A</v>
      </c>
      <c r="BD17" s="2" t="e">
        <f t="shared" si="48"/>
        <v>#N/A</v>
      </c>
      <c r="BE17" s="2" t="e">
        <f t="shared" si="48"/>
        <v>#N/A</v>
      </c>
      <c r="BF17" s="2" t="e">
        <f t="shared" si="48"/>
        <v>#N/A</v>
      </c>
      <c r="BG17" s="2" t="e">
        <f t="shared" si="48"/>
        <v>#N/A</v>
      </c>
      <c r="BH17" s="2">
        <f t="shared" si="48"/>
        <v>39.681564874964501</v>
      </c>
      <c r="BI17" s="2">
        <f t="shared" si="48"/>
        <v>39.89112323101768</v>
      </c>
      <c r="BJ17" s="2">
        <f t="shared" ref="BJ17:BQ17" si="49">+$D17/1000*(1+BJ$6)*BJ$4</f>
        <v>36.949069595303008</v>
      </c>
      <c r="BK17" s="2">
        <f t="shared" si="49"/>
        <v>41.233120985113651</v>
      </c>
      <c r="BL17" s="2">
        <f t="shared" si="49"/>
        <v>41.568488020771042</v>
      </c>
      <c r="BM17" s="2">
        <f t="shared" si="49"/>
        <v>38.964102148277256</v>
      </c>
      <c r="BN17" s="2">
        <f t="shared" si="49"/>
        <v>42.887653834798357</v>
      </c>
      <c r="BO17" s="2">
        <f t="shared" si="49"/>
        <v>45.612200305459723</v>
      </c>
      <c r="BP17" s="2">
        <f t="shared" si="49"/>
        <v>48.508258035392871</v>
      </c>
      <c r="BQ17" s="2">
        <f t="shared" si="49"/>
        <v>51.83613564391726</v>
      </c>
      <c r="BR17" s="2">
        <f t="shared" ref="BR17:CJ17" si="50">+$D17/1000*(1+BR$6)*BR$4</f>
        <v>53.054004940624104</v>
      </c>
      <c r="BS17" s="2">
        <f t="shared" si="50"/>
        <v>53.027096329952876</v>
      </c>
      <c r="BT17" s="2">
        <f t="shared" si="50"/>
        <v>47.819709559451837</v>
      </c>
      <c r="BU17" s="2">
        <f t="shared" si="50"/>
        <v>43.290341797112873</v>
      </c>
      <c r="BV17" s="2">
        <f t="shared" si="50"/>
        <v>41.984828256762739</v>
      </c>
      <c r="BW17" s="2">
        <f t="shared" si="50"/>
        <v>40.22402761272896</v>
      </c>
      <c r="BX17" s="2">
        <f t="shared" si="50"/>
        <v>38.041673957198135</v>
      </c>
      <c r="BY17" s="2">
        <f t="shared" si="50"/>
        <v>37.697211199686571</v>
      </c>
      <c r="BZ17" s="2">
        <f t="shared" si="50"/>
        <v>37.138963258173419</v>
      </c>
      <c r="CA17" s="2">
        <f t="shared" si="50"/>
        <v>37.815230035355178</v>
      </c>
      <c r="CB17" s="2">
        <f t="shared" si="50"/>
        <v>37.956862817960548</v>
      </c>
      <c r="CC17" s="2">
        <f t="shared" si="50"/>
        <v>39.330017984746846</v>
      </c>
      <c r="CD17" s="2">
        <f t="shared" si="50"/>
        <v>37.127389166987136</v>
      </c>
      <c r="CE17" s="2">
        <f t="shared" si="50"/>
        <v>35.55714864526027</v>
      </c>
      <c r="CF17" s="2">
        <f t="shared" si="50"/>
        <v>35.330252399999999</v>
      </c>
      <c r="CG17" s="2">
        <f t="shared" si="50"/>
        <v>36.617778000000001</v>
      </c>
      <c r="CH17" s="2">
        <f t="shared" si="50"/>
        <v>36.8985348</v>
      </c>
      <c r="CI17" s="2">
        <f t="shared" si="50"/>
        <v>36.229687200000001</v>
      </c>
      <c r="CJ17" s="2">
        <f t="shared" si="50"/>
        <v>43.415999999999997</v>
      </c>
      <c r="CK17" s="2">
        <f t="shared" ref="CK17:CU17" si="51">+$D17/1000*(1+CK$6)*CK$4</f>
        <v>44.284320000000001</v>
      </c>
      <c r="CL17" s="2">
        <f t="shared" si="51"/>
        <v>44.284320000000001</v>
      </c>
      <c r="CM17" s="2">
        <f t="shared" si="51"/>
        <v>41.076360000000001</v>
      </c>
      <c r="CN17" s="2">
        <f t="shared" si="51"/>
        <v>36.903626183879005</v>
      </c>
      <c r="CO17" s="2">
        <f t="shared" si="51"/>
        <v>36.903680641056823</v>
      </c>
      <c r="CP17" s="2">
        <f t="shared" si="51"/>
        <v>36.903560244193471</v>
      </c>
      <c r="CQ17" s="2">
        <f t="shared" si="51"/>
        <v>36.903599999999997</v>
      </c>
      <c r="CR17" s="107"/>
      <c r="CS17" s="245">
        <f t="shared" si="51"/>
        <v>44.260199999999998</v>
      </c>
      <c r="CT17" s="245">
        <f t="shared" si="51"/>
        <v>36.523881280319259</v>
      </c>
      <c r="CU17" s="245">
        <f t="shared" si="51"/>
        <v>38.150098106175768</v>
      </c>
      <c r="CV17" s="245">
        <f t="shared" ref="CV17:DK17" si="52">+$D17/1000*(1+CV$6)*CV$4*(1+CV$7)</f>
        <v>40.152978256749996</v>
      </c>
      <c r="CW17" s="245">
        <f t="shared" si="52"/>
        <v>39.987194599832939</v>
      </c>
      <c r="CX17" s="245">
        <f t="shared" si="52"/>
        <v>39.721487360479308</v>
      </c>
      <c r="CY17" s="245">
        <f t="shared" si="52"/>
        <v>39.721487360479308</v>
      </c>
      <c r="CZ17" s="245">
        <f t="shared" si="52"/>
        <v>38.248374021074092</v>
      </c>
      <c r="DA17" s="245">
        <f t="shared" si="52"/>
        <v>36.055982539290532</v>
      </c>
      <c r="DB17" s="245">
        <f t="shared" si="52"/>
        <v>35.695067915226289</v>
      </c>
      <c r="DC17" s="245">
        <f t="shared" si="52"/>
        <v>34.216154269538002</v>
      </c>
      <c r="DD17" s="245">
        <f t="shared" si="52"/>
        <v>33.72655286882155</v>
      </c>
      <c r="DE17" s="245">
        <f t="shared" si="52"/>
        <v>33.874709483031722</v>
      </c>
      <c r="DF17" s="245">
        <f t="shared" si="52"/>
        <v>35.84211197145892</v>
      </c>
      <c r="DG17" s="245">
        <f t="shared" si="52"/>
        <v>35.922694072958343</v>
      </c>
      <c r="DH17" s="245">
        <f t="shared" si="52"/>
        <v>34.495426039686841</v>
      </c>
      <c r="DI17" s="245">
        <f t="shared" si="52"/>
        <v>33.616520506918071</v>
      </c>
      <c r="DJ17" s="245">
        <f t="shared" si="52"/>
        <v>32.845374653145313</v>
      </c>
      <c r="DK17" s="245">
        <f t="shared" si="52"/>
        <v>32.845374653145313</v>
      </c>
    </row>
    <row r="18" spans="1:115" x14ac:dyDescent="0.35">
      <c r="A18" s="4"/>
      <c r="C18" s="314"/>
      <c r="D18" s="1">
        <v>30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107"/>
      <c r="CS18" s="245">
        <f t="shared" ref="CS18:CY18" si="53">+$D18/1000*(1+CS$6)*CS$4*(1+CS$7)</f>
        <v>55.32524999999999</v>
      </c>
      <c r="CT18" s="245">
        <f t="shared" si="53"/>
        <v>45.65485160039907</v>
      </c>
      <c r="CU18" s="245">
        <f t="shared" si="53"/>
        <v>47.687622632719709</v>
      </c>
      <c r="CV18" s="245">
        <f t="shared" si="53"/>
        <v>50.19122282093749</v>
      </c>
      <c r="CW18" s="245">
        <f t="shared" si="53"/>
        <v>49.983993249791169</v>
      </c>
      <c r="CX18" s="245">
        <f t="shared" si="53"/>
        <v>49.651859200599141</v>
      </c>
      <c r="CY18" s="245">
        <f t="shared" si="53"/>
        <v>49.651859200599134</v>
      </c>
      <c r="CZ18" s="245">
        <f t="shared" ref="CZ18:DK18" si="54">+$D18/1000*(1+CZ$6)*CZ$4*(1+CZ$7)</f>
        <v>47.810467526342613</v>
      </c>
      <c r="DA18" s="245">
        <f t="shared" si="54"/>
        <v>45.069978174113153</v>
      </c>
      <c r="DB18" s="245">
        <f t="shared" si="54"/>
        <v>44.618834894032865</v>
      </c>
      <c r="DC18" s="245">
        <f t="shared" si="54"/>
        <v>42.770192836922504</v>
      </c>
      <c r="DD18" s="245">
        <f t="shared" si="54"/>
        <v>42.158191086026925</v>
      </c>
      <c r="DE18" s="245">
        <f t="shared" si="54"/>
        <v>42.343386853789653</v>
      </c>
      <c r="DF18" s="245">
        <f t="shared" si="54"/>
        <v>44.802639964323646</v>
      </c>
      <c r="DG18" s="245">
        <f t="shared" si="54"/>
        <v>44.90336759119792</v>
      </c>
      <c r="DH18" s="245">
        <f t="shared" si="54"/>
        <v>43.119282549608556</v>
      </c>
      <c r="DI18" s="245">
        <f t="shared" si="54"/>
        <v>42.020650633647584</v>
      </c>
      <c r="DJ18" s="245">
        <f t="shared" si="54"/>
        <v>41.056718316431635</v>
      </c>
      <c r="DK18" s="245">
        <f t="shared" si="54"/>
        <v>41.056718316431635</v>
      </c>
    </row>
    <row r="19" spans="1:115" x14ac:dyDescent="0.35">
      <c r="A19" s="4"/>
      <c r="C19" s="314"/>
      <c r="D19" s="1">
        <v>30.4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>
        <f t="shared" si="45"/>
        <v>44.149517161445793</v>
      </c>
      <c r="R19" s="2">
        <f t="shared" si="45"/>
        <v>45.443484509039216</v>
      </c>
      <c r="S19" s="2">
        <f t="shared" si="45"/>
        <v>46.243796360077937</v>
      </c>
      <c r="T19" s="2">
        <f t="shared" si="45"/>
        <v>46.952636862605509</v>
      </c>
      <c r="U19" s="2">
        <f t="shared" si="45"/>
        <v>48.440748345655372</v>
      </c>
      <c r="V19" s="2">
        <f t="shared" si="45"/>
        <v>50.017820704213179</v>
      </c>
      <c r="W19" s="2">
        <f t="shared" si="45"/>
        <v>51.905073125709727</v>
      </c>
      <c r="X19" s="2">
        <f t="shared" si="45"/>
        <v>54.036360020963485</v>
      </c>
      <c r="Y19" s="2">
        <f t="shared" si="45"/>
        <v>55.579731831167251</v>
      </c>
      <c r="Z19" s="2">
        <f t="shared" si="45"/>
        <v>55.722406705367355</v>
      </c>
      <c r="AA19" s="2">
        <f t="shared" si="46"/>
        <v>55.722406705367348</v>
      </c>
      <c r="AB19" s="2">
        <f t="shared" si="46"/>
        <v>56.289379956869922</v>
      </c>
      <c r="AC19" s="2">
        <f t="shared" si="46"/>
        <v>55.906444622696476</v>
      </c>
      <c r="AD19" s="2">
        <f t="shared" si="46"/>
        <v>53.690013029864602</v>
      </c>
      <c r="AE19" s="2">
        <f t="shared" si="46"/>
        <v>52.116574326864374</v>
      </c>
      <c r="AF19" s="2">
        <f t="shared" si="46"/>
        <v>52.116574326864374</v>
      </c>
      <c r="AG19" s="2">
        <f t="shared" si="46"/>
        <v>52.116574326864374</v>
      </c>
      <c r="AH19" s="2">
        <f t="shared" si="46"/>
        <v>52.116574326864374</v>
      </c>
      <c r="AI19" s="2">
        <f t="shared" si="46"/>
        <v>41.126674064132963</v>
      </c>
      <c r="AJ19" s="2">
        <f t="shared" si="46"/>
        <v>42.774631728714674</v>
      </c>
      <c r="AK19" s="2">
        <f t="shared" si="47"/>
        <v>39.646132958213585</v>
      </c>
      <c r="AL19" s="2">
        <f t="shared" si="47"/>
        <v>38.8552974874965</v>
      </c>
      <c r="AM19" s="2">
        <f t="shared" si="47"/>
        <v>37.860179586092272</v>
      </c>
      <c r="AN19" s="2">
        <f t="shared" si="47"/>
        <v>36.910761911505503</v>
      </c>
      <c r="AO19" s="2">
        <f t="shared" si="47"/>
        <v>37.093660827327078</v>
      </c>
      <c r="AP19" s="2">
        <f t="shared" si="47"/>
        <v>37.688565976079268</v>
      </c>
      <c r="AQ19" s="2">
        <f t="shared" si="47"/>
        <v>36.172687522519368</v>
      </c>
      <c r="AR19" s="2">
        <f t="shared" si="47"/>
        <v>33.378603336186252</v>
      </c>
      <c r="AS19" s="2">
        <f t="shared" si="47"/>
        <v>30.131461930255576</v>
      </c>
      <c r="AT19" s="2">
        <f t="shared" si="47"/>
        <v>30.674590262102445</v>
      </c>
      <c r="AU19" s="2">
        <f t="shared" si="48"/>
        <v>31.003744976478259</v>
      </c>
      <c r="AV19" s="2">
        <f t="shared" si="48"/>
        <v>30.237996369975196</v>
      </c>
      <c r="AW19" s="2">
        <f t="shared" si="48"/>
        <v>29.785329947187485</v>
      </c>
      <c r="AX19" s="2">
        <f t="shared" si="48"/>
        <v>29.857519239037352</v>
      </c>
      <c r="AY19" s="2">
        <f t="shared" si="48"/>
        <v>29.747131285829415</v>
      </c>
      <c r="AZ19" s="2">
        <f t="shared" si="48"/>
        <v>30.004576858395389</v>
      </c>
      <c r="BA19" s="2">
        <f t="shared" si="48"/>
        <v>32.561742362343523</v>
      </c>
      <c r="BB19" s="2">
        <f t="shared" si="48"/>
        <v>38.269919127873877</v>
      </c>
      <c r="BC19" s="2" t="e">
        <f t="shared" si="48"/>
        <v>#N/A</v>
      </c>
      <c r="BD19" s="2" t="e">
        <f t="shared" si="48"/>
        <v>#N/A</v>
      </c>
      <c r="BE19" s="2" t="e">
        <f t="shared" si="48"/>
        <v>#N/A</v>
      </c>
      <c r="BF19" s="2" t="e">
        <f t="shared" si="48"/>
        <v>#N/A</v>
      </c>
      <c r="BG19" s="2" t="e">
        <f t="shared" si="48"/>
        <v>#N/A</v>
      </c>
      <c r="BH19" s="2">
        <f t="shared" si="48"/>
        <v>50.263315508288358</v>
      </c>
      <c r="BI19" s="2">
        <f t="shared" si="48"/>
        <v>50.528756092622388</v>
      </c>
      <c r="BJ19" s="2">
        <f t="shared" ref="BJ19:BR19" si="55">+$D19/1000*(1+BJ$6)*BJ$3</f>
        <v>50.005043457792368</v>
      </c>
      <c r="BK19" s="2">
        <f t="shared" si="55"/>
        <v>56.219797236568262</v>
      </c>
      <c r="BL19" s="2">
        <f t="shared" si="55"/>
        <v>56.70788668930885</v>
      </c>
      <c r="BM19" s="2">
        <f t="shared" si="55"/>
        <v>52.91618240564388</v>
      </c>
      <c r="BN19" s="2">
        <f t="shared" si="55"/>
        <v>57.18754706956468</v>
      </c>
      <c r="BO19" s="2">
        <f t="shared" si="55"/>
        <v>62.404773671231098</v>
      </c>
      <c r="BP19" s="2">
        <f t="shared" si="55"/>
        <v>66.475236059405262</v>
      </c>
      <c r="BQ19" s="2">
        <f t="shared" si="55"/>
        <v>70.630690141149088</v>
      </c>
      <c r="BR19" s="2">
        <f t="shared" si="55"/>
        <v>72.262309324974225</v>
      </c>
      <c r="BS19" s="2">
        <f t="shared" ref="BS19:CI19" si="56">+$D19/1000*(1+BS$6)*BS$3</f>
        <v>72.323565879072575</v>
      </c>
      <c r="BT19" s="2">
        <f t="shared" si="56"/>
        <v>64.717858047264642</v>
      </c>
      <c r="BU19" s="2">
        <f t="shared" si="56"/>
        <v>58.844180239145899</v>
      </c>
      <c r="BV19" s="2">
        <f t="shared" si="56"/>
        <v>56.943394475265336</v>
      </c>
      <c r="BW19" s="2">
        <f t="shared" si="56"/>
        <v>54.37603546598352</v>
      </c>
      <c r="BX19" s="2">
        <f t="shared" si="56"/>
        <v>51.233114990827595</v>
      </c>
      <c r="BY19" s="2">
        <f t="shared" si="56"/>
        <v>50.744613292211127</v>
      </c>
      <c r="BZ19" s="2">
        <f t="shared" si="56"/>
        <v>49.898694802748103</v>
      </c>
      <c r="CA19" s="2">
        <f t="shared" si="56"/>
        <v>50.870741398426354</v>
      </c>
      <c r="CB19" s="2">
        <f t="shared" si="56"/>
        <v>51.07457859690394</v>
      </c>
      <c r="CC19" s="2">
        <f t="shared" si="56"/>
        <v>53.058648535316564</v>
      </c>
      <c r="CD19" s="2">
        <f t="shared" si="56"/>
        <v>49.876639424677194</v>
      </c>
      <c r="CE19" s="2">
        <f t="shared" si="56"/>
        <v>47.615481613245365</v>
      </c>
      <c r="CF19" s="2">
        <f t="shared" si="56"/>
        <v>47.504931786153826</v>
      </c>
      <c r="CG19" s="2">
        <f t="shared" si="56"/>
        <v>49.309049873974352</v>
      </c>
      <c r="CH19" s="2">
        <f t="shared" si="56"/>
        <v>49.711832952869365</v>
      </c>
      <c r="CI19" s="2">
        <f t="shared" si="56"/>
        <v>48.751848709071176</v>
      </c>
      <c r="CJ19" s="2">
        <f>+$D19/1000*(1+CJ$6)*CJ$3</f>
        <v>55.81850399999999</v>
      </c>
      <c r="CK19" s="2">
        <f t="shared" ref="CK19:CU21" si="57">+$D19/1000*(1+CK$6)*CK$3</f>
        <v>56.918375999999995</v>
      </c>
      <c r="CL19" s="2">
        <f t="shared" si="57"/>
        <v>56.918375999999995</v>
      </c>
      <c r="CM19" s="2">
        <f t="shared" si="57"/>
        <v>56.918375999999995</v>
      </c>
      <c r="CN19" s="2">
        <f t="shared" si="57"/>
        <v>56.918375999999995</v>
      </c>
      <c r="CO19" s="2">
        <f t="shared" si="57"/>
        <v>56.918375999999995</v>
      </c>
      <c r="CP19" s="2">
        <f t="shared" si="57"/>
        <v>56.918375999999995</v>
      </c>
      <c r="CQ19" s="2">
        <f t="shared" si="57"/>
        <v>56.918375999999995</v>
      </c>
      <c r="CR19" s="107"/>
      <c r="CS19" s="245">
        <f t="shared" si="57"/>
        <v>60.401303999999989</v>
      </c>
      <c r="CT19" s="245">
        <f t="shared" si="57"/>
        <v>49.426178290207368</v>
      </c>
      <c r="CU19" s="245">
        <f t="shared" si="57"/>
        <v>52.885412076659556</v>
      </c>
      <c r="CV19" s="245">
        <f t="shared" ref="CV19:DG19" si="58">+$D19/1000*(1+CV$6)*CV$3*(1+CV$7)</f>
        <v>54.63662317208901</v>
      </c>
      <c r="CW19" s="245">
        <f t="shared" si="58"/>
        <v>53.211100414971881</v>
      </c>
      <c r="CX19" s="245">
        <f t="shared" si="58"/>
        <v>51.963383577731094</v>
      </c>
      <c r="CY19" s="245">
        <f t="shared" si="58"/>
        <v>50.716202973675642</v>
      </c>
      <c r="CZ19" s="245">
        <f t="shared" si="58"/>
        <v>50.029522330179049</v>
      </c>
      <c r="DA19" s="245">
        <f t="shared" si="58"/>
        <v>47.745678927626408</v>
      </c>
      <c r="DB19" s="245">
        <f t="shared" si="58"/>
        <v>45.763767449248796</v>
      </c>
      <c r="DC19" s="245">
        <f t="shared" si="58"/>
        <v>44.743299855182137</v>
      </c>
      <c r="DD19" s="245">
        <f t="shared" si="58"/>
        <v>43.350617619425243</v>
      </c>
      <c r="DE19" s="245">
        <f t="shared" si="58"/>
        <v>44.161056324155474</v>
      </c>
      <c r="DF19" s="245">
        <f t="shared" si="58"/>
        <v>45.332240485718238</v>
      </c>
      <c r="DG19" s="245">
        <f t="shared" si="58"/>
        <v>45.406088612069894</v>
      </c>
      <c r="DH19" s="245">
        <f>+$D19/1000*(1+DH$6)*DH$3*(1+DH$7)</f>
        <v>43.604164025320458</v>
      </c>
      <c r="DI19" s="245">
        <f>+$D19/1000*(1+DI$6)*DI$3*(1+DI$7)</f>
        <v>42.631500693422041</v>
      </c>
      <c r="DJ19" s="245">
        <f>+$D19/1000*(1+DJ$6)*DJ$3*(1+DJ$7)</f>
        <v>42.079817816358315</v>
      </c>
      <c r="DK19" s="245">
        <f>+$D19/1000*(1+DK$6)*DK$3*(1+DK$7)</f>
        <v>41.398622518753157</v>
      </c>
    </row>
    <row r="20" spans="1:115" x14ac:dyDescent="0.35">
      <c r="A20" s="4"/>
      <c r="C20" s="314"/>
      <c r="D20" s="1">
        <v>30.4</v>
      </c>
      <c r="E20" s="99" t="s">
        <v>66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>
        <f t="shared" ref="CK20:CU22" si="59">+$D20/1000*(1+CK$6)*(CK$3*0.7+CK$5*0.3)</f>
        <v>62.298583199999989</v>
      </c>
      <c r="CL20" s="2">
        <f t="shared" si="59"/>
        <v>62.298583199999989</v>
      </c>
      <c r="CM20" s="2">
        <f t="shared" si="59"/>
        <v>62.298583199999989</v>
      </c>
      <c r="CN20" s="2">
        <f t="shared" si="59"/>
        <v>62.298583199999989</v>
      </c>
      <c r="CO20" s="2">
        <f t="shared" si="59"/>
        <v>62.298583199999989</v>
      </c>
      <c r="CP20" s="2">
        <f t="shared" si="59"/>
        <v>62.298583199999989</v>
      </c>
      <c r="CQ20" s="2">
        <f t="shared" si="59"/>
        <v>62.298583199999989</v>
      </c>
      <c r="CR20" s="107"/>
      <c r="CS20" s="245">
        <f t="shared" si="59"/>
        <v>60.401303999999989</v>
      </c>
      <c r="CT20" s="245">
        <f t="shared" si="59"/>
        <v>49.426178290207368</v>
      </c>
      <c r="CU20" s="245">
        <f t="shared" si="59"/>
        <v>52.885412076659556</v>
      </c>
      <c r="CV20" s="245">
        <f t="shared" ref="CV20:DK20" si="60">+$D20/1000*(1+CV$6)*(CV$3*0.7+CV$5*0.3)*(1+CV$7)</f>
        <v>54.63662317208901</v>
      </c>
      <c r="CW20" s="245">
        <f t="shared" si="60"/>
        <v>53.211100414971874</v>
      </c>
      <c r="CX20" s="245">
        <f t="shared" si="60"/>
        <v>51.963383577731086</v>
      </c>
      <c r="CY20" s="245">
        <f t="shared" si="60"/>
        <v>50.716202973675635</v>
      </c>
      <c r="CZ20" s="245">
        <f t="shared" si="60"/>
        <v>50.029522330179049</v>
      </c>
      <c r="DA20" s="245">
        <f t="shared" si="60"/>
        <v>47.745678927626408</v>
      </c>
      <c r="DB20" s="245">
        <f t="shared" si="60"/>
        <v>45.763767449248796</v>
      </c>
      <c r="DC20" s="245">
        <f t="shared" si="60"/>
        <v>44.743299855182137</v>
      </c>
      <c r="DD20" s="245">
        <f t="shared" si="60"/>
        <v>43.350617619425243</v>
      </c>
      <c r="DE20" s="245">
        <f t="shared" si="60"/>
        <v>44.161056324155474</v>
      </c>
      <c r="DF20" s="245">
        <f t="shared" si="60"/>
        <v>45.332240485718231</v>
      </c>
      <c r="DG20" s="245">
        <f t="shared" si="60"/>
        <v>45.406088612069894</v>
      </c>
      <c r="DH20" s="245">
        <f t="shared" si="60"/>
        <v>43.604164025320458</v>
      </c>
      <c r="DI20" s="245">
        <f t="shared" si="60"/>
        <v>42.631500693422041</v>
      </c>
      <c r="DJ20" s="245">
        <f t="shared" si="60"/>
        <v>42.079817816358315</v>
      </c>
      <c r="DK20" s="245">
        <f t="shared" si="60"/>
        <v>41.398622518753157</v>
      </c>
    </row>
    <row r="21" spans="1:115" x14ac:dyDescent="0.35">
      <c r="A21" s="4"/>
      <c r="C21" s="314"/>
      <c r="D21" s="1">
        <v>34</v>
      </c>
      <c r="E21" s="9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107"/>
      <c r="CS21" s="245">
        <f t="shared" si="57"/>
        <v>67.554090000000002</v>
      </c>
      <c r="CT21" s="245">
        <f t="shared" si="57"/>
        <v>55.279278350889825</v>
      </c>
      <c r="CU21" s="245">
        <f t="shared" si="57"/>
        <v>59.148158243632402</v>
      </c>
      <c r="CV21" s="245">
        <f t="shared" ref="CV21:DK21" si="61">+$D21/1000*(1+CV$6)*CV$3*(1+CV$7)</f>
        <v>61.106749600362711</v>
      </c>
      <c r="CW21" s="245">
        <f t="shared" si="61"/>
        <v>59.512414937797502</v>
      </c>
      <c r="CX21" s="245">
        <f t="shared" si="61"/>
        <v>58.116942159304521</v>
      </c>
      <c r="CY21" s="245">
        <f t="shared" si="61"/>
        <v>56.722069115295135</v>
      </c>
      <c r="CZ21" s="245">
        <f t="shared" si="61"/>
        <v>55.954071027173946</v>
      </c>
      <c r="DA21" s="245">
        <f t="shared" si="61"/>
        <v>53.399772484845336</v>
      </c>
      <c r="DB21" s="245">
        <f t="shared" si="61"/>
        <v>51.183160962975627</v>
      </c>
      <c r="DC21" s="245">
        <f t="shared" si="61"/>
        <v>50.041848522243185</v>
      </c>
      <c r="DD21" s="245">
        <f t="shared" si="61"/>
        <v>48.484243390146659</v>
      </c>
      <c r="DE21" s="245">
        <f t="shared" si="61"/>
        <v>49.390655099384425</v>
      </c>
      <c r="DF21" s="245">
        <f t="shared" si="61"/>
        <v>50.700532122184875</v>
      </c>
      <c r="DG21" s="245">
        <f t="shared" si="61"/>
        <v>50.783125421393962</v>
      </c>
      <c r="DH21" s="245">
        <f t="shared" si="61"/>
        <v>48.767815028318935</v>
      </c>
      <c r="DI21" s="245">
        <f t="shared" si="61"/>
        <v>47.679967880800966</v>
      </c>
      <c r="DJ21" s="245">
        <f t="shared" si="61"/>
        <v>47.062954136716542</v>
      </c>
      <c r="DK21" s="245">
        <f t="shared" si="61"/>
        <v>46.301090974921301</v>
      </c>
    </row>
    <row r="22" spans="1:115" x14ac:dyDescent="0.35">
      <c r="A22" s="4"/>
      <c r="C22" s="314"/>
      <c r="D22" s="1">
        <v>34</v>
      </c>
      <c r="E22" s="99" t="s">
        <v>66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107"/>
      <c r="CS22" s="245">
        <f t="shared" si="59"/>
        <v>67.554090000000002</v>
      </c>
      <c r="CT22" s="245">
        <f t="shared" si="59"/>
        <v>55.279278350889825</v>
      </c>
      <c r="CU22" s="245">
        <f t="shared" si="59"/>
        <v>59.148158243632402</v>
      </c>
      <c r="CV22" s="245">
        <f t="shared" ref="CV22:DK22" si="62">+$D22/1000*(1+CV$6)*(CV$3*0.7+CV$5*0.3)*(1+CV$7)</f>
        <v>61.106749600362711</v>
      </c>
      <c r="CW22" s="245">
        <f t="shared" si="62"/>
        <v>59.512414937797494</v>
      </c>
      <c r="CX22" s="245">
        <f t="shared" si="62"/>
        <v>58.116942159304514</v>
      </c>
      <c r="CY22" s="245">
        <f t="shared" si="62"/>
        <v>56.722069115295128</v>
      </c>
      <c r="CZ22" s="245">
        <f t="shared" si="62"/>
        <v>55.954071027173946</v>
      </c>
      <c r="DA22" s="245">
        <f t="shared" si="62"/>
        <v>53.399772484845336</v>
      </c>
      <c r="DB22" s="245">
        <f t="shared" si="62"/>
        <v>51.183160962975627</v>
      </c>
      <c r="DC22" s="245">
        <f t="shared" si="62"/>
        <v>50.041848522243185</v>
      </c>
      <c r="DD22" s="245">
        <f t="shared" si="62"/>
        <v>48.484243390146659</v>
      </c>
      <c r="DE22" s="245">
        <f t="shared" si="62"/>
        <v>49.390655099384425</v>
      </c>
      <c r="DF22" s="245">
        <f t="shared" si="62"/>
        <v>50.700532122184867</v>
      </c>
      <c r="DG22" s="245">
        <f t="shared" si="62"/>
        <v>50.783125421393962</v>
      </c>
      <c r="DH22" s="245">
        <f t="shared" si="62"/>
        <v>48.767815028318935</v>
      </c>
      <c r="DI22" s="245">
        <f t="shared" si="62"/>
        <v>47.679967880800966</v>
      </c>
      <c r="DJ22" s="245">
        <f t="shared" si="62"/>
        <v>47.062954136716542</v>
      </c>
      <c r="DK22" s="245">
        <f t="shared" si="62"/>
        <v>46.301090974921301</v>
      </c>
    </row>
    <row r="23" spans="1:115" x14ac:dyDescent="0.35">
      <c r="A23" s="4"/>
      <c r="C23" s="314"/>
      <c r="D23" s="1">
        <v>44.8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>
        <f t="shared" ref="Q23:Z24" si="63">+$D23/1000*(1+Q$6)*Q$3</f>
        <v>65.062446343183268</v>
      </c>
      <c r="R23" s="2">
        <f t="shared" si="63"/>
        <v>66.969345592268326</v>
      </c>
      <c r="S23" s="2">
        <f t="shared" si="63"/>
        <v>68.148752530641175</v>
      </c>
      <c r="T23" s="2">
        <f t="shared" si="63"/>
        <v>69.193359586997587</v>
      </c>
      <c r="U23" s="2">
        <f t="shared" si="63"/>
        <v>71.386365983071073</v>
      </c>
      <c r="V23" s="2">
        <f t="shared" si="63"/>
        <v>73.710472616735217</v>
      </c>
      <c r="W23" s="2">
        <f t="shared" si="63"/>
        <v>76.491686711572243</v>
      </c>
      <c r="X23" s="2">
        <f t="shared" si="63"/>
        <v>79.63253055720935</v>
      </c>
      <c r="Y23" s="2">
        <f t="shared" si="63"/>
        <v>81.906973224878058</v>
      </c>
      <c r="Z23" s="2">
        <f t="shared" si="63"/>
        <v>82.117230934225574</v>
      </c>
      <c r="AA23" s="2">
        <f t="shared" ref="AA23:AM24" si="64">+$D23/1000*(1+AA$6)*AA$3</f>
        <v>82.11723093422556</v>
      </c>
      <c r="AB23" s="2">
        <f t="shared" si="64"/>
        <v>82.95277046275568</v>
      </c>
      <c r="AC23" s="2">
        <f t="shared" si="64"/>
        <v>82.38844470713164</v>
      </c>
      <c r="AD23" s="2">
        <f t="shared" si="64"/>
        <v>79.122124465063621</v>
      </c>
      <c r="AE23" s="2">
        <f t="shared" si="64"/>
        <v>76.803372692221188</v>
      </c>
      <c r="AF23" s="2">
        <f t="shared" si="64"/>
        <v>76.803372692221188</v>
      </c>
      <c r="AG23" s="2">
        <f t="shared" si="64"/>
        <v>76.803372692221188</v>
      </c>
      <c r="AH23" s="2">
        <f t="shared" si="64"/>
        <v>76.803372692221188</v>
      </c>
      <c r="AI23" s="2">
        <f t="shared" si="64"/>
        <v>60.607730199774899</v>
      </c>
      <c r="AJ23" s="2">
        <f t="shared" si="64"/>
        <v>63.036299389684785</v>
      </c>
      <c r="AK23" s="2">
        <f t="shared" si="64"/>
        <v>58.425880148946334</v>
      </c>
      <c r="AL23" s="2">
        <f t="shared" si="64"/>
        <v>57.26043840262642</v>
      </c>
      <c r="AM23" s="2">
        <f t="shared" si="64"/>
        <v>55.793948863714924</v>
      </c>
      <c r="AN23" s="2">
        <f t="shared" ref="AN23:BR23" si="65">+$D23/1000*(1+AN$6)*AN$4</f>
        <v>52.368727027481796</v>
      </c>
      <c r="AO23" s="2">
        <f t="shared" si="65"/>
        <v>52.638262271850429</v>
      </c>
      <c r="AP23" s="2">
        <f t="shared" si="65"/>
        <v>53.514964596327339</v>
      </c>
      <c r="AQ23" s="2">
        <f t="shared" si="65"/>
        <v>51.281038454239074</v>
      </c>
      <c r="AR23" s="2">
        <f t="shared" si="65"/>
        <v>47.163440705958692</v>
      </c>
      <c r="AS23" s="2">
        <f t="shared" si="65"/>
        <v>42.378179686692427</v>
      </c>
      <c r="AT23" s="2">
        <f t="shared" si="65"/>
        <v>43.178579333624654</v>
      </c>
      <c r="AU23" s="2">
        <f t="shared" si="65"/>
        <v>44.921288553450729</v>
      </c>
      <c r="AV23" s="2">
        <f t="shared" si="65"/>
        <v>43.927171964265199</v>
      </c>
      <c r="AW23" s="2">
        <f t="shared" si="65"/>
        <v>43.340264215022458</v>
      </c>
      <c r="AX23" s="2">
        <f t="shared" si="65"/>
        <v>43.433671135673805</v>
      </c>
      <c r="AY23" s="2">
        <f t="shared" si="65"/>
        <v>43.285113133229579</v>
      </c>
      <c r="AZ23" s="2">
        <f t="shared" si="65"/>
        <v>43.618576634087667</v>
      </c>
      <c r="BA23" s="2">
        <f t="shared" si="65"/>
        <v>46.934616344263887</v>
      </c>
      <c r="BB23" s="2">
        <f t="shared" si="65"/>
        <v>54.285347014609556</v>
      </c>
      <c r="BC23" s="2" t="e">
        <f t="shared" si="65"/>
        <v>#N/A</v>
      </c>
      <c r="BD23" s="2" t="e">
        <f t="shared" si="65"/>
        <v>#N/A</v>
      </c>
      <c r="BE23" s="2" t="e">
        <f t="shared" si="65"/>
        <v>#N/A</v>
      </c>
      <c r="BF23" s="2" t="e">
        <f t="shared" si="65"/>
        <v>#N/A</v>
      </c>
      <c r="BG23" s="2" t="e">
        <f t="shared" si="65"/>
        <v>#N/A</v>
      </c>
      <c r="BH23" s="2">
        <f t="shared" si="65"/>
        <v>69.306595683645369</v>
      </c>
      <c r="BI23" s="2">
        <f t="shared" si="65"/>
        <v>69.650759187753195</v>
      </c>
      <c r="BJ23" s="2">
        <f t="shared" si="65"/>
        <v>68.97159657789895</v>
      </c>
      <c r="BK23" s="2">
        <f t="shared" si="65"/>
        <v>76.96849250554547</v>
      </c>
      <c r="BL23" s="2">
        <f t="shared" si="65"/>
        <v>77.594510972105937</v>
      </c>
      <c r="BM23" s="2">
        <f t="shared" si="65"/>
        <v>72.732990676784198</v>
      </c>
      <c r="BN23" s="2">
        <f t="shared" si="65"/>
        <v>80.056953824956921</v>
      </c>
      <c r="BO23" s="2">
        <f t="shared" si="65"/>
        <v>85.142773903524812</v>
      </c>
      <c r="BP23" s="2">
        <f t="shared" si="65"/>
        <v>90.548748332733354</v>
      </c>
      <c r="BQ23" s="2">
        <f t="shared" si="65"/>
        <v>96.760786535312207</v>
      </c>
      <c r="BR23" s="2">
        <f t="shared" si="65"/>
        <v>99.03414255583165</v>
      </c>
      <c r="BS23" s="2">
        <f t="shared" ref="BS23:CU23" si="66">+$D23/1000*(1+BS$6)*BS$4</f>
        <v>98.983913149245353</v>
      </c>
      <c r="BT23" s="2">
        <f t="shared" si="66"/>
        <v>89.263457844310082</v>
      </c>
      <c r="BU23" s="2">
        <f t="shared" si="66"/>
        <v>80.808638021277346</v>
      </c>
      <c r="BV23" s="2">
        <f t="shared" si="66"/>
        <v>78.371679412623777</v>
      </c>
      <c r="BW23" s="2">
        <f t="shared" si="66"/>
        <v>75.08485154376072</v>
      </c>
      <c r="BX23" s="2">
        <f t="shared" si="66"/>
        <v>71.011124720103183</v>
      </c>
      <c r="BY23" s="2">
        <f t="shared" si="66"/>
        <v>70.368127572748264</v>
      </c>
      <c r="BZ23" s="2">
        <f t="shared" si="66"/>
        <v>69.326064748590383</v>
      </c>
      <c r="CA23" s="2">
        <f t="shared" si="66"/>
        <v>70.588429399329655</v>
      </c>
      <c r="CB23" s="2">
        <f t="shared" si="66"/>
        <v>70.852810593526357</v>
      </c>
      <c r="CC23" s="2">
        <f t="shared" si="66"/>
        <v>73.416033571527436</v>
      </c>
      <c r="CD23" s="2">
        <f t="shared" si="66"/>
        <v>69.304459778375985</v>
      </c>
      <c r="CE23" s="2">
        <f t="shared" si="66"/>
        <v>66.373344137819174</v>
      </c>
      <c r="CF23" s="2">
        <f t="shared" si="66"/>
        <v>65.949804479999997</v>
      </c>
      <c r="CG23" s="2">
        <f t="shared" si="66"/>
        <v>68.353185599999989</v>
      </c>
      <c r="CH23" s="2">
        <f t="shared" si="66"/>
        <v>68.877264959999991</v>
      </c>
      <c r="CI23" s="2">
        <f t="shared" si="66"/>
        <v>67.628749439999993</v>
      </c>
      <c r="CJ23" s="2">
        <f t="shared" si="66"/>
        <v>81.043199999999985</v>
      </c>
      <c r="CK23" s="2">
        <f t="shared" si="66"/>
        <v>82.664063999999996</v>
      </c>
      <c r="CL23" s="2">
        <f t="shared" si="66"/>
        <v>82.664063999999996</v>
      </c>
      <c r="CM23" s="2">
        <f t="shared" si="66"/>
        <v>76.675871999999984</v>
      </c>
      <c r="CN23" s="2">
        <f t="shared" si="66"/>
        <v>68.886768876574138</v>
      </c>
      <c r="CO23" s="2">
        <f t="shared" si="66"/>
        <v>68.886870529972725</v>
      </c>
      <c r="CP23" s="2">
        <f t="shared" si="66"/>
        <v>68.88664578916115</v>
      </c>
      <c r="CQ23" s="2">
        <f t="shared" si="66"/>
        <v>68.886719999999997</v>
      </c>
      <c r="CR23" s="107"/>
      <c r="CS23" s="245">
        <f t="shared" si="66"/>
        <v>82.619039999999984</v>
      </c>
      <c r="CT23" s="245">
        <f t="shared" si="66"/>
        <v>68.177911723262611</v>
      </c>
      <c r="CU23" s="245">
        <f t="shared" si="66"/>
        <v>71.213516464861428</v>
      </c>
      <c r="CV23" s="245">
        <f t="shared" ref="CV23:DA23" si="67">+$D23/1000*(1+CV$6)*CV$4*(1+CV7)</f>
        <v>74.952226079266651</v>
      </c>
      <c r="CW23" s="245">
        <f t="shared" si="67"/>
        <v>74.642763253021485</v>
      </c>
      <c r="CX23" s="245">
        <f t="shared" si="67"/>
        <v>74.146776406228042</v>
      </c>
      <c r="CY23" s="245">
        <f t="shared" si="67"/>
        <v>74.146776406228042</v>
      </c>
      <c r="CZ23" s="245">
        <f t="shared" si="67"/>
        <v>71.396964839338295</v>
      </c>
      <c r="DA23" s="245">
        <f t="shared" si="67"/>
        <v>67.30450074000899</v>
      </c>
      <c r="DB23" s="245">
        <f t="shared" ref="DB23:DC23" si="68">+$D23/1000*(1+DB$6)*DB$4*(1+DB7)</f>
        <v>66.630793441755742</v>
      </c>
      <c r="DC23" s="245">
        <f t="shared" si="68"/>
        <v>63.870154636470936</v>
      </c>
      <c r="DD23" s="245">
        <f t="shared" ref="DD23:DE23" si="69">+$D23/1000*(1+DD$6)*DD$4*(1+DD7)</f>
        <v>62.956232021800211</v>
      </c>
      <c r="DE23" s="245">
        <f t="shared" si="69"/>
        <v>63.232791034992545</v>
      </c>
      <c r="DF23" s="245">
        <f t="shared" ref="DF23:DG23" si="70">+$D23/1000*(1+DF$6)*DF$4*(1+DF7)</f>
        <v>66.905275680056647</v>
      </c>
      <c r="DG23" s="245">
        <f t="shared" si="70"/>
        <v>67.055695602855565</v>
      </c>
      <c r="DH23" s="245">
        <f t="shared" ref="DH23:DI23" si="71">+$D23/1000*(1+DH$6)*DH$4*(1+DH7)</f>
        <v>64.391461940748769</v>
      </c>
      <c r="DI23" s="245">
        <f t="shared" si="71"/>
        <v>62.7508382795804</v>
      </c>
      <c r="DJ23" s="245">
        <f t="shared" ref="DJ23:DK23" si="72">+$D23/1000*(1+DJ$6)*DJ$4*(1+DJ7)</f>
        <v>61.311366019204577</v>
      </c>
      <c r="DK23" s="245">
        <f t="shared" si="72"/>
        <v>61.311366019204577</v>
      </c>
    </row>
    <row r="24" spans="1:115" x14ac:dyDescent="0.35">
      <c r="A24" s="4"/>
      <c r="C24" s="314"/>
      <c r="D24" s="1">
        <v>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>
        <f t="shared" si="63"/>
        <v>75.518910934052016</v>
      </c>
      <c r="R24" s="2">
        <f t="shared" si="63"/>
        <v>77.732276133882877</v>
      </c>
      <c r="S24" s="2">
        <f t="shared" si="63"/>
        <v>79.101230615922788</v>
      </c>
      <c r="T24" s="2">
        <f t="shared" si="63"/>
        <v>80.313720949193637</v>
      </c>
      <c r="U24" s="2">
        <f t="shared" si="63"/>
        <v>82.85917480177892</v>
      </c>
      <c r="V24" s="2">
        <f t="shared" si="63"/>
        <v>85.556798572996229</v>
      </c>
      <c r="W24" s="2">
        <f t="shared" si="63"/>
        <v>88.78499350450349</v>
      </c>
      <c r="X24" s="2">
        <f t="shared" si="63"/>
        <v>92.430615825332282</v>
      </c>
      <c r="Y24" s="2">
        <f t="shared" si="63"/>
        <v>95.070593921733462</v>
      </c>
      <c r="Z24" s="2">
        <f t="shared" si="63"/>
        <v>95.314643048654688</v>
      </c>
      <c r="AA24" s="2">
        <f t="shared" si="64"/>
        <v>95.314643048654673</v>
      </c>
      <c r="AB24" s="2">
        <f t="shared" si="64"/>
        <v>96.284465715698545</v>
      </c>
      <c r="AC24" s="2">
        <f t="shared" si="64"/>
        <v>95.629444749349233</v>
      </c>
      <c r="AD24" s="2">
        <f t="shared" si="64"/>
        <v>91.838180182663137</v>
      </c>
      <c r="AE24" s="2">
        <f t="shared" si="64"/>
        <v>89.146771874899585</v>
      </c>
      <c r="AF24" s="2">
        <f t="shared" si="64"/>
        <v>89.146771874899585</v>
      </c>
      <c r="AG24" s="2">
        <f t="shared" si="64"/>
        <v>89.146771874899585</v>
      </c>
      <c r="AH24" s="2">
        <f t="shared" si="64"/>
        <v>89.146771874899585</v>
      </c>
      <c r="AI24" s="2">
        <f t="shared" si="64"/>
        <v>70.348258267595867</v>
      </c>
      <c r="AJ24" s="2">
        <f t="shared" si="64"/>
        <v>73.167133220169845</v>
      </c>
      <c r="AK24" s="2">
        <f t="shared" si="64"/>
        <v>67.815753744312715</v>
      </c>
      <c r="AL24" s="2">
        <f t="shared" si="64"/>
        <v>66.46300886019138</v>
      </c>
      <c r="AM24" s="2">
        <f t="shared" si="64"/>
        <v>64.760833502526253</v>
      </c>
      <c r="AN24" s="2">
        <f t="shared" ref="AN24:BE24" si="73">+$D24/1000*(1+AN$6)*AN$3</f>
        <v>63.13682958546994</v>
      </c>
      <c r="AO24" s="2">
        <f t="shared" si="73"/>
        <v>63.449682994112109</v>
      </c>
      <c r="AP24" s="2">
        <f t="shared" si="73"/>
        <v>64.467283906451371</v>
      </c>
      <c r="AQ24" s="2">
        <f t="shared" si="73"/>
        <v>61.874333920098927</v>
      </c>
      <c r="AR24" s="2">
        <f t="shared" si="73"/>
        <v>57.094979390844905</v>
      </c>
      <c r="AS24" s="2">
        <f t="shared" si="73"/>
        <v>51.540658564910856</v>
      </c>
      <c r="AT24" s="2">
        <f t="shared" si="73"/>
        <v>52.469693869385765</v>
      </c>
      <c r="AU24" s="2">
        <f t="shared" si="73"/>
        <v>53.032721670291764</v>
      </c>
      <c r="AV24" s="2">
        <f t="shared" si="73"/>
        <v>51.722888527589156</v>
      </c>
      <c r="AW24" s="2">
        <f t="shared" si="73"/>
        <v>50.948590699136489</v>
      </c>
      <c r="AX24" s="2">
        <f t="shared" si="73"/>
        <v>51.072072382563888</v>
      </c>
      <c r="AY24" s="2">
        <f t="shared" si="73"/>
        <v>50.883250883655577</v>
      </c>
      <c r="AZ24" s="2">
        <f t="shared" si="73"/>
        <v>51.323618310413167</v>
      </c>
      <c r="BA24" s="2">
        <f t="shared" si="73"/>
        <v>55.697717198745501</v>
      </c>
      <c r="BB24" s="2">
        <f t="shared" si="73"/>
        <v>65.461703771363204</v>
      </c>
      <c r="BC24" s="2" t="e">
        <f t="shared" si="73"/>
        <v>#N/A</v>
      </c>
      <c r="BD24" s="2" t="e">
        <f t="shared" si="73"/>
        <v>#N/A</v>
      </c>
      <c r="BE24" s="2" t="e">
        <f t="shared" si="73"/>
        <v>#N/A</v>
      </c>
      <c r="BF24" s="2" t="e">
        <f t="shared" ref="BF24:BR24" si="74">+$D24/1000*(1+BF$6)*BF$3</f>
        <v>#N/A</v>
      </c>
      <c r="BG24" s="2" t="e">
        <f t="shared" si="74"/>
        <v>#N/A</v>
      </c>
      <c r="BH24" s="2">
        <f t="shared" si="74"/>
        <v>85.976723895756408</v>
      </c>
      <c r="BI24" s="2">
        <f t="shared" si="74"/>
        <v>86.430767000538296</v>
      </c>
      <c r="BJ24" s="2">
        <f t="shared" si="74"/>
        <v>85.534942756750098</v>
      </c>
      <c r="BK24" s="2">
        <f t="shared" si="74"/>
        <v>96.165442641498345</v>
      </c>
      <c r="BL24" s="2">
        <f t="shared" si="74"/>
        <v>97.000332494870406</v>
      </c>
      <c r="BM24" s="2">
        <f t="shared" si="74"/>
        <v>90.514522535969803</v>
      </c>
      <c r="BN24" s="2">
        <f t="shared" si="74"/>
        <v>97.82080419793958</v>
      </c>
      <c r="BO24" s="2">
        <f t="shared" si="74"/>
        <v>106.74500759552687</v>
      </c>
      <c r="BP24" s="2">
        <f t="shared" si="74"/>
        <v>113.70764062793006</v>
      </c>
      <c r="BQ24" s="2">
        <f t="shared" si="74"/>
        <v>120.81565418880764</v>
      </c>
      <c r="BR24" s="2">
        <f t="shared" si="74"/>
        <v>123.60658174008748</v>
      </c>
      <c r="BS24" s="2">
        <f t="shared" ref="BS24:CU24" si="75">+$D24/1000*(1+BS$6)*BS$3</f>
        <v>123.7113626878873</v>
      </c>
      <c r="BT24" s="2">
        <f t="shared" si="75"/>
        <v>110.70159929137373</v>
      </c>
      <c r="BU24" s="2">
        <f t="shared" si="75"/>
        <v>100.65451883011798</v>
      </c>
      <c r="BV24" s="2">
        <f t="shared" si="75"/>
        <v>97.403174760322287</v>
      </c>
      <c r="BW24" s="2">
        <f t="shared" si="75"/>
        <v>93.011639612866546</v>
      </c>
      <c r="BX24" s="2">
        <f t="shared" si="75"/>
        <v>87.635591431678776</v>
      </c>
      <c r="BY24" s="2">
        <f t="shared" si="75"/>
        <v>86.799996420887453</v>
      </c>
      <c r="BZ24" s="2">
        <f t="shared" si="75"/>
        <v>85.353030583648078</v>
      </c>
      <c r="CA24" s="2">
        <f t="shared" si="75"/>
        <v>87.015741865729296</v>
      </c>
      <c r="CB24" s="2">
        <f t="shared" si="75"/>
        <v>87.364410757862004</v>
      </c>
      <c r="CC24" s="2">
        <f t="shared" si="75"/>
        <v>90.758214599883601</v>
      </c>
      <c r="CD24" s="2">
        <f t="shared" si="75"/>
        <v>85.315304279053095</v>
      </c>
      <c r="CE24" s="2">
        <f t="shared" si="75"/>
        <v>81.447534338446019</v>
      </c>
      <c r="CF24" s="2">
        <f t="shared" si="75"/>
        <v>81.258435949999978</v>
      </c>
      <c r="CG24" s="2">
        <f t="shared" si="75"/>
        <v>84.34442741600877</v>
      </c>
      <c r="CH24" s="2">
        <f t="shared" si="75"/>
        <v>85.033398472013388</v>
      </c>
      <c r="CI24" s="2">
        <f t="shared" si="75"/>
        <v>83.391320160253329</v>
      </c>
      <c r="CJ24" s="2">
        <f t="shared" si="75"/>
        <v>95.479019999999991</v>
      </c>
      <c r="CK24" s="2">
        <f t="shared" si="75"/>
        <v>97.360379999999992</v>
      </c>
      <c r="CL24" s="2">
        <f t="shared" si="75"/>
        <v>97.360379999999992</v>
      </c>
      <c r="CM24" s="2">
        <f t="shared" si="75"/>
        <v>97.360379999999992</v>
      </c>
      <c r="CN24" s="2">
        <f t="shared" si="75"/>
        <v>97.360379999999992</v>
      </c>
      <c r="CO24" s="2">
        <f t="shared" si="75"/>
        <v>97.360379999999992</v>
      </c>
      <c r="CP24" s="2">
        <f t="shared" si="75"/>
        <v>97.360379999999992</v>
      </c>
      <c r="CQ24" s="2">
        <f t="shared" si="75"/>
        <v>97.360379999999992</v>
      </c>
      <c r="CR24" s="107"/>
      <c r="CS24" s="245">
        <f t="shared" si="75"/>
        <v>103.31801999999999</v>
      </c>
      <c r="CT24" s="245">
        <f t="shared" si="75"/>
        <v>84.544778654302078</v>
      </c>
      <c r="CU24" s="245">
        <f t="shared" si="75"/>
        <v>90.461889078496611</v>
      </c>
      <c r="CV24" s="245">
        <f t="shared" ref="CV24:DK24" si="76">+$D24/1000*(1+CV$6)*CV$3*(1+CV$7)</f>
        <v>93.457381741731197</v>
      </c>
      <c r="CW24" s="245">
        <f t="shared" si="76"/>
        <v>91.018987551925591</v>
      </c>
      <c r="CX24" s="245">
        <f t="shared" si="76"/>
        <v>88.884735067171604</v>
      </c>
      <c r="CY24" s="245">
        <f t="shared" si="76"/>
        <v>86.751399823392546</v>
      </c>
      <c r="CZ24" s="245">
        <f t="shared" si="76"/>
        <v>85.576814512148374</v>
      </c>
      <c r="DA24" s="245">
        <f t="shared" si="76"/>
        <v>81.670240270939914</v>
      </c>
      <c r="DB24" s="245">
        <f t="shared" si="76"/>
        <v>78.280128531609776</v>
      </c>
      <c r="DC24" s="245">
        <f t="shared" si="76"/>
        <v>76.534591857548392</v>
      </c>
      <c r="DD24" s="245">
        <f t="shared" si="76"/>
        <v>74.152372243753703</v>
      </c>
      <c r="DE24" s="245">
        <f t="shared" si="76"/>
        <v>75.538648975529114</v>
      </c>
      <c r="DF24" s="245">
        <f t="shared" si="76"/>
        <v>77.541990304518023</v>
      </c>
      <c r="DG24" s="245">
        <f t="shared" si="76"/>
        <v>77.668309468014286</v>
      </c>
      <c r="DH24" s="245">
        <f t="shared" si="76"/>
        <v>74.58607004331131</v>
      </c>
      <c r="DI24" s="245">
        <f t="shared" si="76"/>
        <v>72.922303817695592</v>
      </c>
      <c r="DJ24" s="245">
        <f t="shared" si="76"/>
        <v>71.978635738507649</v>
      </c>
      <c r="DK24" s="245">
        <f t="shared" si="76"/>
        <v>70.813433255761993</v>
      </c>
    </row>
    <row r="25" spans="1:115" ht="6.65" customHeight="1" x14ac:dyDescent="0.35"/>
    <row r="26" spans="1:115" x14ac:dyDescent="0.35">
      <c r="A26" s="4"/>
      <c r="C26" s="314" t="s">
        <v>52</v>
      </c>
      <c r="D26" s="1">
        <v>24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>
        <f>11.55+1</f>
        <v>12.55</v>
      </c>
      <c r="R26" s="32">
        <f>+Q26*Q$13*Q$14/R$14</f>
        <v>11.930098585381256</v>
      </c>
      <c r="S26" s="32">
        <f>+R26*1*R$14/S$14</f>
        <v>11.597604550314838</v>
      </c>
      <c r="T26" s="32">
        <f t="shared" ref="T26:CC31" si="77">+S26*S$13*S$14/T$14</f>
        <v>12.885757635550521</v>
      </c>
      <c r="U26" s="32">
        <f t="shared" si="77"/>
        <v>11.620049799385571</v>
      </c>
      <c r="V26" s="32">
        <f t="shared" si="77"/>
        <v>10.172428201155295</v>
      </c>
      <c r="W26" s="32">
        <f t="shared" si="77"/>
        <v>9.4147412852013694</v>
      </c>
      <c r="X26" s="32">
        <f t="shared" si="77"/>
        <v>9.2393588842719652</v>
      </c>
      <c r="Y26" s="32">
        <f t="shared" si="77"/>
        <v>8.9069815617643346</v>
      </c>
      <c r="Z26" s="32">
        <f t="shared" si="77"/>
        <v>8.5053615791505681</v>
      </c>
      <c r="AA26" s="32">
        <f t="shared" si="77"/>
        <v>8.8928428691302646</v>
      </c>
      <c r="AB26" s="32">
        <f t="shared" si="77"/>
        <v>8.520057600012283</v>
      </c>
      <c r="AC26" s="32">
        <f t="shared" si="77"/>
        <v>8.550971662248589</v>
      </c>
      <c r="AD26" s="32">
        <f t="shared" si="77"/>
        <v>8.4827286228785237</v>
      </c>
      <c r="AE26" s="32">
        <f t="shared" si="77"/>
        <v>10.036154532693963</v>
      </c>
      <c r="AF26" s="32">
        <f t="shared" si="77"/>
        <v>9.4561245331514527</v>
      </c>
      <c r="AG26" s="32">
        <f t="shared" si="77"/>
        <v>9.0577281486799848</v>
      </c>
      <c r="AH26" s="32">
        <f t="shared" si="77"/>
        <v>9.083862434214609</v>
      </c>
      <c r="AI26" s="32">
        <f t="shared" si="77"/>
        <v>9.5423301709252559</v>
      </c>
      <c r="AJ26" s="32">
        <f t="shared" si="77"/>
        <v>6.9817719469768207</v>
      </c>
      <c r="AK26" s="32">
        <f t="shared" si="77"/>
        <v>8.803344718344535</v>
      </c>
      <c r="AL26" s="32">
        <f t="shared" si="77"/>
        <v>8.269113744111797</v>
      </c>
      <c r="AM26" s="32">
        <f t="shared" si="77"/>
        <v>8.2898383399617011</v>
      </c>
      <c r="AN26" s="32">
        <f t="shared" si="77"/>
        <v>8.2946890353039855</v>
      </c>
      <c r="AO26" s="32">
        <f t="shared" si="77"/>
        <v>8.2211569949744465</v>
      </c>
      <c r="AP26" s="32">
        <f t="shared" si="77"/>
        <v>7.9753548408086772</v>
      </c>
      <c r="AQ26" s="32">
        <f>+AP26*AP$13*AP$14/AQ$14</f>
        <v>9.1931964259110739</v>
      </c>
      <c r="AR26" s="32">
        <f t="shared" si="77"/>
        <v>8.8588358557227167</v>
      </c>
      <c r="AS26" s="32">
        <f t="shared" si="77"/>
        <v>8.6391098423768078</v>
      </c>
      <c r="AT26" s="32">
        <f t="shared" si="77"/>
        <v>8.4036983905266318</v>
      </c>
      <c r="AU26" s="32">
        <f t="shared" si="77"/>
        <v>8.1875634485136413</v>
      </c>
      <c r="AV26" s="32">
        <f t="shared" si="77"/>
        <v>7.9822673038083902</v>
      </c>
      <c r="AW26" s="32">
        <f t="shared" si="77"/>
        <v>8.8338418628550457</v>
      </c>
      <c r="AX26" s="32">
        <f t="shared" si="77"/>
        <v>8.5924677363674338</v>
      </c>
      <c r="AY26" s="32">
        <f t="shared" si="77"/>
        <v>8.2764982549784456</v>
      </c>
      <c r="AZ26" s="32">
        <f t="shared" si="77"/>
        <v>7.997172586004722</v>
      </c>
      <c r="BA26" s="32">
        <f t="shared" si="77"/>
        <v>7.7059667137558385</v>
      </c>
      <c r="BB26" s="32">
        <f t="shared" si="77"/>
        <v>7.4923410500144447</v>
      </c>
      <c r="BC26" s="32">
        <f t="shared" si="77"/>
        <v>9.1767508818209063</v>
      </c>
      <c r="BD26" s="32">
        <f t="shared" si="77"/>
        <v>9.0237396443728457</v>
      </c>
      <c r="BE26" s="32">
        <f t="shared" si="77"/>
        <v>8.9122884105090616</v>
      </c>
      <c r="BF26" s="32">
        <f t="shared" si="77"/>
        <v>8.8201115872077249</v>
      </c>
      <c r="BG26" s="32">
        <f t="shared" si="77"/>
        <v>8.7316276877394081</v>
      </c>
      <c r="BH26" s="32">
        <f>+BG26*BG$13*BG$14/BH$14</f>
        <v>8.6378256714500044</v>
      </c>
      <c r="BI26" s="32">
        <f t="shared" si="77"/>
        <v>8.5503451602949507</v>
      </c>
      <c r="BJ26" s="32">
        <f t="shared" si="77"/>
        <v>8.4663164974681457</v>
      </c>
      <c r="BK26" s="32">
        <f t="shared" si="77"/>
        <v>8.362332420042824</v>
      </c>
      <c r="BL26" s="32">
        <f t="shared" si="77"/>
        <v>11.013004118084107</v>
      </c>
      <c r="BM26" s="32">
        <f t="shared" si="77"/>
        <v>10.771812826219762</v>
      </c>
      <c r="BN26" s="32">
        <f t="shared" si="77"/>
        <v>10.528206449600738</v>
      </c>
      <c r="BO26" s="32">
        <f t="shared" si="77"/>
        <v>10.201603237529076</v>
      </c>
      <c r="BP26" s="32">
        <f t="shared" si="77"/>
        <v>9.7749570812200748</v>
      </c>
      <c r="BQ26" s="32">
        <f t="shared" ref="BQ26:CC28" si="78">+BP26*BP$13*BP$14/BQ$14</f>
        <v>9.4114457821098103</v>
      </c>
      <c r="BR26" s="32">
        <f>+BQ26*BQ$13*BQ$14/BR$14</f>
        <v>11.443112121808964</v>
      </c>
      <c r="BS26" s="32">
        <f>+BR26*BR$13*BR$14/BS$14</f>
        <v>10.840797581037114</v>
      </c>
      <c r="BT26" s="32">
        <f t="shared" si="78"/>
        <v>10.170304043081364</v>
      </c>
      <c r="BU26" s="32">
        <f t="shared" ref="BU26:BZ26" si="79">+BT26*BT$13*BT$14/BU$14</f>
        <v>9.5264345058128246</v>
      </c>
      <c r="BV26" s="32">
        <f t="shared" si="79"/>
        <v>9.1272788382561956</v>
      </c>
      <c r="BW26" s="32">
        <f>+BV26*BV$13*BV$14/BW$14</f>
        <v>8.5980978418838898</v>
      </c>
      <c r="BX26" s="32">
        <f>+BW26*BW$13*BW$14/BX$14</f>
        <v>11.449689079663502</v>
      </c>
      <c r="BY26" s="32">
        <f t="shared" si="79"/>
        <v>10.74648271298587</v>
      </c>
      <c r="BZ26" s="32">
        <f t="shared" si="79"/>
        <v>10.224284871796902</v>
      </c>
      <c r="CA26" s="32">
        <f t="shared" ref="CA26:CN26" si="80">+BZ26*BZ$13*BZ$14/CA$14</f>
        <v>9.543214480043364</v>
      </c>
      <c r="CB26" s="32">
        <f t="shared" si="80"/>
        <v>8.9507893537955567</v>
      </c>
      <c r="CC26" s="32">
        <f t="shared" si="80"/>
        <v>8.3900843391249076</v>
      </c>
      <c r="CD26" s="32">
        <f t="shared" si="80"/>
        <v>11.214295418313256</v>
      </c>
      <c r="CE26" s="32">
        <f t="shared" si="80"/>
        <v>10.473173233326051</v>
      </c>
      <c r="CF26" s="32">
        <f t="shared" si="80"/>
        <v>8.2609734029791166</v>
      </c>
      <c r="CG26" s="32">
        <f t="shared" si="80"/>
        <v>8.2633336810942541</v>
      </c>
      <c r="CH26" s="32">
        <f t="shared" si="80"/>
        <v>8.2633336810942541</v>
      </c>
      <c r="CI26" s="32">
        <f t="shared" si="80"/>
        <v>8.0093237008667657</v>
      </c>
      <c r="CJ26" s="32">
        <f t="shared" si="80"/>
        <v>6.0440859146010393</v>
      </c>
      <c r="CK26" s="32">
        <f t="shared" si="80"/>
        <v>8.2934219871339323</v>
      </c>
      <c r="CL26" s="32">
        <f t="shared" si="80"/>
        <v>9.3072198175196235</v>
      </c>
      <c r="CM26" s="32">
        <f t="shared" si="80"/>
        <v>10.51508433735299</v>
      </c>
      <c r="CN26" s="32">
        <f t="shared" si="80"/>
        <v>10.87901370884199</v>
      </c>
      <c r="CO26" s="32">
        <f>+CN26*CN$13*CN$14/CO$14</f>
        <v>11.218054424861208</v>
      </c>
      <c r="CP26" s="32">
        <f>+CO26*CO$13*CO$14/CP$14</f>
        <v>11.362622577852562</v>
      </c>
      <c r="CQ26" s="32">
        <f>+CP26*CP$13*CP$14/CQ$14</f>
        <v>11.376127204214281</v>
      </c>
      <c r="CR26" s="117"/>
      <c r="CS26" s="246">
        <f>+CQ26*CQ$13*CQ$14/CS$14</f>
        <v>11.419272374641384</v>
      </c>
      <c r="CT26" s="246">
        <f t="shared" ref="CT26:DK31" si="81">+CS26*CS$13*CS$14/CT$14</f>
        <v>11.390554455673582</v>
      </c>
      <c r="CU26" s="246">
        <f t="shared" si="81"/>
        <v>11.506734116438027</v>
      </c>
      <c r="CV26" s="246">
        <f t="shared" si="81"/>
        <v>11.631093173799098</v>
      </c>
      <c r="CW26" s="246">
        <f t="shared" si="81"/>
        <v>11.617311086571426</v>
      </c>
      <c r="CX26" s="246">
        <f t="shared" si="81"/>
        <v>11.553554930871384</v>
      </c>
      <c r="CY26" s="246">
        <f t="shared" si="81"/>
        <v>11.670964066295591</v>
      </c>
      <c r="CZ26" s="246">
        <f t="shared" si="81"/>
        <v>11.707875117148383</v>
      </c>
      <c r="DA26" s="246">
        <f>+CZ26*CZ$14/DA$14</f>
        <v>10.76724241542877</v>
      </c>
      <c r="DB26" s="246">
        <f>+DA26*DA$14/DB$14</f>
        <v>10.604102378831364</v>
      </c>
      <c r="DC26" s="246">
        <f>+DB26*DB$13*DB$14/DC$14</f>
        <v>10.559045943827531</v>
      </c>
      <c r="DD26" s="246">
        <f t="shared" si="81"/>
        <v>9.413093590458752</v>
      </c>
      <c r="DE26" s="246">
        <f t="shared" ref="DE26:DK26" si="82">+DD26*DD$13*DD$14/DE$14</f>
        <v>9.902581471390322</v>
      </c>
      <c r="DF26" s="246">
        <f t="shared" si="82"/>
        <v>9.7083589060685949</v>
      </c>
      <c r="DG26" s="246">
        <f t="shared" si="82"/>
        <v>9.7809311612794456</v>
      </c>
      <c r="DH26" s="246">
        <f t="shared" si="82"/>
        <v>9.9909478164972398</v>
      </c>
      <c r="DI26" s="246">
        <f t="shared" si="82"/>
        <v>10.044132667804364</v>
      </c>
      <c r="DJ26" s="246">
        <f t="shared" si="82"/>
        <v>10.220252353740904</v>
      </c>
      <c r="DK26" s="246">
        <f t="shared" si="82"/>
        <v>10.747456589696363</v>
      </c>
    </row>
    <row r="27" spans="1:115" x14ac:dyDescent="0.35">
      <c r="A27" s="4"/>
      <c r="C27" s="314"/>
      <c r="D27" s="1">
        <v>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117"/>
      <c r="CS27" s="246">
        <v>11.670964066295591</v>
      </c>
      <c r="CT27" s="246">
        <v>11.670964066295591</v>
      </c>
      <c r="CU27" s="246">
        <v>11.670964066295591</v>
      </c>
      <c r="CV27" s="246">
        <v>11.670964066295591</v>
      </c>
      <c r="CW27" s="246">
        <v>11.670964066295591</v>
      </c>
      <c r="CX27" s="246">
        <v>11.670964066295591</v>
      </c>
      <c r="CY27" s="246">
        <v>11.670964066295591</v>
      </c>
      <c r="CZ27" s="246">
        <f t="shared" si="81"/>
        <v>11.707875117148383</v>
      </c>
      <c r="DA27" s="246">
        <f t="shared" ref="DA27:DA31" si="83">+CZ27*CZ$14/DA$14</f>
        <v>10.76724241542877</v>
      </c>
      <c r="DB27" s="246">
        <f>+DA27*DA$14/DB$14</f>
        <v>10.604102378831364</v>
      </c>
      <c r="DC27" s="246">
        <f t="shared" si="81"/>
        <v>10.559045943827531</v>
      </c>
      <c r="DD27" s="246">
        <f t="shared" si="81"/>
        <v>9.413093590458752</v>
      </c>
      <c r="DE27" s="246">
        <f t="shared" si="81"/>
        <v>9.902581471390322</v>
      </c>
      <c r="DF27" s="246">
        <f t="shared" si="81"/>
        <v>9.7083589060685949</v>
      </c>
      <c r="DG27" s="246">
        <f t="shared" si="81"/>
        <v>9.7809311612794456</v>
      </c>
      <c r="DH27" s="246">
        <f t="shared" si="81"/>
        <v>9.9909478164972398</v>
      </c>
      <c r="DI27" s="246">
        <f t="shared" si="81"/>
        <v>10.044132667804364</v>
      </c>
      <c r="DJ27" s="246">
        <f t="shared" si="81"/>
        <v>10.220252353740904</v>
      </c>
      <c r="DK27" s="246">
        <f t="shared" si="81"/>
        <v>10.747456589696363</v>
      </c>
    </row>
    <row r="28" spans="1:115" x14ac:dyDescent="0.35">
      <c r="A28" s="4"/>
      <c r="C28" s="314"/>
      <c r="D28" s="1">
        <v>30.4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>
        <f>11.55+1</f>
        <v>12.55</v>
      </c>
      <c r="R28" s="32">
        <f>+Q28*Q$13*Q$14/R$14</f>
        <v>11.930098585381256</v>
      </c>
      <c r="S28" s="32">
        <f t="shared" ref="S28:S31" si="84">+R28*1*R$14/S$14</f>
        <v>11.597604550314838</v>
      </c>
      <c r="T28" s="32">
        <f t="shared" si="77"/>
        <v>12.885757635550521</v>
      </c>
      <c r="U28" s="32">
        <f t="shared" si="77"/>
        <v>11.620049799385571</v>
      </c>
      <c r="V28" s="32">
        <f t="shared" si="77"/>
        <v>10.172428201155295</v>
      </c>
      <c r="W28" s="32">
        <f t="shared" si="77"/>
        <v>9.4147412852013694</v>
      </c>
      <c r="X28" s="32">
        <f t="shared" si="77"/>
        <v>9.2393588842719652</v>
      </c>
      <c r="Y28" s="32">
        <f t="shared" si="77"/>
        <v>8.9069815617643346</v>
      </c>
      <c r="Z28" s="32">
        <f t="shared" si="77"/>
        <v>8.5053615791505681</v>
      </c>
      <c r="AA28" s="32">
        <f t="shared" si="77"/>
        <v>8.8928428691302646</v>
      </c>
      <c r="AB28" s="32">
        <f t="shared" si="77"/>
        <v>8.520057600012283</v>
      </c>
      <c r="AC28" s="32">
        <f t="shared" si="77"/>
        <v>8.550971662248589</v>
      </c>
      <c r="AD28" s="32">
        <f t="shared" si="77"/>
        <v>8.4827286228785237</v>
      </c>
      <c r="AE28" s="32">
        <f t="shared" si="77"/>
        <v>10.036154532693963</v>
      </c>
      <c r="AF28" s="32">
        <f t="shared" si="77"/>
        <v>9.4561245331514527</v>
      </c>
      <c r="AG28" s="32">
        <f t="shared" si="77"/>
        <v>9.0577281486799848</v>
      </c>
      <c r="AH28" s="32">
        <f t="shared" si="77"/>
        <v>9.083862434214609</v>
      </c>
      <c r="AI28" s="32">
        <f t="shared" si="77"/>
        <v>9.5423301709252559</v>
      </c>
      <c r="AJ28" s="32">
        <f t="shared" si="77"/>
        <v>6.9817719469768207</v>
      </c>
      <c r="AK28" s="32">
        <f t="shared" si="77"/>
        <v>8.803344718344535</v>
      </c>
      <c r="AL28" s="32">
        <f t="shared" si="77"/>
        <v>8.269113744111797</v>
      </c>
      <c r="AM28" s="32">
        <f t="shared" si="77"/>
        <v>8.2898383399617011</v>
      </c>
      <c r="AN28" s="32">
        <f t="shared" si="77"/>
        <v>8.2946890353039855</v>
      </c>
      <c r="AO28" s="32">
        <f t="shared" si="77"/>
        <v>8.2211569949744465</v>
      </c>
      <c r="AP28" s="32">
        <f t="shared" si="77"/>
        <v>7.9753548408086772</v>
      </c>
      <c r="AQ28" s="32">
        <f>+AP28*AP$13*AP$14/AQ$14</f>
        <v>9.1931964259110739</v>
      </c>
      <c r="AR28" s="32">
        <f t="shared" si="77"/>
        <v>8.8588358557227167</v>
      </c>
      <c r="AS28" s="32">
        <f t="shared" si="77"/>
        <v>8.6391098423768078</v>
      </c>
      <c r="AT28" s="32">
        <f t="shared" si="77"/>
        <v>8.4036983905266318</v>
      </c>
      <c r="AU28" s="32">
        <f t="shared" si="77"/>
        <v>8.1875634485136413</v>
      </c>
      <c r="AV28" s="32">
        <f t="shared" si="77"/>
        <v>7.9822673038083902</v>
      </c>
      <c r="AW28" s="32">
        <f t="shared" si="77"/>
        <v>8.8338418628550457</v>
      </c>
      <c r="AX28" s="32">
        <f t="shared" si="77"/>
        <v>8.5924677363674338</v>
      </c>
      <c r="AY28" s="32">
        <f t="shared" si="77"/>
        <v>8.2764982549784456</v>
      </c>
      <c r="AZ28" s="32">
        <f t="shared" si="77"/>
        <v>7.997172586004722</v>
      </c>
      <c r="BA28" s="32">
        <f t="shared" si="77"/>
        <v>7.7059667137558385</v>
      </c>
      <c r="BB28" s="32">
        <f t="shared" si="77"/>
        <v>7.4923410500144447</v>
      </c>
      <c r="BC28" s="32">
        <f t="shared" si="77"/>
        <v>9.1767508818209063</v>
      </c>
      <c r="BD28" s="32">
        <f t="shared" si="77"/>
        <v>9.0237396443728457</v>
      </c>
      <c r="BE28" s="32">
        <f t="shared" si="77"/>
        <v>8.9122884105090616</v>
      </c>
      <c r="BF28" s="32">
        <f t="shared" si="77"/>
        <v>8.8201115872077249</v>
      </c>
      <c r="BG28" s="32">
        <f t="shared" si="77"/>
        <v>8.7316276877394081</v>
      </c>
      <c r="BH28" s="32">
        <f>+BG28*BG$13*BG$14/BH$14</f>
        <v>8.6378256714500044</v>
      </c>
      <c r="BI28" s="32">
        <f t="shared" si="77"/>
        <v>8.5503451602949507</v>
      </c>
      <c r="BJ28" s="32">
        <f t="shared" si="77"/>
        <v>8.4663164974681457</v>
      </c>
      <c r="BK28" s="32">
        <f t="shared" si="77"/>
        <v>8.362332420042824</v>
      </c>
      <c r="BL28" s="32">
        <f t="shared" si="77"/>
        <v>11.013004118084107</v>
      </c>
      <c r="BM28" s="32">
        <f t="shared" si="77"/>
        <v>10.771812826219762</v>
      </c>
      <c r="BN28" s="32">
        <f t="shared" si="77"/>
        <v>10.528206449600738</v>
      </c>
      <c r="BO28" s="32">
        <f t="shared" si="77"/>
        <v>10.201603237529076</v>
      </c>
      <c r="BP28" s="32">
        <f t="shared" si="77"/>
        <v>9.7749570812200748</v>
      </c>
      <c r="BQ28" s="32">
        <f t="shared" si="78"/>
        <v>9.4114457821098103</v>
      </c>
      <c r="BR28" s="32">
        <f t="shared" si="78"/>
        <v>11.443112121808964</v>
      </c>
      <c r="BS28" s="32">
        <f t="shared" si="78"/>
        <v>10.840797581037114</v>
      </c>
      <c r="BT28" s="32">
        <f t="shared" si="78"/>
        <v>10.170304043081364</v>
      </c>
      <c r="BU28" s="32">
        <f t="shared" si="78"/>
        <v>9.5264345058128246</v>
      </c>
      <c r="BV28" s="32">
        <f t="shared" si="78"/>
        <v>9.1272788382561956</v>
      </c>
      <c r="BW28" s="32">
        <f t="shared" si="78"/>
        <v>8.5980978418838898</v>
      </c>
      <c r="BX28" s="32">
        <f t="shared" si="78"/>
        <v>11.449689079663502</v>
      </c>
      <c r="BY28" s="32">
        <f>+BX28*BX$13*BX$14/BY$14</f>
        <v>10.74648271298587</v>
      </c>
      <c r="BZ28" s="32">
        <f t="shared" si="78"/>
        <v>10.224284871796902</v>
      </c>
      <c r="CA28" s="32">
        <f t="shared" si="78"/>
        <v>9.543214480043364</v>
      </c>
      <c r="CB28" s="32">
        <f t="shared" si="78"/>
        <v>8.9507893537955567</v>
      </c>
      <c r="CC28" s="32">
        <f t="shared" si="78"/>
        <v>8.3900843391249076</v>
      </c>
      <c r="CD28" s="32">
        <f t="shared" ref="CD28:CQ31" si="85">+CC28*CC$13*CC$14/CD$14</f>
        <v>11.214295418313256</v>
      </c>
      <c r="CE28" s="32">
        <f t="shared" si="85"/>
        <v>10.473173233326051</v>
      </c>
      <c r="CF28" s="32">
        <f t="shared" si="85"/>
        <v>8.2609734029791166</v>
      </c>
      <c r="CG28" s="32">
        <f t="shared" si="85"/>
        <v>8.2633336810942541</v>
      </c>
      <c r="CH28" s="32">
        <f t="shared" si="85"/>
        <v>8.2633336810942541</v>
      </c>
      <c r="CI28" s="32">
        <f t="shared" si="85"/>
        <v>8.0093237008667657</v>
      </c>
      <c r="CJ28" s="32">
        <f t="shared" si="85"/>
        <v>6.0440859146010393</v>
      </c>
      <c r="CK28" s="32">
        <f t="shared" si="85"/>
        <v>8.2934219871339323</v>
      </c>
      <c r="CL28" s="32">
        <f t="shared" si="85"/>
        <v>9.3072198175196235</v>
      </c>
      <c r="CM28" s="32">
        <f t="shared" si="85"/>
        <v>10.51508433735299</v>
      </c>
      <c r="CN28" s="32">
        <f t="shared" si="85"/>
        <v>10.87901370884199</v>
      </c>
      <c r="CO28" s="32">
        <f t="shared" si="85"/>
        <v>11.218054424861208</v>
      </c>
      <c r="CP28" s="32">
        <f t="shared" si="85"/>
        <v>11.362622577852562</v>
      </c>
      <c r="CQ28" s="32">
        <f>+CP28*CP$13*CP$14/CQ$14</f>
        <v>11.376127204214281</v>
      </c>
      <c r="CR28" s="117"/>
      <c r="CS28" s="246">
        <f>+CQ28*CQ$13*CQ$14/CS$14</f>
        <v>11.419272374641384</v>
      </c>
      <c r="CT28" s="246">
        <f t="shared" ref="CT28:CY31" si="86">+CS28*CS$13*CS$14/CT$14</f>
        <v>11.390554455673582</v>
      </c>
      <c r="CU28" s="246">
        <f t="shared" si="86"/>
        <v>11.506734116438027</v>
      </c>
      <c r="CV28" s="246">
        <f t="shared" si="86"/>
        <v>11.631093173799098</v>
      </c>
      <c r="CW28" s="246">
        <f t="shared" si="86"/>
        <v>11.617311086571426</v>
      </c>
      <c r="CX28" s="246">
        <f t="shared" si="86"/>
        <v>11.553554930871384</v>
      </c>
      <c r="CY28" s="246">
        <f t="shared" si="86"/>
        <v>11.670964066295591</v>
      </c>
      <c r="CZ28" s="246">
        <f t="shared" si="81"/>
        <v>11.707875117148383</v>
      </c>
      <c r="DA28" s="246">
        <f t="shared" si="83"/>
        <v>10.76724241542877</v>
      </c>
      <c r="DB28" s="246">
        <f>+DA28*DA$14/DB$14</f>
        <v>10.604102378831364</v>
      </c>
      <c r="DC28" s="246">
        <f t="shared" si="81"/>
        <v>10.559045943827531</v>
      </c>
      <c r="DD28" s="246">
        <f t="shared" si="81"/>
        <v>9.413093590458752</v>
      </c>
      <c r="DE28" s="246">
        <f t="shared" ref="DE28:DK28" si="87">+DD28*DD$13*DD$14/DE$14</f>
        <v>9.902581471390322</v>
      </c>
      <c r="DF28" s="246">
        <f t="shared" si="87"/>
        <v>9.7083589060685949</v>
      </c>
      <c r="DG28" s="246">
        <f t="shared" si="87"/>
        <v>9.7809311612794456</v>
      </c>
      <c r="DH28" s="246">
        <f t="shared" si="87"/>
        <v>9.9909478164972398</v>
      </c>
      <c r="DI28" s="246">
        <f t="shared" si="87"/>
        <v>10.044132667804364</v>
      </c>
      <c r="DJ28" s="246">
        <f t="shared" si="87"/>
        <v>10.220252353740904</v>
      </c>
      <c r="DK28" s="246">
        <f t="shared" si="87"/>
        <v>10.747456589696363</v>
      </c>
    </row>
    <row r="29" spans="1:115" x14ac:dyDescent="0.35">
      <c r="A29" s="4"/>
      <c r="C29" s="314"/>
      <c r="D29" s="1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117"/>
      <c r="CS29" s="246">
        <f>+CS28</f>
        <v>11.419272374641384</v>
      </c>
      <c r="CT29" s="246">
        <f t="shared" si="86"/>
        <v>11.390554455673582</v>
      </c>
      <c r="CU29" s="246">
        <f t="shared" si="86"/>
        <v>11.506734116438027</v>
      </c>
      <c r="CV29" s="246">
        <f t="shared" si="86"/>
        <v>11.631093173799098</v>
      </c>
      <c r="CW29" s="246">
        <f t="shared" si="86"/>
        <v>11.617311086571426</v>
      </c>
      <c r="CX29" s="246">
        <f t="shared" si="86"/>
        <v>11.553554930871384</v>
      </c>
      <c r="CY29" s="246">
        <f t="shared" si="86"/>
        <v>11.670964066295591</v>
      </c>
      <c r="CZ29" s="246">
        <f t="shared" si="81"/>
        <v>11.707875117148383</v>
      </c>
      <c r="DA29" s="246">
        <f t="shared" si="83"/>
        <v>10.76724241542877</v>
      </c>
      <c r="DB29" s="246">
        <f>+DA29*DA$14/DB$14</f>
        <v>10.604102378831364</v>
      </c>
      <c r="DC29" s="246">
        <f t="shared" si="81"/>
        <v>10.559045943827531</v>
      </c>
      <c r="DD29" s="246">
        <f t="shared" si="81"/>
        <v>9.413093590458752</v>
      </c>
      <c r="DE29" s="246">
        <f t="shared" si="81"/>
        <v>9.902581471390322</v>
      </c>
      <c r="DF29" s="246">
        <f t="shared" si="81"/>
        <v>9.7083589060685949</v>
      </c>
      <c r="DG29" s="246">
        <f t="shared" si="81"/>
        <v>9.7809311612794456</v>
      </c>
      <c r="DH29" s="246">
        <f t="shared" si="81"/>
        <v>9.9909478164972398</v>
      </c>
      <c r="DI29" s="246">
        <f t="shared" si="81"/>
        <v>10.044132667804364</v>
      </c>
      <c r="DJ29" s="246">
        <f t="shared" si="81"/>
        <v>10.220252353740904</v>
      </c>
      <c r="DK29" s="246">
        <f t="shared" si="81"/>
        <v>10.747456589696363</v>
      </c>
    </row>
    <row r="30" spans="1:115" x14ac:dyDescent="0.35">
      <c r="A30" s="4"/>
      <c r="C30" s="314"/>
      <c r="D30" s="1">
        <v>44.8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>
        <f>16.8+1</f>
        <v>17.8</v>
      </c>
      <c r="R30" s="32">
        <f>+Q30*Q$13*Q$14/R$14</f>
        <v>16.920777276477001</v>
      </c>
      <c r="S30" s="32">
        <f t="shared" si="84"/>
        <v>16.449192111203519</v>
      </c>
      <c r="T30" s="32">
        <f t="shared" si="77"/>
        <v>18.276214016956121</v>
      </c>
      <c r="U30" s="32">
        <f t="shared" si="77"/>
        <v>16.481026807096672</v>
      </c>
      <c r="V30" s="32">
        <f t="shared" si="77"/>
        <v>14.427826452634607</v>
      </c>
      <c r="W30" s="32">
        <f t="shared" si="77"/>
        <v>13.353178874628242</v>
      </c>
      <c r="X30" s="32">
        <f t="shared" si="77"/>
        <v>13.104429333867811</v>
      </c>
      <c r="Y30" s="32">
        <f t="shared" si="77"/>
        <v>12.633009705131888</v>
      </c>
      <c r="Z30" s="32">
        <f t="shared" si="77"/>
        <v>12.063381363257381</v>
      </c>
      <c r="AA30" s="32">
        <f t="shared" si="77"/>
        <v>12.612956419961652</v>
      </c>
      <c r="AB30" s="32">
        <f t="shared" si="77"/>
        <v>12.084225121929775</v>
      </c>
      <c r="AC30" s="32">
        <f t="shared" si="77"/>
        <v>12.128071361595611</v>
      </c>
      <c r="AD30" s="32">
        <f t="shared" si="77"/>
        <v>12.0312804372301</v>
      </c>
      <c r="AE30" s="32">
        <f t="shared" si="77"/>
        <v>14.234545871071919</v>
      </c>
      <c r="AF30" s="32">
        <f t="shared" si="77"/>
        <v>13.41187383984828</v>
      </c>
      <c r="AG30" s="32">
        <f t="shared" si="77"/>
        <v>12.846817613267232</v>
      </c>
      <c r="AH30" s="32">
        <f t="shared" si="77"/>
        <v>12.88388456804941</v>
      </c>
      <c r="AI30" s="32">
        <f t="shared" si="77"/>
        <v>13.534141597009533</v>
      </c>
      <c r="AJ30" s="32">
        <f t="shared" si="77"/>
        <v>9.9024335184213115</v>
      </c>
      <c r="AK30" s="32">
        <f t="shared" si="77"/>
        <v>12.48601880370779</v>
      </c>
      <c r="AL30" s="32">
        <f t="shared" si="77"/>
        <v>11.728304752604782</v>
      </c>
      <c r="AM30" s="32">
        <f t="shared" si="77"/>
        <v>11.757699000105045</v>
      </c>
      <c r="AN30" s="32">
        <f t="shared" si="77"/>
        <v>11.764578870789718</v>
      </c>
      <c r="AO30" s="32">
        <f t="shared" si="77"/>
        <v>11.660286415182881</v>
      </c>
      <c r="AP30" s="32">
        <f t="shared" si="77"/>
        <v>11.311658658676851</v>
      </c>
      <c r="AQ30" s="32">
        <f>+AP30*AP$13*AP$14/AQ$14</f>
        <v>13.038955886949577</v>
      </c>
      <c r="AR30" s="32">
        <f t="shared" si="77"/>
        <v>12.564723365088797</v>
      </c>
      <c r="AS30" s="32">
        <f t="shared" si="77"/>
        <v>12.253080095163922</v>
      </c>
      <c r="AT30" s="32">
        <f t="shared" si="77"/>
        <v>11.919189749113475</v>
      </c>
      <c r="AU30" s="32">
        <f t="shared" si="77"/>
        <v>11.612639791517358</v>
      </c>
      <c r="AV30" s="32">
        <f t="shared" si="77"/>
        <v>11.32146278946529</v>
      </c>
      <c r="AW30" s="32">
        <f t="shared" si="77"/>
        <v>12.529273717834254</v>
      </c>
      <c r="AX30" s="32">
        <f t="shared" si="77"/>
        <v>12.186926351182503</v>
      </c>
      <c r="AY30" s="32">
        <f t="shared" si="77"/>
        <v>11.738778401483378</v>
      </c>
      <c r="AZ30" s="32">
        <f t="shared" si="77"/>
        <v>11.342603349074432</v>
      </c>
      <c r="BA30" s="32">
        <f t="shared" si="77"/>
        <v>10.929578287239362</v>
      </c>
      <c r="BB30" s="32">
        <f t="shared" si="77"/>
        <v>10.626587305996587</v>
      </c>
      <c r="BC30" s="32">
        <f t="shared" si="77"/>
        <v>13.015630732781846</v>
      </c>
      <c r="BD30" s="32">
        <f t="shared" si="77"/>
        <v>12.798610810345551</v>
      </c>
      <c r="BE30" s="32">
        <f t="shared" si="77"/>
        <v>12.640536550363452</v>
      </c>
      <c r="BF30" s="32">
        <f t="shared" si="77"/>
        <v>12.50979970137829</v>
      </c>
      <c r="BG30" s="32">
        <f t="shared" si="77"/>
        <v>12.384300624841554</v>
      </c>
      <c r="BH30" s="32">
        <f>+BG30*BG$13*BG$14/BH$14</f>
        <v>12.25125872125977</v>
      </c>
      <c r="BI30" s="32">
        <f t="shared" si="77"/>
        <v>12.127182777151406</v>
      </c>
      <c r="BJ30" s="32">
        <f t="shared" si="77"/>
        <v>12.008002681667968</v>
      </c>
      <c r="BK30" s="32">
        <f t="shared" si="77"/>
        <v>11.860519288985042</v>
      </c>
      <c r="BL30" s="32">
        <f t="shared" si="77"/>
        <v>15.620037713298572</v>
      </c>
      <c r="BM30" s="32">
        <f t="shared" si="77"/>
        <v>15.277949665873447</v>
      </c>
      <c r="BN30" s="32">
        <f t="shared" si="77"/>
        <v>14.932436239274354</v>
      </c>
      <c r="BO30" s="32">
        <f t="shared" si="77"/>
        <v>14.469206185499408</v>
      </c>
      <c r="BP30" s="32">
        <f t="shared" si="77"/>
        <v>13.864082553443613</v>
      </c>
      <c r="BQ30" s="32">
        <f>+BP30*BP$13*BP$14/BQ$14</f>
        <v>13.348504774625868</v>
      </c>
      <c r="BR30" s="32">
        <f t="shared" si="77"/>
        <v>16.230071375952157</v>
      </c>
      <c r="BS30" s="32">
        <f t="shared" si="77"/>
        <v>15.375792585056626</v>
      </c>
      <c r="BT30" s="32">
        <f t="shared" si="77"/>
        <v>14.424813702537714</v>
      </c>
      <c r="BU30" s="32">
        <f t="shared" si="77"/>
        <v>13.511596350873969</v>
      </c>
      <c r="BV30" s="32">
        <f t="shared" si="77"/>
        <v>12.945463212825523</v>
      </c>
      <c r="BW30" s="32">
        <f t="shared" si="77"/>
        <v>12.194911680122175</v>
      </c>
      <c r="BX30" s="32">
        <f t="shared" si="77"/>
        <v>16.239399650837484</v>
      </c>
      <c r="BY30" s="32">
        <f t="shared" si="77"/>
        <v>15.242023290131362</v>
      </c>
      <c r="BZ30" s="32">
        <f t="shared" si="77"/>
        <v>14.501376152827488</v>
      </c>
      <c r="CA30" s="32">
        <f t="shared" si="77"/>
        <v>13.535395836236813</v>
      </c>
      <c r="CB30" s="32">
        <f t="shared" si="77"/>
        <v>12.695143465941117</v>
      </c>
      <c r="CC30" s="32">
        <f t="shared" si="77"/>
        <v>11.899880576607448</v>
      </c>
      <c r="CD30" s="32">
        <f t="shared" si="85"/>
        <v>15.905534537527979</v>
      </c>
      <c r="CE30" s="32">
        <f t="shared" si="85"/>
        <v>14.854381159617837</v>
      </c>
      <c r="CF30" s="32">
        <f t="shared" si="85"/>
        <v>11.716759089484333</v>
      </c>
      <c r="CG30" s="32">
        <f t="shared" si="85"/>
        <v>11.720106734938472</v>
      </c>
      <c r="CH30" s="32">
        <f t="shared" si="85"/>
        <v>11.720106734938472</v>
      </c>
      <c r="CI30" s="32">
        <f t="shared" si="85"/>
        <v>11.359837599635737</v>
      </c>
      <c r="CJ30" s="32">
        <f t="shared" si="85"/>
        <v>8.572488388836538</v>
      </c>
      <c r="CK30" s="32">
        <f t="shared" si="85"/>
        <v>11.762781782548533</v>
      </c>
      <c r="CL30" s="32">
        <f t="shared" si="85"/>
        <v>13.200678306920272</v>
      </c>
      <c r="CM30" s="32">
        <f t="shared" si="85"/>
        <v>14.913824797201862</v>
      </c>
      <c r="CN30" s="32">
        <f t="shared" si="85"/>
        <v>15.429995539234069</v>
      </c>
      <c r="CO30" s="32">
        <f t="shared" si="85"/>
        <v>15.910866036854953</v>
      </c>
      <c r="CP30" s="32">
        <f t="shared" si="85"/>
        <v>16.115910907233133</v>
      </c>
      <c r="CQ30" s="32">
        <f t="shared" si="85"/>
        <v>16.135064879284016</v>
      </c>
      <c r="CR30" s="117"/>
      <c r="CS30" s="246">
        <f>+CQ30*CQ$13*CQ$14/CS$14</f>
        <v>16.196258826184607</v>
      </c>
      <c r="CT30" s="246">
        <f t="shared" si="86"/>
        <v>16.155527435138644</v>
      </c>
      <c r="CU30" s="246">
        <f t="shared" si="86"/>
        <v>16.320308149210927</v>
      </c>
      <c r="CV30" s="246">
        <f t="shared" si="86"/>
        <v>16.496689919810692</v>
      </c>
      <c r="CW30" s="246">
        <f t="shared" si="86"/>
        <v>16.477142417607304</v>
      </c>
      <c r="CX30" s="246">
        <f t="shared" si="86"/>
        <v>16.386715360120395</v>
      </c>
      <c r="CY30" s="246">
        <f t="shared" si="86"/>
        <v>16.55323987092126</v>
      </c>
      <c r="CZ30" s="246">
        <f t="shared" si="81"/>
        <v>16.605591799620839</v>
      </c>
      <c r="DA30" s="246">
        <f t="shared" si="83"/>
        <v>15.271467330249592</v>
      </c>
      <c r="DB30" s="246">
        <f>+DA30*DA$14/DB$14</f>
        <v>15.040081461609448</v>
      </c>
      <c r="DC30" s="246">
        <f t="shared" si="81"/>
        <v>14.976176717141865</v>
      </c>
      <c r="DD30" s="246">
        <f t="shared" si="81"/>
        <v>13.350841905192516</v>
      </c>
      <c r="DE30" s="246">
        <f t="shared" si="81"/>
        <v>14.045095632728923</v>
      </c>
      <c r="DF30" s="246">
        <f t="shared" si="81"/>
        <v>13.769624583906076</v>
      </c>
      <c r="DG30" s="246">
        <f t="shared" si="81"/>
        <v>13.872555750659314</v>
      </c>
      <c r="DH30" s="246">
        <f t="shared" si="81"/>
        <v>14.170427978776983</v>
      </c>
      <c r="DI30" s="246">
        <f t="shared" si="81"/>
        <v>14.245861473061192</v>
      </c>
      <c r="DJ30" s="246">
        <f t="shared" si="81"/>
        <v>14.495656724827759</v>
      </c>
      <c r="DK30" s="246">
        <f t="shared" si="81"/>
        <v>15.243404565465783</v>
      </c>
    </row>
    <row r="31" spans="1:115" x14ac:dyDescent="0.35">
      <c r="A31" s="4"/>
      <c r="C31" s="314"/>
      <c r="D31" s="1">
        <v>52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>
        <f>16.8+1</f>
        <v>17.8</v>
      </c>
      <c r="R31" s="32">
        <f>+Q31*Q$13*Q$14/R$14</f>
        <v>16.920777276477001</v>
      </c>
      <c r="S31" s="32">
        <f t="shared" si="84"/>
        <v>16.449192111203519</v>
      </c>
      <c r="T31" s="32">
        <f t="shared" si="77"/>
        <v>18.276214016956121</v>
      </c>
      <c r="U31" s="32">
        <f t="shared" si="77"/>
        <v>16.481026807096672</v>
      </c>
      <c r="V31" s="32">
        <f t="shared" si="77"/>
        <v>14.427826452634607</v>
      </c>
      <c r="W31" s="32">
        <f t="shared" si="77"/>
        <v>13.353178874628242</v>
      </c>
      <c r="X31" s="32">
        <f t="shared" si="77"/>
        <v>13.104429333867811</v>
      </c>
      <c r="Y31" s="32">
        <f t="shared" si="77"/>
        <v>12.633009705131888</v>
      </c>
      <c r="Z31" s="32">
        <f t="shared" si="77"/>
        <v>12.063381363257381</v>
      </c>
      <c r="AA31" s="32">
        <f t="shared" si="77"/>
        <v>12.612956419961652</v>
      </c>
      <c r="AB31" s="32">
        <f t="shared" si="77"/>
        <v>12.084225121929775</v>
      </c>
      <c r="AC31" s="32">
        <f t="shared" si="77"/>
        <v>12.128071361595611</v>
      </c>
      <c r="AD31" s="32">
        <f t="shared" si="77"/>
        <v>12.0312804372301</v>
      </c>
      <c r="AE31" s="32">
        <f t="shared" si="77"/>
        <v>14.234545871071919</v>
      </c>
      <c r="AF31" s="32">
        <f t="shared" si="77"/>
        <v>13.41187383984828</v>
      </c>
      <c r="AG31" s="32">
        <f t="shared" si="77"/>
        <v>12.846817613267232</v>
      </c>
      <c r="AH31" s="32">
        <f t="shared" si="77"/>
        <v>12.88388456804941</v>
      </c>
      <c r="AI31" s="32">
        <f t="shared" si="77"/>
        <v>13.534141597009533</v>
      </c>
      <c r="AJ31" s="32">
        <f t="shared" si="77"/>
        <v>9.9024335184213115</v>
      </c>
      <c r="AK31" s="32">
        <f t="shared" si="77"/>
        <v>12.48601880370779</v>
      </c>
      <c r="AL31" s="32">
        <f t="shared" si="77"/>
        <v>11.728304752604782</v>
      </c>
      <c r="AM31" s="32">
        <f t="shared" si="77"/>
        <v>11.757699000105045</v>
      </c>
      <c r="AN31" s="32">
        <f t="shared" si="77"/>
        <v>11.764578870789718</v>
      </c>
      <c r="AO31" s="32">
        <f t="shared" si="77"/>
        <v>11.660286415182881</v>
      </c>
      <c r="AP31" s="32">
        <f t="shared" si="77"/>
        <v>11.311658658676851</v>
      </c>
      <c r="AQ31" s="32">
        <f>+AP31*AP$13*AP$14/AQ$14</f>
        <v>13.038955886949577</v>
      </c>
      <c r="AR31" s="32">
        <f t="shared" si="77"/>
        <v>12.564723365088797</v>
      </c>
      <c r="AS31" s="32">
        <f t="shared" si="77"/>
        <v>12.253080095163922</v>
      </c>
      <c r="AT31" s="32">
        <f t="shared" si="77"/>
        <v>11.919189749113475</v>
      </c>
      <c r="AU31" s="32">
        <f t="shared" si="77"/>
        <v>11.612639791517358</v>
      </c>
      <c r="AV31" s="32">
        <f t="shared" si="77"/>
        <v>11.32146278946529</v>
      </c>
      <c r="AW31" s="32">
        <f t="shared" si="77"/>
        <v>12.529273717834254</v>
      </c>
      <c r="AX31" s="32">
        <f t="shared" si="77"/>
        <v>12.186926351182503</v>
      </c>
      <c r="AY31" s="32">
        <f t="shared" si="77"/>
        <v>11.738778401483378</v>
      </c>
      <c r="AZ31" s="32">
        <f t="shared" si="77"/>
        <v>11.342603349074432</v>
      </c>
      <c r="BA31" s="32">
        <f t="shared" si="77"/>
        <v>10.929578287239362</v>
      </c>
      <c r="BB31" s="32">
        <f t="shared" si="77"/>
        <v>10.626587305996587</v>
      </c>
      <c r="BC31" s="32">
        <f t="shared" si="77"/>
        <v>13.015630732781846</v>
      </c>
      <c r="BD31" s="32">
        <f t="shared" si="77"/>
        <v>12.798610810345551</v>
      </c>
      <c r="BE31" s="32">
        <f t="shared" si="77"/>
        <v>12.640536550363452</v>
      </c>
      <c r="BF31" s="32">
        <f t="shared" si="77"/>
        <v>12.50979970137829</v>
      </c>
      <c r="BG31" s="32">
        <f t="shared" si="77"/>
        <v>12.384300624841554</v>
      </c>
      <c r="BH31" s="32">
        <f>+BG31*BG$13*BG$14/BH$14</f>
        <v>12.25125872125977</v>
      </c>
      <c r="BI31" s="32">
        <f t="shared" si="77"/>
        <v>12.127182777151406</v>
      </c>
      <c r="BJ31" s="32">
        <f t="shared" si="77"/>
        <v>12.008002681667968</v>
      </c>
      <c r="BK31" s="32">
        <f t="shared" si="77"/>
        <v>11.860519288985042</v>
      </c>
      <c r="BL31" s="32">
        <f t="shared" si="77"/>
        <v>15.620037713298572</v>
      </c>
      <c r="BM31" s="32">
        <f t="shared" si="77"/>
        <v>15.277949665873447</v>
      </c>
      <c r="BN31" s="32">
        <f t="shared" si="77"/>
        <v>14.932436239274354</v>
      </c>
      <c r="BO31" s="32">
        <f t="shared" si="77"/>
        <v>14.469206185499408</v>
      </c>
      <c r="BP31" s="32">
        <f t="shared" si="77"/>
        <v>13.864082553443613</v>
      </c>
      <c r="BQ31" s="32">
        <f t="shared" si="77"/>
        <v>13.348504774625868</v>
      </c>
      <c r="BR31" s="32">
        <f t="shared" si="77"/>
        <v>16.230071375952157</v>
      </c>
      <c r="BS31" s="32">
        <f t="shared" si="77"/>
        <v>15.375792585056626</v>
      </c>
      <c r="BT31" s="32">
        <f t="shared" si="77"/>
        <v>14.424813702537714</v>
      </c>
      <c r="BU31" s="32">
        <f t="shared" si="77"/>
        <v>13.511596350873969</v>
      </c>
      <c r="BV31" s="32">
        <f t="shared" si="77"/>
        <v>12.945463212825523</v>
      </c>
      <c r="BW31" s="32">
        <f t="shared" si="77"/>
        <v>12.194911680122175</v>
      </c>
      <c r="BX31" s="32">
        <f t="shared" si="77"/>
        <v>16.239399650837484</v>
      </c>
      <c r="BY31" s="32">
        <f t="shared" si="77"/>
        <v>15.242023290131362</v>
      </c>
      <c r="BZ31" s="32">
        <f t="shared" si="77"/>
        <v>14.501376152827488</v>
      </c>
      <c r="CA31" s="32">
        <f>+BZ31*BZ$13*BZ$14/CA$14</f>
        <v>13.535395836236813</v>
      </c>
      <c r="CB31" s="32">
        <f>+CA31*CA$13*CA$14/CB$14</f>
        <v>12.695143465941117</v>
      </c>
      <c r="CC31" s="32">
        <f>+CB31*CB$13*CB$14/CC$14</f>
        <v>11.899880576607448</v>
      </c>
      <c r="CD31" s="32">
        <f t="shared" si="85"/>
        <v>15.905534537527979</v>
      </c>
      <c r="CE31" s="32">
        <f t="shared" si="85"/>
        <v>14.854381159617837</v>
      </c>
      <c r="CF31" s="32">
        <f t="shared" si="85"/>
        <v>11.716759089484333</v>
      </c>
      <c r="CG31" s="32">
        <f t="shared" si="85"/>
        <v>11.720106734938472</v>
      </c>
      <c r="CH31" s="32">
        <f t="shared" si="85"/>
        <v>11.720106734938472</v>
      </c>
      <c r="CI31" s="32">
        <f t="shared" si="85"/>
        <v>11.359837599635737</v>
      </c>
      <c r="CJ31" s="32">
        <f t="shared" si="85"/>
        <v>8.572488388836538</v>
      </c>
      <c r="CK31" s="32">
        <f t="shared" si="85"/>
        <v>11.762781782548533</v>
      </c>
      <c r="CL31" s="32">
        <f t="shared" si="85"/>
        <v>13.200678306920272</v>
      </c>
      <c r="CM31" s="32">
        <f t="shared" si="85"/>
        <v>14.913824797201862</v>
      </c>
      <c r="CN31" s="32">
        <f t="shared" si="85"/>
        <v>15.429995539234069</v>
      </c>
      <c r="CO31" s="32">
        <f t="shared" si="85"/>
        <v>15.910866036854953</v>
      </c>
      <c r="CP31" s="32">
        <f t="shared" si="85"/>
        <v>16.115910907233133</v>
      </c>
      <c r="CQ31" s="32">
        <f t="shared" si="85"/>
        <v>16.135064879284016</v>
      </c>
      <c r="CR31" s="117"/>
      <c r="CS31" s="246">
        <f>+CQ31*CQ$13*CQ$14/CS$14</f>
        <v>16.196258826184607</v>
      </c>
      <c r="CT31" s="246">
        <f t="shared" si="86"/>
        <v>16.155527435138644</v>
      </c>
      <c r="CU31" s="246">
        <f t="shared" si="86"/>
        <v>16.320308149210927</v>
      </c>
      <c r="CV31" s="246">
        <f t="shared" si="86"/>
        <v>16.496689919810692</v>
      </c>
      <c r="CW31" s="246">
        <f t="shared" si="86"/>
        <v>16.477142417607304</v>
      </c>
      <c r="CX31" s="246">
        <f t="shared" si="86"/>
        <v>16.386715360120395</v>
      </c>
      <c r="CY31" s="246">
        <f t="shared" si="86"/>
        <v>16.55323987092126</v>
      </c>
      <c r="CZ31" s="246">
        <f t="shared" si="81"/>
        <v>16.605591799620839</v>
      </c>
      <c r="DA31" s="246">
        <f t="shared" si="83"/>
        <v>15.271467330249592</v>
      </c>
      <c r="DB31" s="246">
        <f>+DA31*DA$14/DB$14</f>
        <v>15.040081461609448</v>
      </c>
      <c r="DC31" s="246">
        <f t="shared" si="81"/>
        <v>14.976176717141865</v>
      </c>
      <c r="DD31" s="246">
        <f t="shared" si="81"/>
        <v>13.350841905192516</v>
      </c>
      <c r="DE31" s="246">
        <f t="shared" si="81"/>
        <v>14.045095632728923</v>
      </c>
      <c r="DF31" s="246">
        <f t="shared" si="81"/>
        <v>13.769624583906076</v>
      </c>
      <c r="DG31" s="246">
        <f t="shared" si="81"/>
        <v>13.872555750659314</v>
      </c>
      <c r="DH31" s="246">
        <f t="shared" si="81"/>
        <v>14.170427978776983</v>
      </c>
      <c r="DI31" s="246">
        <f t="shared" si="81"/>
        <v>14.245861473061192</v>
      </c>
      <c r="DJ31" s="246">
        <f t="shared" si="81"/>
        <v>14.495656724827759</v>
      </c>
      <c r="DK31" s="246">
        <f t="shared" si="81"/>
        <v>15.243404565465783</v>
      </c>
    </row>
    <row r="32" spans="1:115" ht="6.65" customHeight="1" x14ac:dyDescent="0.35"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</row>
    <row r="33" spans="1:115" x14ac:dyDescent="0.35">
      <c r="A33" s="4"/>
      <c r="C33" s="314" t="s">
        <v>67</v>
      </c>
      <c r="D33" s="1">
        <v>24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>
        <v>4.95</v>
      </c>
      <c r="R33" s="32">
        <f>+Q33</f>
        <v>4.95</v>
      </c>
      <c r="S33" s="32">
        <f t="shared" ref="S33:CQ38" si="88">+R33</f>
        <v>4.95</v>
      </c>
      <c r="T33" s="32">
        <f t="shared" si="88"/>
        <v>4.95</v>
      </c>
      <c r="U33" s="32">
        <f t="shared" si="88"/>
        <v>4.95</v>
      </c>
      <c r="V33" s="32">
        <f t="shared" si="88"/>
        <v>4.95</v>
      </c>
      <c r="W33" s="32">
        <f t="shared" si="88"/>
        <v>4.95</v>
      </c>
      <c r="X33" s="32">
        <f t="shared" si="88"/>
        <v>4.95</v>
      </c>
      <c r="Y33" s="32">
        <f t="shared" si="88"/>
        <v>4.95</v>
      </c>
      <c r="Z33" s="32">
        <f t="shared" si="88"/>
        <v>4.95</v>
      </c>
      <c r="AA33" s="32">
        <f t="shared" si="88"/>
        <v>4.95</v>
      </c>
      <c r="AB33" s="32">
        <f t="shared" si="88"/>
        <v>4.95</v>
      </c>
      <c r="AC33" s="32">
        <f t="shared" si="88"/>
        <v>4.95</v>
      </c>
      <c r="AD33" s="32">
        <f t="shared" si="88"/>
        <v>4.95</v>
      </c>
      <c r="AE33" s="32">
        <f t="shared" si="88"/>
        <v>4.95</v>
      </c>
      <c r="AF33" s="32">
        <f t="shared" si="88"/>
        <v>4.95</v>
      </c>
      <c r="AG33" s="32">
        <f t="shared" si="88"/>
        <v>4.95</v>
      </c>
      <c r="AH33" s="32">
        <f t="shared" si="88"/>
        <v>4.95</v>
      </c>
      <c r="AI33" s="32">
        <f t="shared" si="88"/>
        <v>4.95</v>
      </c>
      <c r="AJ33" s="32">
        <f t="shared" si="88"/>
        <v>4.95</v>
      </c>
      <c r="AK33" s="32">
        <f t="shared" si="88"/>
        <v>4.95</v>
      </c>
      <c r="AL33" s="32">
        <f t="shared" si="88"/>
        <v>4.95</v>
      </c>
      <c r="AM33" s="32">
        <f t="shared" si="88"/>
        <v>4.95</v>
      </c>
      <c r="AN33" s="32">
        <f t="shared" si="88"/>
        <v>4.95</v>
      </c>
      <c r="AO33" s="32">
        <f t="shared" si="88"/>
        <v>4.95</v>
      </c>
      <c r="AP33" s="32">
        <f t="shared" si="88"/>
        <v>4.95</v>
      </c>
      <c r="AQ33" s="32">
        <f t="shared" si="88"/>
        <v>4.95</v>
      </c>
      <c r="AR33" s="32">
        <f t="shared" si="88"/>
        <v>4.95</v>
      </c>
      <c r="AS33" s="32">
        <f t="shared" si="88"/>
        <v>4.95</v>
      </c>
      <c r="AT33" s="32">
        <f t="shared" si="88"/>
        <v>4.95</v>
      </c>
      <c r="AU33" s="32">
        <f t="shared" si="88"/>
        <v>4.95</v>
      </c>
      <c r="AV33" s="32">
        <f t="shared" si="88"/>
        <v>4.95</v>
      </c>
      <c r="AW33" s="32">
        <f t="shared" si="88"/>
        <v>4.95</v>
      </c>
      <c r="AX33" s="32">
        <f t="shared" si="88"/>
        <v>4.95</v>
      </c>
      <c r="AY33" s="32">
        <f t="shared" si="88"/>
        <v>4.95</v>
      </c>
      <c r="AZ33" s="32">
        <f t="shared" si="88"/>
        <v>4.95</v>
      </c>
      <c r="BA33" s="32">
        <f t="shared" si="88"/>
        <v>4.95</v>
      </c>
      <c r="BB33" s="32">
        <f t="shared" si="88"/>
        <v>4.95</v>
      </c>
      <c r="BC33" s="32">
        <f t="shared" si="88"/>
        <v>4.95</v>
      </c>
      <c r="BD33" s="32">
        <f t="shared" si="88"/>
        <v>4.95</v>
      </c>
      <c r="BE33" s="32">
        <f t="shared" si="88"/>
        <v>4.95</v>
      </c>
      <c r="BF33" s="32">
        <f t="shared" si="88"/>
        <v>4.95</v>
      </c>
      <c r="BG33" s="32">
        <f t="shared" si="88"/>
        <v>4.95</v>
      </c>
      <c r="BH33" s="32">
        <f>+BG33</f>
        <v>4.95</v>
      </c>
      <c r="BI33" s="32">
        <f t="shared" si="88"/>
        <v>4.95</v>
      </c>
      <c r="BJ33" s="32">
        <f t="shared" si="88"/>
        <v>4.95</v>
      </c>
      <c r="BK33" s="32">
        <f t="shared" si="88"/>
        <v>4.95</v>
      </c>
      <c r="BL33" s="32">
        <f t="shared" si="88"/>
        <v>4.95</v>
      </c>
      <c r="BM33" s="32">
        <f t="shared" si="88"/>
        <v>4.95</v>
      </c>
      <c r="BN33" s="32">
        <f t="shared" si="88"/>
        <v>4.95</v>
      </c>
      <c r="BO33" s="32">
        <f t="shared" si="88"/>
        <v>4.95</v>
      </c>
      <c r="BP33" s="32">
        <f t="shared" si="88"/>
        <v>4.95</v>
      </c>
      <c r="BQ33" s="32">
        <f t="shared" si="88"/>
        <v>4.95</v>
      </c>
      <c r="BR33" s="32">
        <f t="shared" ref="BR33:CQ33" si="89">+BQ33</f>
        <v>4.95</v>
      </c>
      <c r="BS33" s="32">
        <f t="shared" si="89"/>
        <v>4.95</v>
      </c>
      <c r="BT33" s="32">
        <f t="shared" si="89"/>
        <v>4.95</v>
      </c>
      <c r="BU33" s="32">
        <f t="shared" si="89"/>
        <v>4.95</v>
      </c>
      <c r="BV33" s="32">
        <f t="shared" si="89"/>
        <v>4.95</v>
      </c>
      <c r="BW33" s="32">
        <f t="shared" si="89"/>
        <v>4.95</v>
      </c>
      <c r="BX33" s="32">
        <f t="shared" si="89"/>
        <v>4.95</v>
      </c>
      <c r="BY33" s="32">
        <f t="shared" si="89"/>
        <v>4.95</v>
      </c>
      <c r="BZ33" s="32">
        <f t="shared" si="89"/>
        <v>4.95</v>
      </c>
      <c r="CA33" s="32">
        <f t="shared" si="89"/>
        <v>4.95</v>
      </c>
      <c r="CB33" s="32">
        <f t="shared" si="89"/>
        <v>4.95</v>
      </c>
      <c r="CC33" s="32">
        <f t="shared" si="89"/>
        <v>4.95</v>
      </c>
      <c r="CD33" s="32">
        <f t="shared" si="89"/>
        <v>4.95</v>
      </c>
      <c r="CE33" s="32">
        <f t="shared" si="89"/>
        <v>4.95</v>
      </c>
      <c r="CF33" s="32">
        <f t="shared" si="89"/>
        <v>4.95</v>
      </c>
      <c r="CG33" s="32">
        <f t="shared" si="89"/>
        <v>4.95</v>
      </c>
      <c r="CH33" s="32">
        <f t="shared" si="89"/>
        <v>4.95</v>
      </c>
      <c r="CI33" s="32">
        <f t="shared" si="89"/>
        <v>4.95</v>
      </c>
      <c r="CJ33" s="32">
        <f t="shared" si="89"/>
        <v>4.95</v>
      </c>
      <c r="CK33" s="32">
        <f t="shared" si="89"/>
        <v>4.95</v>
      </c>
      <c r="CL33" s="32">
        <f t="shared" si="89"/>
        <v>4.95</v>
      </c>
      <c r="CM33" s="32">
        <f t="shared" si="89"/>
        <v>4.95</v>
      </c>
      <c r="CN33" s="32">
        <f t="shared" si="89"/>
        <v>4.95</v>
      </c>
      <c r="CO33" s="32">
        <f t="shared" si="89"/>
        <v>4.95</v>
      </c>
      <c r="CP33" s="32">
        <f t="shared" si="89"/>
        <v>4.95</v>
      </c>
      <c r="CQ33" s="32">
        <f t="shared" si="89"/>
        <v>4.95</v>
      </c>
      <c r="CR33" s="117"/>
      <c r="CS33" s="246">
        <f>+CQ33</f>
        <v>4.95</v>
      </c>
      <c r="CT33" s="246">
        <f t="shared" ref="CT33:CZ35" si="90">+CS33</f>
        <v>4.95</v>
      </c>
      <c r="CU33" s="246">
        <f t="shared" si="90"/>
        <v>4.95</v>
      </c>
      <c r="CV33" s="246">
        <f t="shared" si="90"/>
        <v>4.95</v>
      </c>
      <c r="CW33" s="246">
        <f t="shared" si="90"/>
        <v>4.95</v>
      </c>
      <c r="CX33" s="246">
        <f t="shared" si="90"/>
        <v>4.95</v>
      </c>
      <c r="CY33" s="246">
        <f t="shared" si="90"/>
        <v>4.95</v>
      </c>
      <c r="CZ33" s="246">
        <f t="shared" si="90"/>
        <v>4.95</v>
      </c>
      <c r="DA33" s="246">
        <f>+CZ33*CZ$14/DA$14</f>
        <v>4.5523076923076919</v>
      </c>
      <c r="DB33" s="246">
        <f>+DA33*DA$14/DB$14</f>
        <v>4.4833333333333334</v>
      </c>
      <c r="DC33" s="246">
        <f>CZ33</f>
        <v>4.95</v>
      </c>
      <c r="DD33" s="246">
        <f t="shared" ref="DD33:DK33" si="91">DC33</f>
        <v>4.95</v>
      </c>
      <c r="DE33" s="246">
        <f t="shared" si="91"/>
        <v>4.95</v>
      </c>
      <c r="DF33" s="246">
        <f t="shared" si="91"/>
        <v>4.95</v>
      </c>
      <c r="DG33" s="246">
        <f t="shared" si="91"/>
        <v>4.95</v>
      </c>
      <c r="DH33" s="246">
        <f t="shared" si="91"/>
        <v>4.95</v>
      </c>
      <c r="DI33" s="246">
        <f t="shared" si="91"/>
        <v>4.95</v>
      </c>
      <c r="DJ33" s="246">
        <f t="shared" si="91"/>
        <v>4.95</v>
      </c>
      <c r="DK33" s="246">
        <f t="shared" si="91"/>
        <v>4.95</v>
      </c>
    </row>
    <row r="34" spans="1:115" x14ac:dyDescent="0.35">
      <c r="A34" s="4"/>
      <c r="C34" s="314"/>
      <c r="D34" s="1">
        <v>30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117"/>
      <c r="CS34" s="246">
        <v>5.9</v>
      </c>
      <c r="CT34" s="246">
        <v>5.9</v>
      </c>
      <c r="CU34" s="246">
        <v>5.9</v>
      </c>
      <c r="CV34" s="246">
        <v>5.9</v>
      </c>
      <c r="CW34" s="246">
        <v>5.9</v>
      </c>
      <c r="CX34" s="246">
        <v>5.9</v>
      </c>
      <c r="CY34" s="246">
        <v>5.9</v>
      </c>
      <c r="CZ34" s="246">
        <f t="shared" si="90"/>
        <v>5.9</v>
      </c>
      <c r="DA34" s="246">
        <f t="shared" ref="DA34:DB38" si="92">+CZ34*CZ$14/DA$14</f>
        <v>5.4259829059829068</v>
      </c>
      <c r="DB34" s="246">
        <f t="shared" si="92"/>
        <v>5.3437710437710439</v>
      </c>
      <c r="DC34" s="246">
        <f t="shared" ref="DC34:DC38" si="93">CZ34</f>
        <v>5.9</v>
      </c>
      <c r="DD34" s="246">
        <f t="shared" ref="DD34:DK38" si="94">DC34</f>
        <v>5.9</v>
      </c>
      <c r="DE34" s="246">
        <f t="shared" si="94"/>
        <v>5.9</v>
      </c>
      <c r="DF34" s="246">
        <f t="shared" si="94"/>
        <v>5.9</v>
      </c>
      <c r="DG34" s="246">
        <f t="shared" si="94"/>
        <v>5.9</v>
      </c>
      <c r="DH34" s="246">
        <f t="shared" si="94"/>
        <v>5.9</v>
      </c>
      <c r="DI34" s="246">
        <f t="shared" si="94"/>
        <v>5.9</v>
      </c>
      <c r="DJ34" s="246">
        <f t="shared" si="94"/>
        <v>5.9</v>
      </c>
      <c r="DK34" s="246">
        <f t="shared" si="94"/>
        <v>5.9</v>
      </c>
    </row>
    <row r="35" spans="1:115" x14ac:dyDescent="0.35">
      <c r="A35" s="4"/>
      <c r="C35" s="314"/>
      <c r="D35" s="1">
        <v>30.4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>
        <v>4.95</v>
      </c>
      <c r="R35" s="32">
        <f t="shared" ref="R35:AM38" si="95">+Q35</f>
        <v>4.95</v>
      </c>
      <c r="S35" s="32">
        <f t="shared" si="95"/>
        <v>4.95</v>
      </c>
      <c r="T35" s="32">
        <f t="shared" si="95"/>
        <v>4.95</v>
      </c>
      <c r="U35" s="32">
        <f t="shared" si="95"/>
        <v>4.95</v>
      </c>
      <c r="V35" s="32">
        <f t="shared" si="95"/>
        <v>4.95</v>
      </c>
      <c r="W35" s="32">
        <f t="shared" si="95"/>
        <v>4.95</v>
      </c>
      <c r="X35" s="32">
        <f t="shared" si="95"/>
        <v>4.95</v>
      </c>
      <c r="Y35" s="32">
        <f t="shared" si="95"/>
        <v>4.95</v>
      </c>
      <c r="Z35" s="32">
        <f t="shared" si="95"/>
        <v>4.95</v>
      </c>
      <c r="AA35" s="32">
        <f t="shared" si="95"/>
        <v>4.95</v>
      </c>
      <c r="AB35" s="32">
        <f t="shared" si="95"/>
        <v>4.95</v>
      </c>
      <c r="AC35" s="32">
        <f t="shared" si="95"/>
        <v>4.95</v>
      </c>
      <c r="AD35" s="32">
        <f t="shared" si="95"/>
        <v>4.95</v>
      </c>
      <c r="AE35" s="32">
        <f t="shared" si="95"/>
        <v>4.95</v>
      </c>
      <c r="AF35" s="32">
        <f t="shared" si="95"/>
        <v>4.95</v>
      </c>
      <c r="AG35" s="32">
        <f t="shared" si="95"/>
        <v>4.95</v>
      </c>
      <c r="AH35" s="32">
        <f t="shared" si="95"/>
        <v>4.95</v>
      </c>
      <c r="AI35" s="32">
        <f t="shared" si="95"/>
        <v>4.95</v>
      </c>
      <c r="AJ35" s="32">
        <f t="shared" si="95"/>
        <v>4.95</v>
      </c>
      <c r="AK35" s="32">
        <f t="shared" si="95"/>
        <v>4.95</v>
      </c>
      <c r="AL35" s="32">
        <f t="shared" si="95"/>
        <v>4.95</v>
      </c>
      <c r="AM35" s="32">
        <f t="shared" si="95"/>
        <v>4.95</v>
      </c>
      <c r="AN35" s="32">
        <f t="shared" si="88"/>
        <v>4.95</v>
      </c>
      <c r="AO35" s="32">
        <f t="shared" si="88"/>
        <v>4.95</v>
      </c>
      <c r="AP35" s="32">
        <f t="shared" si="88"/>
        <v>4.95</v>
      </c>
      <c r="AQ35" s="32">
        <f t="shared" si="88"/>
        <v>4.95</v>
      </c>
      <c r="AR35" s="32">
        <f t="shared" si="88"/>
        <v>4.95</v>
      </c>
      <c r="AS35" s="32">
        <f t="shared" si="88"/>
        <v>4.95</v>
      </c>
      <c r="AT35" s="32">
        <f t="shared" si="88"/>
        <v>4.95</v>
      </c>
      <c r="AU35" s="32">
        <f t="shared" si="88"/>
        <v>4.95</v>
      </c>
      <c r="AV35" s="32">
        <f t="shared" si="88"/>
        <v>4.95</v>
      </c>
      <c r="AW35" s="32">
        <f t="shared" si="88"/>
        <v>4.95</v>
      </c>
      <c r="AX35" s="32">
        <f t="shared" si="88"/>
        <v>4.95</v>
      </c>
      <c r="AY35" s="32">
        <f t="shared" si="88"/>
        <v>4.95</v>
      </c>
      <c r="AZ35" s="32">
        <f t="shared" si="88"/>
        <v>4.95</v>
      </c>
      <c r="BA35" s="32">
        <f t="shared" si="88"/>
        <v>4.95</v>
      </c>
      <c r="BB35" s="32">
        <f t="shared" si="88"/>
        <v>4.95</v>
      </c>
      <c r="BC35" s="32">
        <f t="shared" si="88"/>
        <v>4.95</v>
      </c>
      <c r="BD35" s="32">
        <f t="shared" si="88"/>
        <v>4.95</v>
      </c>
      <c r="BE35" s="32">
        <f t="shared" si="88"/>
        <v>4.95</v>
      </c>
      <c r="BF35" s="32">
        <f t="shared" si="88"/>
        <v>4.95</v>
      </c>
      <c r="BG35" s="32">
        <f t="shared" si="88"/>
        <v>4.95</v>
      </c>
      <c r="BH35" s="32">
        <f>+BG35</f>
        <v>4.95</v>
      </c>
      <c r="BI35" s="32">
        <f t="shared" si="88"/>
        <v>4.95</v>
      </c>
      <c r="BJ35" s="32">
        <f t="shared" si="88"/>
        <v>4.95</v>
      </c>
      <c r="BK35" s="32">
        <f t="shared" si="88"/>
        <v>4.95</v>
      </c>
      <c r="BL35" s="32">
        <f t="shared" si="88"/>
        <v>4.95</v>
      </c>
      <c r="BM35" s="32">
        <f t="shared" si="88"/>
        <v>4.95</v>
      </c>
      <c r="BN35" s="32">
        <f t="shared" si="88"/>
        <v>4.95</v>
      </c>
      <c r="BO35" s="32">
        <f t="shared" si="88"/>
        <v>4.95</v>
      </c>
      <c r="BP35" s="32">
        <f t="shared" si="88"/>
        <v>4.95</v>
      </c>
      <c r="BQ35" s="32">
        <f t="shared" si="88"/>
        <v>4.95</v>
      </c>
      <c r="BR35" s="32">
        <f t="shared" si="88"/>
        <v>4.95</v>
      </c>
      <c r="BS35" s="32">
        <f t="shared" si="88"/>
        <v>4.95</v>
      </c>
      <c r="BT35" s="32">
        <f t="shared" si="88"/>
        <v>4.95</v>
      </c>
      <c r="BU35" s="32">
        <f t="shared" si="88"/>
        <v>4.95</v>
      </c>
      <c r="BV35" s="32">
        <f t="shared" si="88"/>
        <v>4.95</v>
      </c>
      <c r="BW35" s="32">
        <f t="shared" si="88"/>
        <v>4.95</v>
      </c>
      <c r="BX35" s="32">
        <f t="shared" si="88"/>
        <v>4.95</v>
      </c>
      <c r="BY35" s="32">
        <f t="shared" si="88"/>
        <v>4.95</v>
      </c>
      <c r="BZ35" s="32">
        <f t="shared" si="88"/>
        <v>4.95</v>
      </c>
      <c r="CA35" s="32">
        <f t="shared" si="88"/>
        <v>4.95</v>
      </c>
      <c r="CB35" s="32">
        <f t="shared" si="88"/>
        <v>4.95</v>
      </c>
      <c r="CC35" s="32">
        <f t="shared" si="88"/>
        <v>4.95</v>
      </c>
      <c r="CD35" s="32">
        <f t="shared" si="88"/>
        <v>4.95</v>
      </c>
      <c r="CE35" s="32">
        <f t="shared" si="88"/>
        <v>4.95</v>
      </c>
      <c r="CF35" s="32">
        <f t="shared" si="88"/>
        <v>4.95</v>
      </c>
      <c r="CG35" s="32">
        <f t="shared" si="88"/>
        <v>4.95</v>
      </c>
      <c r="CH35" s="32">
        <f t="shared" si="88"/>
        <v>4.95</v>
      </c>
      <c r="CI35" s="32">
        <f t="shared" si="88"/>
        <v>4.95</v>
      </c>
      <c r="CJ35" s="32">
        <f t="shared" si="88"/>
        <v>4.95</v>
      </c>
      <c r="CK35" s="32">
        <f t="shared" si="88"/>
        <v>4.95</v>
      </c>
      <c r="CL35" s="32">
        <f t="shared" si="88"/>
        <v>4.95</v>
      </c>
      <c r="CM35" s="32">
        <f t="shared" si="88"/>
        <v>4.95</v>
      </c>
      <c r="CN35" s="32">
        <f t="shared" si="88"/>
        <v>4.95</v>
      </c>
      <c r="CO35" s="32">
        <f t="shared" si="88"/>
        <v>4.95</v>
      </c>
      <c r="CP35" s="32">
        <f t="shared" si="88"/>
        <v>4.95</v>
      </c>
      <c r="CQ35" s="32">
        <f t="shared" si="88"/>
        <v>4.95</v>
      </c>
      <c r="CR35" s="117"/>
      <c r="CS35" s="246">
        <f>+CQ35</f>
        <v>4.95</v>
      </c>
      <c r="CT35" s="246">
        <f t="shared" si="90"/>
        <v>4.95</v>
      </c>
      <c r="CU35" s="246">
        <f>+CT35</f>
        <v>4.95</v>
      </c>
      <c r="CV35" s="246">
        <f t="shared" si="90"/>
        <v>4.95</v>
      </c>
      <c r="CW35" s="246">
        <f t="shared" si="90"/>
        <v>4.95</v>
      </c>
      <c r="CX35" s="246">
        <f t="shared" si="90"/>
        <v>4.95</v>
      </c>
      <c r="CY35" s="246">
        <f t="shared" si="90"/>
        <v>4.95</v>
      </c>
      <c r="CZ35" s="246">
        <f t="shared" si="90"/>
        <v>4.95</v>
      </c>
      <c r="DA35" s="246">
        <f t="shared" si="92"/>
        <v>4.5523076923076919</v>
      </c>
      <c r="DB35" s="246">
        <f t="shared" si="92"/>
        <v>4.4833333333333334</v>
      </c>
      <c r="DC35" s="246">
        <f t="shared" si="93"/>
        <v>4.95</v>
      </c>
      <c r="DD35" s="246">
        <f t="shared" si="94"/>
        <v>4.95</v>
      </c>
      <c r="DE35" s="246">
        <f t="shared" si="94"/>
        <v>4.95</v>
      </c>
      <c r="DF35" s="246">
        <f t="shared" si="94"/>
        <v>4.95</v>
      </c>
      <c r="DG35" s="246">
        <f t="shared" si="94"/>
        <v>4.95</v>
      </c>
      <c r="DH35" s="246">
        <f t="shared" si="94"/>
        <v>4.95</v>
      </c>
      <c r="DI35" s="246">
        <f t="shared" si="94"/>
        <v>4.95</v>
      </c>
      <c r="DJ35" s="246">
        <f t="shared" si="94"/>
        <v>4.95</v>
      </c>
      <c r="DK35" s="246">
        <f t="shared" si="94"/>
        <v>4.95</v>
      </c>
    </row>
    <row r="36" spans="1:115" x14ac:dyDescent="0.35">
      <c r="A36" s="4"/>
      <c r="C36" s="314"/>
      <c r="D36" s="1">
        <v>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117"/>
      <c r="CS36" s="246">
        <f t="shared" ref="CS36:CX36" si="96">+CS35</f>
        <v>4.95</v>
      </c>
      <c r="CT36" s="246">
        <f t="shared" si="96"/>
        <v>4.95</v>
      </c>
      <c r="CU36" s="246">
        <f t="shared" si="96"/>
        <v>4.95</v>
      </c>
      <c r="CV36" s="246">
        <f t="shared" si="96"/>
        <v>4.95</v>
      </c>
      <c r="CW36" s="246">
        <f t="shared" si="96"/>
        <v>4.95</v>
      </c>
      <c r="CX36" s="246">
        <f t="shared" si="96"/>
        <v>4.95</v>
      </c>
      <c r="CY36" s="246">
        <f t="shared" ref="CY36:CZ36" si="97">+CY35</f>
        <v>4.95</v>
      </c>
      <c r="CZ36" s="246">
        <f t="shared" si="97"/>
        <v>4.95</v>
      </c>
      <c r="DA36" s="246">
        <f t="shared" si="92"/>
        <v>4.5523076923076919</v>
      </c>
      <c r="DB36" s="246">
        <f t="shared" si="92"/>
        <v>4.4833333333333334</v>
      </c>
      <c r="DC36" s="246">
        <f t="shared" si="93"/>
        <v>4.95</v>
      </c>
      <c r="DD36" s="246">
        <f t="shared" si="94"/>
        <v>4.95</v>
      </c>
      <c r="DE36" s="246">
        <f t="shared" ref="DE36:DK36" si="98">DD36</f>
        <v>4.95</v>
      </c>
      <c r="DF36" s="246">
        <f t="shared" si="98"/>
        <v>4.95</v>
      </c>
      <c r="DG36" s="246">
        <f t="shared" si="98"/>
        <v>4.95</v>
      </c>
      <c r="DH36" s="246">
        <f t="shared" si="98"/>
        <v>4.95</v>
      </c>
      <c r="DI36" s="246">
        <f t="shared" si="98"/>
        <v>4.95</v>
      </c>
      <c r="DJ36" s="246">
        <f t="shared" si="98"/>
        <v>4.95</v>
      </c>
      <c r="DK36" s="246">
        <f t="shared" si="98"/>
        <v>4.95</v>
      </c>
    </row>
    <row r="37" spans="1:115" x14ac:dyDescent="0.35">
      <c r="A37" s="4"/>
      <c r="C37" s="314"/>
      <c r="D37" s="1">
        <v>44.8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>
        <v>7.2</v>
      </c>
      <c r="R37" s="32">
        <f t="shared" si="95"/>
        <v>7.2</v>
      </c>
      <c r="S37" s="32">
        <f t="shared" si="95"/>
        <v>7.2</v>
      </c>
      <c r="T37" s="32">
        <f t="shared" si="95"/>
        <v>7.2</v>
      </c>
      <c r="U37" s="32">
        <f t="shared" si="95"/>
        <v>7.2</v>
      </c>
      <c r="V37" s="32">
        <f t="shared" si="95"/>
        <v>7.2</v>
      </c>
      <c r="W37" s="32">
        <f t="shared" si="95"/>
        <v>7.2</v>
      </c>
      <c r="X37" s="32">
        <f t="shared" si="95"/>
        <v>7.2</v>
      </c>
      <c r="Y37" s="32">
        <f t="shared" si="95"/>
        <v>7.2</v>
      </c>
      <c r="Z37" s="32">
        <f t="shared" si="95"/>
        <v>7.2</v>
      </c>
      <c r="AA37" s="32">
        <f t="shared" si="95"/>
        <v>7.2</v>
      </c>
      <c r="AB37" s="32">
        <f t="shared" si="95"/>
        <v>7.2</v>
      </c>
      <c r="AC37" s="32">
        <f t="shared" si="95"/>
        <v>7.2</v>
      </c>
      <c r="AD37" s="32">
        <f t="shared" si="95"/>
        <v>7.2</v>
      </c>
      <c r="AE37" s="32">
        <f t="shared" si="95"/>
        <v>7.2</v>
      </c>
      <c r="AF37" s="32">
        <f t="shared" si="95"/>
        <v>7.2</v>
      </c>
      <c r="AG37" s="32">
        <f t="shared" si="95"/>
        <v>7.2</v>
      </c>
      <c r="AH37" s="32">
        <f t="shared" si="95"/>
        <v>7.2</v>
      </c>
      <c r="AI37" s="32">
        <f t="shared" si="95"/>
        <v>7.2</v>
      </c>
      <c r="AJ37" s="32">
        <f t="shared" si="95"/>
        <v>7.2</v>
      </c>
      <c r="AK37" s="32">
        <f t="shared" si="95"/>
        <v>7.2</v>
      </c>
      <c r="AL37" s="32">
        <f t="shared" si="95"/>
        <v>7.2</v>
      </c>
      <c r="AM37" s="32">
        <f t="shared" si="95"/>
        <v>7.2</v>
      </c>
      <c r="AN37" s="32">
        <f t="shared" si="88"/>
        <v>7.2</v>
      </c>
      <c r="AO37" s="32">
        <f t="shared" si="88"/>
        <v>7.2</v>
      </c>
      <c r="AP37" s="32">
        <f t="shared" si="88"/>
        <v>7.2</v>
      </c>
      <c r="AQ37" s="32">
        <f t="shared" si="88"/>
        <v>7.2</v>
      </c>
      <c r="AR37" s="32">
        <f t="shared" si="88"/>
        <v>7.2</v>
      </c>
      <c r="AS37" s="32">
        <f t="shared" si="88"/>
        <v>7.2</v>
      </c>
      <c r="AT37" s="32">
        <f t="shared" si="88"/>
        <v>7.2</v>
      </c>
      <c r="AU37" s="32">
        <f t="shared" si="88"/>
        <v>7.2</v>
      </c>
      <c r="AV37" s="32">
        <f t="shared" si="88"/>
        <v>7.2</v>
      </c>
      <c r="AW37" s="32">
        <f t="shared" si="88"/>
        <v>7.2</v>
      </c>
      <c r="AX37" s="32">
        <f t="shared" si="88"/>
        <v>7.2</v>
      </c>
      <c r="AY37" s="32">
        <f t="shared" si="88"/>
        <v>7.2</v>
      </c>
      <c r="AZ37" s="32">
        <f t="shared" si="88"/>
        <v>7.2</v>
      </c>
      <c r="BA37" s="32">
        <f t="shared" si="88"/>
        <v>7.2</v>
      </c>
      <c r="BB37" s="32">
        <f t="shared" si="88"/>
        <v>7.2</v>
      </c>
      <c r="BC37" s="32">
        <f t="shared" si="88"/>
        <v>7.2</v>
      </c>
      <c r="BD37" s="32">
        <f t="shared" si="88"/>
        <v>7.2</v>
      </c>
      <c r="BE37" s="32">
        <f t="shared" si="88"/>
        <v>7.2</v>
      </c>
      <c r="BF37" s="32">
        <f t="shared" si="88"/>
        <v>7.2</v>
      </c>
      <c r="BG37" s="32">
        <f t="shared" si="88"/>
        <v>7.2</v>
      </c>
      <c r="BH37" s="32">
        <f>+BG37</f>
        <v>7.2</v>
      </c>
      <c r="BI37" s="32">
        <f t="shared" si="88"/>
        <v>7.2</v>
      </c>
      <c r="BJ37" s="32">
        <f t="shared" si="88"/>
        <v>7.2</v>
      </c>
      <c r="BK37" s="32">
        <f t="shared" si="88"/>
        <v>7.2</v>
      </c>
      <c r="BL37" s="32">
        <f t="shared" si="88"/>
        <v>7.2</v>
      </c>
      <c r="BM37" s="32">
        <f t="shared" si="88"/>
        <v>7.2</v>
      </c>
      <c r="BN37" s="32">
        <f t="shared" si="88"/>
        <v>7.2</v>
      </c>
      <c r="BO37" s="32">
        <f t="shared" si="88"/>
        <v>7.2</v>
      </c>
      <c r="BP37" s="32">
        <f t="shared" si="88"/>
        <v>7.2</v>
      </c>
      <c r="BQ37" s="32">
        <f t="shared" si="88"/>
        <v>7.2</v>
      </c>
      <c r="BR37" s="32">
        <f t="shared" si="88"/>
        <v>7.2</v>
      </c>
      <c r="BS37" s="32">
        <f t="shared" si="88"/>
        <v>7.2</v>
      </c>
      <c r="BT37" s="32">
        <f t="shared" si="88"/>
        <v>7.2</v>
      </c>
      <c r="BU37" s="32">
        <f t="shared" si="88"/>
        <v>7.2</v>
      </c>
      <c r="BV37" s="32">
        <f t="shared" si="88"/>
        <v>7.2</v>
      </c>
      <c r="BW37" s="32">
        <f t="shared" si="88"/>
        <v>7.2</v>
      </c>
      <c r="BX37" s="32">
        <f t="shared" si="88"/>
        <v>7.2</v>
      </c>
      <c r="BY37" s="32">
        <f t="shared" si="88"/>
        <v>7.2</v>
      </c>
      <c r="BZ37" s="32">
        <f t="shared" si="88"/>
        <v>7.2</v>
      </c>
      <c r="CA37" s="32">
        <f t="shared" si="88"/>
        <v>7.2</v>
      </c>
      <c r="CB37" s="32">
        <f t="shared" si="88"/>
        <v>7.2</v>
      </c>
      <c r="CC37" s="32">
        <f t="shared" si="88"/>
        <v>7.2</v>
      </c>
      <c r="CD37" s="32">
        <f t="shared" si="88"/>
        <v>7.2</v>
      </c>
      <c r="CE37" s="32">
        <f t="shared" si="88"/>
        <v>7.2</v>
      </c>
      <c r="CF37" s="32">
        <f t="shared" si="88"/>
        <v>7.2</v>
      </c>
      <c r="CG37" s="32">
        <f t="shared" si="88"/>
        <v>7.2</v>
      </c>
      <c r="CH37" s="32">
        <f t="shared" si="88"/>
        <v>7.2</v>
      </c>
      <c r="CI37" s="32">
        <f t="shared" si="88"/>
        <v>7.2</v>
      </c>
      <c r="CJ37" s="32">
        <f t="shared" si="88"/>
        <v>7.2</v>
      </c>
      <c r="CK37" s="32">
        <f t="shared" si="88"/>
        <v>7.2</v>
      </c>
      <c r="CL37" s="32">
        <f t="shared" si="88"/>
        <v>7.2</v>
      </c>
      <c r="CM37" s="32">
        <f t="shared" si="88"/>
        <v>7.2</v>
      </c>
      <c r="CN37" s="32">
        <f t="shared" si="88"/>
        <v>7.2</v>
      </c>
      <c r="CO37" s="32">
        <f t="shared" si="88"/>
        <v>7.2</v>
      </c>
      <c r="CP37" s="32">
        <f t="shared" si="88"/>
        <v>7.2</v>
      </c>
      <c r="CQ37" s="32">
        <f t="shared" si="88"/>
        <v>7.2</v>
      </c>
      <c r="CR37" s="117"/>
      <c r="CS37" s="246">
        <f>+CQ37</f>
        <v>7.2</v>
      </c>
      <c r="CT37" s="246">
        <f t="shared" ref="CT37:CZ38" si="99">+CS37</f>
        <v>7.2</v>
      </c>
      <c r="CU37" s="246">
        <f t="shared" si="99"/>
        <v>7.2</v>
      </c>
      <c r="CV37" s="246">
        <f t="shared" si="99"/>
        <v>7.2</v>
      </c>
      <c r="CW37" s="246">
        <f t="shared" si="99"/>
        <v>7.2</v>
      </c>
      <c r="CX37" s="246">
        <f t="shared" si="99"/>
        <v>7.2</v>
      </c>
      <c r="CY37" s="246">
        <f t="shared" si="99"/>
        <v>7.2</v>
      </c>
      <c r="CZ37" s="246">
        <f t="shared" si="99"/>
        <v>7.2</v>
      </c>
      <c r="DA37" s="246">
        <f t="shared" si="92"/>
        <v>6.6215384615384618</v>
      </c>
      <c r="DB37" s="246">
        <f t="shared" si="92"/>
        <v>6.5212121212121215</v>
      </c>
      <c r="DC37" s="246">
        <f t="shared" si="93"/>
        <v>7.2</v>
      </c>
      <c r="DD37" s="246">
        <f t="shared" si="94"/>
        <v>7.2</v>
      </c>
      <c r="DE37" s="246">
        <f t="shared" si="94"/>
        <v>7.2</v>
      </c>
      <c r="DF37" s="246">
        <f t="shared" si="94"/>
        <v>7.2</v>
      </c>
      <c r="DG37" s="246">
        <f t="shared" si="94"/>
        <v>7.2</v>
      </c>
      <c r="DH37" s="246">
        <f t="shared" si="94"/>
        <v>7.2</v>
      </c>
      <c r="DI37" s="246">
        <f t="shared" si="94"/>
        <v>7.2</v>
      </c>
      <c r="DJ37" s="246">
        <f t="shared" si="94"/>
        <v>7.2</v>
      </c>
      <c r="DK37" s="246">
        <f t="shared" si="94"/>
        <v>7.2</v>
      </c>
    </row>
    <row r="38" spans="1:115" x14ac:dyDescent="0.35">
      <c r="A38" s="4"/>
      <c r="C38" s="314"/>
      <c r="D38" s="1">
        <v>52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>
        <v>7.2</v>
      </c>
      <c r="R38" s="32">
        <f t="shared" si="95"/>
        <v>7.2</v>
      </c>
      <c r="S38" s="32">
        <f t="shared" si="95"/>
        <v>7.2</v>
      </c>
      <c r="T38" s="32">
        <f t="shared" si="95"/>
        <v>7.2</v>
      </c>
      <c r="U38" s="32">
        <f t="shared" si="95"/>
        <v>7.2</v>
      </c>
      <c r="V38" s="32">
        <f t="shared" si="95"/>
        <v>7.2</v>
      </c>
      <c r="W38" s="32">
        <f t="shared" si="95"/>
        <v>7.2</v>
      </c>
      <c r="X38" s="32">
        <f t="shared" si="95"/>
        <v>7.2</v>
      </c>
      <c r="Y38" s="32">
        <f t="shared" si="95"/>
        <v>7.2</v>
      </c>
      <c r="Z38" s="32">
        <f t="shared" si="95"/>
        <v>7.2</v>
      </c>
      <c r="AA38" s="32">
        <f t="shared" si="95"/>
        <v>7.2</v>
      </c>
      <c r="AB38" s="32">
        <f t="shared" si="95"/>
        <v>7.2</v>
      </c>
      <c r="AC38" s="32">
        <f t="shared" si="95"/>
        <v>7.2</v>
      </c>
      <c r="AD38" s="32">
        <f t="shared" si="95"/>
        <v>7.2</v>
      </c>
      <c r="AE38" s="32">
        <f t="shared" si="95"/>
        <v>7.2</v>
      </c>
      <c r="AF38" s="32">
        <f t="shared" si="95"/>
        <v>7.2</v>
      </c>
      <c r="AG38" s="32">
        <f t="shared" si="95"/>
        <v>7.2</v>
      </c>
      <c r="AH38" s="32">
        <f t="shared" si="95"/>
        <v>7.2</v>
      </c>
      <c r="AI38" s="32">
        <f t="shared" si="95"/>
        <v>7.2</v>
      </c>
      <c r="AJ38" s="32">
        <f t="shared" si="95"/>
        <v>7.2</v>
      </c>
      <c r="AK38" s="32">
        <f t="shared" si="95"/>
        <v>7.2</v>
      </c>
      <c r="AL38" s="32">
        <f t="shared" si="95"/>
        <v>7.2</v>
      </c>
      <c r="AM38" s="32">
        <f t="shared" si="95"/>
        <v>7.2</v>
      </c>
      <c r="AN38" s="32">
        <f t="shared" si="88"/>
        <v>7.2</v>
      </c>
      <c r="AO38" s="32">
        <f t="shared" si="88"/>
        <v>7.2</v>
      </c>
      <c r="AP38" s="32">
        <f t="shared" si="88"/>
        <v>7.2</v>
      </c>
      <c r="AQ38" s="32">
        <f t="shared" si="88"/>
        <v>7.2</v>
      </c>
      <c r="AR38" s="32">
        <f t="shared" si="88"/>
        <v>7.2</v>
      </c>
      <c r="AS38" s="32">
        <f t="shared" si="88"/>
        <v>7.2</v>
      </c>
      <c r="AT38" s="32">
        <f t="shared" si="88"/>
        <v>7.2</v>
      </c>
      <c r="AU38" s="32">
        <f t="shared" si="88"/>
        <v>7.2</v>
      </c>
      <c r="AV38" s="32">
        <f t="shared" si="88"/>
        <v>7.2</v>
      </c>
      <c r="AW38" s="32">
        <f t="shared" si="88"/>
        <v>7.2</v>
      </c>
      <c r="AX38" s="32">
        <f t="shared" si="88"/>
        <v>7.2</v>
      </c>
      <c r="AY38" s="32">
        <f t="shared" si="88"/>
        <v>7.2</v>
      </c>
      <c r="AZ38" s="32">
        <f t="shared" si="88"/>
        <v>7.2</v>
      </c>
      <c r="BA38" s="32">
        <f t="shared" si="88"/>
        <v>7.2</v>
      </c>
      <c r="BB38" s="32">
        <f t="shared" si="88"/>
        <v>7.2</v>
      </c>
      <c r="BC38" s="32">
        <f t="shared" si="88"/>
        <v>7.2</v>
      </c>
      <c r="BD38" s="32">
        <f t="shared" si="88"/>
        <v>7.2</v>
      </c>
      <c r="BE38" s="32">
        <f t="shared" si="88"/>
        <v>7.2</v>
      </c>
      <c r="BF38" s="32">
        <f t="shared" si="88"/>
        <v>7.2</v>
      </c>
      <c r="BG38" s="32">
        <f t="shared" si="88"/>
        <v>7.2</v>
      </c>
      <c r="BH38" s="32">
        <f>+BG38</f>
        <v>7.2</v>
      </c>
      <c r="BI38" s="32">
        <f t="shared" si="88"/>
        <v>7.2</v>
      </c>
      <c r="BJ38" s="32">
        <f t="shared" si="88"/>
        <v>7.2</v>
      </c>
      <c r="BK38" s="32">
        <f t="shared" si="88"/>
        <v>7.2</v>
      </c>
      <c r="BL38" s="32">
        <f t="shared" si="88"/>
        <v>7.2</v>
      </c>
      <c r="BM38" s="32">
        <f t="shared" si="88"/>
        <v>7.2</v>
      </c>
      <c r="BN38" s="32">
        <f t="shared" si="88"/>
        <v>7.2</v>
      </c>
      <c r="BO38" s="32">
        <f t="shared" si="88"/>
        <v>7.2</v>
      </c>
      <c r="BP38" s="32">
        <f t="shared" si="88"/>
        <v>7.2</v>
      </c>
      <c r="BQ38" s="32">
        <f t="shared" si="88"/>
        <v>7.2</v>
      </c>
      <c r="BR38" s="32">
        <f t="shared" si="88"/>
        <v>7.2</v>
      </c>
      <c r="BS38" s="32">
        <f t="shared" si="88"/>
        <v>7.2</v>
      </c>
      <c r="BT38" s="32">
        <f t="shared" si="88"/>
        <v>7.2</v>
      </c>
      <c r="BU38" s="32">
        <f t="shared" si="88"/>
        <v>7.2</v>
      </c>
      <c r="BV38" s="32">
        <f t="shared" si="88"/>
        <v>7.2</v>
      </c>
      <c r="BW38" s="32">
        <f t="shared" si="88"/>
        <v>7.2</v>
      </c>
      <c r="BX38" s="32">
        <f t="shared" si="88"/>
        <v>7.2</v>
      </c>
      <c r="BY38" s="32">
        <f t="shared" si="88"/>
        <v>7.2</v>
      </c>
      <c r="BZ38" s="32">
        <f t="shared" si="88"/>
        <v>7.2</v>
      </c>
      <c r="CA38" s="32">
        <f t="shared" si="88"/>
        <v>7.2</v>
      </c>
      <c r="CB38" s="32">
        <f t="shared" si="88"/>
        <v>7.2</v>
      </c>
      <c r="CC38" s="32">
        <f t="shared" si="88"/>
        <v>7.2</v>
      </c>
      <c r="CD38" s="32">
        <f t="shared" si="88"/>
        <v>7.2</v>
      </c>
      <c r="CE38" s="32">
        <f t="shared" si="88"/>
        <v>7.2</v>
      </c>
      <c r="CF38" s="32">
        <f t="shared" si="88"/>
        <v>7.2</v>
      </c>
      <c r="CG38" s="32">
        <f t="shared" si="88"/>
        <v>7.2</v>
      </c>
      <c r="CH38" s="32">
        <f t="shared" si="88"/>
        <v>7.2</v>
      </c>
      <c r="CI38" s="32">
        <f t="shared" si="88"/>
        <v>7.2</v>
      </c>
      <c r="CJ38" s="32">
        <f t="shared" si="88"/>
        <v>7.2</v>
      </c>
      <c r="CK38" s="32">
        <f t="shared" si="88"/>
        <v>7.2</v>
      </c>
      <c r="CL38" s="32">
        <f t="shared" si="88"/>
        <v>7.2</v>
      </c>
      <c r="CM38" s="32">
        <f t="shared" si="88"/>
        <v>7.2</v>
      </c>
      <c r="CN38" s="32">
        <f t="shared" si="88"/>
        <v>7.2</v>
      </c>
      <c r="CO38" s="32">
        <f t="shared" si="88"/>
        <v>7.2</v>
      </c>
      <c r="CP38" s="32">
        <f t="shared" si="88"/>
        <v>7.2</v>
      </c>
      <c r="CQ38" s="32">
        <f t="shared" si="88"/>
        <v>7.2</v>
      </c>
      <c r="CR38" s="117"/>
      <c r="CS38" s="246">
        <f>+CQ38</f>
        <v>7.2</v>
      </c>
      <c r="CT38" s="246">
        <f t="shared" si="99"/>
        <v>7.2</v>
      </c>
      <c r="CU38" s="246">
        <f t="shared" si="99"/>
        <v>7.2</v>
      </c>
      <c r="CV38" s="246">
        <f t="shared" si="99"/>
        <v>7.2</v>
      </c>
      <c r="CW38" s="246">
        <f t="shared" si="99"/>
        <v>7.2</v>
      </c>
      <c r="CX38" s="246">
        <f t="shared" si="99"/>
        <v>7.2</v>
      </c>
      <c r="CY38" s="246">
        <f t="shared" si="99"/>
        <v>7.2</v>
      </c>
      <c r="CZ38" s="246">
        <f t="shared" si="99"/>
        <v>7.2</v>
      </c>
      <c r="DA38" s="246">
        <f t="shared" si="92"/>
        <v>6.6215384615384618</v>
      </c>
      <c r="DB38" s="246">
        <f t="shared" si="92"/>
        <v>6.5212121212121215</v>
      </c>
      <c r="DC38" s="246">
        <f t="shared" si="93"/>
        <v>7.2</v>
      </c>
      <c r="DD38" s="246">
        <f t="shared" si="94"/>
        <v>7.2</v>
      </c>
      <c r="DE38" s="246">
        <f t="shared" si="94"/>
        <v>7.2</v>
      </c>
      <c r="DF38" s="246">
        <f t="shared" si="94"/>
        <v>7.2</v>
      </c>
      <c r="DG38" s="246">
        <f t="shared" si="94"/>
        <v>7.2</v>
      </c>
      <c r="DH38" s="246">
        <f t="shared" si="94"/>
        <v>7.2</v>
      </c>
      <c r="DI38" s="246">
        <f t="shared" si="94"/>
        <v>7.2</v>
      </c>
      <c r="DJ38" s="246">
        <f t="shared" si="94"/>
        <v>7.2</v>
      </c>
      <c r="DK38" s="246">
        <f t="shared" si="94"/>
        <v>7.2</v>
      </c>
    </row>
    <row r="39" spans="1:115" ht="6.65" customHeight="1" x14ac:dyDescent="0.35"/>
    <row r="40" spans="1:115" x14ac:dyDescent="0.35">
      <c r="A40" s="4"/>
      <c r="C40" s="314" t="s">
        <v>68</v>
      </c>
      <c r="D40" s="1" t="s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>
        <f t="shared" ref="Q40:AV40" si="100">+Q33+Q26</f>
        <v>17.5</v>
      </c>
      <c r="R40" s="2">
        <f t="shared" si="100"/>
        <v>16.880098585381255</v>
      </c>
      <c r="S40" s="2">
        <f t="shared" si="100"/>
        <v>16.547604550314837</v>
      </c>
      <c r="T40" s="2">
        <f t="shared" si="100"/>
        <v>17.835757635550522</v>
      </c>
      <c r="U40" s="2">
        <f t="shared" si="100"/>
        <v>16.570049799385572</v>
      </c>
      <c r="V40" s="2">
        <f t="shared" si="100"/>
        <v>15.122428201155294</v>
      </c>
      <c r="W40" s="2">
        <f t="shared" si="100"/>
        <v>14.364741285201369</v>
      </c>
      <c r="X40" s="2">
        <f t="shared" si="100"/>
        <v>14.189358884271964</v>
      </c>
      <c r="Y40" s="2">
        <f t="shared" si="100"/>
        <v>13.856981561764336</v>
      </c>
      <c r="Z40" s="2">
        <f t="shared" si="100"/>
        <v>13.455361579150569</v>
      </c>
      <c r="AA40" s="2">
        <f t="shared" si="100"/>
        <v>13.842842869130266</v>
      </c>
      <c r="AB40" s="2">
        <f t="shared" si="100"/>
        <v>13.470057600012282</v>
      </c>
      <c r="AC40" s="2">
        <f t="shared" si="100"/>
        <v>13.500971662248588</v>
      </c>
      <c r="AD40" s="2">
        <f t="shared" si="100"/>
        <v>13.432728622878525</v>
      </c>
      <c r="AE40" s="2">
        <f t="shared" si="100"/>
        <v>14.986154532693963</v>
      </c>
      <c r="AF40" s="2">
        <f t="shared" si="100"/>
        <v>14.406124533151452</v>
      </c>
      <c r="AG40" s="2">
        <f t="shared" si="100"/>
        <v>14.007728148679984</v>
      </c>
      <c r="AH40" s="2">
        <f t="shared" si="100"/>
        <v>14.033862434214608</v>
      </c>
      <c r="AI40" s="2">
        <f t="shared" si="100"/>
        <v>14.492330170925257</v>
      </c>
      <c r="AJ40" s="2">
        <f t="shared" si="100"/>
        <v>11.93177194697682</v>
      </c>
      <c r="AK40" s="2">
        <f t="shared" si="100"/>
        <v>13.753344718344536</v>
      </c>
      <c r="AL40" s="2">
        <f t="shared" si="100"/>
        <v>13.219113744111798</v>
      </c>
      <c r="AM40" s="2">
        <f t="shared" si="100"/>
        <v>13.2398383399617</v>
      </c>
      <c r="AN40" s="2">
        <f t="shared" si="100"/>
        <v>13.244689035303985</v>
      </c>
      <c r="AO40" s="2">
        <f t="shared" si="100"/>
        <v>13.171156994974446</v>
      </c>
      <c r="AP40" s="2">
        <f t="shared" si="100"/>
        <v>12.925354840808676</v>
      </c>
      <c r="AQ40" s="2">
        <f t="shared" si="100"/>
        <v>14.143196425911075</v>
      </c>
      <c r="AR40" s="2">
        <f t="shared" si="100"/>
        <v>13.808835855722716</v>
      </c>
      <c r="AS40" s="2">
        <f t="shared" si="100"/>
        <v>13.589109842376807</v>
      </c>
      <c r="AT40" s="2">
        <f t="shared" si="100"/>
        <v>13.353698390526631</v>
      </c>
      <c r="AU40" s="2">
        <f t="shared" si="100"/>
        <v>13.137563448513642</v>
      </c>
      <c r="AV40" s="2">
        <f t="shared" si="100"/>
        <v>12.932267303808391</v>
      </c>
      <c r="AW40" s="2">
        <f t="shared" ref="AW40:CB40" si="101">+AW33+AW26</f>
        <v>13.783841862855045</v>
      </c>
      <c r="AX40" s="2">
        <f t="shared" si="101"/>
        <v>13.542467736367435</v>
      </c>
      <c r="AY40" s="2">
        <f t="shared" si="101"/>
        <v>13.226498254978445</v>
      </c>
      <c r="AZ40" s="2">
        <f t="shared" si="101"/>
        <v>12.947172586004722</v>
      </c>
      <c r="BA40" s="2">
        <f t="shared" si="101"/>
        <v>12.655966713755838</v>
      </c>
      <c r="BB40" s="2">
        <f t="shared" si="101"/>
        <v>12.442341050014445</v>
      </c>
      <c r="BC40" s="2">
        <f t="shared" si="101"/>
        <v>14.126750881820907</v>
      </c>
      <c r="BD40" s="2">
        <f t="shared" si="101"/>
        <v>13.973739644372845</v>
      </c>
      <c r="BE40" s="2">
        <f t="shared" si="101"/>
        <v>13.862288410509063</v>
      </c>
      <c r="BF40" s="2">
        <f t="shared" si="101"/>
        <v>13.770111587207726</v>
      </c>
      <c r="BG40" s="2">
        <f t="shared" si="101"/>
        <v>13.681627687739407</v>
      </c>
      <c r="BH40" s="2">
        <f t="shared" si="101"/>
        <v>13.587825671450005</v>
      </c>
      <c r="BI40" s="2">
        <f t="shared" si="101"/>
        <v>13.500345160294952</v>
      </c>
      <c r="BJ40" s="2">
        <f t="shared" si="101"/>
        <v>13.416316497468145</v>
      </c>
      <c r="BK40" s="2">
        <f t="shared" si="101"/>
        <v>13.312332420042825</v>
      </c>
      <c r="BL40" s="2">
        <f t="shared" si="101"/>
        <v>15.963004118084108</v>
      </c>
      <c r="BM40" s="2">
        <f t="shared" si="101"/>
        <v>15.721812826219761</v>
      </c>
      <c r="BN40" s="2">
        <f t="shared" si="101"/>
        <v>15.478206449600737</v>
      </c>
      <c r="BO40" s="2">
        <f t="shared" si="101"/>
        <v>15.151603237529077</v>
      </c>
      <c r="BP40" s="2">
        <f t="shared" si="101"/>
        <v>14.724957081220076</v>
      </c>
      <c r="BQ40" s="2">
        <f t="shared" si="101"/>
        <v>14.361445782109811</v>
      </c>
      <c r="BR40" s="2">
        <f t="shared" si="101"/>
        <v>16.393112121808965</v>
      </c>
      <c r="BS40" s="2">
        <f t="shared" si="101"/>
        <v>15.790797581037115</v>
      </c>
      <c r="BT40" s="2">
        <f t="shared" si="101"/>
        <v>15.120304043081365</v>
      </c>
      <c r="BU40" s="2">
        <f t="shared" si="101"/>
        <v>14.476434505812826</v>
      </c>
      <c r="BV40" s="2">
        <f t="shared" si="101"/>
        <v>14.077278838256195</v>
      </c>
      <c r="BW40" s="2">
        <f t="shared" si="101"/>
        <v>13.548097841883891</v>
      </c>
      <c r="BX40" s="2">
        <f t="shared" si="101"/>
        <v>16.399689079663503</v>
      </c>
      <c r="BY40" s="2">
        <f t="shared" si="101"/>
        <v>15.696482712985869</v>
      </c>
      <c r="BZ40" s="2">
        <f t="shared" si="101"/>
        <v>15.174284871796903</v>
      </c>
      <c r="CA40" s="2">
        <f t="shared" si="101"/>
        <v>14.493214480043363</v>
      </c>
      <c r="CB40" s="2">
        <f t="shared" si="101"/>
        <v>13.900789353795556</v>
      </c>
      <c r="CC40" s="2">
        <f t="shared" ref="CC40:CP40" si="102">+CC33+CC26</f>
        <v>13.340084339124907</v>
      </c>
      <c r="CD40" s="2">
        <f t="shared" si="102"/>
        <v>16.164295418313255</v>
      </c>
      <c r="CE40" s="2">
        <f t="shared" si="102"/>
        <v>15.42317323332605</v>
      </c>
      <c r="CF40" s="2">
        <f t="shared" si="102"/>
        <v>13.210973402979118</v>
      </c>
      <c r="CG40" s="2">
        <f t="shared" si="102"/>
        <v>13.213333681094255</v>
      </c>
      <c r="CH40" s="2">
        <f t="shared" si="102"/>
        <v>13.213333681094255</v>
      </c>
      <c r="CI40" s="2">
        <f t="shared" si="102"/>
        <v>12.959323700866765</v>
      </c>
      <c r="CJ40" s="2">
        <f t="shared" si="102"/>
        <v>10.99408591460104</v>
      </c>
      <c r="CK40" s="2">
        <f t="shared" si="102"/>
        <v>13.243421987133932</v>
      </c>
      <c r="CL40" s="2">
        <f t="shared" si="102"/>
        <v>14.257219817519623</v>
      </c>
      <c r="CM40" s="2">
        <f t="shared" si="102"/>
        <v>15.465084337352991</v>
      </c>
      <c r="CN40" s="2">
        <f t="shared" si="102"/>
        <v>15.829013708841991</v>
      </c>
      <c r="CO40" s="2">
        <f t="shared" si="102"/>
        <v>16.168054424861207</v>
      </c>
      <c r="CP40" s="2">
        <f t="shared" si="102"/>
        <v>16.312622577852562</v>
      </c>
      <c r="CQ40" s="2">
        <f>+CQ33+CQ26</f>
        <v>16.326127204214281</v>
      </c>
      <c r="CR40" s="107"/>
      <c r="CS40" s="245">
        <f t="shared" ref="CS40:CY41" si="103">+CS33+CS26</f>
        <v>16.369272374641383</v>
      </c>
      <c r="CT40" s="245">
        <f t="shared" si="103"/>
        <v>16.340554455673583</v>
      </c>
      <c r="CU40" s="245">
        <f t="shared" si="103"/>
        <v>16.456734116438028</v>
      </c>
      <c r="CV40" s="245">
        <f t="shared" si="103"/>
        <v>16.581093173799097</v>
      </c>
      <c r="CW40" s="245">
        <f t="shared" si="103"/>
        <v>16.567311086571426</v>
      </c>
      <c r="CX40" s="245">
        <f t="shared" si="103"/>
        <v>16.503554930871385</v>
      </c>
      <c r="CY40" s="245">
        <f t="shared" ref="CY40:CZ41" si="104">+CY33+CY26</f>
        <v>16.620964066295592</v>
      </c>
      <c r="CZ40" s="245">
        <f t="shared" si="104"/>
        <v>16.657875117148382</v>
      </c>
      <c r="DA40" s="245">
        <f t="shared" ref="DA40:DC41" si="105">+DA33+DA26</f>
        <v>15.319550107736461</v>
      </c>
      <c r="DB40" s="245">
        <f>+DB33+DB26</f>
        <v>15.087435712164698</v>
      </c>
      <c r="DC40" s="245">
        <f>+DC33+DC26</f>
        <v>15.50904594382753</v>
      </c>
      <c r="DD40" s="245">
        <f>+DD33+DD26</f>
        <v>14.363093590458753</v>
      </c>
      <c r="DE40" s="245">
        <f>+DE33+DE26</f>
        <v>14.852581471390323</v>
      </c>
      <c r="DF40" s="245">
        <f t="shared" ref="DF40:DK40" si="106">+(DF33+DF26)*0.99</f>
        <v>14.51177531700791</v>
      </c>
      <c r="DG40" s="245">
        <f t="shared" si="106"/>
        <v>14.583621849666653</v>
      </c>
      <c r="DH40" s="245">
        <f t="shared" si="106"/>
        <v>14.791538338332266</v>
      </c>
      <c r="DI40" s="245">
        <f t="shared" si="106"/>
        <v>14.844191341126322</v>
      </c>
      <c r="DJ40" s="245">
        <f t="shared" si="106"/>
        <v>15.018549830203494</v>
      </c>
      <c r="DK40" s="245">
        <f t="shared" si="106"/>
        <v>15.540482023799399</v>
      </c>
    </row>
    <row r="41" spans="1:115" x14ac:dyDescent="0.35">
      <c r="A41" s="4"/>
      <c r="C41" s="314"/>
      <c r="D41" s="1">
        <v>30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107"/>
      <c r="CS41" s="245">
        <f t="shared" si="103"/>
        <v>17.570964066295591</v>
      </c>
      <c r="CT41" s="245">
        <f t="shared" si="103"/>
        <v>17.570964066295591</v>
      </c>
      <c r="CU41" s="245">
        <f t="shared" si="103"/>
        <v>17.570964066295591</v>
      </c>
      <c r="CV41" s="245">
        <f t="shared" si="103"/>
        <v>17.570964066295591</v>
      </c>
      <c r="CW41" s="245">
        <f t="shared" si="103"/>
        <v>17.570964066295591</v>
      </c>
      <c r="CX41" s="245">
        <f t="shared" si="103"/>
        <v>17.570964066295591</v>
      </c>
      <c r="CY41" s="245">
        <f t="shared" si="103"/>
        <v>17.570964066295591</v>
      </c>
      <c r="CZ41" s="245">
        <f t="shared" si="104"/>
        <v>17.607875117148382</v>
      </c>
      <c r="DA41" s="245">
        <f t="shared" si="105"/>
        <v>16.193225321411678</v>
      </c>
      <c r="DB41" s="245">
        <f t="shared" si="105"/>
        <v>15.947873422602408</v>
      </c>
      <c r="DC41" s="245">
        <f t="shared" si="105"/>
        <v>16.459045943827533</v>
      </c>
      <c r="DD41" s="245">
        <f t="shared" ref="DD41:DE41" si="107">+DD34+DD27</f>
        <v>15.313093590458752</v>
      </c>
      <c r="DE41" s="245">
        <f t="shared" si="107"/>
        <v>15.802581471390322</v>
      </c>
      <c r="DF41" s="245">
        <f t="shared" ref="DF41:DG45" si="108">+(DF34+DF27)*0.99</f>
        <v>15.45227531700791</v>
      </c>
      <c r="DG41" s="245">
        <f t="shared" si="108"/>
        <v>15.524121849666651</v>
      </c>
      <c r="DH41" s="245">
        <f t="shared" ref="DH41:DI41" si="109">+(DH34+DH27)*0.99</f>
        <v>15.732038338332268</v>
      </c>
      <c r="DI41" s="245">
        <f t="shared" si="109"/>
        <v>15.784691341126321</v>
      </c>
      <c r="DJ41" s="245">
        <f t="shared" ref="DJ41:DK41" si="110">+(DJ34+DJ27)*0.99</f>
        <v>15.959049830203494</v>
      </c>
      <c r="DK41" s="245">
        <f t="shared" si="110"/>
        <v>16.480982023799399</v>
      </c>
    </row>
    <row r="42" spans="1:115" x14ac:dyDescent="0.35">
      <c r="A42" s="4"/>
      <c r="C42" s="314"/>
      <c r="D42" s="1">
        <v>30.4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>
        <f t="shared" ref="Q42:AV42" si="111">+Q35+Q28</f>
        <v>17.5</v>
      </c>
      <c r="R42" s="2">
        <f t="shared" si="111"/>
        <v>16.880098585381255</v>
      </c>
      <c r="S42" s="2">
        <f t="shared" si="111"/>
        <v>16.547604550314837</v>
      </c>
      <c r="T42" s="2">
        <f t="shared" si="111"/>
        <v>17.835757635550522</v>
      </c>
      <c r="U42" s="2">
        <f t="shared" si="111"/>
        <v>16.570049799385572</v>
      </c>
      <c r="V42" s="2">
        <f t="shared" si="111"/>
        <v>15.122428201155294</v>
      </c>
      <c r="W42" s="2">
        <f t="shared" si="111"/>
        <v>14.364741285201369</v>
      </c>
      <c r="X42" s="2">
        <f t="shared" si="111"/>
        <v>14.189358884271964</v>
      </c>
      <c r="Y42" s="2">
        <f t="shared" si="111"/>
        <v>13.856981561764336</v>
      </c>
      <c r="Z42" s="2">
        <f t="shared" si="111"/>
        <v>13.455361579150569</v>
      </c>
      <c r="AA42" s="2">
        <f t="shared" si="111"/>
        <v>13.842842869130266</v>
      </c>
      <c r="AB42" s="2">
        <f t="shared" si="111"/>
        <v>13.470057600012282</v>
      </c>
      <c r="AC42" s="2">
        <f t="shared" si="111"/>
        <v>13.500971662248588</v>
      </c>
      <c r="AD42" s="2">
        <f t="shared" si="111"/>
        <v>13.432728622878525</v>
      </c>
      <c r="AE42" s="2">
        <f t="shared" si="111"/>
        <v>14.986154532693963</v>
      </c>
      <c r="AF42" s="2">
        <f t="shared" si="111"/>
        <v>14.406124533151452</v>
      </c>
      <c r="AG42" s="2">
        <f t="shared" si="111"/>
        <v>14.007728148679984</v>
      </c>
      <c r="AH42" s="2">
        <f t="shared" si="111"/>
        <v>14.033862434214608</v>
      </c>
      <c r="AI42" s="2">
        <f t="shared" si="111"/>
        <v>14.492330170925257</v>
      </c>
      <c r="AJ42" s="2">
        <f t="shared" si="111"/>
        <v>11.93177194697682</v>
      </c>
      <c r="AK42" s="2">
        <f t="shared" si="111"/>
        <v>13.753344718344536</v>
      </c>
      <c r="AL42" s="2">
        <f t="shared" si="111"/>
        <v>13.219113744111798</v>
      </c>
      <c r="AM42" s="2">
        <f t="shared" si="111"/>
        <v>13.2398383399617</v>
      </c>
      <c r="AN42" s="2">
        <f t="shared" si="111"/>
        <v>13.244689035303985</v>
      </c>
      <c r="AO42" s="2">
        <f t="shared" si="111"/>
        <v>13.171156994974446</v>
      </c>
      <c r="AP42" s="2">
        <f t="shared" si="111"/>
        <v>12.925354840808676</v>
      </c>
      <c r="AQ42" s="2">
        <f t="shared" si="111"/>
        <v>14.143196425911075</v>
      </c>
      <c r="AR42" s="2">
        <f t="shared" si="111"/>
        <v>13.808835855722716</v>
      </c>
      <c r="AS42" s="2">
        <f t="shared" si="111"/>
        <v>13.589109842376807</v>
      </c>
      <c r="AT42" s="2">
        <f t="shared" si="111"/>
        <v>13.353698390526631</v>
      </c>
      <c r="AU42" s="2">
        <f t="shared" si="111"/>
        <v>13.137563448513642</v>
      </c>
      <c r="AV42" s="2">
        <f t="shared" si="111"/>
        <v>12.932267303808391</v>
      </c>
      <c r="AW42" s="2">
        <f t="shared" ref="AW42:CB42" si="112">+AW35+AW28</f>
        <v>13.783841862855045</v>
      </c>
      <c r="AX42" s="2">
        <f t="shared" si="112"/>
        <v>13.542467736367435</v>
      </c>
      <c r="AY42" s="2">
        <f t="shared" si="112"/>
        <v>13.226498254978445</v>
      </c>
      <c r="AZ42" s="2">
        <f t="shared" si="112"/>
        <v>12.947172586004722</v>
      </c>
      <c r="BA42" s="2">
        <f t="shared" si="112"/>
        <v>12.655966713755838</v>
      </c>
      <c r="BB42" s="2">
        <f t="shared" si="112"/>
        <v>12.442341050014445</v>
      </c>
      <c r="BC42" s="2">
        <f t="shared" si="112"/>
        <v>14.126750881820907</v>
      </c>
      <c r="BD42" s="2">
        <f t="shared" si="112"/>
        <v>13.973739644372845</v>
      </c>
      <c r="BE42" s="2">
        <f t="shared" si="112"/>
        <v>13.862288410509063</v>
      </c>
      <c r="BF42" s="2">
        <f t="shared" si="112"/>
        <v>13.770111587207726</v>
      </c>
      <c r="BG42" s="2">
        <f t="shared" si="112"/>
        <v>13.681627687739407</v>
      </c>
      <c r="BH42" s="2">
        <f t="shared" si="112"/>
        <v>13.587825671450005</v>
      </c>
      <c r="BI42" s="2">
        <f t="shared" si="112"/>
        <v>13.500345160294952</v>
      </c>
      <c r="BJ42" s="2">
        <f t="shared" si="112"/>
        <v>13.416316497468145</v>
      </c>
      <c r="BK42" s="2">
        <f t="shared" si="112"/>
        <v>13.312332420042825</v>
      </c>
      <c r="BL42" s="2">
        <f t="shared" si="112"/>
        <v>15.963004118084108</v>
      </c>
      <c r="BM42" s="2">
        <f t="shared" si="112"/>
        <v>15.721812826219761</v>
      </c>
      <c r="BN42" s="2">
        <f t="shared" si="112"/>
        <v>15.478206449600737</v>
      </c>
      <c r="BO42" s="2">
        <f t="shared" si="112"/>
        <v>15.151603237529077</v>
      </c>
      <c r="BP42" s="2">
        <f t="shared" si="112"/>
        <v>14.724957081220076</v>
      </c>
      <c r="BQ42" s="2">
        <f t="shared" si="112"/>
        <v>14.361445782109811</v>
      </c>
      <c r="BR42" s="2">
        <f t="shared" si="112"/>
        <v>16.393112121808965</v>
      </c>
      <c r="BS42" s="2">
        <f t="shared" si="112"/>
        <v>15.790797581037115</v>
      </c>
      <c r="BT42" s="2">
        <f t="shared" si="112"/>
        <v>15.120304043081365</v>
      </c>
      <c r="BU42" s="2">
        <f t="shared" si="112"/>
        <v>14.476434505812826</v>
      </c>
      <c r="BV42" s="2">
        <f t="shared" si="112"/>
        <v>14.077278838256195</v>
      </c>
      <c r="BW42" s="2">
        <f t="shared" si="112"/>
        <v>13.548097841883891</v>
      </c>
      <c r="BX42" s="2">
        <f t="shared" si="112"/>
        <v>16.399689079663503</v>
      </c>
      <c r="BY42" s="2">
        <f t="shared" si="112"/>
        <v>15.696482712985869</v>
      </c>
      <c r="BZ42" s="2">
        <f t="shared" si="112"/>
        <v>15.174284871796903</v>
      </c>
      <c r="CA42" s="2">
        <f t="shared" si="112"/>
        <v>14.493214480043363</v>
      </c>
      <c r="CB42" s="2">
        <f t="shared" si="112"/>
        <v>13.900789353795556</v>
      </c>
      <c r="CC42" s="2">
        <f t="shared" ref="CC42:CP42" si="113">+CC35+CC28</f>
        <v>13.340084339124907</v>
      </c>
      <c r="CD42" s="2">
        <f t="shared" si="113"/>
        <v>16.164295418313255</v>
      </c>
      <c r="CE42" s="2">
        <f t="shared" si="113"/>
        <v>15.42317323332605</v>
      </c>
      <c r="CF42" s="2">
        <f t="shared" si="113"/>
        <v>13.210973402979118</v>
      </c>
      <c r="CG42" s="2">
        <f t="shared" si="113"/>
        <v>13.213333681094255</v>
      </c>
      <c r="CH42" s="2">
        <f t="shared" si="113"/>
        <v>13.213333681094255</v>
      </c>
      <c r="CI42" s="2">
        <f t="shared" si="113"/>
        <v>12.959323700866765</v>
      </c>
      <c r="CJ42" s="2">
        <f t="shared" si="113"/>
        <v>10.99408591460104</v>
      </c>
      <c r="CK42" s="2">
        <f t="shared" si="113"/>
        <v>13.243421987133932</v>
      </c>
      <c r="CL42" s="2">
        <f t="shared" si="113"/>
        <v>14.257219817519623</v>
      </c>
      <c r="CM42" s="2">
        <f t="shared" si="113"/>
        <v>15.465084337352991</v>
      </c>
      <c r="CN42" s="2">
        <f t="shared" si="113"/>
        <v>15.829013708841991</v>
      </c>
      <c r="CO42" s="2">
        <f t="shared" si="113"/>
        <v>16.168054424861207</v>
      </c>
      <c r="CP42" s="2">
        <f t="shared" si="113"/>
        <v>16.312622577852562</v>
      </c>
      <c r="CQ42" s="2">
        <f t="shared" ref="CQ42:CS42" si="114">+CQ35+CQ28</f>
        <v>16.326127204214281</v>
      </c>
      <c r="CR42" s="107"/>
      <c r="CS42" s="245">
        <f t="shared" si="114"/>
        <v>16.369272374641383</v>
      </c>
      <c r="CT42" s="245">
        <f t="shared" ref="CT42:CU42" si="115">+CT35+CT28</f>
        <v>16.340554455673583</v>
      </c>
      <c r="CU42" s="245">
        <f t="shared" si="115"/>
        <v>16.456734116438028</v>
      </c>
      <c r="CV42" s="245">
        <f t="shared" ref="CV42:CW42" si="116">+CV35+CV28</f>
        <v>16.581093173799097</v>
      </c>
      <c r="CW42" s="245">
        <f t="shared" si="116"/>
        <v>16.567311086571426</v>
      </c>
      <c r="CX42" s="245">
        <f t="shared" ref="CX42:CY42" si="117">+CX35+CX28</f>
        <v>16.503554930871385</v>
      </c>
      <c r="CY42" s="245">
        <f t="shared" si="117"/>
        <v>16.620964066295592</v>
      </c>
      <c r="CZ42" s="245">
        <f t="shared" ref="CZ42:DA42" si="118">+CZ35+CZ28</f>
        <v>16.657875117148382</v>
      </c>
      <c r="DA42" s="245">
        <f t="shared" si="118"/>
        <v>15.319550107736461</v>
      </c>
      <c r="DB42" s="245">
        <f t="shared" ref="DB42:DC42" si="119">+DB35+DB28</f>
        <v>15.087435712164698</v>
      </c>
      <c r="DC42" s="245">
        <f t="shared" si="119"/>
        <v>15.50904594382753</v>
      </c>
      <c r="DD42" s="245">
        <f t="shared" ref="DD42:DE42" si="120">+DD35+DD28</f>
        <v>14.363093590458753</v>
      </c>
      <c r="DE42" s="245">
        <f t="shared" si="120"/>
        <v>14.852581471390323</v>
      </c>
      <c r="DF42" s="245">
        <f t="shared" si="108"/>
        <v>14.51177531700791</v>
      </c>
      <c r="DG42" s="245">
        <f t="shared" si="108"/>
        <v>14.583621849666653</v>
      </c>
      <c r="DH42" s="245">
        <f t="shared" ref="DH42:DI42" si="121">+(DH35+DH28)*0.99</f>
        <v>14.791538338332266</v>
      </c>
      <c r="DI42" s="245">
        <f t="shared" si="121"/>
        <v>14.844191341126322</v>
      </c>
      <c r="DJ42" s="245">
        <f t="shared" ref="DJ42:DK42" si="122">+(DJ35+DJ28)*0.99</f>
        <v>15.018549830203494</v>
      </c>
      <c r="DK42" s="245">
        <f t="shared" si="122"/>
        <v>15.540482023799399</v>
      </c>
    </row>
    <row r="43" spans="1:115" x14ac:dyDescent="0.35">
      <c r="A43" s="4"/>
      <c r="C43" s="314"/>
      <c r="D43" s="1">
        <v>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107"/>
      <c r="CS43" s="245">
        <f t="shared" ref="CS43:CX43" si="123">+CS29+CS36</f>
        <v>16.369272374641383</v>
      </c>
      <c r="CT43" s="245">
        <f t="shared" si="123"/>
        <v>16.340554455673583</v>
      </c>
      <c r="CU43" s="245">
        <f t="shared" si="123"/>
        <v>16.456734116438028</v>
      </c>
      <c r="CV43" s="245">
        <f t="shared" si="123"/>
        <v>16.581093173799097</v>
      </c>
      <c r="CW43" s="245">
        <f t="shared" si="123"/>
        <v>16.567311086571426</v>
      </c>
      <c r="CX43" s="245">
        <f t="shared" si="123"/>
        <v>16.503554930871385</v>
      </c>
      <c r="CY43" s="245">
        <f t="shared" ref="CY43:CZ43" si="124">+CY29+CY36</f>
        <v>16.620964066295592</v>
      </c>
      <c r="CZ43" s="245">
        <f t="shared" si="124"/>
        <v>16.657875117148382</v>
      </c>
      <c r="DA43" s="245">
        <f t="shared" ref="DA43:DB43" si="125">+DA29+DA36</f>
        <v>15.319550107736461</v>
      </c>
      <c r="DB43" s="245">
        <f t="shared" si="125"/>
        <v>15.087435712164698</v>
      </c>
      <c r="DC43" s="245">
        <f t="shared" ref="DC43:DD43" si="126">+DC29+DC36</f>
        <v>15.50904594382753</v>
      </c>
      <c r="DD43" s="245">
        <f t="shared" si="126"/>
        <v>14.363093590458753</v>
      </c>
      <c r="DE43" s="245">
        <f t="shared" ref="DE43" si="127">+DE29+DE36</f>
        <v>14.852581471390323</v>
      </c>
      <c r="DF43" s="245">
        <f t="shared" si="108"/>
        <v>14.51177531700791</v>
      </c>
      <c r="DG43" s="245">
        <f t="shared" si="108"/>
        <v>14.583621849666653</v>
      </c>
      <c r="DH43" s="245">
        <f t="shared" ref="DH43:DI43" si="128">+(DH36+DH29)*0.99</f>
        <v>14.791538338332266</v>
      </c>
      <c r="DI43" s="245">
        <f t="shared" si="128"/>
        <v>14.844191341126322</v>
      </c>
      <c r="DJ43" s="245">
        <f t="shared" ref="DJ43:DK43" si="129">+(DJ36+DJ29)*0.99</f>
        <v>15.018549830203494</v>
      </c>
      <c r="DK43" s="245">
        <f t="shared" si="129"/>
        <v>15.540482023799399</v>
      </c>
    </row>
    <row r="44" spans="1:115" x14ac:dyDescent="0.35">
      <c r="A44" s="4"/>
      <c r="C44" s="314"/>
      <c r="D44" s="1">
        <v>44.8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">
        <f t="shared" ref="Q44:AV44" si="130">+Q37+Q30</f>
        <v>25</v>
      </c>
      <c r="R44" s="2">
        <f t="shared" si="130"/>
        <v>24.120777276477</v>
      </c>
      <c r="S44" s="2">
        <f t="shared" si="130"/>
        <v>23.649192111203519</v>
      </c>
      <c r="T44" s="2">
        <f t="shared" si="130"/>
        <v>25.476214016956121</v>
      </c>
      <c r="U44" s="2">
        <f t="shared" si="130"/>
        <v>23.681026807096671</v>
      </c>
      <c r="V44" s="2">
        <f t="shared" si="130"/>
        <v>21.627826452634608</v>
      </c>
      <c r="W44" s="2">
        <f t="shared" si="130"/>
        <v>20.553178874628241</v>
      </c>
      <c r="X44" s="2">
        <f t="shared" si="130"/>
        <v>20.304429333867812</v>
      </c>
      <c r="Y44" s="2">
        <f t="shared" si="130"/>
        <v>19.833009705131889</v>
      </c>
      <c r="Z44" s="2">
        <f t="shared" si="130"/>
        <v>19.26338136325738</v>
      </c>
      <c r="AA44" s="2">
        <f t="shared" si="130"/>
        <v>19.812956419961651</v>
      </c>
      <c r="AB44" s="2">
        <f t="shared" si="130"/>
        <v>19.284225121929776</v>
      </c>
      <c r="AC44" s="2">
        <f t="shared" si="130"/>
        <v>19.328071361595612</v>
      </c>
      <c r="AD44" s="2">
        <f t="shared" si="130"/>
        <v>19.231280437230101</v>
      </c>
      <c r="AE44" s="2">
        <f t="shared" si="130"/>
        <v>21.434545871071919</v>
      </c>
      <c r="AF44" s="2">
        <f t="shared" si="130"/>
        <v>20.611873839848279</v>
      </c>
      <c r="AG44" s="2">
        <f t="shared" si="130"/>
        <v>20.046817613267233</v>
      </c>
      <c r="AH44" s="2">
        <f t="shared" si="130"/>
        <v>20.08388456804941</v>
      </c>
      <c r="AI44" s="2">
        <f t="shared" si="130"/>
        <v>20.734141597009533</v>
      </c>
      <c r="AJ44" s="2">
        <f t="shared" si="130"/>
        <v>17.102433518421311</v>
      </c>
      <c r="AK44" s="2">
        <f t="shared" si="130"/>
        <v>19.686018803707789</v>
      </c>
      <c r="AL44" s="2">
        <f t="shared" si="130"/>
        <v>18.928304752604781</v>
      </c>
      <c r="AM44" s="2">
        <f t="shared" si="130"/>
        <v>18.957699000105045</v>
      </c>
      <c r="AN44" s="2">
        <f t="shared" si="130"/>
        <v>18.964578870789719</v>
      </c>
      <c r="AO44" s="2">
        <f t="shared" si="130"/>
        <v>18.86028641518288</v>
      </c>
      <c r="AP44" s="2">
        <f t="shared" si="130"/>
        <v>18.511658658676851</v>
      </c>
      <c r="AQ44" s="2">
        <f t="shared" si="130"/>
        <v>20.238955886949576</v>
      </c>
      <c r="AR44" s="2">
        <f t="shared" si="130"/>
        <v>19.764723365088798</v>
      </c>
      <c r="AS44" s="2">
        <f t="shared" si="130"/>
        <v>19.453080095163923</v>
      </c>
      <c r="AT44" s="2">
        <f t="shared" si="130"/>
        <v>19.119189749113474</v>
      </c>
      <c r="AU44" s="2">
        <f t="shared" si="130"/>
        <v>18.812639791517359</v>
      </c>
      <c r="AV44" s="2">
        <f t="shared" si="130"/>
        <v>18.521462789465289</v>
      </c>
      <c r="AW44" s="2">
        <f t="shared" ref="AW44:CB44" si="131">+AW37+AW30</f>
        <v>19.729273717834253</v>
      </c>
      <c r="AX44" s="2">
        <f t="shared" si="131"/>
        <v>19.386926351182503</v>
      </c>
      <c r="AY44" s="2">
        <f t="shared" si="131"/>
        <v>18.938778401483379</v>
      </c>
      <c r="AZ44" s="2">
        <f t="shared" si="131"/>
        <v>18.542603349074433</v>
      </c>
      <c r="BA44" s="2">
        <f t="shared" si="131"/>
        <v>18.129578287239362</v>
      </c>
      <c r="BB44" s="2">
        <f t="shared" si="131"/>
        <v>17.826587305996586</v>
      </c>
      <c r="BC44" s="2">
        <f t="shared" si="131"/>
        <v>20.215630732781847</v>
      </c>
      <c r="BD44" s="2">
        <f t="shared" si="131"/>
        <v>19.99861081034555</v>
      </c>
      <c r="BE44" s="2">
        <f t="shared" si="131"/>
        <v>19.840536550363453</v>
      </c>
      <c r="BF44" s="2">
        <f t="shared" si="131"/>
        <v>19.709799701378291</v>
      </c>
      <c r="BG44" s="2">
        <f t="shared" si="131"/>
        <v>19.584300624841553</v>
      </c>
      <c r="BH44" s="2">
        <f t="shared" si="131"/>
        <v>19.451258721259769</v>
      </c>
      <c r="BI44" s="2">
        <f t="shared" si="131"/>
        <v>19.327182777151407</v>
      </c>
      <c r="BJ44" s="2">
        <f t="shared" si="131"/>
        <v>19.208002681667967</v>
      </c>
      <c r="BK44" s="2">
        <f t="shared" si="131"/>
        <v>19.060519288985041</v>
      </c>
      <c r="BL44" s="2">
        <f t="shared" si="131"/>
        <v>22.820037713298571</v>
      </c>
      <c r="BM44" s="2">
        <f t="shared" si="131"/>
        <v>22.477949665873446</v>
      </c>
      <c r="BN44" s="2">
        <f t="shared" si="131"/>
        <v>22.132436239274355</v>
      </c>
      <c r="BO44" s="2">
        <f t="shared" si="131"/>
        <v>21.669206185499409</v>
      </c>
      <c r="BP44" s="2">
        <f t="shared" si="131"/>
        <v>21.064082553443612</v>
      </c>
      <c r="BQ44" s="2">
        <f t="shared" si="131"/>
        <v>20.548504774625869</v>
      </c>
      <c r="BR44" s="2">
        <f t="shared" si="131"/>
        <v>23.430071375952156</v>
      </c>
      <c r="BS44" s="2">
        <f t="shared" si="131"/>
        <v>22.575792585056625</v>
      </c>
      <c r="BT44" s="2">
        <f t="shared" si="131"/>
        <v>21.624813702537715</v>
      </c>
      <c r="BU44" s="2">
        <f t="shared" si="131"/>
        <v>20.711596350873968</v>
      </c>
      <c r="BV44" s="2">
        <f t="shared" si="131"/>
        <v>20.145463212825522</v>
      </c>
      <c r="BW44" s="2">
        <f t="shared" si="131"/>
        <v>19.394911680122174</v>
      </c>
      <c r="BX44" s="2">
        <f t="shared" si="131"/>
        <v>23.439399650837483</v>
      </c>
      <c r="BY44" s="2">
        <f t="shared" si="131"/>
        <v>22.442023290131363</v>
      </c>
      <c r="BZ44" s="2">
        <f t="shared" si="131"/>
        <v>21.701376152827489</v>
      </c>
      <c r="CA44" s="2">
        <f t="shared" si="131"/>
        <v>20.735395836236812</v>
      </c>
      <c r="CB44" s="2">
        <f t="shared" si="131"/>
        <v>19.895143465941118</v>
      </c>
      <c r="CC44" s="2">
        <f t="shared" ref="CC44:CP44" si="132">+CC37+CC30</f>
        <v>19.099880576607447</v>
      </c>
      <c r="CD44" s="2">
        <f t="shared" si="132"/>
        <v>23.10553453752798</v>
      </c>
      <c r="CE44" s="2">
        <f t="shared" si="132"/>
        <v>22.054381159617837</v>
      </c>
      <c r="CF44" s="2">
        <f t="shared" si="132"/>
        <v>18.916759089484334</v>
      </c>
      <c r="CG44" s="2">
        <f t="shared" si="132"/>
        <v>18.920106734938472</v>
      </c>
      <c r="CH44" s="2">
        <f t="shared" si="132"/>
        <v>18.920106734938472</v>
      </c>
      <c r="CI44" s="2">
        <f t="shared" si="132"/>
        <v>18.559837599635738</v>
      </c>
      <c r="CJ44" s="2">
        <f t="shared" si="132"/>
        <v>15.772488388836539</v>
      </c>
      <c r="CK44" s="2">
        <f t="shared" si="132"/>
        <v>18.962781782548532</v>
      </c>
      <c r="CL44" s="2">
        <f t="shared" si="132"/>
        <v>20.400678306920273</v>
      </c>
      <c r="CM44" s="2">
        <f t="shared" si="132"/>
        <v>22.113824797201861</v>
      </c>
      <c r="CN44" s="2">
        <f t="shared" si="132"/>
        <v>22.62999553923407</v>
      </c>
      <c r="CO44" s="2">
        <f t="shared" si="132"/>
        <v>23.110866036854954</v>
      </c>
      <c r="CP44" s="2">
        <f t="shared" si="132"/>
        <v>23.315910907233132</v>
      </c>
      <c r="CQ44" s="2">
        <f t="shared" ref="CQ44:CS44" si="133">+CQ37+CQ30</f>
        <v>23.335064879284015</v>
      </c>
      <c r="CR44" s="107"/>
      <c r="CS44" s="245">
        <f t="shared" si="133"/>
        <v>23.396258826184607</v>
      </c>
      <c r="CT44" s="245">
        <f t="shared" ref="CT44:CU44" si="134">+CT37+CT30</f>
        <v>23.355527435138644</v>
      </c>
      <c r="CU44" s="245">
        <f t="shared" si="134"/>
        <v>23.520308149210926</v>
      </c>
      <c r="CV44" s="245">
        <f t="shared" ref="CV44:CW44" si="135">+CV37+CV30</f>
        <v>23.696689919810691</v>
      </c>
      <c r="CW44" s="245">
        <f t="shared" si="135"/>
        <v>23.677142417607303</v>
      </c>
      <c r="CX44" s="245">
        <f t="shared" ref="CX44:CY44" si="136">+CX37+CX30</f>
        <v>23.586715360120394</v>
      </c>
      <c r="CY44" s="245">
        <f t="shared" si="136"/>
        <v>23.753239870921259</v>
      </c>
      <c r="CZ44" s="245">
        <f t="shared" ref="CZ44:DA44" si="137">+CZ37+CZ30</f>
        <v>23.805591799620839</v>
      </c>
      <c r="DA44" s="245">
        <f t="shared" si="137"/>
        <v>21.893005791788056</v>
      </c>
      <c r="DB44" s="245">
        <f t="shared" ref="DB44:DC44" si="138">+DB37+DB30</f>
        <v>21.56129358282157</v>
      </c>
      <c r="DC44" s="245">
        <f t="shared" si="138"/>
        <v>22.176176717141864</v>
      </c>
      <c r="DD44" s="245">
        <f t="shared" ref="DD44:DE44" si="139">+DD37+DD30</f>
        <v>20.550841905192517</v>
      </c>
      <c r="DE44" s="245">
        <f t="shared" si="139"/>
        <v>21.245095632728923</v>
      </c>
      <c r="DF44" s="245">
        <f t="shared" si="108"/>
        <v>20.759928338067013</v>
      </c>
      <c r="DG44" s="245">
        <f t="shared" si="108"/>
        <v>20.861830193152723</v>
      </c>
      <c r="DH44" s="245">
        <f t="shared" ref="DH44:DI44" si="140">+(DH37+DH30)*0.99</f>
        <v>21.156723698989214</v>
      </c>
      <c r="DI44" s="245">
        <f t="shared" si="140"/>
        <v>21.231402858330579</v>
      </c>
      <c r="DJ44" s="245">
        <f t="shared" ref="DJ44:DK44" si="141">+(DJ37+DJ30)*0.99</f>
        <v>21.478700157579482</v>
      </c>
      <c r="DK44" s="245">
        <f t="shared" si="141"/>
        <v>22.218970519811126</v>
      </c>
    </row>
    <row r="45" spans="1:115" x14ac:dyDescent="0.35">
      <c r="A45" s="4"/>
      <c r="C45" s="314"/>
      <c r="D45" s="1">
        <v>52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">
        <f t="shared" ref="Q45:AV45" si="142">+Q38+Q31</f>
        <v>25</v>
      </c>
      <c r="R45" s="2">
        <f t="shared" si="142"/>
        <v>24.120777276477</v>
      </c>
      <c r="S45" s="2">
        <f t="shared" si="142"/>
        <v>23.649192111203519</v>
      </c>
      <c r="T45" s="2">
        <f t="shared" si="142"/>
        <v>25.476214016956121</v>
      </c>
      <c r="U45" s="2">
        <f t="shared" si="142"/>
        <v>23.681026807096671</v>
      </c>
      <c r="V45" s="2">
        <f t="shared" si="142"/>
        <v>21.627826452634608</v>
      </c>
      <c r="W45" s="2">
        <f t="shared" si="142"/>
        <v>20.553178874628241</v>
      </c>
      <c r="X45" s="2">
        <f t="shared" si="142"/>
        <v>20.304429333867812</v>
      </c>
      <c r="Y45" s="2">
        <f t="shared" si="142"/>
        <v>19.833009705131889</v>
      </c>
      <c r="Z45" s="2">
        <f t="shared" si="142"/>
        <v>19.26338136325738</v>
      </c>
      <c r="AA45" s="2">
        <f t="shared" si="142"/>
        <v>19.812956419961651</v>
      </c>
      <c r="AB45" s="2">
        <f t="shared" si="142"/>
        <v>19.284225121929776</v>
      </c>
      <c r="AC45" s="2">
        <f t="shared" si="142"/>
        <v>19.328071361595612</v>
      </c>
      <c r="AD45" s="2">
        <f t="shared" si="142"/>
        <v>19.231280437230101</v>
      </c>
      <c r="AE45" s="2">
        <f t="shared" si="142"/>
        <v>21.434545871071919</v>
      </c>
      <c r="AF45" s="2">
        <f t="shared" si="142"/>
        <v>20.611873839848279</v>
      </c>
      <c r="AG45" s="2">
        <f t="shared" si="142"/>
        <v>20.046817613267233</v>
      </c>
      <c r="AH45" s="2">
        <f t="shared" si="142"/>
        <v>20.08388456804941</v>
      </c>
      <c r="AI45" s="2">
        <f t="shared" si="142"/>
        <v>20.734141597009533</v>
      </c>
      <c r="AJ45" s="2">
        <f t="shared" si="142"/>
        <v>17.102433518421311</v>
      </c>
      <c r="AK45" s="2">
        <f t="shared" si="142"/>
        <v>19.686018803707789</v>
      </c>
      <c r="AL45" s="2">
        <f t="shared" si="142"/>
        <v>18.928304752604781</v>
      </c>
      <c r="AM45" s="2">
        <f t="shared" si="142"/>
        <v>18.957699000105045</v>
      </c>
      <c r="AN45" s="2">
        <f t="shared" si="142"/>
        <v>18.964578870789719</v>
      </c>
      <c r="AO45" s="2">
        <f t="shared" si="142"/>
        <v>18.86028641518288</v>
      </c>
      <c r="AP45" s="2">
        <f t="shared" si="142"/>
        <v>18.511658658676851</v>
      </c>
      <c r="AQ45" s="2">
        <f t="shared" si="142"/>
        <v>20.238955886949576</v>
      </c>
      <c r="AR45" s="2">
        <f t="shared" si="142"/>
        <v>19.764723365088798</v>
      </c>
      <c r="AS45" s="2">
        <f t="shared" si="142"/>
        <v>19.453080095163923</v>
      </c>
      <c r="AT45" s="2">
        <f t="shared" si="142"/>
        <v>19.119189749113474</v>
      </c>
      <c r="AU45" s="2">
        <f t="shared" si="142"/>
        <v>18.812639791517359</v>
      </c>
      <c r="AV45" s="2">
        <f t="shared" si="142"/>
        <v>18.521462789465289</v>
      </c>
      <c r="AW45" s="2">
        <f t="shared" ref="AW45:CB45" si="143">+AW38+AW31</f>
        <v>19.729273717834253</v>
      </c>
      <c r="AX45" s="2">
        <f t="shared" si="143"/>
        <v>19.386926351182503</v>
      </c>
      <c r="AY45" s="2">
        <f t="shared" si="143"/>
        <v>18.938778401483379</v>
      </c>
      <c r="AZ45" s="2">
        <f t="shared" si="143"/>
        <v>18.542603349074433</v>
      </c>
      <c r="BA45" s="2">
        <f t="shared" si="143"/>
        <v>18.129578287239362</v>
      </c>
      <c r="BB45" s="2">
        <f t="shared" si="143"/>
        <v>17.826587305996586</v>
      </c>
      <c r="BC45" s="2">
        <f t="shared" si="143"/>
        <v>20.215630732781847</v>
      </c>
      <c r="BD45" s="2">
        <f t="shared" si="143"/>
        <v>19.99861081034555</v>
      </c>
      <c r="BE45" s="2">
        <f t="shared" si="143"/>
        <v>19.840536550363453</v>
      </c>
      <c r="BF45" s="2">
        <f t="shared" si="143"/>
        <v>19.709799701378291</v>
      </c>
      <c r="BG45" s="2">
        <f t="shared" si="143"/>
        <v>19.584300624841553</v>
      </c>
      <c r="BH45" s="2">
        <f t="shared" si="143"/>
        <v>19.451258721259769</v>
      </c>
      <c r="BI45" s="2">
        <f t="shared" si="143"/>
        <v>19.327182777151407</v>
      </c>
      <c r="BJ45" s="2">
        <f t="shared" si="143"/>
        <v>19.208002681667967</v>
      </c>
      <c r="BK45" s="2">
        <f t="shared" si="143"/>
        <v>19.060519288985041</v>
      </c>
      <c r="BL45" s="2">
        <f t="shared" si="143"/>
        <v>22.820037713298571</v>
      </c>
      <c r="BM45" s="2">
        <f t="shared" si="143"/>
        <v>22.477949665873446</v>
      </c>
      <c r="BN45" s="2">
        <f t="shared" si="143"/>
        <v>22.132436239274355</v>
      </c>
      <c r="BO45" s="2">
        <f t="shared" si="143"/>
        <v>21.669206185499409</v>
      </c>
      <c r="BP45" s="2">
        <f t="shared" si="143"/>
        <v>21.064082553443612</v>
      </c>
      <c r="BQ45" s="2">
        <f t="shared" si="143"/>
        <v>20.548504774625869</v>
      </c>
      <c r="BR45" s="2">
        <f t="shared" si="143"/>
        <v>23.430071375952156</v>
      </c>
      <c r="BS45" s="2">
        <f t="shared" si="143"/>
        <v>22.575792585056625</v>
      </c>
      <c r="BT45" s="2">
        <f t="shared" si="143"/>
        <v>21.624813702537715</v>
      </c>
      <c r="BU45" s="2">
        <f t="shared" si="143"/>
        <v>20.711596350873968</v>
      </c>
      <c r="BV45" s="2">
        <f t="shared" si="143"/>
        <v>20.145463212825522</v>
      </c>
      <c r="BW45" s="2">
        <f t="shared" si="143"/>
        <v>19.394911680122174</v>
      </c>
      <c r="BX45" s="2">
        <f t="shared" si="143"/>
        <v>23.439399650837483</v>
      </c>
      <c r="BY45" s="2">
        <f t="shared" si="143"/>
        <v>22.442023290131363</v>
      </c>
      <c r="BZ45" s="2">
        <f t="shared" si="143"/>
        <v>21.701376152827489</v>
      </c>
      <c r="CA45" s="2">
        <f t="shared" si="143"/>
        <v>20.735395836236812</v>
      </c>
      <c r="CB45" s="2">
        <f t="shared" si="143"/>
        <v>19.895143465941118</v>
      </c>
      <c r="CC45" s="2">
        <f t="shared" ref="CC45:CP45" si="144">+CC38+CC31</f>
        <v>19.099880576607447</v>
      </c>
      <c r="CD45" s="2">
        <f t="shared" si="144"/>
        <v>23.10553453752798</v>
      </c>
      <c r="CE45" s="2">
        <f t="shared" si="144"/>
        <v>22.054381159617837</v>
      </c>
      <c r="CF45" s="2">
        <f t="shared" si="144"/>
        <v>18.916759089484334</v>
      </c>
      <c r="CG45" s="2">
        <f t="shared" si="144"/>
        <v>18.920106734938472</v>
      </c>
      <c r="CH45" s="2">
        <f t="shared" si="144"/>
        <v>18.920106734938472</v>
      </c>
      <c r="CI45" s="2">
        <f t="shared" si="144"/>
        <v>18.559837599635738</v>
      </c>
      <c r="CJ45" s="2">
        <f t="shared" si="144"/>
        <v>15.772488388836539</v>
      </c>
      <c r="CK45" s="2">
        <f t="shared" si="144"/>
        <v>18.962781782548532</v>
      </c>
      <c r="CL45" s="2">
        <f t="shared" si="144"/>
        <v>20.400678306920273</v>
      </c>
      <c r="CM45" s="2">
        <f t="shared" si="144"/>
        <v>22.113824797201861</v>
      </c>
      <c r="CN45" s="2">
        <f t="shared" si="144"/>
        <v>22.62999553923407</v>
      </c>
      <c r="CO45" s="2">
        <f t="shared" si="144"/>
        <v>23.110866036854954</v>
      </c>
      <c r="CP45" s="2">
        <f t="shared" si="144"/>
        <v>23.315910907233132</v>
      </c>
      <c r="CQ45" s="2">
        <f t="shared" ref="CQ45:CS45" si="145">+CQ38+CQ31</f>
        <v>23.335064879284015</v>
      </c>
      <c r="CR45" s="107"/>
      <c r="CS45" s="245">
        <f t="shared" si="145"/>
        <v>23.396258826184607</v>
      </c>
      <c r="CT45" s="245">
        <f t="shared" ref="CT45:CU45" si="146">+CT38+CT31</f>
        <v>23.355527435138644</v>
      </c>
      <c r="CU45" s="245">
        <f t="shared" si="146"/>
        <v>23.520308149210926</v>
      </c>
      <c r="CV45" s="245">
        <f t="shared" ref="CV45:CW45" si="147">+CV38+CV31</f>
        <v>23.696689919810691</v>
      </c>
      <c r="CW45" s="245">
        <f t="shared" si="147"/>
        <v>23.677142417607303</v>
      </c>
      <c r="CX45" s="245">
        <f t="shared" ref="CX45:CY45" si="148">+CX38+CX31</f>
        <v>23.586715360120394</v>
      </c>
      <c r="CY45" s="245">
        <f t="shared" si="148"/>
        <v>23.753239870921259</v>
      </c>
      <c r="CZ45" s="245">
        <f t="shared" ref="CZ45:DA45" si="149">+CZ38+CZ31</f>
        <v>23.805591799620839</v>
      </c>
      <c r="DA45" s="245">
        <f t="shared" si="149"/>
        <v>21.893005791788056</v>
      </c>
      <c r="DB45" s="245">
        <f t="shared" ref="DB45:DC45" si="150">+DB38+DB31</f>
        <v>21.56129358282157</v>
      </c>
      <c r="DC45" s="245">
        <f t="shared" si="150"/>
        <v>22.176176717141864</v>
      </c>
      <c r="DD45" s="245">
        <f t="shared" ref="DD45:DE45" si="151">+DD38+DD31</f>
        <v>20.550841905192517</v>
      </c>
      <c r="DE45" s="245">
        <f t="shared" si="151"/>
        <v>21.245095632728923</v>
      </c>
      <c r="DF45" s="245">
        <f t="shared" si="108"/>
        <v>20.759928338067013</v>
      </c>
      <c r="DG45" s="245">
        <f t="shared" si="108"/>
        <v>20.861830193152723</v>
      </c>
      <c r="DH45" s="245">
        <f t="shared" ref="DH45:DI45" si="152">+(DH38+DH31)*0.99</f>
        <v>21.156723698989214</v>
      </c>
      <c r="DI45" s="245">
        <f t="shared" si="152"/>
        <v>21.231402858330579</v>
      </c>
      <c r="DJ45" s="245">
        <f t="shared" ref="DJ45:DK45" si="153">+(DJ38+DJ31)*0.99</f>
        <v>21.478700157579482</v>
      </c>
      <c r="DK45" s="245">
        <f t="shared" si="153"/>
        <v>22.218970519811126</v>
      </c>
    </row>
    <row r="46" spans="1:115" ht="6.65" customHeight="1" x14ac:dyDescent="0.35"/>
    <row r="47" spans="1:115" x14ac:dyDescent="0.35">
      <c r="A47" s="4"/>
      <c r="C47" s="314" t="s">
        <v>69</v>
      </c>
      <c r="D47" s="1">
        <v>24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">
        <f t="shared" ref="Q47:AV47" si="154">+Q40+Q17</f>
        <v>52.35488196956247</v>
      </c>
      <c r="R47" s="2">
        <f t="shared" si="154"/>
        <v>52.756533724096428</v>
      </c>
      <c r="S47" s="2">
        <f t="shared" si="154"/>
        <v>53.055864834586899</v>
      </c>
      <c r="T47" s="2">
        <f t="shared" si="154"/>
        <v>54.903628842870667</v>
      </c>
      <c r="U47" s="2">
        <f t="shared" si="154"/>
        <v>54.812745861745078</v>
      </c>
      <c r="V47" s="2">
        <f t="shared" si="154"/>
        <v>54.61018138869202</v>
      </c>
      <c r="W47" s="2">
        <f t="shared" si="154"/>
        <v>55.342430594972214</v>
      </c>
      <c r="X47" s="2">
        <f t="shared" si="154"/>
        <v>56.849643111348399</v>
      </c>
      <c r="Y47" s="2">
        <f t="shared" si="154"/>
        <v>57.735717217949009</v>
      </c>
      <c r="Z47" s="2">
        <f t="shared" si="154"/>
        <v>57.446735293914273</v>
      </c>
      <c r="AA47" s="2">
        <f t="shared" si="154"/>
        <v>57.834216583893962</v>
      </c>
      <c r="AB47" s="2">
        <f t="shared" si="154"/>
        <v>57.909041776488543</v>
      </c>
      <c r="AC47" s="2">
        <f t="shared" si="154"/>
        <v>57.637638469640542</v>
      </c>
      <c r="AD47" s="2">
        <f t="shared" si="154"/>
        <v>55.819581014876903</v>
      </c>
      <c r="AE47" s="2">
        <f t="shared" si="154"/>
        <v>56.130818474955319</v>
      </c>
      <c r="AF47" s="2">
        <f t="shared" si="154"/>
        <v>55.550788475412801</v>
      </c>
      <c r="AG47" s="2">
        <f t="shared" si="154"/>
        <v>55.152392090941333</v>
      </c>
      <c r="AH47" s="2">
        <f t="shared" si="154"/>
        <v>55.178526376475958</v>
      </c>
      <c r="AI47" s="2">
        <f t="shared" si="154"/>
        <v>46.960757063661809</v>
      </c>
      <c r="AJ47" s="2">
        <f t="shared" si="154"/>
        <v>45.701218048593674</v>
      </c>
      <c r="AK47" s="2">
        <f t="shared" si="154"/>
        <v>45.052923369565789</v>
      </c>
      <c r="AL47" s="2">
        <f t="shared" si="154"/>
        <v>43.894348602661665</v>
      </c>
      <c r="AM47" s="2">
        <f t="shared" si="154"/>
        <v>43.129453802666127</v>
      </c>
      <c r="AN47" s="2">
        <f t="shared" si="154"/>
        <v>42.384764228597803</v>
      </c>
      <c r="AO47" s="2">
        <f t="shared" si="154"/>
        <v>42.455626069180035</v>
      </c>
      <c r="AP47" s="2">
        <f t="shared" si="154"/>
        <v>42.679485874555468</v>
      </c>
      <c r="AQ47" s="2">
        <f t="shared" si="154"/>
        <v>42.700581312110586</v>
      </c>
      <c r="AR47" s="2">
        <f t="shared" si="154"/>
        <v>40.160364805343448</v>
      </c>
      <c r="AS47" s="2">
        <f t="shared" si="154"/>
        <v>37.377106103104893</v>
      </c>
      <c r="AT47" s="2">
        <f t="shared" si="154"/>
        <v>37.570480176396984</v>
      </c>
      <c r="AU47" s="2">
        <f t="shared" si="154"/>
        <v>37.61420421941753</v>
      </c>
      <c r="AV47" s="2">
        <f t="shared" si="154"/>
        <v>36.804369701157235</v>
      </c>
      <c r="AW47" s="2">
        <f t="shared" ref="AW47:CB47" si="155">+AW40+AW17</f>
        <v>37.298576031687276</v>
      </c>
      <c r="AX47" s="2">
        <f t="shared" si="155"/>
        <v>37.114193451396929</v>
      </c>
      <c r="AY47" s="2">
        <f t="shared" si="155"/>
        <v>36.71107558589641</v>
      </c>
      <c r="AZ47" s="2">
        <f t="shared" si="155"/>
        <v>36.634996421580027</v>
      </c>
      <c r="BA47" s="2">
        <f t="shared" si="155"/>
        <v>38.362605420869144</v>
      </c>
      <c r="BB47" s="2">
        <f t="shared" si="155"/>
        <v>42.655435098335929</v>
      </c>
      <c r="BC47" s="2" t="e">
        <f t="shared" si="155"/>
        <v>#N/A</v>
      </c>
      <c r="BD47" s="2" t="e">
        <f t="shared" si="155"/>
        <v>#N/A</v>
      </c>
      <c r="BE47" s="2" t="e">
        <f t="shared" si="155"/>
        <v>#N/A</v>
      </c>
      <c r="BF47" s="2" t="e">
        <f t="shared" si="155"/>
        <v>#N/A</v>
      </c>
      <c r="BG47" s="2" t="e">
        <f t="shared" si="155"/>
        <v>#N/A</v>
      </c>
      <c r="BH47" s="2">
        <f t="shared" si="155"/>
        <v>53.269390546414506</v>
      </c>
      <c r="BI47" s="2">
        <f t="shared" si="155"/>
        <v>53.391468391312628</v>
      </c>
      <c r="BJ47" s="2">
        <f t="shared" si="155"/>
        <v>50.365386092771153</v>
      </c>
      <c r="BK47" s="2">
        <f t="shared" si="155"/>
        <v>54.545453405156479</v>
      </c>
      <c r="BL47" s="2">
        <f t="shared" si="155"/>
        <v>57.53149213885515</v>
      </c>
      <c r="BM47" s="2">
        <f t="shared" si="155"/>
        <v>54.685914974497017</v>
      </c>
      <c r="BN47" s="2">
        <f t="shared" si="155"/>
        <v>58.365860284399091</v>
      </c>
      <c r="BO47" s="2">
        <f t="shared" si="155"/>
        <v>60.763803542988796</v>
      </c>
      <c r="BP47" s="2">
        <f t="shared" si="155"/>
        <v>63.233215116612946</v>
      </c>
      <c r="BQ47" s="2">
        <f t="shared" si="155"/>
        <v>66.197581426027071</v>
      </c>
      <c r="BR47" s="2">
        <f t="shared" si="155"/>
        <v>69.447117062433065</v>
      </c>
      <c r="BS47" s="2">
        <f t="shared" si="155"/>
        <v>68.817893910989994</v>
      </c>
      <c r="BT47" s="2">
        <f t="shared" si="155"/>
        <v>62.940013602533199</v>
      </c>
      <c r="BU47" s="2">
        <f t="shared" si="155"/>
        <v>57.766776302925699</v>
      </c>
      <c r="BV47" s="2">
        <f t="shared" si="155"/>
        <v>56.062107095018931</v>
      </c>
      <c r="BW47" s="2">
        <f t="shared" si="155"/>
        <v>53.772125454612848</v>
      </c>
      <c r="BX47" s="2">
        <f t="shared" si="155"/>
        <v>54.441363036861638</v>
      </c>
      <c r="BY47" s="2">
        <f t="shared" si="155"/>
        <v>53.39369391267244</v>
      </c>
      <c r="BZ47" s="2">
        <f t="shared" si="155"/>
        <v>52.313248129970319</v>
      </c>
      <c r="CA47" s="2">
        <f t="shared" si="155"/>
        <v>52.308444515398541</v>
      </c>
      <c r="CB47" s="96">
        <f t="shared" si="155"/>
        <v>51.857652171756101</v>
      </c>
      <c r="CC47" s="96">
        <f t="shared" ref="CC47:CP47" si="156">+CC40+CC17</f>
        <v>52.670102323871753</v>
      </c>
      <c r="CD47" s="96">
        <f t="shared" si="156"/>
        <v>53.291684585300388</v>
      </c>
      <c r="CE47" s="96">
        <f t="shared" si="156"/>
        <v>50.980321878586324</v>
      </c>
      <c r="CF47" s="96">
        <f t="shared" si="156"/>
        <v>48.541225802979113</v>
      </c>
      <c r="CG47" s="96">
        <f t="shared" si="156"/>
        <v>49.831111681094256</v>
      </c>
      <c r="CH47" s="96">
        <f t="shared" si="156"/>
        <v>50.111868481094255</v>
      </c>
      <c r="CI47" s="96">
        <f t="shared" si="156"/>
        <v>49.189010900866762</v>
      </c>
      <c r="CJ47" s="96">
        <f t="shared" si="156"/>
        <v>54.410085914601041</v>
      </c>
      <c r="CK47" s="96">
        <f t="shared" si="156"/>
        <v>57.527741987133936</v>
      </c>
      <c r="CL47" s="96">
        <f t="shared" si="156"/>
        <v>58.54153981751962</v>
      </c>
      <c r="CM47" s="96">
        <f t="shared" si="156"/>
        <v>56.541444337352992</v>
      </c>
      <c r="CN47" s="96">
        <f t="shared" si="156"/>
        <v>52.732639892720996</v>
      </c>
      <c r="CO47" s="96">
        <f t="shared" si="156"/>
        <v>53.071735065918034</v>
      </c>
      <c r="CP47" s="96">
        <f t="shared" si="156"/>
        <v>53.216182822046036</v>
      </c>
      <c r="CQ47" s="96">
        <f t="shared" ref="CQ47:CY48" si="157">+CQ40+CQ17</f>
        <v>53.229727204214278</v>
      </c>
      <c r="CR47" s="118"/>
      <c r="CS47" s="248">
        <f t="shared" si="157"/>
        <v>60.629472374641381</v>
      </c>
      <c r="CT47" s="248">
        <f t="shared" ref="CT47:CU47" si="158">+CT40+CT17</f>
        <v>52.864435735992842</v>
      </c>
      <c r="CU47" s="248">
        <f t="shared" si="158"/>
        <v>54.606832222613797</v>
      </c>
      <c r="CV47" s="248">
        <f t="shared" ref="CV47:CW47" si="159">+CV40+CV17</f>
        <v>56.734071430549093</v>
      </c>
      <c r="CW47" s="248">
        <f t="shared" si="159"/>
        <v>56.554505686404369</v>
      </c>
      <c r="CX47" s="248">
        <f t="shared" ref="CX47:CY47" si="160">+CX40+CX17</f>
        <v>56.22504229135069</v>
      </c>
      <c r="CY47" s="248">
        <f t="shared" si="160"/>
        <v>56.3424514267749</v>
      </c>
      <c r="CZ47" s="248">
        <f t="shared" ref="CZ47:DA48" si="161">+CZ40+CZ17</f>
        <v>54.906249138222478</v>
      </c>
      <c r="DA47" s="248">
        <f t="shared" ref="DA47:DF47" si="162">+DA40+DA17</f>
        <v>51.375532647026994</v>
      </c>
      <c r="DB47" s="248">
        <f t="shared" si="162"/>
        <v>50.782503627390987</v>
      </c>
      <c r="DC47" s="248">
        <f t="shared" si="162"/>
        <v>49.725200213365532</v>
      </c>
      <c r="DD47" s="248">
        <f t="shared" si="162"/>
        <v>48.089646459280303</v>
      </c>
      <c r="DE47" s="248">
        <f t="shared" si="162"/>
        <v>48.727290954422045</v>
      </c>
      <c r="DF47" s="248">
        <f t="shared" si="162"/>
        <v>50.353887288466829</v>
      </c>
      <c r="DG47" s="248">
        <f t="shared" ref="DG47" si="163">+DG40+DG17</f>
        <v>50.506315922624992</v>
      </c>
      <c r="DH47" s="248">
        <f>+DH40+DH17</f>
        <v>49.286964378019107</v>
      </c>
      <c r="DI47" s="248">
        <f>+DI40+DI17</f>
        <v>48.460711848044397</v>
      </c>
      <c r="DJ47" s="248">
        <f>+DJ40+DJ17</f>
        <v>47.863924483348811</v>
      </c>
      <c r="DK47" s="248">
        <f>+DK40+DK17</f>
        <v>48.385856676944712</v>
      </c>
    </row>
    <row r="48" spans="1:115" x14ac:dyDescent="0.35">
      <c r="A48" s="4"/>
      <c r="C48" s="314"/>
      <c r="D48" s="1">
        <v>30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118"/>
      <c r="CS48" s="248">
        <f t="shared" si="157"/>
        <v>72.896214066295585</v>
      </c>
      <c r="CT48" s="248">
        <f t="shared" si="157"/>
        <v>63.225815666694658</v>
      </c>
      <c r="CU48" s="248">
        <f t="shared" si="157"/>
        <v>65.258586699015297</v>
      </c>
      <c r="CV48" s="248">
        <f t="shared" si="157"/>
        <v>67.762186887233085</v>
      </c>
      <c r="CW48" s="248">
        <f t="shared" si="157"/>
        <v>67.554957316086757</v>
      </c>
      <c r="CX48" s="248">
        <f t="shared" si="157"/>
        <v>67.222823266894736</v>
      </c>
      <c r="CY48" s="248">
        <f t="shared" si="157"/>
        <v>67.222823266894721</v>
      </c>
      <c r="CZ48" s="248">
        <f t="shared" si="161"/>
        <v>65.418342643491002</v>
      </c>
      <c r="DA48" s="248">
        <f t="shared" si="161"/>
        <v>61.263203495524834</v>
      </c>
      <c r="DB48" s="248">
        <f t="shared" ref="DB48:DC48" si="164">+DB41+DB18</f>
        <v>60.566708316635271</v>
      </c>
      <c r="DC48" s="248">
        <f t="shared" si="164"/>
        <v>59.229238780750038</v>
      </c>
      <c r="DD48" s="248">
        <f t="shared" ref="DD48:DE48" si="165">+DD41+DD18</f>
        <v>57.471284676485681</v>
      </c>
      <c r="DE48" s="248">
        <f t="shared" si="165"/>
        <v>58.145968325179979</v>
      </c>
      <c r="DF48" s="248">
        <f t="shared" ref="DF48:DG48" si="166">+DF41+DF18</f>
        <v>60.254915281331556</v>
      </c>
      <c r="DG48" s="248">
        <f t="shared" si="166"/>
        <v>60.427489440864569</v>
      </c>
      <c r="DH48" s="248">
        <f t="shared" ref="DH48:DI48" si="167">+DH41+DH18</f>
        <v>58.851320887940823</v>
      </c>
      <c r="DI48" s="248">
        <f t="shared" si="167"/>
        <v>57.805341974773903</v>
      </c>
      <c r="DJ48" s="248">
        <f t="shared" ref="DJ48:DK48" si="168">+DJ41+DJ18</f>
        <v>57.015768146635125</v>
      </c>
      <c r="DK48" s="248">
        <f t="shared" si="168"/>
        <v>57.537700340231034</v>
      </c>
    </row>
    <row r="49" spans="1:115" x14ac:dyDescent="0.35">
      <c r="A49" s="4"/>
      <c r="C49" s="314"/>
      <c r="D49" s="1">
        <v>30.4</v>
      </c>
      <c r="E49" s="1" t="s">
        <v>70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>
        <f>+CP42+CP19</f>
        <v>73.23099857785256</v>
      </c>
      <c r="CQ49" s="96">
        <f>+CQ42+CQ19</f>
        <v>73.244503204214283</v>
      </c>
      <c r="CR49" s="118"/>
      <c r="CS49" s="248">
        <f t="shared" ref="CS49:CZ49" si="169">+CS42+CS19</f>
        <v>76.770576374641365</v>
      </c>
      <c r="CT49" s="248">
        <f t="shared" si="169"/>
        <v>65.766732745880944</v>
      </c>
      <c r="CU49" s="248">
        <f t="shared" si="169"/>
        <v>69.342146193097591</v>
      </c>
      <c r="CV49" s="248">
        <f t="shared" si="169"/>
        <v>71.217716345888107</v>
      </c>
      <c r="CW49" s="248">
        <f t="shared" si="169"/>
        <v>69.778411501543303</v>
      </c>
      <c r="CX49" s="248">
        <f t="shared" si="169"/>
        <v>68.466938508602482</v>
      </c>
      <c r="CY49" s="248">
        <f t="shared" si="169"/>
        <v>67.337167039971234</v>
      </c>
      <c r="CZ49" s="248">
        <f t="shared" si="169"/>
        <v>66.687397447327427</v>
      </c>
      <c r="DA49" s="248">
        <f t="shared" ref="DA49:DB49" si="170">+DA42+DA19</f>
        <v>63.065229035362869</v>
      </c>
      <c r="DB49" s="248">
        <f t="shared" si="170"/>
        <v>60.851203161413494</v>
      </c>
      <c r="DC49" s="248">
        <f t="shared" ref="DC49:DD49" si="171">+DC42+DC19</f>
        <v>60.252345799009667</v>
      </c>
      <c r="DD49" s="248">
        <f t="shared" si="171"/>
        <v>57.713711209883996</v>
      </c>
      <c r="DE49" s="248">
        <f t="shared" ref="DE49:DJ49" si="172">+DE42+DE19</f>
        <v>59.013637795545797</v>
      </c>
      <c r="DF49" s="248">
        <f t="shared" si="172"/>
        <v>59.844015802726148</v>
      </c>
      <c r="DG49" s="248">
        <f t="shared" si="172"/>
        <v>59.98971046173655</v>
      </c>
      <c r="DH49" s="248">
        <f t="shared" si="172"/>
        <v>58.395702363652724</v>
      </c>
      <c r="DI49" s="248">
        <f t="shared" si="172"/>
        <v>57.475692034548359</v>
      </c>
      <c r="DJ49" s="248">
        <f t="shared" si="172"/>
        <v>57.098367646561812</v>
      </c>
      <c r="DK49" s="248">
        <f t="shared" ref="DK49" si="173">+DK42+DK19</f>
        <v>56.939104542552556</v>
      </c>
    </row>
    <row r="50" spans="1:115" x14ac:dyDescent="0.35">
      <c r="A50" s="4"/>
      <c r="C50" s="314"/>
      <c r="D50" s="1">
        <v>30.4</v>
      </c>
      <c r="E50" s="1" t="s">
        <v>66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>
        <f t="shared" ref="Q50:AV50" si="174">+Q42+Q19</f>
        <v>61.649517161445793</v>
      </c>
      <c r="R50" s="2">
        <f t="shared" si="174"/>
        <v>62.323583094420471</v>
      </c>
      <c r="S50" s="2">
        <f t="shared" si="174"/>
        <v>62.791400910392774</v>
      </c>
      <c r="T50" s="2">
        <f t="shared" si="174"/>
        <v>64.788394498156038</v>
      </c>
      <c r="U50" s="2">
        <f t="shared" si="174"/>
        <v>65.010798145040951</v>
      </c>
      <c r="V50" s="2">
        <f t="shared" si="174"/>
        <v>65.14024890536848</v>
      </c>
      <c r="W50" s="2">
        <f t="shared" si="174"/>
        <v>66.269814410911096</v>
      </c>
      <c r="X50" s="2">
        <f t="shared" si="174"/>
        <v>68.225718905235453</v>
      </c>
      <c r="Y50" s="2">
        <f t="shared" si="174"/>
        <v>69.43671339293158</v>
      </c>
      <c r="Z50" s="2">
        <f t="shared" si="174"/>
        <v>69.177768284517924</v>
      </c>
      <c r="AA50" s="2">
        <f t="shared" si="174"/>
        <v>69.565249574497614</v>
      </c>
      <c r="AB50" s="2">
        <f t="shared" si="174"/>
        <v>69.759437556882204</v>
      </c>
      <c r="AC50" s="2">
        <f t="shared" si="174"/>
        <v>69.407416284945072</v>
      </c>
      <c r="AD50" s="2">
        <f t="shared" si="174"/>
        <v>67.12274165274313</v>
      </c>
      <c r="AE50" s="2">
        <f t="shared" si="174"/>
        <v>67.10272885955834</v>
      </c>
      <c r="AF50" s="2">
        <f t="shared" si="174"/>
        <v>66.522698860015822</v>
      </c>
      <c r="AG50" s="2">
        <f t="shared" si="174"/>
        <v>66.124302475544354</v>
      </c>
      <c r="AH50" s="2">
        <f t="shared" si="174"/>
        <v>66.150436761078979</v>
      </c>
      <c r="AI50" s="2">
        <f t="shared" si="174"/>
        <v>55.61900423505822</v>
      </c>
      <c r="AJ50" s="2">
        <f t="shared" si="174"/>
        <v>54.70640367569149</v>
      </c>
      <c r="AK50" s="2">
        <f t="shared" si="174"/>
        <v>53.399477676558121</v>
      </c>
      <c r="AL50" s="2">
        <f t="shared" si="174"/>
        <v>52.074411231608295</v>
      </c>
      <c r="AM50" s="2">
        <f t="shared" si="174"/>
        <v>51.100017926053972</v>
      </c>
      <c r="AN50" s="2">
        <f t="shared" si="174"/>
        <v>50.155450946809488</v>
      </c>
      <c r="AO50" s="2">
        <f t="shared" si="174"/>
        <v>50.264817822301524</v>
      </c>
      <c r="AP50" s="2">
        <f t="shared" si="174"/>
        <v>50.613920816887941</v>
      </c>
      <c r="AQ50" s="2">
        <f t="shared" si="174"/>
        <v>50.315883948430439</v>
      </c>
      <c r="AR50" s="2">
        <f t="shared" si="174"/>
        <v>47.187439191908965</v>
      </c>
      <c r="AS50" s="2">
        <f t="shared" si="174"/>
        <v>43.720571772632383</v>
      </c>
      <c r="AT50" s="2">
        <f t="shared" si="174"/>
        <v>44.028288652629072</v>
      </c>
      <c r="AU50" s="2">
        <f t="shared" si="174"/>
        <v>44.141308424991905</v>
      </c>
      <c r="AV50" s="2">
        <f t="shared" si="174"/>
        <v>43.170263673783587</v>
      </c>
      <c r="AW50" s="2">
        <f t="shared" ref="AW50:CB50" si="175">+AW42+AW19</f>
        <v>43.569171810042533</v>
      </c>
      <c r="AX50" s="2">
        <f t="shared" si="175"/>
        <v>43.399986975404786</v>
      </c>
      <c r="AY50" s="2">
        <f t="shared" si="175"/>
        <v>42.973629540807863</v>
      </c>
      <c r="AZ50" s="2">
        <f t="shared" si="175"/>
        <v>42.951749444400107</v>
      </c>
      <c r="BA50" s="2">
        <f t="shared" si="175"/>
        <v>45.217709076099361</v>
      </c>
      <c r="BB50" s="2">
        <f t="shared" si="175"/>
        <v>50.712260177888325</v>
      </c>
      <c r="BC50" s="2" t="e">
        <f t="shared" si="175"/>
        <v>#N/A</v>
      </c>
      <c r="BD50" s="2" t="e">
        <f t="shared" si="175"/>
        <v>#N/A</v>
      </c>
      <c r="BE50" s="2" t="e">
        <f t="shared" si="175"/>
        <v>#N/A</v>
      </c>
      <c r="BF50" s="2" t="e">
        <f t="shared" si="175"/>
        <v>#N/A</v>
      </c>
      <c r="BG50" s="2" t="e">
        <f t="shared" si="175"/>
        <v>#N/A</v>
      </c>
      <c r="BH50" s="2">
        <f t="shared" si="175"/>
        <v>63.851141179738363</v>
      </c>
      <c r="BI50" s="2">
        <f t="shared" si="175"/>
        <v>64.029101252917343</v>
      </c>
      <c r="BJ50" s="2">
        <f t="shared" si="175"/>
        <v>63.421359955260513</v>
      </c>
      <c r="BK50" s="2">
        <f t="shared" si="175"/>
        <v>69.53212965661109</v>
      </c>
      <c r="BL50" s="2">
        <f t="shared" si="175"/>
        <v>72.670890807392965</v>
      </c>
      <c r="BM50" s="2">
        <f t="shared" si="175"/>
        <v>68.637995231863641</v>
      </c>
      <c r="BN50" s="2">
        <f t="shared" si="175"/>
        <v>72.66575351916542</v>
      </c>
      <c r="BO50" s="2">
        <f t="shared" si="175"/>
        <v>77.556376908760171</v>
      </c>
      <c r="BP50" s="2">
        <f t="shared" si="175"/>
        <v>81.200193140625345</v>
      </c>
      <c r="BQ50" s="2">
        <f t="shared" si="175"/>
        <v>84.9921359232589</v>
      </c>
      <c r="BR50" s="2">
        <f t="shared" si="175"/>
        <v>88.655421446783194</v>
      </c>
      <c r="BS50" s="2">
        <f t="shared" si="175"/>
        <v>88.114363460109686</v>
      </c>
      <c r="BT50" s="2">
        <f t="shared" si="175"/>
        <v>79.838162090346003</v>
      </c>
      <c r="BU50" s="2">
        <f t="shared" si="175"/>
        <v>73.320614744958732</v>
      </c>
      <c r="BV50" s="2">
        <f t="shared" si="175"/>
        <v>71.020673313521527</v>
      </c>
      <c r="BW50" s="2">
        <f t="shared" si="175"/>
        <v>67.924133307867407</v>
      </c>
      <c r="BX50" s="2">
        <f t="shared" si="175"/>
        <v>67.63280407049109</v>
      </c>
      <c r="BY50" s="2">
        <f t="shared" si="175"/>
        <v>66.441096005196997</v>
      </c>
      <c r="BZ50" s="2">
        <f t="shared" si="175"/>
        <v>65.07297967454501</v>
      </c>
      <c r="CA50" s="2">
        <f t="shared" si="175"/>
        <v>65.36395587846971</v>
      </c>
      <c r="CB50" s="96">
        <f t="shared" si="175"/>
        <v>64.975367950699493</v>
      </c>
      <c r="CC50" s="96">
        <f t="shared" ref="CC50:CJ50" si="176">+CC42+CC19</f>
        <v>66.398732874441464</v>
      </c>
      <c r="CD50" s="96">
        <f t="shared" si="176"/>
        <v>66.040934842990453</v>
      </c>
      <c r="CE50" s="96">
        <f t="shared" si="176"/>
        <v>63.038654846571418</v>
      </c>
      <c r="CF50" s="96">
        <f t="shared" si="176"/>
        <v>60.71590518913294</v>
      </c>
      <c r="CG50" s="96">
        <f t="shared" si="176"/>
        <v>62.522383555068608</v>
      </c>
      <c r="CH50" s="96">
        <f t="shared" si="176"/>
        <v>62.92516663396362</v>
      </c>
      <c r="CI50" s="96">
        <f t="shared" si="176"/>
        <v>61.711172409937944</v>
      </c>
      <c r="CJ50" s="96">
        <f t="shared" si="176"/>
        <v>66.812589914601034</v>
      </c>
      <c r="CK50" s="96">
        <f t="shared" ref="CK50:CQ50" si="177">+CK42+CK20</f>
        <v>75.542005187133924</v>
      </c>
      <c r="CL50" s="96">
        <f t="shared" si="177"/>
        <v>76.555803017519608</v>
      </c>
      <c r="CM50" s="96">
        <f t="shared" si="177"/>
        <v>77.763667537352973</v>
      </c>
      <c r="CN50" s="96">
        <f t="shared" si="177"/>
        <v>78.12759690884198</v>
      </c>
      <c r="CO50" s="96">
        <f t="shared" si="177"/>
        <v>78.466637624861193</v>
      </c>
      <c r="CP50" s="96">
        <f t="shared" si="177"/>
        <v>78.611205777852547</v>
      </c>
      <c r="CQ50" s="96">
        <f t="shared" si="177"/>
        <v>78.624710404214269</v>
      </c>
      <c r="CR50" s="118"/>
      <c r="CS50" s="248">
        <f t="shared" ref="CS50:CZ51" si="178">+CS42+CS20</f>
        <v>76.770576374641365</v>
      </c>
      <c r="CT50" s="248">
        <f t="shared" si="178"/>
        <v>65.766732745880944</v>
      </c>
      <c r="CU50" s="248">
        <f t="shared" si="178"/>
        <v>69.342146193097591</v>
      </c>
      <c r="CV50" s="248">
        <f t="shared" si="178"/>
        <v>71.217716345888107</v>
      </c>
      <c r="CW50" s="248">
        <f t="shared" si="178"/>
        <v>69.778411501543303</v>
      </c>
      <c r="CX50" s="248">
        <f t="shared" si="178"/>
        <v>68.466938508602468</v>
      </c>
      <c r="CY50" s="248">
        <f t="shared" si="178"/>
        <v>67.337167039971234</v>
      </c>
      <c r="CZ50" s="248">
        <f t="shared" si="178"/>
        <v>66.687397447327427</v>
      </c>
      <c r="DA50" s="248">
        <f t="shared" ref="DA50:DB50" si="179">+DA42+DA20</f>
        <v>63.065229035362869</v>
      </c>
      <c r="DB50" s="248">
        <f t="shared" si="179"/>
        <v>60.851203161413494</v>
      </c>
      <c r="DC50" s="248">
        <f t="shared" ref="DC50:DD50" si="180">+DC42+DC20</f>
        <v>60.252345799009667</v>
      </c>
      <c r="DD50" s="248">
        <f t="shared" si="180"/>
        <v>57.713711209883996</v>
      </c>
      <c r="DE50" s="248">
        <f t="shared" ref="DE50:DF50" si="181">+DE42+DE20</f>
        <v>59.013637795545797</v>
      </c>
      <c r="DF50" s="248">
        <f t="shared" si="181"/>
        <v>59.84401580272614</v>
      </c>
      <c r="DG50" s="248">
        <f t="shared" ref="DG50:DH50" si="182">+DG42+DG20</f>
        <v>59.98971046173655</v>
      </c>
      <c r="DH50" s="248">
        <f t="shared" si="182"/>
        <v>58.395702363652724</v>
      </c>
      <c r="DI50" s="248">
        <f t="shared" ref="DI50:DJ50" si="183">+DI42+DI20</f>
        <v>57.475692034548359</v>
      </c>
      <c r="DJ50" s="248">
        <f t="shared" si="183"/>
        <v>57.098367646561812</v>
      </c>
      <c r="DK50" s="248">
        <f t="shared" ref="DK50" si="184">+DK42+DK20</f>
        <v>56.939104542552556</v>
      </c>
    </row>
    <row r="51" spans="1:115" x14ac:dyDescent="0.35">
      <c r="A51" s="4"/>
      <c r="C51" s="314"/>
      <c r="D51" s="1">
        <v>34</v>
      </c>
      <c r="E51" s="1" t="s">
        <v>70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118"/>
      <c r="CS51" s="248">
        <f t="shared" si="178"/>
        <v>83.923362374641385</v>
      </c>
      <c r="CT51" s="248">
        <f t="shared" si="178"/>
        <v>71.619832806563409</v>
      </c>
      <c r="CU51" s="248">
        <f t="shared" si="178"/>
        <v>75.604892360070437</v>
      </c>
      <c r="CV51" s="248">
        <f t="shared" si="178"/>
        <v>77.687842774161808</v>
      </c>
      <c r="CW51" s="248">
        <f t="shared" si="178"/>
        <v>76.079726024368924</v>
      </c>
      <c r="CX51" s="248">
        <f t="shared" si="178"/>
        <v>74.620497090175903</v>
      </c>
      <c r="CY51" s="248">
        <f t="shared" si="178"/>
        <v>73.343033181590727</v>
      </c>
      <c r="CZ51" s="248">
        <f t="shared" si="178"/>
        <v>72.611946144322332</v>
      </c>
      <c r="DA51" s="248">
        <f t="shared" ref="DA51:DB51" si="185">+DA43+DA21</f>
        <v>68.71932259258179</v>
      </c>
      <c r="DB51" s="248">
        <f t="shared" si="185"/>
        <v>66.270596675140325</v>
      </c>
      <c r="DC51" s="248">
        <f t="shared" ref="DC51:DD51" si="186">+DC43+DC21</f>
        <v>65.550894466070716</v>
      </c>
      <c r="DD51" s="248">
        <f t="shared" si="186"/>
        <v>62.847336980605412</v>
      </c>
      <c r="DE51" s="248">
        <f t="shared" ref="DE51:DF51" si="187">+DE43+DE21</f>
        <v>64.243236570774741</v>
      </c>
      <c r="DF51" s="248">
        <f t="shared" si="187"/>
        <v>65.212307439192784</v>
      </c>
      <c r="DG51" s="248">
        <f t="shared" ref="DG51:DH51" si="188">+DG43+DG21</f>
        <v>65.366747271060618</v>
      </c>
      <c r="DH51" s="248">
        <f t="shared" si="188"/>
        <v>63.559353366651202</v>
      </c>
      <c r="DI51" s="248">
        <f t="shared" ref="DI51:DJ51" si="189">+DI43+DI21</f>
        <v>62.524159221927292</v>
      </c>
      <c r="DJ51" s="248">
        <f t="shared" si="189"/>
        <v>62.081503966920039</v>
      </c>
      <c r="DK51" s="248">
        <f t="shared" ref="DK51" si="190">+DK43+DK21</f>
        <v>61.8415729987207</v>
      </c>
    </row>
    <row r="52" spans="1:115" x14ac:dyDescent="0.35">
      <c r="A52" s="4"/>
      <c r="C52" s="314"/>
      <c r="D52" s="1">
        <v>34</v>
      </c>
      <c r="E52" s="1" t="s">
        <v>66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118"/>
      <c r="CS52" s="248">
        <f t="shared" ref="CS52:CZ54" si="191">+CS43+CS22</f>
        <v>83.923362374641385</v>
      </c>
      <c r="CT52" s="248">
        <f t="shared" si="191"/>
        <v>71.619832806563409</v>
      </c>
      <c r="CU52" s="248">
        <f t="shared" si="191"/>
        <v>75.604892360070437</v>
      </c>
      <c r="CV52" s="248">
        <f t="shared" si="191"/>
        <v>77.687842774161808</v>
      </c>
      <c r="CW52" s="248">
        <f t="shared" si="191"/>
        <v>76.079726024368924</v>
      </c>
      <c r="CX52" s="248">
        <f t="shared" si="191"/>
        <v>74.620497090175903</v>
      </c>
      <c r="CY52" s="248">
        <f t="shared" si="191"/>
        <v>73.343033181590727</v>
      </c>
      <c r="CZ52" s="248">
        <f t="shared" si="191"/>
        <v>72.611946144322332</v>
      </c>
      <c r="DA52" s="248">
        <f t="shared" ref="DA52:DB52" si="192">+DA43+DA22</f>
        <v>68.71932259258179</v>
      </c>
      <c r="DB52" s="248">
        <f t="shared" si="192"/>
        <v>66.270596675140325</v>
      </c>
      <c r="DC52" s="248">
        <f t="shared" ref="DC52:DD52" si="193">+DC43+DC22</f>
        <v>65.550894466070716</v>
      </c>
      <c r="DD52" s="248">
        <f t="shared" si="193"/>
        <v>62.847336980605412</v>
      </c>
      <c r="DE52" s="248">
        <f t="shared" ref="DE52:DF52" si="194">+DE43+DE22</f>
        <v>64.243236570774741</v>
      </c>
      <c r="DF52" s="248">
        <f t="shared" si="194"/>
        <v>65.212307439192784</v>
      </c>
      <c r="DG52" s="248">
        <f t="shared" ref="DG52:DH52" si="195">+DG43+DG22</f>
        <v>65.366747271060618</v>
      </c>
      <c r="DH52" s="248">
        <f t="shared" si="195"/>
        <v>63.559353366651202</v>
      </c>
      <c r="DI52" s="248">
        <f t="shared" ref="DI52:DJ52" si="196">+DI43+DI22</f>
        <v>62.524159221927292</v>
      </c>
      <c r="DJ52" s="248">
        <f t="shared" si="196"/>
        <v>62.081503966920039</v>
      </c>
      <c r="DK52" s="248">
        <f t="shared" ref="DK52" si="197">+DK43+DK22</f>
        <v>61.8415729987207</v>
      </c>
    </row>
    <row r="53" spans="1:115" x14ac:dyDescent="0.35">
      <c r="A53" s="4"/>
      <c r="C53" s="314"/>
      <c r="D53" s="1">
        <v>44.8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>
        <f t="shared" ref="Q53:AB53" si="198">+Q44+Q23</f>
        <v>90.062446343183268</v>
      </c>
      <c r="R53" s="2">
        <f t="shared" si="198"/>
        <v>91.090122868745325</v>
      </c>
      <c r="S53" s="2">
        <f t="shared" si="198"/>
        <v>91.797944641844694</v>
      </c>
      <c r="T53" s="2">
        <f t="shared" si="198"/>
        <v>94.669573603953708</v>
      </c>
      <c r="U53" s="2">
        <f t="shared" si="198"/>
        <v>95.067392790167744</v>
      </c>
      <c r="V53" s="2">
        <f t="shared" si="198"/>
        <v>95.338299069369825</v>
      </c>
      <c r="W53" s="2">
        <f t="shared" si="198"/>
        <v>97.044865586200487</v>
      </c>
      <c r="X53" s="2">
        <f t="shared" si="198"/>
        <v>99.936959891077166</v>
      </c>
      <c r="Y53" s="2">
        <f t="shared" si="198"/>
        <v>101.73998293000994</v>
      </c>
      <c r="Z53" s="2">
        <f t="shared" si="198"/>
        <v>101.38061229748295</v>
      </c>
      <c r="AA53" s="2">
        <f t="shared" si="198"/>
        <v>101.93018735418721</v>
      </c>
      <c r="AB53" s="2">
        <f t="shared" si="198"/>
        <v>102.23699558468546</v>
      </c>
      <c r="AC53" s="2">
        <f t="shared" ref="AC53:AM53" si="199">+AC44+AC23-1</f>
        <v>100.71651606872726</v>
      </c>
      <c r="AD53" s="2">
        <f t="shared" si="199"/>
        <v>97.353404902293718</v>
      </c>
      <c r="AE53" s="2">
        <f t="shared" si="199"/>
        <v>97.237918563293107</v>
      </c>
      <c r="AF53" s="2">
        <f t="shared" si="199"/>
        <v>96.41524653206946</v>
      </c>
      <c r="AG53" s="2">
        <f t="shared" si="199"/>
        <v>95.850190305488425</v>
      </c>
      <c r="AH53" s="2">
        <f t="shared" si="199"/>
        <v>95.887257260270601</v>
      </c>
      <c r="AI53" s="2">
        <f t="shared" si="199"/>
        <v>80.341871796784432</v>
      </c>
      <c r="AJ53" s="2">
        <f t="shared" si="199"/>
        <v>79.138732908106093</v>
      </c>
      <c r="AK53" s="2">
        <f t="shared" si="199"/>
        <v>77.111898952654116</v>
      </c>
      <c r="AL53" s="2">
        <f t="shared" si="199"/>
        <v>75.188743155231208</v>
      </c>
      <c r="AM53" s="2">
        <f t="shared" si="199"/>
        <v>73.751647863819969</v>
      </c>
      <c r="AN53" s="2">
        <f t="shared" ref="AN53:AY53" si="200">+AN44+AN23-2</f>
        <v>69.333305898271519</v>
      </c>
      <c r="AO53" s="2">
        <f t="shared" si="200"/>
        <v>69.498548687033306</v>
      </c>
      <c r="AP53" s="2">
        <f t="shared" si="200"/>
        <v>70.026623255004182</v>
      </c>
      <c r="AQ53" s="2">
        <f t="shared" si="200"/>
        <v>69.519994341188649</v>
      </c>
      <c r="AR53" s="2">
        <f t="shared" si="200"/>
        <v>64.92816407104749</v>
      </c>
      <c r="AS53" s="2">
        <f t="shared" si="200"/>
        <v>59.831259781856346</v>
      </c>
      <c r="AT53" s="2">
        <f t="shared" si="200"/>
        <v>60.297769082738128</v>
      </c>
      <c r="AU53" s="2">
        <f t="shared" si="200"/>
        <v>61.733928344968092</v>
      </c>
      <c r="AV53" s="2">
        <f t="shared" si="200"/>
        <v>60.448634753730488</v>
      </c>
      <c r="AW53" s="2">
        <f t="shared" si="200"/>
        <v>61.069537932856711</v>
      </c>
      <c r="AX53" s="2">
        <f t="shared" si="200"/>
        <v>60.820597486856308</v>
      </c>
      <c r="AY53" s="2">
        <f t="shared" si="200"/>
        <v>60.223891534712962</v>
      </c>
      <c r="AZ53" s="2">
        <f t="shared" ref="AZ53:BW53" si="201">+AZ44+AZ23-3</f>
        <v>59.1611799831621</v>
      </c>
      <c r="BA53" s="2">
        <f t="shared" si="201"/>
        <v>62.064194631503256</v>
      </c>
      <c r="BB53" s="2">
        <f t="shared" si="201"/>
        <v>69.111934320606139</v>
      </c>
      <c r="BC53" s="2" t="e">
        <f t="shared" si="201"/>
        <v>#N/A</v>
      </c>
      <c r="BD53" s="2" t="e">
        <f t="shared" si="201"/>
        <v>#N/A</v>
      </c>
      <c r="BE53" s="2" t="e">
        <f t="shared" si="201"/>
        <v>#N/A</v>
      </c>
      <c r="BF53" s="2" t="e">
        <f t="shared" si="201"/>
        <v>#N/A</v>
      </c>
      <c r="BG53" s="2" t="e">
        <f t="shared" si="201"/>
        <v>#N/A</v>
      </c>
      <c r="BH53" s="2">
        <f t="shared" si="201"/>
        <v>85.757854404905146</v>
      </c>
      <c r="BI53" s="2">
        <f t="shared" si="201"/>
        <v>85.977941964904602</v>
      </c>
      <c r="BJ53" s="2">
        <f t="shared" si="201"/>
        <v>85.179599259566913</v>
      </c>
      <c r="BK53" s="2">
        <f t="shared" si="201"/>
        <v>93.029011794530504</v>
      </c>
      <c r="BL53" s="2">
        <f t="shared" si="201"/>
        <v>97.414548685404512</v>
      </c>
      <c r="BM53" s="2">
        <f t="shared" si="201"/>
        <v>92.210940342657636</v>
      </c>
      <c r="BN53" s="2">
        <f t="shared" si="201"/>
        <v>99.189390064231276</v>
      </c>
      <c r="BO53" s="2">
        <f t="shared" si="201"/>
        <v>103.81198008902422</v>
      </c>
      <c r="BP53" s="2">
        <f t="shared" si="201"/>
        <v>108.61283088617697</v>
      </c>
      <c r="BQ53" s="2">
        <f t="shared" si="201"/>
        <v>114.30929130993808</v>
      </c>
      <c r="BR53" s="2">
        <f t="shared" si="201"/>
        <v>119.4642139317838</v>
      </c>
      <c r="BS53" s="2">
        <f t="shared" si="201"/>
        <v>118.55970573430199</v>
      </c>
      <c r="BT53" s="2">
        <f t="shared" si="201"/>
        <v>107.88827154684779</v>
      </c>
      <c r="BU53" s="2">
        <f t="shared" si="201"/>
        <v>98.520234372151322</v>
      </c>
      <c r="BV53" s="2">
        <f t="shared" si="201"/>
        <v>95.517142625449296</v>
      </c>
      <c r="BW53" s="2">
        <f t="shared" si="201"/>
        <v>91.479763223882898</v>
      </c>
      <c r="BX53" s="2">
        <f t="shared" ref="BX53:CQ53" si="202">+BX44+BX23</f>
        <v>94.45052437094067</v>
      </c>
      <c r="BY53" s="2">
        <f t="shared" si="202"/>
        <v>92.810150862879624</v>
      </c>
      <c r="BZ53" s="2">
        <f t="shared" si="202"/>
        <v>91.027440901417876</v>
      </c>
      <c r="CA53" s="2">
        <f t="shared" si="202"/>
        <v>91.32382523556646</v>
      </c>
      <c r="CB53" s="96">
        <f t="shared" si="202"/>
        <v>90.747954059467475</v>
      </c>
      <c r="CC53" s="96">
        <f t="shared" si="202"/>
        <v>92.515914148134883</v>
      </c>
      <c r="CD53" s="96">
        <f t="shared" si="202"/>
        <v>92.409994315903958</v>
      </c>
      <c r="CE53" s="96">
        <f t="shared" si="202"/>
        <v>88.427725297437007</v>
      </c>
      <c r="CF53" s="96">
        <f t="shared" si="202"/>
        <v>84.866563569484327</v>
      </c>
      <c r="CG53" s="96">
        <f t="shared" si="202"/>
        <v>87.273292334938461</v>
      </c>
      <c r="CH53" s="96">
        <f t="shared" si="202"/>
        <v>87.797371694938462</v>
      </c>
      <c r="CI53" s="96">
        <f t="shared" si="202"/>
        <v>86.188587039635735</v>
      </c>
      <c r="CJ53" s="96">
        <f t="shared" si="202"/>
        <v>96.81568838883652</v>
      </c>
      <c r="CK53" s="96">
        <f t="shared" si="202"/>
        <v>101.62684578254853</v>
      </c>
      <c r="CL53" s="96">
        <f t="shared" si="202"/>
        <v>103.06474230692027</v>
      </c>
      <c r="CM53" s="96">
        <f t="shared" si="202"/>
        <v>98.789696797201842</v>
      </c>
      <c r="CN53" s="96">
        <f t="shared" si="202"/>
        <v>91.516764415808211</v>
      </c>
      <c r="CO53" s="96">
        <f t="shared" si="202"/>
        <v>91.997736566827683</v>
      </c>
      <c r="CP53" s="96">
        <f t="shared" si="202"/>
        <v>92.202556696394282</v>
      </c>
      <c r="CQ53" s="96">
        <f t="shared" si="202"/>
        <v>92.221784879284016</v>
      </c>
      <c r="CR53" s="118"/>
      <c r="CS53" s="248">
        <f t="shared" si="191"/>
        <v>106.01529882618459</v>
      </c>
      <c r="CT53" s="248">
        <f t="shared" si="191"/>
        <v>91.533439158401251</v>
      </c>
      <c r="CU53" s="248">
        <f t="shared" si="191"/>
        <v>94.733824614072347</v>
      </c>
      <c r="CV53" s="248">
        <f t="shared" si="191"/>
        <v>98.648915999077346</v>
      </c>
      <c r="CW53" s="248">
        <f t="shared" si="191"/>
        <v>98.319905670628785</v>
      </c>
      <c r="CX53" s="248">
        <f t="shared" si="191"/>
        <v>97.733491766348436</v>
      </c>
      <c r="CY53" s="248">
        <f t="shared" si="191"/>
        <v>97.900016277149305</v>
      </c>
      <c r="CZ53" s="248">
        <f t="shared" si="191"/>
        <v>95.202556638959138</v>
      </c>
      <c r="DA53" s="248">
        <f t="shared" ref="DA53:DB53" si="203">+DA44+DA23</f>
        <v>89.197506531797046</v>
      </c>
      <c r="DB53" s="248">
        <f t="shared" si="203"/>
        <v>88.192087024577319</v>
      </c>
      <c r="DC53" s="248">
        <f t="shared" ref="DC53:DD53" si="204">+DC44+DC23</f>
        <v>86.0463313536128</v>
      </c>
      <c r="DD53" s="248">
        <f t="shared" si="204"/>
        <v>83.507073926992732</v>
      </c>
      <c r="DE53" s="248">
        <f t="shared" ref="DE53:DF53" si="205">+DE44+DE23</f>
        <v>84.477886667721464</v>
      </c>
      <c r="DF53" s="248">
        <f t="shared" si="205"/>
        <v>87.66520401812366</v>
      </c>
      <c r="DG53" s="248">
        <f t="shared" ref="DG53:DH53" si="206">+DG44+DG23</f>
        <v>87.917525796008292</v>
      </c>
      <c r="DH53" s="248">
        <f t="shared" si="206"/>
        <v>85.54818563973798</v>
      </c>
      <c r="DI53" s="248">
        <f t="shared" ref="DI53:DJ53" si="207">+DI44+DI23</f>
        <v>83.982241137910975</v>
      </c>
      <c r="DJ53" s="248">
        <f t="shared" si="207"/>
        <v>82.790066176784052</v>
      </c>
      <c r="DK53" s="248">
        <f t="shared" ref="DK53" si="208">+DK44+DK23</f>
        <v>83.530336539015707</v>
      </c>
    </row>
    <row r="54" spans="1:115" x14ac:dyDescent="0.35">
      <c r="A54" s="4"/>
      <c r="C54" s="314"/>
      <c r="D54" s="1">
        <v>52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>
        <f t="shared" ref="Q54:AB54" si="209">+Q45+Q24</f>
        <v>100.51891093405202</v>
      </c>
      <c r="R54" s="2">
        <f t="shared" si="209"/>
        <v>101.85305341035988</v>
      </c>
      <c r="S54" s="2">
        <f t="shared" si="209"/>
        <v>102.75042272712631</v>
      </c>
      <c r="T54" s="2">
        <f t="shared" si="209"/>
        <v>105.78993496614976</v>
      </c>
      <c r="U54" s="2">
        <f t="shared" si="209"/>
        <v>106.54020160887559</v>
      </c>
      <c r="V54" s="2">
        <f t="shared" si="209"/>
        <v>107.18462502563084</v>
      </c>
      <c r="W54" s="2">
        <f t="shared" si="209"/>
        <v>109.33817237913173</v>
      </c>
      <c r="X54" s="2">
        <f t="shared" si="209"/>
        <v>112.7350451592001</v>
      </c>
      <c r="Y54" s="2">
        <f t="shared" si="209"/>
        <v>114.90360362686535</v>
      </c>
      <c r="Z54" s="2">
        <f t="shared" si="209"/>
        <v>114.57802441191207</v>
      </c>
      <c r="AA54" s="2">
        <f t="shared" si="209"/>
        <v>115.12759946861632</v>
      </c>
      <c r="AB54" s="2">
        <f t="shared" si="209"/>
        <v>115.56869083762832</v>
      </c>
      <c r="AC54" s="2">
        <f t="shared" ref="AC54:AM54" si="210">+AC45+AC24-1</f>
        <v>113.95751611094485</v>
      </c>
      <c r="AD54" s="2">
        <f t="shared" si="210"/>
        <v>110.06946061989323</v>
      </c>
      <c r="AE54" s="2">
        <f t="shared" si="210"/>
        <v>109.5813177459715</v>
      </c>
      <c r="AF54" s="2">
        <f t="shared" si="210"/>
        <v>108.75864571474787</v>
      </c>
      <c r="AG54" s="2">
        <f t="shared" si="210"/>
        <v>108.19358948816682</v>
      </c>
      <c r="AH54" s="2">
        <f t="shared" si="210"/>
        <v>108.230656442949</v>
      </c>
      <c r="AI54" s="2">
        <f t="shared" si="210"/>
        <v>90.082399864605406</v>
      </c>
      <c r="AJ54" s="2">
        <f t="shared" si="210"/>
        <v>89.269566738591152</v>
      </c>
      <c r="AK54" s="2">
        <f t="shared" si="210"/>
        <v>86.501772548020512</v>
      </c>
      <c r="AL54" s="2">
        <f t="shared" si="210"/>
        <v>84.391313612796154</v>
      </c>
      <c r="AM54" s="2">
        <f t="shared" si="210"/>
        <v>82.718532502631291</v>
      </c>
      <c r="AN54" s="2">
        <f t="shared" ref="AN54:AY54" si="211">+AN45+AN24-2</f>
        <v>80.101408456259662</v>
      </c>
      <c r="AO54" s="2">
        <f t="shared" si="211"/>
        <v>80.309969409294993</v>
      </c>
      <c r="AP54" s="2">
        <f t="shared" si="211"/>
        <v>80.978942565128222</v>
      </c>
      <c r="AQ54" s="2">
        <f t="shared" si="211"/>
        <v>80.113289807048503</v>
      </c>
      <c r="AR54" s="2">
        <f t="shared" si="211"/>
        <v>74.859702755933711</v>
      </c>
      <c r="AS54" s="2">
        <f t="shared" si="211"/>
        <v>68.993738660074783</v>
      </c>
      <c r="AT54" s="2">
        <f t="shared" si="211"/>
        <v>69.588883618499239</v>
      </c>
      <c r="AU54" s="2">
        <f t="shared" si="211"/>
        <v>69.845361461809119</v>
      </c>
      <c r="AV54" s="2">
        <f t="shared" si="211"/>
        <v>68.244351317054452</v>
      </c>
      <c r="AW54" s="2">
        <f t="shared" si="211"/>
        <v>68.677864416970749</v>
      </c>
      <c r="AX54" s="2">
        <f t="shared" si="211"/>
        <v>68.458998733746398</v>
      </c>
      <c r="AY54" s="2">
        <f t="shared" si="211"/>
        <v>67.822029285138953</v>
      </c>
      <c r="AZ54" s="2">
        <f t="shared" ref="AZ54:BW54" si="212">+AZ45+AZ24-3</f>
        <v>66.866221659487593</v>
      </c>
      <c r="BA54" s="2">
        <f t="shared" si="212"/>
        <v>70.827295485984862</v>
      </c>
      <c r="BB54" s="2">
        <f t="shared" si="212"/>
        <v>80.288291077359787</v>
      </c>
      <c r="BC54" s="2" t="e">
        <f t="shared" si="212"/>
        <v>#N/A</v>
      </c>
      <c r="BD54" s="2" t="e">
        <f t="shared" si="212"/>
        <v>#N/A</v>
      </c>
      <c r="BE54" s="2" t="e">
        <f t="shared" si="212"/>
        <v>#N/A</v>
      </c>
      <c r="BF54" s="2" t="e">
        <f t="shared" si="212"/>
        <v>#N/A</v>
      </c>
      <c r="BG54" s="2" t="e">
        <f t="shared" si="212"/>
        <v>#N/A</v>
      </c>
      <c r="BH54" s="2">
        <f t="shared" si="212"/>
        <v>102.42798261701617</v>
      </c>
      <c r="BI54" s="2">
        <f t="shared" si="212"/>
        <v>102.7579497776897</v>
      </c>
      <c r="BJ54" s="2">
        <f t="shared" si="212"/>
        <v>101.74294543841806</v>
      </c>
      <c r="BK54" s="2">
        <f t="shared" si="212"/>
        <v>112.22596193048338</v>
      </c>
      <c r="BL54" s="2">
        <f t="shared" si="212"/>
        <v>116.82037020816898</v>
      </c>
      <c r="BM54" s="2">
        <f t="shared" si="212"/>
        <v>109.99247220184324</v>
      </c>
      <c r="BN54" s="2">
        <f t="shared" si="212"/>
        <v>116.95324043721394</v>
      </c>
      <c r="BO54" s="2">
        <f t="shared" si="212"/>
        <v>125.41421378102629</v>
      </c>
      <c r="BP54" s="2">
        <f t="shared" si="212"/>
        <v>131.77172318137366</v>
      </c>
      <c r="BQ54" s="2">
        <f t="shared" si="212"/>
        <v>138.36415896343351</v>
      </c>
      <c r="BR54" s="2">
        <f t="shared" si="212"/>
        <v>144.03665311603964</v>
      </c>
      <c r="BS54" s="2">
        <f t="shared" si="212"/>
        <v>143.28715527294392</v>
      </c>
      <c r="BT54" s="2">
        <f t="shared" si="212"/>
        <v>129.32641299391145</v>
      </c>
      <c r="BU54" s="2">
        <f t="shared" si="212"/>
        <v>118.36611518099195</v>
      </c>
      <c r="BV54" s="2">
        <f t="shared" si="212"/>
        <v>114.54863797314781</v>
      </c>
      <c r="BW54" s="2">
        <f t="shared" si="212"/>
        <v>109.40655129298872</v>
      </c>
      <c r="BX54" s="2">
        <f t="shared" ref="BX54:CQ54" si="213">+BX45+BX24</f>
        <v>111.07499108251626</v>
      </c>
      <c r="BY54" s="2">
        <f t="shared" si="213"/>
        <v>109.24201971101881</v>
      </c>
      <c r="BZ54" s="2">
        <f t="shared" si="213"/>
        <v>107.05440673647557</v>
      </c>
      <c r="CA54" s="2">
        <f t="shared" si="213"/>
        <v>107.75113770196612</v>
      </c>
      <c r="CB54" s="96">
        <f t="shared" si="213"/>
        <v>107.25955422380312</v>
      </c>
      <c r="CC54" s="96">
        <f t="shared" si="213"/>
        <v>109.85809517649105</v>
      </c>
      <c r="CD54" s="96">
        <f t="shared" si="213"/>
        <v>108.42083881658107</v>
      </c>
      <c r="CE54" s="96">
        <f t="shared" si="213"/>
        <v>103.50191549806385</v>
      </c>
      <c r="CF54" s="96">
        <f t="shared" si="213"/>
        <v>100.17519503948431</v>
      </c>
      <c r="CG54" s="96">
        <f t="shared" si="213"/>
        <v>103.26453415094724</v>
      </c>
      <c r="CH54" s="96">
        <f t="shared" si="213"/>
        <v>103.95350520695186</v>
      </c>
      <c r="CI54" s="96">
        <f t="shared" si="213"/>
        <v>101.95115775988907</v>
      </c>
      <c r="CJ54" s="96">
        <f t="shared" si="213"/>
        <v>111.25150838883653</v>
      </c>
      <c r="CK54" s="96">
        <f t="shared" si="213"/>
        <v>116.32316178254852</v>
      </c>
      <c r="CL54" s="96">
        <f t="shared" si="213"/>
        <v>117.76105830692026</v>
      </c>
      <c r="CM54" s="96">
        <f t="shared" si="213"/>
        <v>119.47420479720185</v>
      </c>
      <c r="CN54" s="96">
        <f t="shared" si="213"/>
        <v>119.99037553923407</v>
      </c>
      <c r="CO54" s="96">
        <f t="shared" si="213"/>
        <v>120.47124603685495</v>
      </c>
      <c r="CP54" s="96">
        <f t="shared" si="213"/>
        <v>120.67629090723312</v>
      </c>
      <c r="CQ54" s="96">
        <f t="shared" si="213"/>
        <v>120.69544487928401</v>
      </c>
      <c r="CR54" s="118"/>
      <c r="CS54" s="248">
        <f t="shared" si="191"/>
        <v>126.7142788261846</v>
      </c>
      <c r="CT54" s="248">
        <f t="shared" si="191"/>
        <v>107.90030608944072</v>
      </c>
      <c r="CU54" s="248">
        <f t="shared" si="191"/>
        <v>113.98219722770753</v>
      </c>
      <c r="CV54" s="248">
        <f t="shared" si="191"/>
        <v>117.15407166154189</v>
      </c>
      <c r="CW54" s="248">
        <f t="shared" si="191"/>
        <v>114.69612996953289</v>
      </c>
      <c r="CX54" s="248">
        <f t="shared" si="191"/>
        <v>112.471450427292</v>
      </c>
      <c r="CY54" s="248">
        <f t="shared" si="191"/>
        <v>110.50463969431381</v>
      </c>
      <c r="CZ54" s="248">
        <f t="shared" si="191"/>
        <v>109.38240631176922</v>
      </c>
      <c r="DA54" s="248">
        <f t="shared" ref="DA54:DB54" si="214">+DA45+DA24</f>
        <v>103.56324606272797</v>
      </c>
      <c r="DB54" s="248">
        <f t="shared" si="214"/>
        <v>99.841422114431339</v>
      </c>
      <c r="DC54" s="248">
        <f t="shared" ref="DC54:DD54" si="215">+DC45+DC24</f>
        <v>98.710768574690263</v>
      </c>
      <c r="DD54" s="248">
        <f t="shared" si="215"/>
        <v>94.703214148946216</v>
      </c>
      <c r="DE54" s="248">
        <f t="shared" ref="DE54:DF54" si="216">+DE45+DE24</f>
        <v>96.783744608258033</v>
      </c>
      <c r="DF54" s="248">
        <f t="shared" si="216"/>
        <v>98.301918642585036</v>
      </c>
      <c r="DG54" s="248">
        <f t="shared" ref="DG54:DH54" si="217">+DG45+DG24</f>
        <v>98.530139661167013</v>
      </c>
      <c r="DH54" s="248">
        <f t="shared" si="217"/>
        <v>95.74279374230052</v>
      </c>
      <c r="DI54" s="248">
        <f t="shared" ref="DI54:DJ54" si="218">+DI45+DI24</f>
        <v>94.153706676026175</v>
      </c>
      <c r="DJ54" s="248">
        <f t="shared" si="218"/>
        <v>93.45733589608713</v>
      </c>
      <c r="DK54" s="248">
        <f t="shared" ref="DK54" si="219">+DK45+DK24</f>
        <v>93.032403775573115</v>
      </c>
    </row>
    <row r="55" spans="1:115" ht="6.65" customHeight="1" x14ac:dyDescent="0.35"/>
    <row r="56" spans="1:115" x14ac:dyDescent="0.35">
      <c r="A56" s="4"/>
      <c r="C56" s="314" t="s">
        <v>71</v>
      </c>
      <c r="D56" s="1">
        <v>24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>
        <f t="shared" ref="Q56:AV56" si="220">+Q47*Q$14</f>
        <v>977.35046563139827</v>
      </c>
      <c r="R56" s="2">
        <f t="shared" si="220"/>
        <v>1036.0222579670608</v>
      </c>
      <c r="S56" s="2">
        <f t="shared" si="220"/>
        <v>1071.7709143505231</v>
      </c>
      <c r="T56" s="2">
        <f t="shared" si="220"/>
        <v>1108.410930168526</v>
      </c>
      <c r="U56" s="2">
        <f t="shared" si="220"/>
        <v>1227.1093854306455</v>
      </c>
      <c r="V56" s="2">
        <f t="shared" si="220"/>
        <v>1396.5570906892988</v>
      </c>
      <c r="W56" s="2">
        <f t="shared" si="220"/>
        <v>1529.1833024988557</v>
      </c>
      <c r="X56" s="2">
        <f t="shared" si="220"/>
        <v>1600.6471815145032</v>
      </c>
      <c r="Y56" s="2">
        <f t="shared" si="220"/>
        <v>2080.8010221066043</v>
      </c>
      <c r="Z56" s="2">
        <f t="shared" si="220"/>
        <v>2168.148938789383</v>
      </c>
      <c r="AA56" s="2">
        <f t="shared" si="220"/>
        <v>2087.6648497154538</v>
      </c>
      <c r="AB56" s="2">
        <f t="shared" si="220"/>
        <v>2181.8273852044035</v>
      </c>
      <c r="AC56" s="2">
        <f t="shared" si="220"/>
        <v>2163.7508526435236</v>
      </c>
      <c r="AD56" s="2">
        <f t="shared" si="220"/>
        <v>2112.3580765135807</v>
      </c>
      <c r="AE56" s="2">
        <f t="shared" si="220"/>
        <v>2260.8838822163125</v>
      </c>
      <c r="AF56" s="2">
        <f t="shared" si="220"/>
        <v>2374.7684319296595</v>
      </c>
      <c r="AG56" s="2">
        <f t="shared" si="220"/>
        <v>2461.4402285402939</v>
      </c>
      <c r="AH56" s="2">
        <f t="shared" si="220"/>
        <v>2455.521673690107</v>
      </c>
      <c r="AI56" s="2">
        <f t="shared" si="220"/>
        <v>1989.4126397150244</v>
      </c>
      <c r="AJ56" s="2">
        <f t="shared" si="220"/>
        <v>2646.1005250135736</v>
      </c>
      <c r="AK56" s="2">
        <f t="shared" si="220"/>
        <v>2539.1332028930215</v>
      </c>
      <c r="AL56" s="2">
        <f t="shared" si="220"/>
        <v>2633.6609161596998</v>
      </c>
      <c r="AM56" s="2">
        <f t="shared" si="220"/>
        <v>2581.297810089568</v>
      </c>
      <c r="AN56" s="2">
        <f t="shared" si="220"/>
        <v>2535.2446723335775</v>
      </c>
      <c r="AO56" s="2">
        <f t="shared" si="220"/>
        <v>2562.1970332750152</v>
      </c>
      <c r="AP56" s="2">
        <f t="shared" si="220"/>
        <v>2655.0908162560959</v>
      </c>
      <c r="AQ56" s="2">
        <f t="shared" si="220"/>
        <v>2750.301741731731</v>
      </c>
      <c r="AR56" s="2">
        <f t="shared" si="220"/>
        <v>2684.3187835891563</v>
      </c>
      <c r="AS56" s="2">
        <f t="shared" si="220"/>
        <v>2561.8268523068095</v>
      </c>
      <c r="AT56" s="2">
        <f t="shared" si="220"/>
        <v>2647.2160332289313</v>
      </c>
      <c r="AU56" s="2">
        <f t="shared" si="220"/>
        <v>2720.2592491482756</v>
      </c>
      <c r="AV56" s="2">
        <f t="shared" si="220"/>
        <v>2730.1481444318438</v>
      </c>
      <c r="AW56" s="2">
        <f t="shared" ref="AW56:CB56" si="221">+AW47*AW$14</f>
        <v>2841.4055220939367</v>
      </c>
      <c r="AX56" s="2">
        <f t="shared" si="221"/>
        <v>2906.7836311134074</v>
      </c>
      <c r="AY56" s="2">
        <f t="shared" si="221"/>
        <v>2984.977555889237</v>
      </c>
      <c r="AZ56" s="2">
        <f t="shared" si="221"/>
        <v>3082.8349488759595</v>
      </c>
      <c r="BA56" s="2">
        <f t="shared" si="221"/>
        <v>3350.2063314045022</v>
      </c>
      <c r="BB56" s="2">
        <f t="shared" si="221"/>
        <v>3831.3111805325329</v>
      </c>
      <c r="BC56" s="2" t="e">
        <f t="shared" si="221"/>
        <v>#N/A</v>
      </c>
      <c r="BD56" s="2" t="e">
        <f t="shared" si="221"/>
        <v>#N/A</v>
      </c>
      <c r="BE56" s="2" t="e">
        <f t="shared" si="221"/>
        <v>#N/A</v>
      </c>
      <c r="BF56" s="2" t="e">
        <f t="shared" si="221"/>
        <v>#N/A</v>
      </c>
      <c r="BG56" s="2" t="e">
        <f t="shared" si="221"/>
        <v>#N/A</v>
      </c>
      <c r="BH56" s="2">
        <f t="shared" si="221"/>
        <v>5206.5502320065534</v>
      </c>
      <c r="BI56" s="2">
        <f t="shared" si="221"/>
        <v>5271.8735889582085</v>
      </c>
      <c r="BJ56" s="2">
        <f t="shared" si="221"/>
        <v>5022.4363011711393</v>
      </c>
      <c r="BK56" s="2">
        <f t="shared" si="221"/>
        <v>5506.9089757845977</v>
      </c>
      <c r="BL56" s="2">
        <f t="shared" si="221"/>
        <v>5909.6348725032012</v>
      </c>
      <c r="BM56" s="2">
        <f t="shared" si="221"/>
        <v>5743.1147906216765</v>
      </c>
      <c r="BN56" s="2">
        <f t="shared" si="221"/>
        <v>6271.4116875586824</v>
      </c>
      <c r="BO56" s="2">
        <f t="shared" si="221"/>
        <v>6738.0981748820277</v>
      </c>
      <c r="BP56" s="2">
        <f t="shared" si="221"/>
        <v>7317.9799854456169</v>
      </c>
      <c r="BQ56" s="2">
        <f t="shared" si="221"/>
        <v>7956.9492874084544</v>
      </c>
      <c r="BR56" s="2">
        <f t="shared" si="221"/>
        <v>8712.1408354822288</v>
      </c>
      <c r="BS56" s="2">
        <f t="shared" si="221"/>
        <v>9112.865511693295</v>
      </c>
      <c r="BT56" s="2">
        <f t="shared" si="221"/>
        <v>8883.9829199975611</v>
      </c>
      <c r="BU56" s="2">
        <f t="shared" si="221"/>
        <v>8704.8755210878735</v>
      </c>
      <c r="BV56" s="2">
        <f t="shared" si="221"/>
        <v>8817.4482039045779</v>
      </c>
      <c r="BW56" s="2">
        <f t="shared" si="221"/>
        <v>8977.7940659021606</v>
      </c>
      <c r="BX56" s="2">
        <f t="shared" si="221"/>
        <v>9584.4019626394911</v>
      </c>
      <c r="BY56" s="2">
        <f t="shared" si="221"/>
        <v>10015.055167199969</v>
      </c>
      <c r="BZ56" s="2">
        <f t="shared" si="221"/>
        <v>10313.556868823649</v>
      </c>
      <c r="CA56" s="2">
        <f t="shared" si="221"/>
        <v>11048.589650542481</v>
      </c>
      <c r="CB56" s="2">
        <f t="shared" si="221"/>
        <v>11678.343269079473</v>
      </c>
      <c r="CC56" s="2">
        <f t="shared" ref="CC56:CQ56" si="222">+CC47*CC$14</f>
        <v>12653.992083310188</v>
      </c>
      <c r="CD56" s="2">
        <f t="shared" si="222"/>
        <v>13743.925454548969</v>
      </c>
      <c r="CE56" s="2">
        <f t="shared" si="222"/>
        <v>14078.215886771612</v>
      </c>
      <c r="CF56" s="2">
        <f t="shared" si="222"/>
        <v>16994.28315362299</v>
      </c>
      <c r="CG56" s="2">
        <f t="shared" si="222"/>
        <v>17440.889088382988</v>
      </c>
      <c r="CH56" s="2">
        <f t="shared" si="222"/>
        <v>17539.153968382991</v>
      </c>
      <c r="CI56" s="2">
        <f t="shared" si="222"/>
        <v>17762.15183630299</v>
      </c>
      <c r="CJ56" s="2">
        <f t="shared" si="222"/>
        <v>43960.628914701912</v>
      </c>
      <c r="CK56" s="2">
        <f t="shared" si="222"/>
        <v>47500.656558776493</v>
      </c>
      <c r="CL56" s="2">
        <f t="shared" si="222"/>
        <v>49643.22576525664</v>
      </c>
      <c r="CM56" s="2">
        <f t="shared" si="222"/>
        <v>48512.559241448864</v>
      </c>
      <c r="CN56" s="2">
        <f t="shared" si="222"/>
        <v>46958.415824468044</v>
      </c>
      <c r="CO56" s="2">
        <f t="shared" si="222"/>
        <v>48162.599572320614</v>
      </c>
      <c r="CP56" s="2">
        <f t="shared" si="222"/>
        <v>48666.199190761101</v>
      </c>
      <c r="CQ56" s="2">
        <f t="shared" si="222"/>
        <v>49583.490890725603</v>
      </c>
      <c r="CR56" s="107"/>
      <c r="CS56" s="245">
        <f t="shared" ref="CS56:CZ56" si="223">+CS47*CS$14</f>
        <v>57810.201909220559</v>
      </c>
      <c r="CT56" s="245">
        <f t="shared" si="223"/>
        <v>51569.257060461015</v>
      </c>
      <c r="CU56" s="245">
        <f t="shared" si="223"/>
        <v>54497.618558168571</v>
      </c>
      <c r="CV56" s="245">
        <f t="shared" si="223"/>
        <v>57471.614359146231</v>
      </c>
      <c r="CW56" s="245">
        <f t="shared" si="223"/>
        <v>58562.190638271721</v>
      </c>
      <c r="CX56" s="245">
        <f t="shared" si="223"/>
        <v>59303.36335680214</v>
      </c>
      <c r="CY56" s="245">
        <f t="shared" si="223"/>
        <v>59976.539543801882</v>
      </c>
      <c r="CZ56" s="245">
        <f t="shared" si="223"/>
        <v>59079.124072727383</v>
      </c>
      <c r="DA56" s="245">
        <f t="shared" ref="DA56:DC57" si="224">+DA47*DA$14</f>
        <v>60109.373197021581</v>
      </c>
      <c r="DB56" s="245">
        <f>+DB47*DB$14</f>
        <v>60329.61430934049</v>
      </c>
      <c r="DC56" s="245">
        <f t="shared" si="224"/>
        <v>59918.866257105467</v>
      </c>
      <c r="DD56" s="245">
        <f t="shared" ref="DD56:DE56" si="225">+DD47*DD$14</f>
        <v>66075.174235051134</v>
      </c>
      <c r="DE56" s="245">
        <f t="shared" si="225"/>
        <v>65392.024460834386</v>
      </c>
      <c r="DF56" s="245">
        <f t="shared" ref="DF56:DG56" si="226">+DF47*DF$14</f>
        <v>70581.043812243952</v>
      </c>
      <c r="DG56" s="245">
        <f t="shared" si="226"/>
        <v>72447.774748890966</v>
      </c>
      <c r="DH56" s="245">
        <f>+DH47*DH$14</f>
        <v>70389.178176467991</v>
      </c>
      <c r="DI56" s="245">
        <f>+DI47*DI$14</f>
        <v>70150.706245716472</v>
      </c>
      <c r="DJ56" s="245">
        <f>+DJ47*DJ$14</f>
        <v>69352.547341873214</v>
      </c>
      <c r="DK56" s="245">
        <f>+DK47*DK$14</f>
        <v>68103.093272799684</v>
      </c>
    </row>
    <row r="57" spans="1:115" x14ac:dyDescent="0.35">
      <c r="A57" s="4"/>
      <c r="C57" s="314"/>
      <c r="D57" s="1">
        <v>30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107"/>
      <c r="CS57" s="245">
        <f t="shared" ref="CS57:CY57" si="227">+CS48*CS$14</f>
        <v>69506.540112212839</v>
      </c>
      <c r="CT57" s="245">
        <f t="shared" si="227"/>
        <v>61676.783182860636</v>
      </c>
      <c r="CU57" s="245">
        <f t="shared" si="227"/>
        <v>65128.069525617269</v>
      </c>
      <c r="CV57" s="245">
        <f t="shared" si="227"/>
        <v>68643.09531676711</v>
      </c>
      <c r="CW57" s="245">
        <f t="shared" si="227"/>
        <v>69953.158300807831</v>
      </c>
      <c r="CX57" s="245">
        <f t="shared" si="227"/>
        <v>70903.272840757229</v>
      </c>
      <c r="CY57" s="245">
        <f t="shared" si="227"/>
        <v>71558.695367609427</v>
      </c>
      <c r="CZ57" s="245">
        <f>+CZ48*CZ$14</f>
        <v>70390.136684396319</v>
      </c>
      <c r="DA57" s="245">
        <f t="shared" si="224"/>
        <v>71677.948089764061</v>
      </c>
      <c r="DB57" s="245">
        <f t="shared" si="224"/>
        <v>71953.249480162704</v>
      </c>
      <c r="DC57" s="245">
        <f t="shared" si="224"/>
        <v>71371.232730803793</v>
      </c>
      <c r="DD57" s="245">
        <f t="shared" ref="DD57:DE57" si="228">+DD48*DD$14</f>
        <v>78965.545145491327</v>
      </c>
      <c r="DE57" s="245">
        <f t="shared" si="228"/>
        <v>78031.889492391536</v>
      </c>
      <c r="DF57" s="245">
        <f t="shared" ref="DF57:DG57" si="229">+DF48*DF$14</f>
        <v>84459.314749842451</v>
      </c>
      <c r="DG57" s="245">
        <f t="shared" si="229"/>
        <v>86679.00367865937</v>
      </c>
      <c r="DH57" s="245">
        <f t="shared" ref="DH57:DI57" si="230">+DH48*DH$14</f>
        <v>84048.51392611269</v>
      </c>
      <c r="DI57" s="245">
        <f t="shared" si="230"/>
        <v>83677.796088114817</v>
      </c>
      <c r="DJ57" s="245">
        <f t="shared" ref="DJ57:DK57" si="231">+DJ48*DJ$14</f>
        <v>82613.133007895885</v>
      </c>
      <c r="DK57" s="245">
        <f t="shared" si="231"/>
        <v>80984.31322887518</v>
      </c>
    </row>
    <row r="58" spans="1:115" ht="15.65" customHeight="1" x14ac:dyDescent="0.35">
      <c r="A58" s="4"/>
      <c r="C58" s="314"/>
      <c r="D58" s="1" t="s">
        <v>24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>
        <f>+CP49*CP$14</f>
        <v>66969.74819944617</v>
      </c>
      <c r="CQ58" s="2">
        <f>+CQ49*CQ$14</f>
        <v>68227.254734725604</v>
      </c>
      <c r="CR58" s="107"/>
      <c r="CS58" s="245">
        <f t="shared" ref="CS58:CT61" si="232">+CS49*CS$14</f>
        <v>73200.744573220538</v>
      </c>
      <c r="CT58" s="245">
        <f t="shared" si="232"/>
        <v>64155.447793606858</v>
      </c>
      <c r="CU58" s="245">
        <f t="shared" ref="CU58:CV58" si="233">+CU49*CU$14</f>
        <v>69203.461900711394</v>
      </c>
      <c r="CV58" s="245">
        <f t="shared" si="233"/>
        <v>72143.546658384657</v>
      </c>
      <c r="CW58" s="245">
        <f t="shared" ref="CW58:CX58" si="234">+CW49*CW$14</f>
        <v>72255.545109848084</v>
      </c>
      <c r="CX58" s="245">
        <f t="shared" si="234"/>
        <v>72215.50339194847</v>
      </c>
      <c r="CY58" s="245">
        <f t="shared" ref="CY58:CZ58" si="235">+CY49*CY$14</f>
        <v>71680.414314049383</v>
      </c>
      <c r="CZ58" s="245">
        <f t="shared" si="235"/>
        <v>71755.63965332431</v>
      </c>
      <c r="DA58" s="245">
        <f t="shared" ref="DA58:DB58" si="236">+DA49*DA$14</f>
        <v>73786.317971374563</v>
      </c>
      <c r="DB58" s="245">
        <f t="shared" si="236"/>
        <v>72291.229355759235</v>
      </c>
      <c r="DC58" s="245">
        <f t="shared" ref="DC58:DD58" si="237">+DC49*DC$14</f>
        <v>72604.07668780665</v>
      </c>
      <c r="DD58" s="245">
        <f t="shared" si="237"/>
        <v>79298.639202380611</v>
      </c>
      <c r="DE58" s="245">
        <f t="shared" ref="DE58:DF58" si="238">+DE49*DE$14</f>
        <v>79196.301921622464</v>
      </c>
      <c r="DF58" s="245">
        <f t="shared" si="238"/>
        <v>83883.356950681249</v>
      </c>
      <c r="DG58" s="245">
        <f t="shared" ref="DG58:DH58" si="239">+DG49*DG$14</f>
        <v>86051.040377628757</v>
      </c>
      <c r="DH58" s="245">
        <f t="shared" si="239"/>
        <v>83397.822330650641</v>
      </c>
      <c r="DI58" s="245">
        <f t="shared" ref="DI58:DJ58" si="240">+DI49*DI$14</f>
        <v>83200.601774643059</v>
      </c>
      <c r="DJ58" s="245">
        <f t="shared" si="240"/>
        <v>82732.815749980131</v>
      </c>
      <c r="DK58" s="245">
        <f t="shared" ref="DK58" si="241">+DK49*DK$14</f>
        <v>80141.789643642725</v>
      </c>
    </row>
    <row r="59" spans="1:115" ht="28" customHeight="1" x14ac:dyDescent="0.35">
      <c r="A59" s="4"/>
      <c r="C59" s="314"/>
      <c r="D59" s="1" t="s">
        <v>25</v>
      </c>
      <c r="E59" s="1" t="s">
        <v>66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>
        <f t="shared" ref="Q59:AV59" si="242">+Q50*Q$14</f>
        <v>1150.8608564664378</v>
      </c>
      <c r="R59" s="2">
        <f t="shared" si="242"/>
        <v>1223.8980600916102</v>
      </c>
      <c r="S59" s="2">
        <f t="shared" si="242"/>
        <v>1268.4365315106625</v>
      </c>
      <c r="T59" s="2">
        <f t="shared" si="242"/>
        <v>1307.9675446471235</v>
      </c>
      <c r="U59" s="2">
        <f t="shared" si="242"/>
        <v>1455.4162413124752</v>
      </c>
      <c r="V59" s="2">
        <f t="shared" si="242"/>
        <v>1665.8446133067691</v>
      </c>
      <c r="W59" s="2">
        <f t="shared" si="242"/>
        <v>1831.1211229322078</v>
      </c>
      <c r="X59" s="2">
        <f t="shared" si="242"/>
        <v>1920.9496963520282</v>
      </c>
      <c r="Y59" s="2">
        <f t="shared" si="242"/>
        <v>2502.5060943525937</v>
      </c>
      <c r="Z59" s="2">
        <f t="shared" si="242"/>
        <v>2610.900412817447</v>
      </c>
      <c r="AA59" s="2">
        <f t="shared" si="242"/>
        <v>2511.1246399904703</v>
      </c>
      <c r="AB59" s="2">
        <f t="shared" si="242"/>
        <v>2628.3123769431395</v>
      </c>
      <c r="AC59" s="2">
        <f t="shared" si="242"/>
        <v>2605.5952352287709</v>
      </c>
      <c r="AD59" s="2">
        <f t="shared" si="242"/>
        <v>2540.0990632680969</v>
      </c>
      <c r="AE59" s="2">
        <f t="shared" si="242"/>
        <v>2702.8196319460071</v>
      </c>
      <c r="AF59" s="2">
        <f t="shared" si="242"/>
        <v>2843.8121149162462</v>
      </c>
      <c r="AG59" s="2">
        <f t="shared" si="242"/>
        <v>2951.1143946230495</v>
      </c>
      <c r="AH59" s="2">
        <f t="shared" si="242"/>
        <v>2943.7870464794796</v>
      </c>
      <c r="AI59" s="2">
        <f t="shared" si="242"/>
        <v>2356.2045621110419</v>
      </c>
      <c r="AJ59" s="2">
        <f t="shared" si="242"/>
        <v>3167.5007728225373</v>
      </c>
      <c r="AK59" s="2">
        <f t="shared" si="242"/>
        <v>3009.5358224253714</v>
      </c>
      <c r="AL59" s="2">
        <f t="shared" si="242"/>
        <v>3124.4646738964975</v>
      </c>
      <c r="AM59" s="2">
        <f t="shared" si="242"/>
        <v>3058.3360728743305</v>
      </c>
      <c r="AN59" s="2">
        <f t="shared" si="242"/>
        <v>3000.0482983834095</v>
      </c>
      <c r="AO59" s="2">
        <f t="shared" si="242"/>
        <v>3033.4817555758968</v>
      </c>
      <c r="AP59" s="2">
        <f t="shared" si="242"/>
        <v>3148.6920140185989</v>
      </c>
      <c r="AQ59" s="2">
        <f t="shared" si="242"/>
        <v>3240.7957692344567</v>
      </c>
      <c r="AR59" s="2">
        <f t="shared" si="242"/>
        <v>3154.0084355871954</v>
      </c>
      <c r="AS59" s="2">
        <f t="shared" si="242"/>
        <v>2996.6079892962239</v>
      </c>
      <c r="AT59" s="2">
        <f t="shared" si="242"/>
        <v>3102.2332184642441</v>
      </c>
      <c r="AU59" s="2">
        <f t="shared" si="242"/>
        <v>3192.2994252954145</v>
      </c>
      <c r="AV59" s="2">
        <f t="shared" si="242"/>
        <v>3202.3701593212668</v>
      </c>
      <c r="AW59" s="2">
        <f t="shared" ref="AW59:CB59" si="243">+AW50*AW$14</f>
        <v>3319.0995084890405</v>
      </c>
      <c r="AX59" s="2">
        <f t="shared" si="243"/>
        <v>3399.0869799137026</v>
      </c>
      <c r="AY59" s="2">
        <f t="shared" si="243"/>
        <v>3494.1858179630876</v>
      </c>
      <c r="AZ59" s="2">
        <f t="shared" si="243"/>
        <v>3614.3897157462693</v>
      </c>
      <c r="BA59" s="2">
        <f t="shared" si="243"/>
        <v>3948.862533615757</v>
      </c>
      <c r="BB59" s="2">
        <f t="shared" si="243"/>
        <v>4554.9752091779292</v>
      </c>
      <c r="BC59" s="2" t="e">
        <f t="shared" si="243"/>
        <v>#N/A</v>
      </c>
      <c r="BD59" s="2" t="e">
        <f t="shared" si="243"/>
        <v>#N/A</v>
      </c>
      <c r="BE59" s="2" t="e">
        <f t="shared" si="243"/>
        <v>#N/A</v>
      </c>
      <c r="BF59" s="2" t="e">
        <f t="shared" si="243"/>
        <v>#N/A</v>
      </c>
      <c r="BG59" s="2" t="e">
        <f t="shared" si="243"/>
        <v>#N/A</v>
      </c>
      <c r="BH59" s="2">
        <f t="shared" si="243"/>
        <v>6240.8105389076272</v>
      </c>
      <c r="BI59" s="2">
        <f t="shared" si="243"/>
        <v>6322.2334577130578</v>
      </c>
      <c r="BJ59" s="2">
        <f t="shared" si="243"/>
        <v>6324.3780147385787</v>
      </c>
      <c r="BK59" s="2">
        <f t="shared" si="243"/>
        <v>7019.9638101314549</v>
      </c>
      <c r="BL59" s="2">
        <f t="shared" si="243"/>
        <v>7464.7539037354054</v>
      </c>
      <c r="BM59" s="2">
        <f t="shared" si="243"/>
        <v>7208.3622592503198</v>
      </c>
      <c r="BN59" s="2">
        <f t="shared" si="243"/>
        <v>7807.9352156343248</v>
      </c>
      <c r="BO59" s="2">
        <f t="shared" si="243"/>
        <v>8600.2266354124149</v>
      </c>
      <c r="BP59" s="2">
        <f t="shared" si="243"/>
        <v>9397.298352164571</v>
      </c>
      <c r="BQ59" s="2">
        <f t="shared" si="243"/>
        <v>10216.054737975721</v>
      </c>
      <c r="BR59" s="2">
        <f t="shared" si="243"/>
        <v>11121.822620498951</v>
      </c>
      <c r="BS59" s="2">
        <f t="shared" si="243"/>
        <v>11668.104009387724</v>
      </c>
      <c r="BT59" s="2">
        <f t="shared" si="243"/>
        <v>11269.156579052338</v>
      </c>
      <c r="BU59" s="2">
        <f t="shared" si="243"/>
        <v>11048.683435917832</v>
      </c>
      <c r="BV59" s="2">
        <f t="shared" si="243"/>
        <v>11170.131498750667</v>
      </c>
      <c r="BW59" s="2">
        <f t="shared" si="243"/>
        <v>11340.613297081543</v>
      </c>
      <c r="BX59" s="2">
        <f t="shared" si="243"/>
        <v>11906.755156609957</v>
      </c>
      <c r="BY59" s="2">
        <f t="shared" si="243"/>
        <v>12462.356377694799</v>
      </c>
      <c r="BZ59" s="2">
        <f t="shared" si="243"/>
        <v>12829.137942836549</v>
      </c>
      <c r="CA59" s="2">
        <f t="shared" si="243"/>
        <v>13806.174760650372</v>
      </c>
      <c r="CB59" s="2">
        <f t="shared" si="243"/>
        <v>14632.452862497525</v>
      </c>
      <c r="CC59" s="2">
        <f t="shared" ref="CC59:CO59" si="244">+CC50*CC$14</f>
        <v>15952.295573084562</v>
      </c>
      <c r="CD59" s="2">
        <f t="shared" si="244"/>
        <v>17031.957096007238</v>
      </c>
      <c r="CE59" s="2">
        <f t="shared" si="244"/>
        <v>17408.124535880695</v>
      </c>
      <c r="CF59" s="2">
        <f t="shared" si="244"/>
        <v>21256.638406715443</v>
      </c>
      <c r="CG59" s="2">
        <f t="shared" si="244"/>
        <v>21882.834244274014</v>
      </c>
      <c r="CH59" s="2">
        <f t="shared" si="244"/>
        <v>22023.808321887267</v>
      </c>
      <c r="CI59" s="2">
        <f t="shared" si="244"/>
        <v>22283.904357228592</v>
      </c>
      <c r="CJ59" s="2">
        <f t="shared" si="244"/>
        <v>53981.232021501906</v>
      </c>
      <c r="CK59" s="2">
        <f t="shared" si="244"/>
        <v>62375.033683016482</v>
      </c>
      <c r="CL59" s="2">
        <f t="shared" si="244"/>
        <v>64919.320958856624</v>
      </c>
      <c r="CM59" s="2">
        <f t="shared" si="244"/>
        <v>66721.226747048844</v>
      </c>
      <c r="CN59" s="2">
        <f t="shared" si="244"/>
        <v>69572.625047323789</v>
      </c>
      <c r="CO59" s="2">
        <f t="shared" si="244"/>
        <v>71208.473644561527</v>
      </c>
      <c r="CP59" s="2">
        <f>+CP50*CP$14</f>
        <v>71889.947683846156</v>
      </c>
      <c r="CQ59" s="2">
        <f>+CQ50*CQ$14</f>
        <v>73238.917741525598</v>
      </c>
      <c r="CR59" s="107"/>
      <c r="CS59" s="245">
        <f t="shared" si="232"/>
        <v>73200.744573220538</v>
      </c>
      <c r="CT59" s="245">
        <f t="shared" si="232"/>
        <v>64155.447793606858</v>
      </c>
      <c r="CU59" s="245">
        <f t="shared" ref="CU59:CV59" si="245">+CU50*CU$14</f>
        <v>69203.461900711394</v>
      </c>
      <c r="CV59" s="245">
        <f t="shared" si="245"/>
        <v>72143.546658384657</v>
      </c>
      <c r="CW59" s="245">
        <f t="shared" ref="CW59:CX59" si="246">+CW50*CW$14</f>
        <v>72255.545109848084</v>
      </c>
      <c r="CX59" s="245">
        <f t="shared" si="246"/>
        <v>72215.503391948456</v>
      </c>
      <c r="CY59" s="245">
        <f t="shared" ref="CY59:CZ59" si="247">+CY50*CY$14</f>
        <v>71680.414314049383</v>
      </c>
      <c r="CZ59" s="245">
        <f t="shared" si="247"/>
        <v>71755.63965332431</v>
      </c>
      <c r="DA59" s="245">
        <f t="shared" ref="DA59:DB59" si="248">+DA50*DA$14</f>
        <v>73786.317971374563</v>
      </c>
      <c r="DB59" s="245">
        <f t="shared" si="248"/>
        <v>72291.229355759235</v>
      </c>
      <c r="DC59" s="245">
        <f t="shared" ref="DC59:DD59" si="249">+DC50*DC$14</f>
        <v>72604.07668780665</v>
      </c>
      <c r="DD59" s="245">
        <f t="shared" si="249"/>
        <v>79298.639202380611</v>
      </c>
      <c r="DE59" s="245">
        <f t="shared" ref="DE59:DF59" si="250">+DE50*DE$14</f>
        <v>79196.301921622464</v>
      </c>
      <c r="DF59" s="245">
        <f t="shared" si="250"/>
        <v>83883.356950681235</v>
      </c>
      <c r="DG59" s="245">
        <f t="shared" ref="DG59:DH59" si="251">+DG50*DG$14</f>
        <v>86051.040377628757</v>
      </c>
      <c r="DH59" s="245">
        <f t="shared" si="251"/>
        <v>83397.822330650641</v>
      </c>
      <c r="DI59" s="245">
        <f t="shared" ref="DI59:DJ59" si="252">+DI50*DI$14</f>
        <v>83200.601774643059</v>
      </c>
      <c r="DJ59" s="245">
        <f t="shared" si="252"/>
        <v>82732.815749980131</v>
      </c>
      <c r="DK59" s="245">
        <f t="shared" ref="DK59" si="253">+DK50*DK$14</f>
        <v>80141.789643642725</v>
      </c>
    </row>
    <row r="60" spans="1:115" x14ac:dyDescent="0.35">
      <c r="A60" s="4"/>
      <c r="C60" s="314"/>
      <c r="D60" s="1" t="s">
        <v>27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107"/>
      <c r="CS60" s="245">
        <f t="shared" si="232"/>
        <v>80020.926024220564</v>
      </c>
      <c r="CT60" s="245">
        <f t="shared" si="232"/>
        <v>69865.146902802604</v>
      </c>
      <c r="CU60" s="245">
        <f t="shared" ref="CU60:CV60" si="254">+CU51*CU$14</f>
        <v>75453.682575350293</v>
      </c>
      <c r="CV60" s="245">
        <f t="shared" si="254"/>
        <v>78697.784730225918</v>
      </c>
      <c r="CW60" s="245">
        <f t="shared" ref="CW60:CX60" si="255">+CW51*CW$14</f>
        <v>78780.55629823402</v>
      </c>
      <c r="CX60" s="245">
        <f t="shared" si="255"/>
        <v>78705.969305863036</v>
      </c>
      <c r="CY60" s="245">
        <f t="shared" ref="CY60:CZ60" si="256">+CY51*CY$14</f>
        <v>78073.658821803328</v>
      </c>
      <c r="CZ60" s="245">
        <f t="shared" si="256"/>
        <v>78130.454051290828</v>
      </c>
      <c r="DA60" s="245">
        <f t="shared" ref="DA60:DB60" si="257">+DA51*DA$14</f>
        <v>80401.607433320693</v>
      </c>
      <c r="DB60" s="245">
        <f t="shared" si="257"/>
        <v>78729.468850066711</v>
      </c>
      <c r="DC60" s="245">
        <f t="shared" ref="DC60:DD60" si="258">+DC51*DC$14</f>
        <v>78988.827831615214</v>
      </c>
      <c r="DD60" s="245">
        <f t="shared" si="258"/>
        <v>86352.241011351842</v>
      </c>
      <c r="DE60" s="245">
        <f t="shared" ref="DE60:DF60" si="259">+DE51*DE$14</f>
        <v>86214.423477979697</v>
      </c>
      <c r="DF60" s="245">
        <f t="shared" si="259"/>
        <v>91408.091337516526</v>
      </c>
      <c r="DG60" s="245">
        <f t="shared" ref="DG60:DH60" si="260">+DG51*DG$14</f>
        <v>93764.023288027485</v>
      </c>
      <c r="DH60" s="245">
        <f t="shared" si="260"/>
        <v>90772.290510582912</v>
      </c>
      <c r="DI60" s="245">
        <f t="shared" ref="DI60:DJ60" si="261">+DI51*DI$14</f>
        <v>90508.656591573061</v>
      </c>
      <c r="DJ60" s="245">
        <f t="shared" si="261"/>
        <v>89953.142985973478</v>
      </c>
      <c r="DK60" s="245">
        <f t="shared" ref="DK60" si="262">+DK51*DK$14</f>
        <v>87042.013995699381</v>
      </c>
    </row>
    <row r="61" spans="1:115" x14ac:dyDescent="0.35">
      <c r="A61" s="4"/>
      <c r="C61" s="314"/>
      <c r="D61" s="1" t="s">
        <v>28</v>
      </c>
      <c r="E61" s="1" t="s">
        <v>66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107"/>
      <c r="CS61" s="245">
        <f t="shared" si="232"/>
        <v>80020.926024220564</v>
      </c>
      <c r="CT61" s="245">
        <f t="shared" si="232"/>
        <v>69865.146902802604</v>
      </c>
      <c r="CU61" s="245">
        <f t="shared" ref="CU61:CV61" si="263">+CU52*CU$14</f>
        <v>75453.682575350293</v>
      </c>
      <c r="CV61" s="245">
        <f t="shared" si="263"/>
        <v>78697.784730225918</v>
      </c>
      <c r="CW61" s="245">
        <f t="shared" ref="CW61:CX61" si="264">+CW52*CW$14</f>
        <v>78780.55629823402</v>
      </c>
      <c r="CX61" s="245">
        <f t="shared" si="264"/>
        <v>78705.969305863036</v>
      </c>
      <c r="CY61" s="245">
        <f t="shared" ref="CY61:CZ61" si="265">+CY52*CY$14</f>
        <v>78073.658821803328</v>
      </c>
      <c r="CZ61" s="245">
        <f t="shared" si="265"/>
        <v>78130.454051290828</v>
      </c>
      <c r="DA61" s="245">
        <f t="shared" ref="DA61:DB61" si="266">+DA52*DA$14</f>
        <v>80401.607433320693</v>
      </c>
      <c r="DB61" s="245">
        <f t="shared" si="266"/>
        <v>78729.468850066711</v>
      </c>
      <c r="DC61" s="245">
        <f t="shared" ref="DC61:DD61" si="267">+DC52*DC$14</f>
        <v>78988.827831615214</v>
      </c>
      <c r="DD61" s="245">
        <f t="shared" si="267"/>
        <v>86352.241011351842</v>
      </c>
      <c r="DE61" s="245">
        <f t="shared" ref="DE61:DF61" si="268">+DE52*DE$14</f>
        <v>86214.423477979697</v>
      </c>
      <c r="DF61" s="245">
        <f t="shared" si="268"/>
        <v>91408.091337516526</v>
      </c>
      <c r="DG61" s="245">
        <f t="shared" ref="DG61:DH61" si="269">+DG52*DG$14</f>
        <v>93764.023288027485</v>
      </c>
      <c r="DH61" s="245">
        <f t="shared" si="269"/>
        <v>90772.290510582912</v>
      </c>
      <c r="DI61" s="245">
        <f t="shared" ref="DI61:DJ61" si="270">+DI52*DI$14</f>
        <v>90508.656591573061</v>
      </c>
      <c r="DJ61" s="245">
        <f t="shared" si="270"/>
        <v>89953.142985973478</v>
      </c>
      <c r="DK61" s="245">
        <f t="shared" ref="DK61" si="271">+DK52*DK$14</f>
        <v>87042.013995699381</v>
      </c>
    </row>
    <row r="62" spans="1:115" x14ac:dyDescent="0.35">
      <c r="A62" s="4"/>
      <c r="C62" s="314"/>
      <c r="D62" s="1">
        <v>44.8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>
        <f t="shared" ref="Q62:AM63" si="272">+Q53*Q$14</f>
        <v>1681.2677358452765</v>
      </c>
      <c r="R62" s="2">
        <f t="shared" si="272"/>
        <v>1788.8096148718469</v>
      </c>
      <c r="S62" s="2">
        <f t="shared" si="272"/>
        <v>1854.3919201209765</v>
      </c>
      <c r="T62" s="2">
        <f t="shared" si="272"/>
        <v>1911.2177527886988</v>
      </c>
      <c r="U62" s="2">
        <f t="shared" si="272"/>
        <v>2128.3022426113225</v>
      </c>
      <c r="V62" s="2">
        <f t="shared" si="272"/>
        <v>2438.1053897608085</v>
      </c>
      <c r="W62" s="2">
        <f t="shared" si="272"/>
        <v>2681.4757944719813</v>
      </c>
      <c r="X62" s="2">
        <f t="shared" si="272"/>
        <v>2813.8050553011904</v>
      </c>
      <c r="Y62" s="2">
        <f t="shared" si="272"/>
        <v>3666.7191587958519</v>
      </c>
      <c r="Z62" s="2">
        <f t="shared" si="272"/>
        <v>3826.2969312703722</v>
      </c>
      <c r="AA62" s="2">
        <f t="shared" si="272"/>
        <v>3679.4147449990373</v>
      </c>
      <c r="AB62" s="2">
        <f t="shared" si="272"/>
        <v>3851.9628352450773</v>
      </c>
      <c r="AC62" s="2">
        <f t="shared" si="272"/>
        <v>3780.9572582294741</v>
      </c>
      <c r="AD62" s="2">
        <f t="shared" si="272"/>
        <v>3684.10596035554</v>
      </c>
      <c r="AE62" s="2">
        <f t="shared" si="272"/>
        <v>3916.6299154911221</v>
      </c>
      <c r="AF62" s="2">
        <f t="shared" si="272"/>
        <v>4121.7035816227035</v>
      </c>
      <c r="AG62" s="2">
        <f t="shared" si="272"/>
        <v>4277.7748232958875</v>
      </c>
      <c r="AH62" s="2">
        <f t="shared" si="272"/>
        <v>4267.1171902422057</v>
      </c>
      <c r="AI62" s="2">
        <f t="shared" si="272"/>
        <v>3403.5468174887183</v>
      </c>
      <c r="AJ62" s="2">
        <f t="shared" si="272"/>
        <v>4582.1326353793429</v>
      </c>
      <c r="AK62" s="2">
        <f t="shared" si="272"/>
        <v>4345.9418018827382</v>
      </c>
      <c r="AL62" s="2">
        <f t="shared" si="272"/>
        <v>4511.3245893138728</v>
      </c>
      <c r="AM62" s="2">
        <f t="shared" si="272"/>
        <v>4414.036124649625</v>
      </c>
      <c r="AN62" s="2">
        <f t="shared" ref="AN62:AW63" si="273">+AN53*AN$14</f>
        <v>4147.1716923051108</v>
      </c>
      <c r="AO62" s="2">
        <f t="shared" si="273"/>
        <v>4194.23741326246</v>
      </c>
      <c r="AP62" s="2">
        <f t="shared" si="273"/>
        <v>4356.3562326938099</v>
      </c>
      <c r="AQ62" s="2">
        <f t="shared" si="273"/>
        <v>4477.7133155216197</v>
      </c>
      <c r="AR62" s="2">
        <f t="shared" si="273"/>
        <v>4339.7984865088147</v>
      </c>
      <c r="AS62" s="2">
        <f t="shared" si="273"/>
        <v>4100.8345454484343</v>
      </c>
      <c r="AT62" s="2">
        <f t="shared" si="273"/>
        <v>4248.5808095697284</v>
      </c>
      <c r="AU62" s="2">
        <f t="shared" si="273"/>
        <v>4464.5976979080924</v>
      </c>
      <c r="AV62" s="2">
        <f t="shared" si="273"/>
        <v>4484.0797260317277</v>
      </c>
      <c r="AW62" s="2">
        <f t="shared" si="273"/>
        <v>4652.2773997250251</v>
      </c>
      <c r="AX62" s="2">
        <f t="shared" ref="AX62:AY62" si="274">+AX53*AX$14</f>
        <v>4763.4691951705854</v>
      </c>
      <c r="AY62" s="2">
        <f t="shared" si="274"/>
        <v>4896.8046206875115</v>
      </c>
      <c r="AZ62" s="2">
        <f t="shared" ref="AZ62:BA62" si="275">+AZ53*AZ$14</f>
        <v>4978.413295583091</v>
      </c>
      <c r="BA62" s="2">
        <f t="shared" si="275"/>
        <v>5420.0661171691791</v>
      </c>
      <c r="BB62" s="2">
        <f t="shared" ref="BB62:BC62" si="276">+BB53*BB$14</f>
        <v>6207.6339406768429</v>
      </c>
      <c r="BC62" s="2" t="e">
        <f t="shared" si="276"/>
        <v>#N/A</v>
      </c>
      <c r="BD62" s="2" t="e">
        <f t="shared" ref="BD62:BE62" si="277">+BD53*BD$14</f>
        <v>#N/A</v>
      </c>
      <c r="BE62" s="2" t="e">
        <f t="shared" si="277"/>
        <v>#N/A</v>
      </c>
      <c r="BF62" s="2" t="e">
        <f t="shared" ref="BF62:BG62" si="278">+BF53*BF$14</f>
        <v>#N/A</v>
      </c>
      <c r="BG62" s="2" t="e">
        <f t="shared" si="278"/>
        <v>#N/A</v>
      </c>
      <c r="BH62" s="2">
        <f t="shared" ref="BH62:BI62" si="279">+BH53*BH$14</f>
        <v>8381.9726895354288</v>
      </c>
      <c r="BI62" s="2">
        <f t="shared" si="279"/>
        <v>8489.4619896146796</v>
      </c>
      <c r="BJ62" s="2">
        <f t="shared" ref="BJ62:BK62" si="280">+BJ53*BJ$14</f>
        <v>8494.1096381640127</v>
      </c>
      <c r="BK62" s="2">
        <f t="shared" si="280"/>
        <v>9392.209030775799</v>
      </c>
      <c r="BL62" s="2">
        <f t="shared" ref="BL62:BM62" si="281">+BL53*BL$14</f>
        <v>10006.422440964752</v>
      </c>
      <c r="BM62" s="2">
        <f t="shared" si="281"/>
        <v>9683.9929547859047</v>
      </c>
      <c r="BN62" s="2">
        <f t="shared" ref="BN62:BO62" si="282">+BN53*BN$14</f>
        <v>10657.899962401651</v>
      </c>
      <c r="BO62" s="2">
        <f t="shared" si="282"/>
        <v>11511.710472071896</v>
      </c>
      <c r="BP62" s="2">
        <f t="shared" ref="BP62:BQ62" si="283">+BP53*BP$14</f>
        <v>12569.76291845726</v>
      </c>
      <c r="BQ62" s="2">
        <f t="shared" si="283"/>
        <v>13739.976815454556</v>
      </c>
      <c r="BR62" s="2">
        <f t="shared" ref="BR62:BS62" si="284">+BR53*BR$14</f>
        <v>14986.785637742278</v>
      </c>
      <c r="BS62" s="2">
        <f t="shared" si="284"/>
        <v>15699.676233336268</v>
      </c>
      <c r="BT62" s="2">
        <f t="shared" ref="BT62:BU62" si="285">+BT53*BT$14</f>
        <v>15228.429528837567</v>
      </c>
      <c r="BU62" s="2">
        <f t="shared" si="285"/>
        <v>14846.014117539482</v>
      </c>
      <c r="BV62" s="2">
        <f t="shared" ref="BV62:BW62" si="286">+BV53*BV$14</f>
        <v>15022.936192130664</v>
      </c>
      <c r="BW62" s="2">
        <f t="shared" si="286"/>
        <v>15273.461267859489</v>
      </c>
      <c r="BX62" s="2">
        <f t="shared" ref="BX62:BY62" si="287">+BX53*BX$14</f>
        <v>16628.014815504106</v>
      </c>
      <c r="BY62" s="2">
        <f t="shared" si="287"/>
        <v>17408.399997350331</v>
      </c>
      <c r="BZ62" s="2">
        <f t="shared" ref="BZ62:CA62" si="288">+BZ53*BZ$14</f>
        <v>17946.059973714535</v>
      </c>
      <c r="CA62" s="2">
        <f t="shared" si="288"/>
        <v>19289.418366256348</v>
      </c>
      <c r="CB62" s="2">
        <f t="shared" ref="CB62:CC62" si="289">+CB53*CB$14</f>
        <v>20436.439254192075</v>
      </c>
      <c r="CC62" s="2">
        <f t="shared" si="289"/>
        <v>22226.948374089407</v>
      </c>
      <c r="CD62" s="2">
        <f t="shared" ref="CD62:CE62" si="290">+CD53*CD$14</f>
        <v>23832.537534071627</v>
      </c>
      <c r="CE62" s="2">
        <f t="shared" si="290"/>
        <v>24419.316340887228</v>
      </c>
      <c r="CF62" s="2">
        <f t="shared" ref="CF62:CG62" si="291">+CF53*CF$14</f>
        <v>29711.783905676464</v>
      </c>
      <c r="CG62" s="2">
        <f t="shared" si="291"/>
        <v>30545.652317228461</v>
      </c>
      <c r="CH62" s="2">
        <f t="shared" ref="CH62:CI62" si="292">+CH53*CH$14</f>
        <v>30729.080093228462</v>
      </c>
      <c r="CI62" s="2">
        <f t="shared" si="292"/>
        <v>31122.698780012466</v>
      </c>
      <c r="CJ62" s="2">
        <f t="shared" ref="CJ62:CK62" si="293">+CJ53*CJ$14</f>
        <v>78222.235433760477</v>
      </c>
      <c r="CK62" s="2">
        <f t="shared" si="293"/>
        <v>83913.286562650319</v>
      </c>
      <c r="CL62" s="2">
        <f t="shared" ref="CL62:CM62" si="294">+CL53*CL$14</f>
        <v>87398.90147626838</v>
      </c>
      <c r="CM62" s="2">
        <f t="shared" si="294"/>
        <v>84761.559851999176</v>
      </c>
      <c r="CN62" s="2">
        <f t="shared" ref="CN62:CO62" si="295">+CN53*CN$14</f>
        <v>81495.678712277208</v>
      </c>
      <c r="CO62" s="2">
        <f t="shared" si="295"/>
        <v>83487.945934396121</v>
      </c>
      <c r="CP62" s="2">
        <f t="shared" ref="CP62:CQ62" si="296">+CP53*CP$14</f>
        <v>84319.238098852569</v>
      </c>
      <c r="CQ62" s="2">
        <f t="shared" si="296"/>
        <v>85904.592615053058</v>
      </c>
      <c r="CR62" s="107"/>
      <c r="CS62" s="245">
        <f t="shared" ref="CS62:CT62" si="297">+CS53*CS$14</f>
        <v>101085.587430767</v>
      </c>
      <c r="CT62" s="245">
        <f t="shared" si="297"/>
        <v>89290.869899020414</v>
      </c>
      <c r="CU62" s="245">
        <f t="shared" ref="CU62:CV62" si="298">+CU53*CU$14</f>
        <v>94544.356964844206</v>
      </c>
      <c r="CV62" s="245">
        <f t="shared" si="298"/>
        <v>99931.351907065356</v>
      </c>
      <c r="CW62" s="245">
        <f t="shared" ref="CW62:CX62" si="299">+CW53*CW$14</f>
        <v>101810.26232193611</v>
      </c>
      <c r="CX62" s="245">
        <f t="shared" si="299"/>
        <v>103084.40044055601</v>
      </c>
      <c r="CY62" s="245">
        <f t="shared" ref="CY62:CZ62" si="300">+CY53*CY$14</f>
        <v>104214.56732702543</v>
      </c>
      <c r="CZ62" s="245">
        <f t="shared" si="300"/>
        <v>102437.95094352003</v>
      </c>
      <c r="DA62" s="245">
        <f t="shared" ref="DA62:DB62" si="301">+DA53*DA$14</f>
        <v>104361.08264220254</v>
      </c>
      <c r="DB62" s="245">
        <f t="shared" si="301"/>
        <v>104772.19938519785</v>
      </c>
      <c r="DC62" s="245">
        <f t="shared" ref="DC62:DD62" si="302">+DC53*DC$14</f>
        <v>103685.82928110342</v>
      </c>
      <c r="DD62" s="245">
        <f t="shared" si="302"/>
        <v>114738.71957568801</v>
      </c>
      <c r="DE62" s="245">
        <f t="shared" ref="DE62:DF62" si="303">+DE53*DE$14</f>
        <v>113369.32390808221</v>
      </c>
      <c r="DF62" s="245">
        <f t="shared" si="303"/>
        <v>122880.31647220394</v>
      </c>
      <c r="DG62" s="245">
        <f t="shared" ref="DG62:DH62" si="304">+DG53*DG$14</f>
        <v>126111.53652756818</v>
      </c>
      <c r="DH62" s="245">
        <f t="shared" si="304"/>
        <v>122175.6413213918</v>
      </c>
      <c r="DI62" s="245">
        <f t="shared" ref="DI62:DJ62" si="305">+DI53*DI$14</f>
        <v>121570.92422405808</v>
      </c>
      <c r="DJ62" s="245">
        <f t="shared" si="305"/>
        <v>119958.86350605644</v>
      </c>
      <c r="DK62" s="245">
        <f t="shared" ref="DK62" si="306">+DK53*DK$14</f>
        <v>117568.9486786646</v>
      </c>
    </row>
    <row r="63" spans="1:115" x14ac:dyDescent="0.35">
      <c r="A63" s="4"/>
      <c r="C63" s="314"/>
      <c r="D63" s="1">
        <v>52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>
        <f t="shared" si="272"/>
        <v>1876.4669255346962</v>
      </c>
      <c r="R63" s="2">
        <f t="shared" si="272"/>
        <v>2000.1698922619651</v>
      </c>
      <c r="S63" s="2">
        <f t="shared" si="272"/>
        <v>2075.6407394261332</v>
      </c>
      <c r="T63" s="2">
        <f t="shared" si="272"/>
        <v>2135.7189440771213</v>
      </c>
      <c r="U63" s="2">
        <f t="shared" si="272"/>
        <v>2385.1474554783804</v>
      </c>
      <c r="V63" s="2">
        <f t="shared" si="272"/>
        <v>2741.0538527054623</v>
      </c>
      <c r="W63" s="2">
        <f t="shared" si="272"/>
        <v>3021.1558424595028</v>
      </c>
      <c r="X63" s="2">
        <f t="shared" si="272"/>
        <v>3174.1453844934063</v>
      </c>
      <c r="Y63" s="2">
        <f t="shared" si="272"/>
        <v>4141.13736507259</v>
      </c>
      <c r="Z63" s="2">
        <f t="shared" si="272"/>
        <v>4324.3923395519441</v>
      </c>
      <c r="AA63" s="2">
        <f t="shared" si="272"/>
        <v>4155.8070090584306</v>
      </c>
      <c r="AB63" s="2">
        <f t="shared" si="272"/>
        <v>4354.2584509511553</v>
      </c>
      <c r="AC63" s="2">
        <f t="shared" si="272"/>
        <v>4278.032188637877</v>
      </c>
      <c r="AD63" s="2">
        <f t="shared" si="272"/>
        <v>4165.3145704543713</v>
      </c>
      <c r="AE63" s="2">
        <f t="shared" si="272"/>
        <v>4413.8076339370282</v>
      </c>
      <c r="AF63" s="2">
        <f t="shared" si="272"/>
        <v>4649.3777249826135</v>
      </c>
      <c r="AG63" s="2">
        <f t="shared" si="272"/>
        <v>4828.6582601389882</v>
      </c>
      <c r="AH63" s="2">
        <f t="shared" si="272"/>
        <v>4816.41573463025</v>
      </c>
      <c r="AI63" s="2">
        <f t="shared" si="272"/>
        <v>3816.1877301842383</v>
      </c>
      <c r="AJ63" s="2">
        <f t="shared" si="272"/>
        <v>5168.7079141644272</v>
      </c>
      <c r="AK63" s="2">
        <f t="shared" si="272"/>
        <v>4875.1447488566328</v>
      </c>
      <c r="AL63" s="2">
        <f t="shared" si="272"/>
        <v>5063.4788167677689</v>
      </c>
      <c r="AM63" s="2">
        <f t="shared" si="272"/>
        <v>4950.7041702824827</v>
      </c>
      <c r="AN63" s="2">
        <f t="shared" si="273"/>
        <v>4791.2657468111711</v>
      </c>
      <c r="AO63" s="2">
        <f t="shared" si="273"/>
        <v>4846.7066538509525</v>
      </c>
      <c r="AP63" s="2">
        <f t="shared" si="273"/>
        <v>5037.700016976627</v>
      </c>
      <c r="AQ63" s="2">
        <f t="shared" si="273"/>
        <v>5160.0168831821875</v>
      </c>
      <c r="AR63" s="2">
        <f t="shared" si="273"/>
        <v>5003.6225322066093</v>
      </c>
      <c r="AS63" s="2">
        <f t="shared" si="273"/>
        <v>4728.8308477615265</v>
      </c>
      <c r="AT63" s="2">
        <f t="shared" si="273"/>
        <v>4903.2327397594563</v>
      </c>
      <c r="AU63" s="2">
        <f t="shared" si="273"/>
        <v>5051.2165409180352</v>
      </c>
      <c r="AV63" s="2">
        <f t="shared" si="273"/>
        <v>5062.3659806991</v>
      </c>
      <c r="AW63" s="2">
        <f t="shared" si="273"/>
        <v>5231.8797112848324</v>
      </c>
      <c r="AX63" s="2">
        <f t="shared" ref="AX63:AY63" si="307">+AX54*AX$14</f>
        <v>5361.7087808270171</v>
      </c>
      <c r="AY63" s="2">
        <f t="shared" si="307"/>
        <v>5514.6092011746487</v>
      </c>
      <c r="AZ63" s="2">
        <f t="shared" ref="AZ63:BA63" si="308">+AZ54*AZ$14</f>
        <v>5626.7925526458812</v>
      </c>
      <c r="BA63" s="2">
        <f t="shared" si="308"/>
        <v>6185.347714791058</v>
      </c>
      <c r="BB63" s="2">
        <f t="shared" ref="BB63:BC63" si="309">+BB54*BB$14</f>
        <v>7211.4943045684558</v>
      </c>
      <c r="BC63" s="2" t="e">
        <f t="shared" si="309"/>
        <v>#N/A</v>
      </c>
      <c r="BD63" s="2" t="e">
        <f t="shared" ref="BD63:BE63" si="310">+BD54*BD$14</f>
        <v>#N/A</v>
      </c>
      <c r="BE63" s="2" t="e">
        <f t="shared" si="310"/>
        <v>#N/A</v>
      </c>
      <c r="BF63" s="2" t="e">
        <f t="shared" ref="BF63:BG63" si="311">+BF54*BF$14</f>
        <v>#N/A</v>
      </c>
      <c r="BG63" s="2" t="e">
        <f t="shared" si="311"/>
        <v>#N/A</v>
      </c>
      <c r="BH63" s="2">
        <f t="shared" ref="BH63:BI63" si="312">+BH54*BH$14</f>
        <v>10011.311020987159</v>
      </c>
      <c r="BI63" s="2">
        <f t="shared" si="312"/>
        <v>10146.319961049081</v>
      </c>
      <c r="BJ63" s="2">
        <f t="shared" ref="BJ63:BK63" si="313">+BJ54*BJ$14</f>
        <v>10145.806519119049</v>
      </c>
      <c r="BK63" s="2">
        <f t="shared" si="313"/>
        <v>11330.333116501601</v>
      </c>
      <c r="BL63" s="2">
        <f t="shared" ref="BL63:BM63" si="314">+BL54*BL$14</f>
        <v>11999.788427783118</v>
      </c>
      <c r="BM63" s="2">
        <f t="shared" si="314"/>
        <v>11551.409430637577</v>
      </c>
      <c r="BN63" s="2">
        <f t="shared" ref="BN63:BO63" si="315">+BN54*BN$14</f>
        <v>12566.625684978637</v>
      </c>
      <c r="BO63" s="2">
        <f t="shared" si="315"/>
        <v>13907.182166178005</v>
      </c>
      <c r="BP63" s="2">
        <f t="shared" ref="BP63:BQ63" si="316">+BP54*BP$14</f>
        <v>15249.941523780373</v>
      </c>
      <c r="BQ63" s="2">
        <f t="shared" si="316"/>
        <v>16631.371907404708</v>
      </c>
      <c r="BR63" s="2">
        <f t="shared" ref="BR63:BS63" si="317">+BR54*BR$14</f>
        <v>18069.398133407172</v>
      </c>
      <c r="BS63" s="2">
        <f t="shared" si="317"/>
        <v>18974.085101243232</v>
      </c>
      <c r="BT63" s="2">
        <f t="shared" ref="BT63:BU63" si="318">+BT54*BT$14</f>
        <v>18254.423194090603</v>
      </c>
      <c r="BU63" s="2">
        <f t="shared" si="318"/>
        <v>17836.589896623678</v>
      </c>
      <c r="BV63" s="2">
        <f t="shared" ref="BV63" si="319">+BV54*BV$14</f>
        <v>18016.209780416688</v>
      </c>
      <c r="BW63" s="2">
        <f t="shared" ref="BW63:CB63" si="320">+BW54*BW$14</f>
        <v>18266.517803877399</v>
      </c>
      <c r="BX63" s="2">
        <f t="shared" si="320"/>
        <v>19554.75218007699</v>
      </c>
      <c r="BY63" s="2">
        <f t="shared" si="320"/>
        <v>20490.525637195798</v>
      </c>
      <c r="BZ63" s="2">
        <f t="shared" si="320"/>
        <v>21105.77628809616</v>
      </c>
      <c r="CA63" s="2">
        <f t="shared" si="320"/>
        <v>22759.195305409281</v>
      </c>
      <c r="CB63" s="2">
        <f t="shared" si="320"/>
        <v>24154.851611200462</v>
      </c>
      <c r="CC63" s="2">
        <f t="shared" ref="CC63:CD63" si="321">+CC54*CC$14</f>
        <v>26393.407366151976</v>
      </c>
      <c r="CD63" s="2">
        <f t="shared" si="321"/>
        <v>27961.734330796255</v>
      </c>
      <c r="CE63" s="2">
        <f t="shared" ref="CE63:CF63" si="322">+CE54*CE$14</f>
        <v>28582.053964790332</v>
      </c>
      <c r="CF63" s="2">
        <f t="shared" si="322"/>
        <v>35071.335783323455</v>
      </c>
      <c r="CG63" s="2">
        <f t="shared" ref="CG63:CH63" si="323">+CG54*CG$14</f>
        <v>36142.586952831538</v>
      </c>
      <c r="CH63" s="2">
        <f t="shared" si="323"/>
        <v>36383.726822433149</v>
      </c>
      <c r="CI63" s="2">
        <f t="shared" ref="CI63:CJ63" si="324">+CI54*CI$14</f>
        <v>36814.563067095944</v>
      </c>
      <c r="CJ63" s="2">
        <f t="shared" si="324"/>
        <v>89885.656202760481</v>
      </c>
      <c r="CK63" s="2">
        <f t="shared" ref="CK63:CL63" si="325">+CK54*CK$14</f>
        <v>96048.034683850317</v>
      </c>
      <c r="CL63" s="2">
        <f t="shared" si="325"/>
        <v>99861.377444268379</v>
      </c>
      <c r="CM63" s="2">
        <f t="shared" ref="CM63:CN63" si="326">+CM54*CM$14</f>
        <v>102508.86771599919</v>
      </c>
      <c r="CN63" s="2">
        <f t="shared" si="326"/>
        <v>106851.42941768793</v>
      </c>
      <c r="CO63" s="2">
        <f t="shared" ref="CO63" si="327">+CO54*CO$14</f>
        <v>109327.65577844587</v>
      </c>
      <c r="CP63" s="2">
        <f t="shared" ref="CP63:CQ63" si="328">+CP54*CP$14</f>
        <v>110358.46803466469</v>
      </c>
      <c r="CQ63" s="2">
        <f t="shared" si="328"/>
        <v>112427.80690505306</v>
      </c>
      <c r="CR63" s="107"/>
      <c r="CS63" s="245">
        <f t="shared" ref="CS63:CT63" si="329">+CS54*CS$14</f>
        <v>120822.06486076702</v>
      </c>
      <c r="CT63" s="245">
        <f t="shared" si="329"/>
        <v>105256.74859024942</v>
      </c>
      <c r="CU63" s="245">
        <f t="shared" ref="CU63:CV63" si="330">+CU54*CU$14</f>
        <v>113754.23283325211</v>
      </c>
      <c r="CV63" s="245">
        <f t="shared" si="330"/>
        <v>118677.07459314194</v>
      </c>
      <c r="CW63" s="245">
        <f t="shared" ref="CW63:CX63" si="331">+CW54*CW$14</f>
        <v>118767.8425834513</v>
      </c>
      <c r="CX63" s="245">
        <f t="shared" si="331"/>
        <v>118629.26233818624</v>
      </c>
      <c r="CY63" s="245">
        <f t="shared" ref="CY63:CZ63" si="332">+CY54*CY$14</f>
        <v>117632.18895459705</v>
      </c>
      <c r="CZ63" s="245">
        <f t="shared" si="332"/>
        <v>117695.46919146368</v>
      </c>
      <c r="DA63" s="245">
        <f t="shared" ref="DA63:DB63" si="333">+DA54*DA$14</f>
        <v>121168.99789339173</v>
      </c>
      <c r="DB63" s="245">
        <f t="shared" si="333"/>
        <v>118611.60947194444</v>
      </c>
      <c r="DC63" s="245">
        <f t="shared" ref="DC63:DD63" si="334">+DC54*DC$14</f>
        <v>118946.47613250176</v>
      </c>
      <c r="DD63" s="245">
        <f t="shared" si="334"/>
        <v>130122.21624065209</v>
      </c>
      <c r="DE63" s="245">
        <f t="shared" ref="DE63:DF63" si="335">+DE54*DE$14</f>
        <v>129883.78526428228</v>
      </c>
      <c r="DF63" s="245">
        <f t="shared" si="335"/>
        <v>137789.79936131145</v>
      </c>
      <c r="DG63" s="245">
        <f t="shared" ref="DG63:DH63" si="336">+DG54*DG$14</f>
        <v>141334.58823416781</v>
      </c>
      <c r="DH63" s="245">
        <f t="shared" si="336"/>
        <v>136735.07088306651</v>
      </c>
      <c r="DI63" s="245">
        <f t="shared" ref="DI63:DJ63" si="337">+DI54*DI$14</f>
        <v>136294.92360091704</v>
      </c>
      <c r="DJ63" s="245">
        <f t="shared" si="337"/>
        <v>135415.22936410186</v>
      </c>
      <c r="DK63" s="245">
        <f t="shared" ref="DK63" si="338">+DK54*DK$14</f>
        <v>130943.10831411916</v>
      </c>
    </row>
    <row r="65" spans="70:72" x14ac:dyDescent="0.35">
      <c r="BR65" s="45"/>
      <c r="BS65" s="45"/>
      <c r="BT65" s="45"/>
    </row>
    <row r="66" spans="70:72" x14ac:dyDescent="0.35">
      <c r="BR66" s="45"/>
      <c r="BS66" s="45"/>
      <c r="BT66" s="45"/>
    </row>
    <row r="67" spans="70:72" x14ac:dyDescent="0.35">
      <c r="BR67" s="45"/>
      <c r="BS67" s="45"/>
      <c r="BT67" s="45"/>
    </row>
    <row r="68" spans="70:72" x14ac:dyDescent="0.35">
      <c r="BR68" s="45"/>
      <c r="BS68" s="45"/>
      <c r="BT68" s="45"/>
    </row>
  </sheetData>
  <mergeCells count="7">
    <mergeCell ref="C8:D8"/>
    <mergeCell ref="C56:C63"/>
    <mergeCell ref="C17:C24"/>
    <mergeCell ref="C26:C31"/>
    <mergeCell ref="C33:C38"/>
    <mergeCell ref="C40:C45"/>
    <mergeCell ref="C47:C54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ignoredErrors>
    <ignoredError sqref="AN23:BF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9374-0942-4539-BD69-921D4E216388}">
  <sheetPr codeName="Hoja8">
    <tabColor theme="9" tint="0.59999389629810485"/>
  </sheetPr>
  <dimension ref="A1:X45"/>
  <sheetViews>
    <sheetView showGridLines="0" zoomScale="110" zoomScaleNormal="110" workbookViewId="0">
      <pane xSplit="1" ySplit="2" topLeftCell="M16" activePane="bottomRight" state="frozen"/>
      <selection activeCell="N906" sqref="N906:O906"/>
      <selection pane="topRight" activeCell="N906" sqref="N906:O906"/>
      <selection pane="bottomLeft" activeCell="N906" sqref="N906:O906"/>
      <selection pane="bottomRight" activeCell="AB24" sqref="AB24"/>
    </sheetView>
  </sheetViews>
  <sheetFormatPr defaultColWidth="8.54296875" defaultRowHeight="10.5" x14ac:dyDescent="0.25"/>
  <cols>
    <col min="1" max="1" width="27.453125" style="185" customWidth="1"/>
    <col min="2" max="20" width="8.54296875" style="185"/>
    <col min="21" max="24" width="8.54296875" style="185" customWidth="1"/>
    <col min="25" max="16384" width="8.54296875" style="185"/>
  </cols>
  <sheetData>
    <row r="1" spans="1:24" ht="13" x14ac:dyDescent="0.25">
      <c r="A1" s="196" t="s">
        <v>77</v>
      </c>
      <c r="B1" s="200">
        <v>2024</v>
      </c>
      <c r="C1" s="200">
        <v>2024</v>
      </c>
      <c r="D1" s="200">
        <v>2024</v>
      </c>
      <c r="E1" s="200">
        <v>2024</v>
      </c>
      <c r="F1" s="200">
        <v>2024</v>
      </c>
      <c r="G1" s="200">
        <v>2025</v>
      </c>
      <c r="H1" s="200">
        <v>2025</v>
      </c>
      <c r="I1" s="200">
        <v>2025</v>
      </c>
      <c r="J1" s="200">
        <v>2025</v>
      </c>
      <c r="K1" s="200">
        <v>2025</v>
      </c>
      <c r="L1" s="200">
        <v>2025</v>
      </c>
      <c r="M1" s="200">
        <v>2025</v>
      </c>
      <c r="N1" s="200">
        <v>2025</v>
      </c>
      <c r="O1" s="200">
        <v>2025</v>
      </c>
      <c r="P1" s="200">
        <v>2025</v>
      </c>
      <c r="Q1" s="200">
        <v>2025</v>
      </c>
      <c r="R1" s="200">
        <v>2025</v>
      </c>
      <c r="S1" s="200">
        <v>2026</v>
      </c>
      <c r="T1" s="200">
        <v>2026</v>
      </c>
      <c r="U1" s="200">
        <v>2026</v>
      </c>
      <c r="V1" s="200">
        <v>2026</v>
      </c>
      <c r="W1" s="200">
        <v>2026</v>
      </c>
      <c r="X1" s="200">
        <v>2026</v>
      </c>
    </row>
    <row r="2" spans="1:24" ht="13" x14ac:dyDescent="0.3">
      <c r="A2" s="197" t="s">
        <v>78</v>
      </c>
      <c r="B2" s="201">
        <v>8</v>
      </c>
      <c r="C2" s="201">
        <v>9</v>
      </c>
      <c r="D2" s="201">
        <v>10</v>
      </c>
      <c r="E2" s="201">
        <v>11</v>
      </c>
      <c r="F2" s="201">
        <v>12</v>
      </c>
      <c r="G2" s="201">
        <v>1</v>
      </c>
      <c r="H2" s="201">
        <v>2</v>
      </c>
      <c r="I2" s="201">
        <v>3</v>
      </c>
      <c r="J2" s="201">
        <v>4</v>
      </c>
      <c r="K2" s="201">
        <v>5</v>
      </c>
      <c r="L2" s="201">
        <v>6</v>
      </c>
      <c r="M2" s="201">
        <v>7</v>
      </c>
      <c r="N2" s="201">
        <v>8</v>
      </c>
      <c r="O2" s="201">
        <v>9</v>
      </c>
      <c r="P2" s="201">
        <v>10</v>
      </c>
      <c r="Q2" s="201">
        <v>11</v>
      </c>
      <c r="R2" s="201">
        <v>12</v>
      </c>
      <c r="S2" s="201">
        <v>1</v>
      </c>
      <c r="T2" s="201">
        <f>+S2+1</f>
        <v>2</v>
      </c>
      <c r="U2" s="201">
        <f t="shared" ref="U2:X2" si="0">+T2+1</f>
        <v>3</v>
      </c>
      <c r="V2" s="201">
        <f t="shared" si="0"/>
        <v>4</v>
      </c>
      <c r="W2" s="201">
        <f t="shared" si="0"/>
        <v>5</v>
      </c>
      <c r="X2" s="201">
        <f t="shared" si="0"/>
        <v>6</v>
      </c>
    </row>
    <row r="3" spans="1:24" ht="13" x14ac:dyDescent="0.3">
      <c r="A3" s="195" t="s">
        <v>72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</row>
    <row r="4" spans="1:24" ht="13" x14ac:dyDescent="0.3">
      <c r="A4" s="198" t="s">
        <v>85</v>
      </c>
      <c r="B4" s="199">
        <f>'Balance Resinas'!B$5</f>
        <v>0</v>
      </c>
      <c r="C4" s="199">
        <f>'Balance Resinas'!$B10</f>
        <v>1873</v>
      </c>
      <c r="D4" s="199">
        <f>'Balance Resinas'!$B19</f>
        <v>1534.4669393200004</v>
      </c>
      <c r="E4" s="199">
        <f>'Balance Resinas'!$B28</f>
        <v>1458.1913598960004</v>
      </c>
      <c r="F4" s="199">
        <f>'Balance Resinas'!$B37</f>
        <v>1449.4772272920009</v>
      </c>
      <c r="G4" s="199">
        <f>'Balance Resinas'!$B46</f>
        <v>1799.2018185744007</v>
      </c>
      <c r="H4" s="199">
        <f>'Balance Resinas'!$B55</f>
        <v>1649.2845529520014</v>
      </c>
      <c r="I4" s="199">
        <f>'Balance Resinas'!$B64</f>
        <v>1362.9810476968019</v>
      </c>
      <c r="J4" s="199">
        <f>'Balance Resinas'!$B73</f>
        <v>1177.7012109768023</v>
      </c>
      <c r="K4" s="199">
        <f>'Balance Resinas'!$B82</f>
        <v>1173.7596354768025</v>
      </c>
      <c r="L4" s="199">
        <f>'Balance Resinas'!$B90</f>
        <v>1457.1992299088029</v>
      </c>
      <c r="M4" s="199">
        <f>'Balance Resinas'!$B99</f>
        <v>1312.7352963184032</v>
      </c>
      <c r="N4" s="199">
        <f>'Balance Resinas'!$B108</f>
        <v>1413.529070446403</v>
      </c>
      <c r="O4" s="199">
        <f>'Balance Resinas'!$B117</f>
        <v>1648.3107163672032</v>
      </c>
      <c r="P4" s="199">
        <f>'Balance Resinas'!$B126</f>
        <v>1752.8966714592038</v>
      </c>
      <c r="Q4" s="199">
        <f>'Balance Resinas'!$B135</f>
        <v>1703.7199969040037</v>
      </c>
      <c r="R4" s="199">
        <f>'Balance Resinas'!$B144</f>
        <v>1650.9285226240038</v>
      </c>
      <c r="S4" s="199">
        <f>'Balance Resinas'!$B153</f>
        <v>1542.862983819203</v>
      </c>
      <c r="T4" s="199">
        <f>'Balance Resinas'!$B162</f>
        <v>1378.5559462080028</v>
      </c>
      <c r="U4" s="199">
        <f t="shared" ref="U4:X4" si="1">+T4+T6-T7</f>
        <v>1431.4429518720031</v>
      </c>
      <c r="V4" s="199">
        <f t="shared" si="1"/>
        <v>1143.2849582720039</v>
      </c>
      <c r="W4" s="199">
        <f t="shared" si="1"/>
        <v>1053.9419638720035</v>
      </c>
      <c r="X4" s="199">
        <f t="shared" si="1"/>
        <v>1246.4869038720035</v>
      </c>
    </row>
    <row r="5" spans="1:24" ht="12.75" customHeight="1" x14ac:dyDescent="0.3">
      <c r="A5" s="187" t="s">
        <v>86</v>
      </c>
      <c r="B5" s="188">
        <f>'Balance Resinas'!B5</f>
        <v>0</v>
      </c>
      <c r="C5" s="188">
        <f>'Balance Resinas'!B9</f>
        <v>1873</v>
      </c>
      <c r="D5" s="188">
        <f>'Balance Resinas'!$B18</f>
        <v>1534.4669393200004</v>
      </c>
      <c r="E5" s="188">
        <f>'Balance Resinas'!$B27</f>
        <v>1458.1913598960004</v>
      </c>
      <c r="F5" s="188">
        <f>'Balance Resinas'!$B36</f>
        <v>1449.4772272920009</v>
      </c>
      <c r="G5" s="188">
        <f>'Balance Resinas'!$B45</f>
        <v>1799.2018185744007</v>
      </c>
      <c r="H5" s="188">
        <f>'Balance Resinas'!$B54</f>
        <v>1649.2845529520014</v>
      </c>
      <c r="I5" s="188">
        <f>'Balance Resinas'!$B63</f>
        <v>1362.9810476968019</v>
      </c>
      <c r="J5" s="188">
        <f>'Balance Resinas'!$B72</f>
        <v>1177.7012109768023</v>
      </c>
      <c r="K5" s="188">
        <f>'Balance Resinas'!$B81</f>
        <v>1173.7596354768025</v>
      </c>
      <c r="L5" s="188">
        <f>'Balance Resinas'!$B90</f>
        <v>1457.1992299088029</v>
      </c>
      <c r="M5" s="188">
        <f>'Balance Resinas'!$B99</f>
        <v>1312.7352963184032</v>
      </c>
      <c r="N5" s="188">
        <f>'Balance Resinas'!$B108</f>
        <v>1413.529070446403</v>
      </c>
      <c r="O5" s="188">
        <f>'Balance Resinas'!$B117</f>
        <v>1648.3107163672032</v>
      </c>
      <c r="P5" s="188">
        <f>'Balance Resinas'!$B126</f>
        <v>1752.8966714592038</v>
      </c>
      <c r="Q5" s="188">
        <f>'Balance Resinas'!$B135</f>
        <v>1703.7199969040037</v>
      </c>
      <c r="R5" s="188">
        <f>'Balance Resinas'!$B144</f>
        <v>1650.9285226240038</v>
      </c>
      <c r="S5" s="188">
        <f>'Balance Resinas'!$B153</f>
        <v>1542.862983819203</v>
      </c>
      <c r="T5" s="188">
        <f>'Balance Resinas'!$B162</f>
        <v>1378.5559462080028</v>
      </c>
      <c r="U5" s="189">
        <f t="shared" ref="U5:X5" si="2">T4-T7+T6</f>
        <v>1431.4429518720031</v>
      </c>
      <c r="V5" s="189">
        <f t="shared" si="2"/>
        <v>1143.2849582720037</v>
      </c>
      <c r="W5" s="189">
        <f t="shared" si="2"/>
        <v>1053.9419638720033</v>
      </c>
      <c r="X5" s="189">
        <f t="shared" si="2"/>
        <v>1246.4869038720035</v>
      </c>
    </row>
    <row r="6" spans="1:24" ht="13" x14ac:dyDescent="0.3">
      <c r="A6" s="202" t="s">
        <v>87</v>
      </c>
      <c r="B6" s="190">
        <v>0</v>
      </c>
      <c r="C6" s="190">
        <v>1050</v>
      </c>
      <c r="D6" s="257">
        <v>1400</v>
      </c>
      <c r="E6" s="257">
        <v>1350</v>
      </c>
      <c r="F6" s="257">
        <v>1950</v>
      </c>
      <c r="G6" s="257">
        <v>1850</v>
      </c>
      <c r="H6" s="257">
        <v>1340</v>
      </c>
      <c r="I6" s="257">
        <v>1025</v>
      </c>
      <c r="J6" s="257">
        <v>930</v>
      </c>
      <c r="K6" s="257">
        <v>1280</v>
      </c>
      <c r="L6" s="257">
        <v>1250</v>
      </c>
      <c r="M6" s="257">
        <v>1552</v>
      </c>
      <c r="N6" s="257">
        <v>1400</v>
      </c>
      <c r="O6" s="257">
        <v>1700</v>
      </c>
      <c r="P6" s="257">
        <v>1700</v>
      </c>
      <c r="Q6" s="257">
        <v>1400</v>
      </c>
      <c r="R6" s="257">
        <v>1450</v>
      </c>
      <c r="S6" s="257">
        <v>1330</v>
      </c>
      <c r="T6" s="257">
        <v>1500</v>
      </c>
      <c r="U6" s="293">
        <f t="shared" ref="U6:W6" si="3">+V7</f>
        <v>1141.3454872000004</v>
      </c>
      <c r="V6" s="293">
        <f t="shared" si="3"/>
        <v>1052.0024927999998</v>
      </c>
      <c r="W6" s="293">
        <f t="shared" si="3"/>
        <v>1244.5474327999998</v>
      </c>
      <c r="X6" s="293">
        <v>1503</v>
      </c>
    </row>
    <row r="7" spans="1:24" ht="12.75" customHeight="1" x14ac:dyDescent="0.3">
      <c r="A7" s="191" t="s">
        <v>88</v>
      </c>
      <c r="B7" s="192">
        <f>'Balance Resinas'!B8</f>
        <v>1602</v>
      </c>
      <c r="C7" s="192">
        <f>'Balance Resinas'!$B17</f>
        <v>1388.5330606799996</v>
      </c>
      <c r="D7" s="256">
        <f>'Balance Resinas'!$B26</f>
        <v>1476.2755794239997</v>
      </c>
      <c r="E7" s="256">
        <f>'Balance Resinas'!$B35</f>
        <v>1358.7141326039996</v>
      </c>
      <c r="F7" s="256">
        <f>'Balance Resinas'!$B44</f>
        <v>1600.2754087176002</v>
      </c>
      <c r="G7" s="256">
        <f>'Balance Resinas'!$B53</f>
        <v>1999.9172656223996</v>
      </c>
      <c r="H7" s="256">
        <f>'Balance Resinas'!$B62</f>
        <v>1626.3035052551995</v>
      </c>
      <c r="I7" s="256">
        <f>'Balance Resinas'!$B71</f>
        <v>1210.2798367199996</v>
      </c>
      <c r="J7" s="256">
        <f>'Balance Resinas'!$B80</f>
        <v>933.94157549999966</v>
      </c>
      <c r="K7" s="256">
        <f>'Balance Resinas'!B89</f>
        <v>996.56040556799951</v>
      </c>
      <c r="L7" s="256">
        <f>'Balance Resinas'!$B98</f>
        <v>1394.4639335903996</v>
      </c>
      <c r="M7" s="256">
        <f>'Balance Resinas'!$B107</f>
        <v>1451.206225872</v>
      </c>
      <c r="N7" s="256">
        <f>'Balance Resinas'!$B116</f>
        <v>1165.2183540792</v>
      </c>
      <c r="O7" s="256">
        <f>'Balance Resinas'!$B125</f>
        <v>1595.4140449079991</v>
      </c>
      <c r="P7" s="256">
        <f>'Balance Resinas'!$B134</f>
        <v>1749.1766745552002</v>
      </c>
      <c r="Q7" s="256">
        <f>'Balance Resinas'!$B143</f>
        <v>1452.7914742800001</v>
      </c>
      <c r="R7" s="256">
        <f>'Balance Resinas'!$B152</f>
        <v>1558.0655388048006</v>
      </c>
      <c r="S7" s="256">
        <f>'Balance Resinas'!$B161</f>
        <v>1494.3070376112</v>
      </c>
      <c r="T7" s="256">
        <f>'Balance Resinas'!$B170</f>
        <v>1447.1129943359997</v>
      </c>
      <c r="U7" s="294">
        <f>FCST!AX$3</f>
        <v>1429.5034807999998</v>
      </c>
      <c r="V7" s="294">
        <f>FCST!AY$3</f>
        <v>1141.3454872000004</v>
      </c>
      <c r="W7" s="294">
        <f>FCST!AZ$3</f>
        <v>1052.0024927999998</v>
      </c>
      <c r="X7" s="294">
        <f>FCST!BA$3</f>
        <v>1244.5474327999998</v>
      </c>
    </row>
    <row r="8" spans="1:24" ht="13" x14ac:dyDescent="0.3">
      <c r="A8" s="193" t="s">
        <v>89</v>
      </c>
      <c r="B8" s="194">
        <f t="shared" ref="B8:L8" si="4">+B4/AVERAGE(B7)*30</f>
        <v>0</v>
      </c>
      <c r="C8" s="194">
        <f t="shared" si="4"/>
        <v>40.467167539015847</v>
      </c>
      <c r="D8" s="194">
        <f t="shared" si="4"/>
        <v>31.182530430775778</v>
      </c>
      <c r="E8" s="194">
        <f t="shared" si="4"/>
        <v>32.196427303689354</v>
      </c>
      <c r="F8" s="194">
        <f t="shared" si="4"/>
        <v>27.173020707483538</v>
      </c>
      <c r="G8" s="194">
        <f t="shared" si="4"/>
        <v>26.989143743620808</v>
      </c>
      <c r="H8" s="194">
        <f t="shared" si="4"/>
        <v>30.423925441146896</v>
      </c>
      <c r="I8" s="194">
        <f t="shared" si="4"/>
        <v>33.78510505613248</v>
      </c>
      <c r="J8" s="194">
        <f t="shared" si="4"/>
        <v>37.830028404495287</v>
      </c>
      <c r="K8" s="194">
        <f t="shared" si="4"/>
        <v>35.334324811183116</v>
      </c>
      <c r="L8" s="194">
        <f t="shared" si="4"/>
        <v>31.349664802521112</v>
      </c>
      <c r="M8" s="194">
        <f t="shared" ref="M8:O8" si="5">+M4/AVERAGE(M7)*30</f>
        <v>27.137465501078751</v>
      </c>
      <c r="N8" s="194">
        <f t="shared" si="5"/>
        <v>36.393069131581633</v>
      </c>
      <c r="O8" s="194">
        <f t="shared" si="5"/>
        <v>30.994663516245797</v>
      </c>
      <c r="P8" s="295">
        <f>+P4/AVERAGE(P7)*30</f>
        <v>30.063801392245576</v>
      </c>
      <c r="Q8" s="295">
        <f>+Q4/AVERAGE(Q7)*30</f>
        <v>35.181649129962643</v>
      </c>
      <c r="R8" s="295">
        <f>+R4/AVERAGE(R7)*30</f>
        <v>31.788043856430562</v>
      </c>
      <c r="S8" s="295">
        <f>+S4/AVERAGE(S7)*30</f>
        <v>30.974818661477187</v>
      </c>
      <c r="T8" s="295">
        <f>+T4/AVERAGE(T7)*30</f>
        <v>28.578748548392642</v>
      </c>
      <c r="U8" s="295">
        <f t="shared" ref="U8:X8" si="6">+U4/AVERAGE(U7)*30</f>
        <v>30.04070233681945</v>
      </c>
      <c r="V8" s="295">
        <f t="shared" si="6"/>
        <v>30.050978544895155</v>
      </c>
      <c r="W8" s="295">
        <f t="shared" si="6"/>
        <v>30.055307979361579</v>
      </c>
      <c r="X8" s="295">
        <f t="shared" si="6"/>
        <v>30.046751237137833</v>
      </c>
    </row>
    <row r="9" spans="1:24" ht="13" x14ac:dyDescent="0.3">
      <c r="A9" s="186"/>
    </row>
    <row r="10" spans="1:24" ht="13" x14ac:dyDescent="0.25">
      <c r="A10" s="196" t="s">
        <v>77</v>
      </c>
      <c r="B10" s="200">
        <f t="shared" ref="B10:L10" si="7">B1</f>
        <v>2024</v>
      </c>
      <c r="C10" s="200">
        <f t="shared" si="7"/>
        <v>2024</v>
      </c>
      <c r="D10" s="200">
        <f t="shared" si="7"/>
        <v>2024</v>
      </c>
      <c r="E10" s="200">
        <f t="shared" si="7"/>
        <v>2024</v>
      </c>
      <c r="F10" s="200">
        <f t="shared" si="7"/>
        <v>2024</v>
      </c>
      <c r="G10" s="200">
        <f t="shared" si="7"/>
        <v>2025</v>
      </c>
      <c r="H10" s="200">
        <f t="shared" si="7"/>
        <v>2025</v>
      </c>
      <c r="I10" s="200">
        <f t="shared" si="7"/>
        <v>2025</v>
      </c>
      <c r="J10" s="200">
        <f t="shared" si="7"/>
        <v>2025</v>
      </c>
      <c r="K10" s="200">
        <f t="shared" si="7"/>
        <v>2025</v>
      </c>
      <c r="L10" s="200">
        <f t="shared" si="7"/>
        <v>2025</v>
      </c>
      <c r="M10" s="200">
        <f t="shared" ref="M10:O10" si="8">M1</f>
        <v>2025</v>
      </c>
      <c r="N10" s="200">
        <f t="shared" si="8"/>
        <v>2025</v>
      </c>
      <c r="O10" s="200">
        <f t="shared" si="8"/>
        <v>2025</v>
      </c>
      <c r="P10" s="200">
        <f t="shared" ref="P10:R11" si="9">P1</f>
        <v>2025</v>
      </c>
      <c r="Q10" s="200">
        <f t="shared" si="9"/>
        <v>2025</v>
      </c>
      <c r="R10" s="200">
        <f t="shared" si="9"/>
        <v>2025</v>
      </c>
      <c r="S10" s="200">
        <f t="shared" ref="S10:T10" si="10">S1</f>
        <v>2026</v>
      </c>
      <c r="T10" s="200">
        <f t="shared" si="10"/>
        <v>2026</v>
      </c>
      <c r="U10" s="200">
        <f t="shared" ref="U10:X10" si="11">U1</f>
        <v>2026</v>
      </c>
      <c r="V10" s="200">
        <f t="shared" si="11"/>
        <v>2026</v>
      </c>
      <c r="W10" s="200">
        <f t="shared" si="11"/>
        <v>2026</v>
      </c>
      <c r="X10" s="200">
        <f t="shared" si="11"/>
        <v>2026</v>
      </c>
    </row>
    <row r="11" spans="1:24" ht="12.75" customHeight="1" x14ac:dyDescent="0.3">
      <c r="A11" s="197" t="s">
        <v>78</v>
      </c>
      <c r="B11" s="201">
        <f t="shared" ref="B11:L11" si="12">B2</f>
        <v>8</v>
      </c>
      <c r="C11" s="201">
        <f t="shared" si="12"/>
        <v>9</v>
      </c>
      <c r="D11" s="201">
        <f t="shared" si="12"/>
        <v>10</v>
      </c>
      <c r="E11" s="201">
        <f t="shared" si="12"/>
        <v>11</v>
      </c>
      <c r="F11" s="201">
        <f t="shared" si="12"/>
        <v>12</v>
      </c>
      <c r="G11" s="201">
        <f t="shared" si="12"/>
        <v>1</v>
      </c>
      <c r="H11" s="201">
        <f t="shared" si="12"/>
        <v>2</v>
      </c>
      <c r="I11" s="201">
        <f t="shared" si="12"/>
        <v>3</v>
      </c>
      <c r="J11" s="201">
        <f t="shared" si="12"/>
        <v>4</v>
      </c>
      <c r="K11" s="201">
        <f t="shared" si="12"/>
        <v>5</v>
      </c>
      <c r="L11" s="201">
        <f t="shared" si="12"/>
        <v>6</v>
      </c>
      <c r="M11" s="201">
        <f t="shared" ref="M11:O11" si="13">M2</f>
        <v>7</v>
      </c>
      <c r="N11" s="201">
        <f t="shared" si="13"/>
        <v>8</v>
      </c>
      <c r="O11" s="201">
        <f t="shared" si="13"/>
        <v>9</v>
      </c>
      <c r="P11" s="201">
        <f t="shared" si="9"/>
        <v>10</v>
      </c>
      <c r="Q11" s="201">
        <f t="shared" si="9"/>
        <v>11</v>
      </c>
      <c r="R11" s="201">
        <f t="shared" si="9"/>
        <v>12</v>
      </c>
      <c r="S11" s="201">
        <f t="shared" ref="S11:T11" si="14">S2</f>
        <v>1</v>
      </c>
      <c r="T11" s="201">
        <f t="shared" si="14"/>
        <v>2</v>
      </c>
      <c r="U11" s="201">
        <f t="shared" ref="U11:X11" si="15">U2</f>
        <v>3</v>
      </c>
      <c r="V11" s="201">
        <f t="shared" si="15"/>
        <v>4</v>
      </c>
      <c r="W11" s="201">
        <f t="shared" si="15"/>
        <v>5</v>
      </c>
      <c r="X11" s="201">
        <f t="shared" si="15"/>
        <v>6</v>
      </c>
    </row>
    <row r="12" spans="1:24" ht="13" x14ac:dyDescent="0.3">
      <c r="A12" s="195" t="s">
        <v>73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</row>
    <row r="13" spans="1:24" ht="13" x14ac:dyDescent="0.3">
      <c r="A13" s="198" t="s">
        <v>85</v>
      </c>
      <c r="B13" s="199">
        <f>'Balance Resinas'!F$5</f>
        <v>0</v>
      </c>
      <c r="C13" s="199">
        <f>'Balance Resinas'!$F10</f>
        <v>34.854399999999998</v>
      </c>
      <c r="D13" s="199">
        <f>'Balance Resinas'!$F19</f>
        <v>84.854399999999998</v>
      </c>
      <c r="E13" s="199">
        <f>'Balance Resinas'!$F28</f>
        <v>24.895192575999999</v>
      </c>
      <c r="F13" s="199">
        <f>'Balance Resinas'!$F37</f>
        <v>24.895192575999999</v>
      </c>
      <c r="G13" s="199">
        <f>'Balance Resinas'!$F46</f>
        <v>71.895192575999999</v>
      </c>
      <c r="H13" s="199">
        <f>'Balance Resinas'!$F55</f>
        <v>21.375897088000002</v>
      </c>
      <c r="I13" s="199">
        <f>'Balance Resinas'!$F64</f>
        <v>21.375897088000002</v>
      </c>
      <c r="J13" s="199">
        <f>'Balance Resinas'!$F73</f>
        <v>31.800881664000002</v>
      </c>
      <c r="K13" s="199">
        <f>'Balance Resinas'!$F82</f>
        <v>54.07100838400001</v>
      </c>
      <c r="L13" s="199">
        <f>'Balance Resinas'!$F90</f>
        <v>41.400422784000014</v>
      </c>
      <c r="M13" s="199">
        <f>'Balance Resinas'!$F100</f>
        <v>38.551554432000017</v>
      </c>
      <c r="N13" s="199">
        <f>'Balance Resinas'!$F108</f>
        <v>16.791906688000019</v>
      </c>
      <c r="O13" s="199">
        <f>'Balance Resinas'!$F117</f>
        <v>18.791906688000019</v>
      </c>
      <c r="P13" s="199">
        <f>'Balance Resinas'!$F126</f>
        <v>37.671730560000015</v>
      </c>
      <c r="Q13" s="199">
        <f>'Balance Resinas'!$F135</f>
        <v>18.912082816000016</v>
      </c>
      <c r="R13" s="199">
        <f>'Balance Resinas'!$F144</f>
        <v>37.604047744000013</v>
      </c>
      <c r="S13" s="199">
        <f>'Balance Resinas'!$F153</f>
        <v>19.404488064000013</v>
      </c>
      <c r="T13" s="199">
        <f>'Balance Resinas'!$F162</f>
        <v>43.765016448000026</v>
      </c>
      <c r="U13" s="199">
        <f t="shared" ref="U13:X13" si="16">+T13+T15-T16</f>
        <v>24.885192576000026</v>
      </c>
      <c r="V13" s="199">
        <f t="shared" si="16"/>
        <v>19.099298176000026</v>
      </c>
      <c r="W13" s="199">
        <f t="shared" si="16"/>
        <v>37.885192576000023</v>
      </c>
      <c r="X13" s="199">
        <f t="shared" si="16"/>
        <v>19.099298176000026</v>
      </c>
    </row>
    <row r="14" spans="1:24" ht="13" x14ac:dyDescent="0.3">
      <c r="A14" s="187" t="s">
        <v>86</v>
      </c>
      <c r="B14" s="190">
        <f>'Balance Resinas'!F$5</f>
        <v>0</v>
      </c>
      <c r="C14" s="190">
        <f>'Balance Resinas'!$F10</f>
        <v>34.854399999999998</v>
      </c>
      <c r="D14" s="257">
        <f>'Balance Resinas'!$F19</f>
        <v>84.854399999999998</v>
      </c>
      <c r="E14" s="257">
        <f>'Balance Resinas'!$F28</f>
        <v>24.895192575999999</v>
      </c>
      <c r="F14" s="257">
        <f>'Balance Resinas'!$F37</f>
        <v>24.895192575999999</v>
      </c>
      <c r="G14" s="257">
        <f>'Balance Resinas'!$F46</f>
        <v>71.895192575999999</v>
      </c>
      <c r="H14" s="257">
        <f>'Balance Resinas'!$F55</f>
        <v>21.375897088000002</v>
      </c>
      <c r="I14" s="257">
        <f>'Balance Resinas'!$F64</f>
        <v>21.375897088000002</v>
      </c>
      <c r="J14" s="257">
        <f>'Balance Resinas'!$F73</f>
        <v>31.800881664000002</v>
      </c>
      <c r="K14" s="257">
        <f>'Balance Resinas'!$F82</f>
        <v>54.07100838400001</v>
      </c>
      <c r="L14" s="257">
        <f>'Balance Resinas'!$F90</f>
        <v>41.400422784000014</v>
      </c>
      <c r="M14" s="257">
        <f>'Balance Resinas'!$F99</f>
        <v>38.551554432000017</v>
      </c>
      <c r="N14" s="257">
        <f>'Balance Resinas'!$F108</f>
        <v>16.791906688000019</v>
      </c>
      <c r="O14" s="257">
        <f>'Balance Resinas'!$F117</f>
        <v>18.791906688000019</v>
      </c>
      <c r="P14" s="257">
        <f>'Balance Resinas'!$F126</f>
        <v>37.671730560000015</v>
      </c>
      <c r="Q14" s="257">
        <f>'Balance Resinas'!$F135</f>
        <v>18.912082816000016</v>
      </c>
      <c r="R14" s="257">
        <f>'Balance Resinas'!$F144</f>
        <v>37.604047744000013</v>
      </c>
      <c r="S14" s="257">
        <f>'Balance Resinas'!$F153</f>
        <v>19.404488064000013</v>
      </c>
      <c r="T14" s="257">
        <f>'Balance Resinas'!$F162</f>
        <v>43.765016448000026</v>
      </c>
      <c r="U14" s="189">
        <f t="shared" ref="U14:X14" si="17">T13-T16+T15</f>
        <v>24.885192576000026</v>
      </c>
      <c r="V14" s="189">
        <f t="shared" si="17"/>
        <v>19.09929817600003</v>
      </c>
      <c r="W14" s="189">
        <f t="shared" si="17"/>
        <v>37.885192576000023</v>
      </c>
      <c r="X14" s="189">
        <f t="shared" si="17"/>
        <v>19.099298176000026</v>
      </c>
    </row>
    <row r="15" spans="1:24" ht="13" x14ac:dyDescent="0.3">
      <c r="A15" s="202" t="s">
        <v>87</v>
      </c>
      <c r="B15" s="190">
        <v>0</v>
      </c>
      <c r="C15" s="190">
        <v>50</v>
      </c>
      <c r="D15" s="257">
        <v>25</v>
      </c>
      <c r="E15" s="257">
        <v>0</v>
      </c>
      <c r="F15" s="257">
        <v>47</v>
      </c>
      <c r="G15" s="257">
        <v>25</v>
      </c>
      <c r="H15" s="257">
        <v>0</v>
      </c>
      <c r="I15" s="257">
        <v>50</v>
      </c>
      <c r="J15" s="257">
        <v>112</v>
      </c>
      <c r="K15" s="257">
        <v>23</v>
      </c>
      <c r="L15" s="257">
        <v>36</v>
      </c>
      <c r="M15" s="257">
        <v>16</v>
      </c>
      <c r="N15" s="257">
        <v>2</v>
      </c>
      <c r="O15" s="257">
        <f>+P16</f>
        <v>37.759647743999999</v>
      </c>
      <c r="P15" s="257">
        <v>19</v>
      </c>
      <c r="Q15" s="257">
        <v>37.571788799999993</v>
      </c>
      <c r="R15" s="257">
        <v>29</v>
      </c>
      <c r="S15" s="257">
        <v>81</v>
      </c>
      <c r="T15" s="257">
        <v>0</v>
      </c>
      <c r="U15" s="203">
        <v>13</v>
      </c>
      <c r="V15" s="203">
        <f t="shared" ref="V15:W15" si="18">+W16</f>
        <v>37.571788799999993</v>
      </c>
      <c r="W15" s="203">
        <f t="shared" si="18"/>
        <v>18.785894399999997</v>
      </c>
      <c r="X15" s="203">
        <v>30</v>
      </c>
    </row>
    <row r="16" spans="1:24" ht="13" x14ac:dyDescent="0.3">
      <c r="A16" s="191" t="s">
        <v>88</v>
      </c>
      <c r="B16" s="192">
        <f>'Balance Resinas'!$F8</f>
        <v>38</v>
      </c>
      <c r="C16" s="192">
        <f>'Balance Resinas'!$F17</f>
        <v>0</v>
      </c>
      <c r="D16" s="256">
        <f>'Balance Resinas'!$F26</f>
        <v>84.959207423999999</v>
      </c>
      <c r="E16" s="256">
        <f>'Balance Resinas'!$F35</f>
        <v>0</v>
      </c>
      <c r="F16" s="256">
        <f>'Balance Resinas'!$F44</f>
        <v>0</v>
      </c>
      <c r="G16" s="256">
        <f>'Balance Resinas'!$F53</f>
        <v>75.519295487999997</v>
      </c>
      <c r="H16" s="256">
        <f>'Balance Resinas'!$F62</f>
        <v>0</v>
      </c>
      <c r="I16" s="256">
        <f>'Balance Resinas'!$F71</f>
        <v>39.575015424</v>
      </c>
      <c r="J16" s="256">
        <f>'Balance Resinas'!$F80</f>
        <v>89.729873279999993</v>
      </c>
      <c r="K16" s="256">
        <f>'Balance Resinas'!F89</f>
        <v>35.670585599999995</v>
      </c>
      <c r="L16" s="256">
        <f>'Balance Resinas'!$F98</f>
        <v>38.848868351999997</v>
      </c>
      <c r="M16" s="256">
        <f>'Balance Resinas'!$F107</f>
        <v>37.759647743999999</v>
      </c>
      <c r="N16" s="256">
        <f>'Balance Resinas'!$F116</f>
        <v>0</v>
      </c>
      <c r="O16" s="256">
        <f>'Balance Resinas'!$F125</f>
        <v>18.879823871999999</v>
      </c>
      <c r="P16" s="256">
        <f>'Balance Resinas'!$F134</f>
        <v>37.759647743999999</v>
      </c>
      <c r="Q16" s="256">
        <f>'Balance Resinas'!$F143</f>
        <v>18.879823871999999</v>
      </c>
      <c r="R16" s="256">
        <f>'Balance Resinas'!$F152</f>
        <v>47.19955968</v>
      </c>
      <c r="S16" s="256">
        <f>'Balance Resinas'!$F161</f>
        <v>56.639471615999994</v>
      </c>
      <c r="T16" s="256">
        <f>'Balance Resinas'!$F170</f>
        <v>18.879823871999999</v>
      </c>
      <c r="U16" s="294">
        <f>FCST!CR$3</f>
        <v>18.785894399999997</v>
      </c>
      <c r="V16" s="294">
        <f>FCST!CS$3</f>
        <v>18.785894399999997</v>
      </c>
      <c r="W16" s="294">
        <f>FCST!CT$3</f>
        <v>37.571788799999993</v>
      </c>
      <c r="X16" s="294">
        <f>FCST!CU$3</f>
        <v>18.785894399999997</v>
      </c>
    </row>
    <row r="17" spans="1:24" ht="12.75" customHeight="1" x14ac:dyDescent="0.3">
      <c r="A17" s="193" t="s">
        <v>89</v>
      </c>
      <c r="B17" s="194">
        <f t="shared" ref="B17:L17" si="19">IFERROR(+B13/AVERAGE(B16)*30,"")</f>
        <v>0</v>
      </c>
      <c r="C17" s="194" t="str">
        <f t="shared" si="19"/>
        <v/>
      </c>
      <c r="D17" s="194">
        <f t="shared" si="19"/>
        <v>29.962991383567076</v>
      </c>
      <c r="E17" s="194" t="str">
        <f t="shared" si="19"/>
        <v/>
      </c>
      <c r="F17" s="194" t="str">
        <f t="shared" si="19"/>
        <v/>
      </c>
      <c r="G17" s="194">
        <f t="shared" si="19"/>
        <v>28.560327044135683</v>
      </c>
      <c r="H17" s="194" t="str">
        <f t="shared" si="19"/>
        <v/>
      </c>
      <c r="I17" s="194">
        <f t="shared" si="19"/>
        <v>16.204084970516575</v>
      </c>
      <c r="J17" s="194">
        <f t="shared" si="19"/>
        <v>10.632205474569018</v>
      </c>
      <c r="K17" s="194">
        <f t="shared" si="19"/>
        <v>45.475290753847354</v>
      </c>
      <c r="L17" s="194">
        <f t="shared" si="19"/>
        <v>31.97036969690933</v>
      </c>
      <c r="M17" s="194">
        <f t="shared" ref="M17:O17" si="20">IFERROR(+M13/AVERAGE(M16)*30,"")</f>
        <v>30.629169021942893</v>
      </c>
      <c r="N17" s="194" t="str">
        <f t="shared" si="20"/>
        <v/>
      </c>
      <c r="O17" s="194">
        <f t="shared" si="20"/>
        <v>29.860299781508502</v>
      </c>
      <c r="P17" s="295">
        <f>IFERROR(+P13/AVERAGE(P16)*30,"")</f>
        <v>29.930149890754247</v>
      </c>
      <c r="Q17" s="295">
        <f>IFERROR(+Q13/AVERAGE(Q16)*30,"")</f>
        <v>30.051259393443587</v>
      </c>
      <c r="R17" s="295">
        <f>IFERROR(+R13/AVERAGE(R16)*30,"")</f>
        <v>23.901100772302804</v>
      </c>
      <c r="S17" s="295">
        <f>IFERROR(+S13/AVERAGE(S16)*30,"")</f>
        <v>10.277896761938614</v>
      </c>
      <c r="T17" s="295">
        <f>IFERROR(+T13/AVERAGE(T16)*30,"")</f>
        <v>69.542518105118091</v>
      </c>
      <c r="U17" s="295">
        <f t="shared" ref="U17:X17" si="21">IFERROR(+U13/AVERAGE(U16)*30,"")</f>
        <v>39.740230695643696</v>
      </c>
      <c r="V17" s="295">
        <f t="shared" si="21"/>
        <v>30.500487923534848</v>
      </c>
      <c r="W17" s="295">
        <f t="shared" si="21"/>
        <v>30.250243961767421</v>
      </c>
      <c r="X17" s="295">
        <f t="shared" si="21"/>
        <v>30.500487923534848</v>
      </c>
    </row>
    <row r="18" spans="1:24" ht="11.25" customHeight="1" x14ac:dyDescent="0.3">
      <c r="A18" s="186"/>
    </row>
    <row r="19" spans="1:24" ht="13" x14ac:dyDescent="0.25">
      <c r="A19" s="196" t="s">
        <v>77</v>
      </c>
      <c r="B19" s="200">
        <f t="shared" ref="B19:F20" si="22">B10</f>
        <v>2024</v>
      </c>
      <c r="C19" s="200">
        <f t="shared" si="22"/>
        <v>2024</v>
      </c>
      <c r="D19" s="200">
        <f t="shared" si="22"/>
        <v>2024</v>
      </c>
      <c r="E19" s="200">
        <f t="shared" si="22"/>
        <v>2024</v>
      </c>
      <c r="F19" s="200">
        <f t="shared" si="22"/>
        <v>2024</v>
      </c>
      <c r="G19" s="200">
        <f t="shared" ref="G19:L19" si="23">G10</f>
        <v>2025</v>
      </c>
      <c r="H19" s="200">
        <f t="shared" si="23"/>
        <v>2025</v>
      </c>
      <c r="I19" s="200">
        <f t="shared" si="23"/>
        <v>2025</v>
      </c>
      <c r="J19" s="200">
        <f t="shared" si="23"/>
        <v>2025</v>
      </c>
      <c r="K19" s="200">
        <f t="shared" si="23"/>
        <v>2025</v>
      </c>
      <c r="L19" s="200">
        <f t="shared" si="23"/>
        <v>2025</v>
      </c>
      <c r="M19" s="200">
        <f t="shared" ref="M19:O19" si="24">M10</f>
        <v>2025</v>
      </c>
      <c r="N19" s="200">
        <f t="shared" si="24"/>
        <v>2025</v>
      </c>
      <c r="O19" s="200">
        <f t="shared" si="24"/>
        <v>2025</v>
      </c>
      <c r="P19" s="200">
        <f t="shared" ref="P19:R20" si="25">P10</f>
        <v>2025</v>
      </c>
      <c r="Q19" s="200">
        <f t="shared" si="25"/>
        <v>2025</v>
      </c>
      <c r="R19" s="200">
        <f t="shared" si="25"/>
        <v>2025</v>
      </c>
      <c r="S19" s="200">
        <f t="shared" ref="S19:T19" si="26">S10</f>
        <v>2026</v>
      </c>
      <c r="T19" s="200">
        <f t="shared" si="26"/>
        <v>2026</v>
      </c>
      <c r="U19" s="200">
        <f t="shared" ref="U19:X19" si="27">U10</f>
        <v>2026</v>
      </c>
      <c r="V19" s="200">
        <f t="shared" si="27"/>
        <v>2026</v>
      </c>
      <c r="W19" s="200">
        <f t="shared" si="27"/>
        <v>2026</v>
      </c>
      <c r="X19" s="200">
        <f t="shared" si="27"/>
        <v>2026</v>
      </c>
    </row>
    <row r="20" spans="1:24" ht="13" x14ac:dyDescent="0.3">
      <c r="A20" s="197" t="s">
        <v>78</v>
      </c>
      <c r="B20" s="201">
        <f t="shared" si="22"/>
        <v>8</v>
      </c>
      <c r="C20" s="201">
        <f t="shared" si="22"/>
        <v>9</v>
      </c>
      <c r="D20" s="201">
        <f t="shared" si="22"/>
        <v>10</v>
      </c>
      <c r="E20" s="201">
        <f t="shared" si="22"/>
        <v>11</v>
      </c>
      <c r="F20" s="201">
        <f t="shared" si="22"/>
        <v>12</v>
      </c>
      <c r="G20" s="201">
        <f t="shared" ref="G20:L20" si="28">G11</f>
        <v>1</v>
      </c>
      <c r="H20" s="201">
        <f t="shared" si="28"/>
        <v>2</v>
      </c>
      <c r="I20" s="201">
        <f t="shared" si="28"/>
        <v>3</v>
      </c>
      <c r="J20" s="201">
        <f t="shared" si="28"/>
        <v>4</v>
      </c>
      <c r="K20" s="201">
        <f t="shared" si="28"/>
        <v>5</v>
      </c>
      <c r="L20" s="201">
        <f t="shared" si="28"/>
        <v>6</v>
      </c>
      <c r="M20" s="201">
        <f t="shared" ref="M20:O20" si="29">M11</f>
        <v>7</v>
      </c>
      <c r="N20" s="201">
        <f t="shared" si="29"/>
        <v>8</v>
      </c>
      <c r="O20" s="201">
        <f t="shared" si="29"/>
        <v>9</v>
      </c>
      <c r="P20" s="201">
        <f t="shared" si="25"/>
        <v>10</v>
      </c>
      <c r="Q20" s="201">
        <f t="shared" si="25"/>
        <v>11</v>
      </c>
      <c r="R20" s="201">
        <f t="shared" si="25"/>
        <v>12</v>
      </c>
      <c r="S20" s="201">
        <f t="shared" ref="S20:T20" si="30">S11</f>
        <v>1</v>
      </c>
      <c r="T20" s="201">
        <f t="shared" si="30"/>
        <v>2</v>
      </c>
      <c r="U20" s="201">
        <f t="shared" ref="U20:X20" si="31">U11</f>
        <v>3</v>
      </c>
      <c r="V20" s="201">
        <f t="shared" si="31"/>
        <v>4</v>
      </c>
      <c r="W20" s="201">
        <f t="shared" si="31"/>
        <v>5</v>
      </c>
      <c r="X20" s="201">
        <f t="shared" si="31"/>
        <v>6</v>
      </c>
    </row>
    <row r="21" spans="1:24" ht="13" x14ac:dyDescent="0.3">
      <c r="A21" s="195" t="s">
        <v>74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</row>
    <row r="22" spans="1:24" ht="13" x14ac:dyDescent="0.3">
      <c r="A22" s="198" t="s">
        <v>85</v>
      </c>
      <c r="B22" s="199">
        <f>'Balance Resinas'!J$5</f>
        <v>0</v>
      </c>
      <c r="C22" s="199">
        <f>'Balance Resinas'!$J10</f>
        <v>300</v>
      </c>
      <c r="D22" s="199">
        <f>'Balance Resinas'!$J19</f>
        <v>403.54061536</v>
      </c>
      <c r="E22" s="199">
        <f>'Balance Resinas'!$J28</f>
        <v>417.41983456000003</v>
      </c>
      <c r="F22" s="199">
        <f>'Balance Resinas'!$J37</f>
        <v>399.09818431999992</v>
      </c>
      <c r="G22" s="199">
        <f>'Balance Resinas'!$J46</f>
        <v>409.49110463999995</v>
      </c>
      <c r="H22" s="199">
        <f>'Balance Resinas'!$J55</f>
        <v>435.30016640000008</v>
      </c>
      <c r="I22" s="199">
        <f>'Balance Resinas'!$J64</f>
        <v>361.01989952000002</v>
      </c>
      <c r="J22" s="199">
        <f>'Balance Resinas'!$J73</f>
        <v>296.35340930000012</v>
      </c>
      <c r="K22" s="199">
        <f>'Balance Resinas'!$J82</f>
        <v>269.32763290000003</v>
      </c>
      <c r="L22" s="199">
        <f>'Balance Resinas'!$J91</f>
        <v>431.8771356200001</v>
      </c>
      <c r="M22" s="199">
        <f>'Balance Resinas'!$J100</f>
        <v>307.27643623000017</v>
      </c>
      <c r="N22" s="199">
        <f>'Balance Resinas'!$J109</f>
        <v>290.50084247000024</v>
      </c>
      <c r="O22" s="199">
        <f>'Balance Resinas'!$J117</f>
        <v>213.25457331000024</v>
      </c>
      <c r="P22" s="199">
        <f>'Balance Resinas'!$J126</f>
        <v>228.42706547000026</v>
      </c>
      <c r="Q22" s="199">
        <f>'Balance Resinas'!$J135</f>
        <v>205.25186227000023</v>
      </c>
      <c r="R22" s="199">
        <f>'Balance Resinas'!$J144</f>
        <v>264.87329299000027</v>
      </c>
      <c r="S22" s="199">
        <f>'Balance Resinas'!$J153</f>
        <v>264.25389779000028</v>
      </c>
      <c r="T22" s="199">
        <f>'Balance Resinas'!$J162</f>
        <v>194.64664107000033</v>
      </c>
      <c r="U22" s="199">
        <f t="shared" ref="U22:X22" si="32">+T22+T24-T25</f>
        <v>233.37506747000037</v>
      </c>
      <c r="V22" s="199">
        <f t="shared" si="32"/>
        <v>118.79868347000038</v>
      </c>
      <c r="W22" s="199">
        <f t="shared" si="32"/>
        <v>116.09801147000039</v>
      </c>
      <c r="X22" s="199">
        <f t="shared" si="32"/>
        <v>313.80158747000041</v>
      </c>
    </row>
    <row r="23" spans="1:24" ht="13" x14ac:dyDescent="0.3">
      <c r="A23" s="187" t="s">
        <v>86</v>
      </c>
      <c r="B23" s="190">
        <f>'Balance Resinas'!J$5</f>
        <v>0</v>
      </c>
      <c r="C23" s="190">
        <f>'Balance Resinas'!J$10</f>
        <v>300</v>
      </c>
      <c r="D23" s="257">
        <f>'Balance Resinas'!$J$19</f>
        <v>403.54061536</v>
      </c>
      <c r="E23" s="256">
        <f>'Balance Resinas'!$J28</f>
        <v>417.41983456000003</v>
      </c>
      <c r="F23" s="256">
        <f>'Balance Resinas'!$J$37</f>
        <v>399.09818431999992</v>
      </c>
      <c r="G23" s="256">
        <f>'Balance Resinas'!$J$45</f>
        <v>409.49110463999995</v>
      </c>
      <c r="H23" s="256">
        <f>'Balance Resinas'!$J$54</f>
        <v>435.30016640000008</v>
      </c>
      <c r="I23" s="256">
        <f>'Balance Resinas'!$J$63</f>
        <v>361.01989952000002</v>
      </c>
      <c r="J23" s="256">
        <f>'Balance Resinas'!$J$72</f>
        <v>296.35340930000012</v>
      </c>
      <c r="K23" s="256">
        <f>'Balance Resinas'!$J$81</f>
        <v>269.32763290000003</v>
      </c>
      <c r="L23" s="256">
        <f>'Balance Resinas'!$J$90</f>
        <v>431.8771356200001</v>
      </c>
      <c r="M23" s="256">
        <f>'Balance Resinas'!$J$99</f>
        <v>307.27643623000017</v>
      </c>
      <c r="N23" s="256">
        <f>'Balance Resinas'!$J$108</f>
        <v>290.50084247000024</v>
      </c>
      <c r="O23" s="256">
        <f>'Balance Resinas'!$J$117</f>
        <v>213.25457331000024</v>
      </c>
      <c r="P23" s="256">
        <f>'Balance Resinas'!$J$126</f>
        <v>228.42706547000026</v>
      </c>
      <c r="Q23" s="256">
        <f>'Balance Resinas'!$J$135</f>
        <v>205.25186227000023</v>
      </c>
      <c r="R23" s="256">
        <f>'Balance Resinas'!$J$144</f>
        <v>264.87329299000027</v>
      </c>
      <c r="S23" s="256">
        <f>'Balance Resinas'!$J$153</f>
        <v>264.25389779000028</v>
      </c>
      <c r="T23" s="256">
        <f>'Balance Resinas'!$J$162</f>
        <v>194.64664107000033</v>
      </c>
      <c r="U23" s="189">
        <f t="shared" ref="U23:X23" si="33">T22-T25+T24</f>
        <v>233.37506747000037</v>
      </c>
      <c r="V23" s="189">
        <f t="shared" si="33"/>
        <v>118.79868347000036</v>
      </c>
      <c r="W23" s="189">
        <f t="shared" si="33"/>
        <v>116.0980114700004</v>
      </c>
      <c r="X23" s="189">
        <f t="shared" si="33"/>
        <v>313.80158747000041</v>
      </c>
    </row>
    <row r="24" spans="1:24" ht="13" x14ac:dyDescent="0.3">
      <c r="A24" s="202" t="s">
        <v>87</v>
      </c>
      <c r="B24" s="190">
        <v>0</v>
      </c>
      <c r="C24" s="190">
        <v>475</v>
      </c>
      <c r="D24" s="257">
        <v>375</v>
      </c>
      <c r="E24" s="256">
        <v>400</v>
      </c>
      <c r="F24" s="256">
        <v>400</v>
      </c>
      <c r="G24" s="256">
        <v>350</v>
      </c>
      <c r="H24" s="256">
        <v>300</v>
      </c>
      <c r="I24" s="256">
        <v>180</v>
      </c>
      <c r="J24" s="256">
        <v>320</v>
      </c>
      <c r="K24" s="256">
        <v>565</v>
      </c>
      <c r="L24" s="256">
        <v>140</v>
      </c>
      <c r="M24" s="256">
        <v>250</v>
      </c>
      <c r="N24" s="256">
        <v>220</v>
      </c>
      <c r="O24" s="256">
        <v>200</v>
      </c>
      <c r="P24" s="256">
        <v>110</v>
      </c>
      <c r="Q24" s="256">
        <v>300</v>
      </c>
      <c r="R24" s="256">
        <v>190</v>
      </c>
      <c r="S24" s="256">
        <v>265</v>
      </c>
      <c r="T24" s="256">
        <v>260</v>
      </c>
      <c r="U24" s="203">
        <f t="shared" ref="U24:W24" si="34">+V25</f>
        <v>119.97772799999998</v>
      </c>
      <c r="V24" s="203">
        <f t="shared" si="34"/>
        <v>117.277056</v>
      </c>
      <c r="W24" s="203">
        <f t="shared" si="34"/>
        <v>314.98063200000001</v>
      </c>
      <c r="X24" s="293">
        <v>163</v>
      </c>
    </row>
    <row r="25" spans="1:24" ht="13" x14ac:dyDescent="0.3">
      <c r="A25" s="191" t="s">
        <v>88</v>
      </c>
      <c r="B25" s="192">
        <f>'Balance Resinas'!$J8</f>
        <v>300</v>
      </c>
      <c r="C25" s="192">
        <f>'Balance Resinas'!$J17</f>
        <v>371.45938464</v>
      </c>
      <c r="D25" s="256">
        <f>'Balance Resinas'!$J26</f>
        <v>361.12078079999992</v>
      </c>
      <c r="E25" s="256">
        <f>'Balance Resinas'!$J35</f>
        <v>418.32165024000011</v>
      </c>
      <c r="F25" s="256">
        <f>'Balance Resinas'!$J44</f>
        <v>389.60707968000003</v>
      </c>
      <c r="G25" s="256">
        <f>'Balance Resinas'!$J53</f>
        <v>324.19093823999992</v>
      </c>
      <c r="H25" s="256">
        <f>'Balance Resinas'!$J62</f>
        <v>374.28026688000006</v>
      </c>
      <c r="I25" s="256">
        <f>'Balance Resinas'!$J71</f>
        <v>244.66649021999996</v>
      </c>
      <c r="J25" s="256">
        <f>'Balance Resinas'!$J80</f>
        <v>347.02577640000004</v>
      </c>
      <c r="K25" s="256">
        <f>'Balance Resinas'!J89</f>
        <v>402.45049727999992</v>
      </c>
      <c r="L25" s="256">
        <f>'Balance Resinas'!$J98</f>
        <v>264.60069938999993</v>
      </c>
      <c r="M25" s="256">
        <f>'Balance Resinas'!$J107</f>
        <v>266.77559375999994</v>
      </c>
      <c r="N25" s="256">
        <f>'Balance Resinas'!$J116</f>
        <v>297.24626916</v>
      </c>
      <c r="O25" s="256">
        <f>'Balance Resinas'!$J125</f>
        <v>184.82750783999998</v>
      </c>
      <c r="P25" s="256">
        <f>'Balance Resinas'!$J134</f>
        <v>133.1752032</v>
      </c>
      <c r="Q25" s="256">
        <f>'Balance Resinas'!$J143</f>
        <v>240.37856927999997</v>
      </c>
      <c r="R25" s="256">
        <f>'Balance Resinas'!$J152</f>
        <v>190.61939519999999</v>
      </c>
      <c r="S25" s="256">
        <f>'Balance Resinas'!$J161</f>
        <v>334.60725672000001</v>
      </c>
      <c r="T25" s="256">
        <f>'Balance Resinas'!$J170</f>
        <v>221.27157359999995</v>
      </c>
      <c r="U25" s="294">
        <f>FCST!CR2</f>
        <v>234.554112</v>
      </c>
      <c r="V25" s="294">
        <f>FCST!CS2</f>
        <v>119.97772799999998</v>
      </c>
      <c r="W25" s="294">
        <f>FCST!CT2</f>
        <v>117.277056</v>
      </c>
      <c r="X25" s="294">
        <f>FCST!CU2</f>
        <v>314.98063200000001</v>
      </c>
    </row>
    <row r="26" spans="1:24" ht="13" x14ac:dyDescent="0.3">
      <c r="A26" s="193" t="s">
        <v>89</v>
      </c>
      <c r="B26" s="194">
        <f t="shared" ref="B26:L26" si="35">IFERROR(+B22/AVERAGE(B25)*30,"")</f>
        <v>0</v>
      </c>
      <c r="C26" s="194">
        <f t="shared" si="35"/>
        <v>24.228759245704222</v>
      </c>
      <c r="D26" s="194">
        <f t="shared" si="35"/>
        <v>33.524014968013716</v>
      </c>
      <c r="E26" s="194">
        <f t="shared" si="35"/>
        <v>29.935326153010532</v>
      </c>
      <c r="F26" s="194">
        <f t="shared" si="35"/>
        <v>30.730821265963289</v>
      </c>
      <c r="G26" s="194">
        <f t="shared" si="35"/>
        <v>37.893511786271951</v>
      </c>
      <c r="H26" s="194">
        <f t="shared" si="35"/>
        <v>34.890979160776638</v>
      </c>
      <c r="I26" s="194">
        <f t="shared" si="35"/>
        <v>44.266777096697268</v>
      </c>
      <c r="J26" s="194">
        <f t="shared" si="35"/>
        <v>25.619429113393096</v>
      </c>
      <c r="K26" s="194">
        <f t="shared" si="35"/>
        <v>20.07657846519832</v>
      </c>
      <c r="L26" s="194">
        <f t="shared" si="35"/>
        <v>48.965532209359168</v>
      </c>
      <c r="M26" s="194">
        <f t="shared" ref="M26:O26" si="36">IFERROR(+M22/AVERAGE(M25)*30,"")</f>
        <v>34.554484377581723</v>
      </c>
      <c r="N26" s="194">
        <f t="shared" si="36"/>
        <v>29.319208273759475</v>
      </c>
      <c r="O26" s="194">
        <f t="shared" si="36"/>
        <v>34.6140965382613</v>
      </c>
      <c r="P26" s="295">
        <f>IFERROR(+P22/AVERAGE(P25)*30,"")</f>
        <v>51.457116636109689</v>
      </c>
      <c r="Q26" s="295">
        <f>IFERROR(+Q22/AVERAGE(Q25)*30,"")</f>
        <v>25.61607670161106</v>
      </c>
      <c r="R26" s="295">
        <f>IFERROR(+R22/AVERAGE(R25)*30,"")</f>
        <v>41.686202924748386</v>
      </c>
      <c r="S26" s="295">
        <f>IFERROR(+S22/AVERAGE(S25)*30,"")</f>
        <v>23.692304259658819</v>
      </c>
      <c r="T26" s="295">
        <f>IFERROR(+T22/AVERAGE(T25)*30,"")</f>
        <v>26.390191641408435</v>
      </c>
      <c r="U26" s="295">
        <f t="shared" ref="U26:X26" si="37">IFERROR(+U22/AVERAGE(U25)*30,"")</f>
        <v>29.849197545085079</v>
      </c>
      <c r="V26" s="295">
        <f t="shared" si="37"/>
        <v>29.705184149678278</v>
      </c>
      <c r="W26" s="295">
        <f t="shared" si="37"/>
        <v>29.698395090170166</v>
      </c>
      <c r="X26" s="295">
        <f t="shared" si="37"/>
        <v>29.887703140109299</v>
      </c>
    </row>
    <row r="27" spans="1:24" ht="13" x14ac:dyDescent="0.3">
      <c r="A27" s="186"/>
    </row>
    <row r="28" spans="1:24" ht="13" x14ac:dyDescent="0.25">
      <c r="A28" s="196" t="s">
        <v>77</v>
      </c>
      <c r="B28" s="200">
        <f t="shared" ref="B28:L28" si="38">B19</f>
        <v>2024</v>
      </c>
      <c r="C28" s="200">
        <f t="shared" si="38"/>
        <v>2024</v>
      </c>
      <c r="D28" s="200">
        <f t="shared" si="38"/>
        <v>2024</v>
      </c>
      <c r="E28" s="200">
        <f t="shared" si="38"/>
        <v>2024</v>
      </c>
      <c r="F28" s="200">
        <f t="shared" si="38"/>
        <v>2024</v>
      </c>
      <c r="G28" s="200">
        <f t="shared" si="38"/>
        <v>2025</v>
      </c>
      <c r="H28" s="200">
        <f t="shared" si="38"/>
        <v>2025</v>
      </c>
      <c r="I28" s="200">
        <f t="shared" si="38"/>
        <v>2025</v>
      </c>
      <c r="J28" s="200">
        <f t="shared" si="38"/>
        <v>2025</v>
      </c>
      <c r="K28" s="200">
        <f t="shared" si="38"/>
        <v>2025</v>
      </c>
      <c r="L28" s="200">
        <f t="shared" si="38"/>
        <v>2025</v>
      </c>
      <c r="M28" s="200">
        <f t="shared" ref="M28:O28" si="39">M19</f>
        <v>2025</v>
      </c>
      <c r="N28" s="200">
        <f t="shared" si="39"/>
        <v>2025</v>
      </c>
      <c r="O28" s="200">
        <f t="shared" si="39"/>
        <v>2025</v>
      </c>
      <c r="P28" s="200">
        <f t="shared" ref="P28:R29" si="40">P19</f>
        <v>2025</v>
      </c>
      <c r="Q28" s="200">
        <f t="shared" si="40"/>
        <v>2025</v>
      </c>
      <c r="R28" s="200">
        <f t="shared" si="40"/>
        <v>2025</v>
      </c>
      <c r="S28" s="200">
        <f t="shared" ref="S28:T28" si="41">S19</f>
        <v>2026</v>
      </c>
      <c r="T28" s="200">
        <f t="shared" si="41"/>
        <v>2026</v>
      </c>
      <c r="U28" s="200">
        <f t="shared" ref="U28:X28" si="42">U19</f>
        <v>2026</v>
      </c>
      <c r="V28" s="200">
        <f t="shared" si="42"/>
        <v>2026</v>
      </c>
      <c r="W28" s="200">
        <f t="shared" si="42"/>
        <v>2026</v>
      </c>
      <c r="X28" s="200">
        <f t="shared" si="42"/>
        <v>2026</v>
      </c>
    </row>
    <row r="29" spans="1:24" ht="13" x14ac:dyDescent="0.3">
      <c r="A29" s="197" t="s">
        <v>78</v>
      </c>
      <c r="B29" s="201">
        <f t="shared" ref="B29:L29" si="43">B20</f>
        <v>8</v>
      </c>
      <c r="C29" s="201">
        <f t="shared" si="43"/>
        <v>9</v>
      </c>
      <c r="D29" s="201">
        <f t="shared" si="43"/>
        <v>10</v>
      </c>
      <c r="E29" s="201">
        <f t="shared" si="43"/>
        <v>11</v>
      </c>
      <c r="F29" s="201">
        <f t="shared" si="43"/>
        <v>12</v>
      </c>
      <c r="G29" s="201">
        <f t="shared" si="43"/>
        <v>1</v>
      </c>
      <c r="H29" s="201">
        <f t="shared" si="43"/>
        <v>2</v>
      </c>
      <c r="I29" s="201">
        <f t="shared" si="43"/>
        <v>3</v>
      </c>
      <c r="J29" s="201">
        <f t="shared" si="43"/>
        <v>4</v>
      </c>
      <c r="K29" s="201">
        <f t="shared" si="43"/>
        <v>5</v>
      </c>
      <c r="L29" s="201">
        <f t="shared" si="43"/>
        <v>6</v>
      </c>
      <c r="M29" s="201">
        <f t="shared" ref="M29:O29" si="44">M20</f>
        <v>7</v>
      </c>
      <c r="N29" s="201">
        <f t="shared" si="44"/>
        <v>8</v>
      </c>
      <c r="O29" s="201">
        <f t="shared" si="44"/>
        <v>9</v>
      </c>
      <c r="P29" s="201">
        <f t="shared" si="40"/>
        <v>10</v>
      </c>
      <c r="Q29" s="201">
        <f t="shared" si="40"/>
        <v>11</v>
      </c>
      <c r="R29" s="201">
        <f t="shared" si="40"/>
        <v>12</v>
      </c>
      <c r="S29" s="201">
        <f t="shared" ref="S29:T29" si="45">S20</f>
        <v>1</v>
      </c>
      <c r="T29" s="201">
        <f t="shared" si="45"/>
        <v>2</v>
      </c>
      <c r="U29" s="201">
        <f t="shared" ref="U29:X29" si="46">U20</f>
        <v>3</v>
      </c>
      <c r="V29" s="201">
        <f t="shared" si="46"/>
        <v>4</v>
      </c>
      <c r="W29" s="201">
        <f t="shared" si="46"/>
        <v>5</v>
      </c>
      <c r="X29" s="201">
        <f t="shared" si="46"/>
        <v>6</v>
      </c>
    </row>
    <row r="30" spans="1:24" ht="13" x14ac:dyDescent="0.3">
      <c r="A30" s="195" t="s">
        <v>90</v>
      </c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</row>
    <row r="31" spans="1:24" ht="13" x14ac:dyDescent="0.3">
      <c r="A31" s="198" t="s">
        <v>85</v>
      </c>
      <c r="B31" s="199">
        <f>'Balance Resinas'!N$5</f>
        <v>0</v>
      </c>
      <c r="C31" s="199">
        <f>'Balance Resinas'!$N10</f>
        <v>60</v>
      </c>
      <c r="D31" s="199">
        <f>'Balance Resinas'!$N19</f>
        <v>60</v>
      </c>
      <c r="E31" s="199">
        <f>'Balance Resinas'!$N28</f>
        <v>79.027908480000008</v>
      </c>
      <c r="F31" s="199">
        <f>'Balance Resinas'!$N37</f>
        <v>78.471119680000029</v>
      </c>
      <c r="G31" s="199">
        <f>'Balance Resinas'!$N46</f>
        <v>54.70060256000005</v>
      </c>
      <c r="H31" s="199">
        <f>'Balance Resinas'!$N55</f>
        <v>15.168100960000075</v>
      </c>
      <c r="I31" s="199">
        <f>'Balance Resinas'!$N64</f>
        <v>34.948255360000097</v>
      </c>
      <c r="J31" s="199">
        <f>'Balance Resinas'!$N73</f>
        <v>32.573843520000125</v>
      </c>
      <c r="K31" s="199">
        <f>'Balance Resinas'!$N82</f>
        <v>22.340258160000126</v>
      </c>
      <c r="L31" s="199">
        <f>'Balance Resinas'!$N90</f>
        <v>22.340258160000126</v>
      </c>
      <c r="M31" s="199">
        <f>'Balance Resinas'!$N100</f>
        <v>22.043021370000126</v>
      </c>
      <c r="N31" s="199">
        <f>'Balance Resinas'!$N109</f>
        <v>19.299998490000128</v>
      </c>
      <c r="O31" s="199">
        <f>'Balance Resinas'!$N118</f>
        <v>16.917859050000128</v>
      </c>
      <c r="P31" s="199">
        <f>'Balance Resinas'!$N127</f>
        <v>10.728474090000129</v>
      </c>
      <c r="Q31" s="199">
        <f>'Balance Resinas'!$N136</f>
        <v>10.728474090000129</v>
      </c>
      <c r="R31" s="199">
        <f>'Balance Resinas'!$N145</f>
        <v>21.383096170000126</v>
      </c>
      <c r="S31" s="199">
        <f>'Balance Resinas'!$N154</f>
        <v>21.383096170000126</v>
      </c>
      <c r="T31" s="199">
        <f>'Balance Resinas'!$N163</f>
        <v>0.1882276900001294</v>
      </c>
      <c r="U31" s="199">
        <f t="shared" ref="U31:X31" si="47">+T31+T33-T34</f>
        <v>0.1882276900001294</v>
      </c>
      <c r="V31" s="199">
        <f t="shared" si="47"/>
        <v>0.1882276900001294</v>
      </c>
      <c r="W31" s="199">
        <f t="shared" si="47"/>
        <v>0.1882276900001294</v>
      </c>
      <c r="X31" s="199">
        <f t="shared" si="47"/>
        <v>0.1882276900001294</v>
      </c>
    </row>
    <row r="32" spans="1:24" ht="13" x14ac:dyDescent="0.3">
      <c r="A32" s="187" t="s">
        <v>86</v>
      </c>
      <c r="B32" s="188">
        <f>'Balance Resinas'!N$5</f>
        <v>0</v>
      </c>
      <c r="C32" s="188">
        <f>'Balance Resinas'!$N10</f>
        <v>60</v>
      </c>
      <c r="D32" s="188">
        <f>'Balance Resinas'!$N19</f>
        <v>60</v>
      </c>
      <c r="E32" s="188">
        <f>'Balance Resinas'!$N28</f>
        <v>79.027908480000008</v>
      </c>
      <c r="F32" s="188">
        <f>'Balance Resinas'!$N37</f>
        <v>78.471119680000029</v>
      </c>
      <c r="G32" s="188">
        <f>'Balance Resinas'!$N46</f>
        <v>54.70060256000005</v>
      </c>
      <c r="H32" s="188">
        <f>'Balance Resinas'!$N55</f>
        <v>15.168100960000075</v>
      </c>
      <c r="I32" s="188">
        <f>'Balance Resinas'!$N64</f>
        <v>34.948255360000097</v>
      </c>
      <c r="J32" s="188">
        <f>'Balance Resinas'!$N73</f>
        <v>32.573843520000125</v>
      </c>
      <c r="K32" s="188">
        <f>'Balance Resinas'!$N81</f>
        <v>22.340258160000126</v>
      </c>
      <c r="L32" s="188">
        <f>'Balance Resinas'!$N90</f>
        <v>22.340258160000126</v>
      </c>
      <c r="M32" s="188">
        <f>'Balance Resinas'!$N99</f>
        <v>22.043021370000126</v>
      </c>
      <c r="N32" s="188">
        <f>'Balance Resinas'!$N108</f>
        <v>19.299998490000128</v>
      </c>
      <c r="O32" s="188">
        <f>'Balance Resinas'!$N117</f>
        <v>16.917859050000128</v>
      </c>
      <c r="P32" s="188">
        <f>'Balance Resinas'!$N126</f>
        <v>10.728474090000129</v>
      </c>
      <c r="Q32" s="188">
        <f>'Balance Resinas'!$N135</f>
        <v>10.728474090000129</v>
      </c>
      <c r="R32" s="188">
        <f>'Balance Resinas'!$N144</f>
        <v>21.383096170000126</v>
      </c>
      <c r="S32" s="188">
        <f>'Balance Resinas'!$N153</f>
        <v>21.383096170000126</v>
      </c>
      <c r="T32" s="188">
        <f>'Balance Resinas'!$N162</f>
        <v>0.1882276900001294</v>
      </c>
      <c r="U32" s="189">
        <f t="shared" ref="U32:X32" si="48">T31-T34+T33</f>
        <v>0.1882276900001294</v>
      </c>
      <c r="V32" s="189">
        <f t="shared" si="48"/>
        <v>0.1882276900001294</v>
      </c>
      <c r="W32" s="189">
        <f t="shared" si="48"/>
        <v>0.1882276900001294</v>
      </c>
      <c r="X32" s="189">
        <f t="shared" si="48"/>
        <v>0.1882276900001294</v>
      </c>
    </row>
    <row r="33" spans="1:24" ht="13" x14ac:dyDescent="0.3">
      <c r="A33" s="202" t="s">
        <v>87</v>
      </c>
      <c r="B33" s="190">
        <v>0</v>
      </c>
      <c r="C33" s="190">
        <v>0</v>
      </c>
      <c r="D33" s="257">
        <v>30</v>
      </c>
      <c r="E33" s="257">
        <v>70</v>
      </c>
      <c r="F33" s="257">
        <v>55</v>
      </c>
      <c r="G33" s="257">
        <v>20</v>
      </c>
      <c r="H33" s="257">
        <v>75</v>
      </c>
      <c r="I33" s="257">
        <v>47</v>
      </c>
      <c r="J33" s="257">
        <v>0</v>
      </c>
      <c r="K33" s="257">
        <v>0</v>
      </c>
      <c r="L33" s="257">
        <v>0</v>
      </c>
      <c r="M33" s="257">
        <v>0</v>
      </c>
      <c r="N33" s="257">
        <v>0</v>
      </c>
      <c r="O33" s="257">
        <v>0</v>
      </c>
      <c r="P33" s="257">
        <v>0</v>
      </c>
      <c r="Q33" s="257">
        <v>16</v>
      </c>
      <c r="R33" s="257">
        <v>0</v>
      </c>
      <c r="S33" s="257">
        <v>3</v>
      </c>
      <c r="T33" s="257">
        <v>0</v>
      </c>
      <c r="U33" s="293">
        <v>0</v>
      </c>
      <c r="V33" s="293">
        <v>0</v>
      </c>
      <c r="W33" s="293">
        <v>0</v>
      </c>
      <c r="X33" s="293">
        <v>0</v>
      </c>
    </row>
    <row r="34" spans="1:24" ht="13" x14ac:dyDescent="0.3">
      <c r="A34" s="191" t="s">
        <v>88</v>
      </c>
      <c r="B34" s="192">
        <f>'Balance Resinas'!$N8</f>
        <v>0</v>
      </c>
      <c r="C34" s="192">
        <f>'Balance Resinas'!$N17</f>
        <v>0</v>
      </c>
      <c r="D34" s="256">
        <f>'Balance Resinas'!$N26</f>
        <v>10.972091519999998</v>
      </c>
      <c r="E34" s="256">
        <f>'Balance Resinas'!$N35</f>
        <v>70.556788799999978</v>
      </c>
      <c r="F34" s="256">
        <f>'Balance Resinas'!$N44</f>
        <v>78.770517119999965</v>
      </c>
      <c r="G34" s="256">
        <f>'Balance Resinas'!$N53</f>
        <v>59.532501599999975</v>
      </c>
      <c r="H34" s="256">
        <f>'Balance Resinas'!$N62</f>
        <v>55.219845599999978</v>
      </c>
      <c r="I34" s="256">
        <f>'Balance Resinas'!$N71</f>
        <v>49.374411839999979</v>
      </c>
      <c r="J34" s="256">
        <f>'Balance Resinas'!$N80</f>
        <v>10.233585359999998</v>
      </c>
      <c r="K34" s="256">
        <f>'Balance Resinas'!N89</f>
        <v>0</v>
      </c>
      <c r="L34" s="256">
        <f>'Balance Resinas'!$N98</f>
        <v>0.29723678999999992</v>
      </c>
      <c r="M34" s="256">
        <f>'Balance Resinas'!$N107</f>
        <v>2.7430228799999994</v>
      </c>
      <c r="N34" s="256">
        <f>'Balance Resinas'!$N116</f>
        <v>2.3821394399999996</v>
      </c>
      <c r="O34" s="256">
        <f>'Balance Resinas'!$N125</f>
        <v>6.1893849599999999</v>
      </c>
      <c r="P34" s="256">
        <f>'Balance Resinas'!$N134</f>
        <v>0</v>
      </c>
      <c r="Q34" s="256">
        <f>'Balance Resinas'!$N143</f>
        <v>5.3453779200000007</v>
      </c>
      <c r="R34" s="256">
        <f>'Balance Resinas'!$N152</f>
        <v>0</v>
      </c>
      <c r="S34" s="256">
        <f>'Balance Resinas'!$N161</f>
        <v>24.194868479999997</v>
      </c>
      <c r="T34" s="256">
        <f>'Balance Resinas'!$N170</f>
        <v>0</v>
      </c>
      <c r="U34" s="294">
        <f>FCST!BU2</f>
        <v>0</v>
      </c>
      <c r="V34" s="294">
        <f>FCST!BV2</f>
        <v>0</v>
      </c>
      <c r="W34" s="294">
        <f>FCST!BW2</f>
        <v>0</v>
      </c>
      <c r="X34" s="294">
        <f>FCST!BX2</f>
        <v>17.225999999999999</v>
      </c>
    </row>
    <row r="35" spans="1:24" ht="13" x14ac:dyDescent="0.3">
      <c r="A35" s="193" t="s">
        <v>89</v>
      </c>
      <c r="B35" s="194" t="str">
        <f t="shared" ref="B35:L35" si="49">IFERROR(+B31/AVERAGE(B34)*30,"")</f>
        <v/>
      </c>
      <c r="C35" s="194" t="str">
        <f t="shared" si="49"/>
        <v/>
      </c>
      <c r="D35" s="194">
        <f t="shared" si="49"/>
        <v>164.05258712242315</v>
      </c>
      <c r="E35" s="194">
        <f t="shared" si="49"/>
        <v>33.601830450651136</v>
      </c>
      <c r="F35" s="194">
        <f t="shared" si="49"/>
        <v>29.885973540248379</v>
      </c>
      <c r="G35" s="194">
        <f t="shared" si="49"/>
        <v>27.565078447837344</v>
      </c>
      <c r="H35" s="194">
        <f t="shared" si="49"/>
        <v>8.2405704662093875</v>
      </c>
      <c r="I35" s="194">
        <f t="shared" si="49"/>
        <v>21.234635952678182</v>
      </c>
      <c r="J35" s="194">
        <f t="shared" si="49"/>
        <v>95.491000585156002</v>
      </c>
      <c r="K35" s="194" t="str">
        <f t="shared" si="49"/>
        <v/>
      </c>
      <c r="L35" s="194">
        <f t="shared" si="49"/>
        <v>2254.7940475336313</v>
      </c>
      <c r="M35" s="194">
        <f t="shared" ref="M35:O35" si="50">IFERROR(+M31/AVERAGE(M34)*30,"")</f>
        <v>241.0809789162254</v>
      </c>
      <c r="N35" s="194">
        <f t="shared" si="50"/>
        <v>243.05880041178614</v>
      </c>
      <c r="O35" s="194">
        <f t="shared" si="50"/>
        <v>82.001002487330155</v>
      </c>
      <c r="P35" s="295" t="str">
        <f>IFERROR(+P31/AVERAGE(P34)*30,"")</f>
        <v/>
      </c>
      <c r="Q35" s="295">
        <f>IFERROR(+Q31/AVERAGE(Q34)*30,"")</f>
        <v>60.211687090592804</v>
      </c>
      <c r="R35" s="295" t="str">
        <f>IFERROR(+R31/AVERAGE(R34)*30,"")</f>
        <v/>
      </c>
      <c r="S35" s="295">
        <f>IFERROR(+S31/AVERAGE(S34)*30,"")</f>
        <v>26.513592567377486</v>
      </c>
      <c r="T35" s="295" t="str">
        <f>IFERROR(+T31/AVERAGE(T34)*30,"")</f>
        <v/>
      </c>
      <c r="U35" s="295" t="str">
        <f t="shared" ref="U35:X35" si="51">IFERROR(+U31/AVERAGE(U34)*30,"")</f>
        <v/>
      </c>
      <c r="V35" s="295" t="str">
        <f t="shared" si="51"/>
        <v/>
      </c>
      <c r="W35" s="295" t="str">
        <f t="shared" si="51"/>
        <v/>
      </c>
      <c r="X35" s="295">
        <f t="shared" si="51"/>
        <v>0.32780858585881123</v>
      </c>
    </row>
    <row r="36" spans="1:24" ht="13" x14ac:dyDescent="0.3">
      <c r="A36" s="186"/>
    </row>
    <row r="37" spans="1:24" ht="13" x14ac:dyDescent="0.25">
      <c r="A37" s="196" t="s">
        <v>77</v>
      </c>
      <c r="B37" s="200">
        <f t="shared" ref="B37:L37" si="52">B28</f>
        <v>2024</v>
      </c>
      <c r="C37" s="200">
        <f t="shared" si="52"/>
        <v>2024</v>
      </c>
      <c r="D37" s="200">
        <f t="shared" si="52"/>
        <v>2024</v>
      </c>
      <c r="E37" s="200">
        <f t="shared" si="52"/>
        <v>2024</v>
      </c>
      <c r="F37" s="200">
        <f t="shared" si="52"/>
        <v>2024</v>
      </c>
      <c r="G37" s="200">
        <f t="shared" si="52"/>
        <v>2025</v>
      </c>
      <c r="H37" s="200">
        <f t="shared" si="52"/>
        <v>2025</v>
      </c>
      <c r="I37" s="200">
        <f t="shared" si="52"/>
        <v>2025</v>
      </c>
      <c r="J37" s="200">
        <f t="shared" si="52"/>
        <v>2025</v>
      </c>
      <c r="K37" s="200">
        <f t="shared" si="52"/>
        <v>2025</v>
      </c>
      <c r="L37" s="200">
        <f t="shared" si="52"/>
        <v>2025</v>
      </c>
      <c r="M37" s="200">
        <f t="shared" ref="M37:O37" si="53">M28</f>
        <v>2025</v>
      </c>
      <c r="N37" s="200">
        <f t="shared" si="53"/>
        <v>2025</v>
      </c>
      <c r="O37" s="200">
        <f t="shared" si="53"/>
        <v>2025</v>
      </c>
      <c r="P37" s="200">
        <f t="shared" ref="P37:R38" si="54">P28</f>
        <v>2025</v>
      </c>
      <c r="Q37" s="200">
        <f t="shared" si="54"/>
        <v>2025</v>
      </c>
      <c r="R37" s="200">
        <f t="shared" si="54"/>
        <v>2025</v>
      </c>
      <c r="S37" s="200">
        <f t="shared" ref="S37:T37" si="55">S28</f>
        <v>2026</v>
      </c>
      <c r="T37" s="200">
        <f t="shared" si="55"/>
        <v>2026</v>
      </c>
      <c r="U37" s="200">
        <f t="shared" ref="U37:X37" si="56">U28</f>
        <v>2026</v>
      </c>
      <c r="V37" s="200">
        <f t="shared" si="56"/>
        <v>2026</v>
      </c>
      <c r="W37" s="200">
        <f t="shared" si="56"/>
        <v>2026</v>
      </c>
      <c r="X37" s="200">
        <f t="shared" si="56"/>
        <v>2026</v>
      </c>
    </row>
    <row r="38" spans="1:24" ht="13" x14ac:dyDescent="0.3">
      <c r="A38" s="197" t="s">
        <v>78</v>
      </c>
      <c r="B38" s="201">
        <f t="shared" ref="B38:L38" si="57">B29</f>
        <v>8</v>
      </c>
      <c r="C38" s="201">
        <f t="shared" si="57"/>
        <v>9</v>
      </c>
      <c r="D38" s="201">
        <f t="shared" si="57"/>
        <v>10</v>
      </c>
      <c r="E38" s="201">
        <f t="shared" si="57"/>
        <v>11</v>
      </c>
      <c r="F38" s="201">
        <f t="shared" si="57"/>
        <v>12</v>
      </c>
      <c r="G38" s="201">
        <f t="shared" si="57"/>
        <v>1</v>
      </c>
      <c r="H38" s="201">
        <f t="shared" si="57"/>
        <v>2</v>
      </c>
      <c r="I38" s="201">
        <f t="shared" si="57"/>
        <v>3</v>
      </c>
      <c r="J38" s="201">
        <f t="shared" si="57"/>
        <v>4</v>
      </c>
      <c r="K38" s="201">
        <f t="shared" si="57"/>
        <v>5</v>
      </c>
      <c r="L38" s="201">
        <f t="shared" si="57"/>
        <v>6</v>
      </c>
      <c r="M38" s="201">
        <f t="shared" ref="M38:O38" si="58">M29</f>
        <v>7</v>
      </c>
      <c r="N38" s="201">
        <f t="shared" si="58"/>
        <v>8</v>
      </c>
      <c r="O38" s="201">
        <f t="shared" si="58"/>
        <v>9</v>
      </c>
      <c r="P38" s="201">
        <f t="shared" si="54"/>
        <v>10</v>
      </c>
      <c r="Q38" s="201">
        <f t="shared" si="54"/>
        <v>11</v>
      </c>
      <c r="R38" s="201">
        <f t="shared" si="54"/>
        <v>12</v>
      </c>
      <c r="S38" s="201">
        <f t="shared" ref="S38:T38" si="59">S29</f>
        <v>1</v>
      </c>
      <c r="T38" s="201">
        <f t="shared" si="59"/>
        <v>2</v>
      </c>
      <c r="U38" s="201">
        <f t="shared" ref="U38:X38" si="60">U29</f>
        <v>3</v>
      </c>
      <c r="V38" s="201">
        <f t="shared" si="60"/>
        <v>4</v>
      </c>
      <c r="W38" s="201">
        <f t="shared" si="60"/>
        <v>5</v>
      </c>
      <c r="X38" s="201">
        <f t="shared" si="60"/>
        <v>6</v>
      </c>
    </row>
    <row r="39" spans="1:24" ht="13" x14ac:dyDescent="0.3">
      <c r="A39" s="195" t="s">
        <v>91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</row>
    <row r="40" spans="1:24" ht="13" x14ac:dyDescent="0.3">
      <c r="A40" s="198" t="s">
        <v>85</v>
      </c>
      <c r="B40" s="199">
        <f>'Balance Resinas'!R$5</f>
        <v>0</v>
      </c>
      <c r="C40" s="199">
        <f>'Balance Resinas'!$R10</f>
        <v>150</v>
      </c>
      <c r="D40" s="199">
        <f>'Balance Resinas'!$R19</f>
        <v>150</v>
      </c>
      <c r="E40" s="199">
        <f>'Balance Resinas'!$R28</f>
        <v>150</v>
      </c>
      <c r="F40" s="199">
        <f>'Balance Resinas'!$R37</f>
        <v>129.24211574399999</v>
      </c>
      <c r="G40" s="199">
        <f>'Balance Resinas'!$R46</f>
        <v>130.20566189759998</v>
      </c>
      <c r="H40" s="199">
        <f>'Balance Resinas'!$R55</f>
        <v>106.21877342399998</v>
      </c>
      <c r="I40" s="199">
        <f>'Balance Resinas'!$R64</f>
        <v>103.06665025919997</v>
      </c>
      <c r="J40" s="199">
        <f>'Balance Resinas'!$R73</f>
        <v>103.06665025919997</v>
      </c>
      <c r="K40" s="199">
        <f>'Balance Resinas'!$R82</f>
        <v>103.06665025919997</v>
      </c>
      <c r="L40" s="199">
        <f>'Balance Resinas'!$R90</f>
        <v>103.06665025919997</v>
      </c>
      <c r="M40" s="199">
        <f>'Balance Resinas'!$R100</f>
        <v>102.91288815359998</v>
      </c>
      <c r="N40" s="199">
        <f>'Balance Resinas'!$R109</f>
        <v>73.00998280959999</v>
      </c>
      <c r="O40" s="199">
        <f>'Balance Resinas'!$R118</f>
        <v>61.016538572799988</v>
      </c>
      <c r="P40" s="199">
        <f>'Balance Resinas'!$R127</f>
        <v>91.016538572799988</v>
      </c>
      <c r="Q40" s="199">
        <f>'Balance Resinas'!$R136</f>
        <v>78.284331055999957</v>
      </c>
      <c r="R40" s="199">
        <f>'Balance Resinas'!$R145</f>
        <v>56.306183599999954</v>
      </c>
      <c r="S40" s="199">
        <f>'Balance Resinas'!$R154</f>
        <v>32.257164540799941</v>
      </c>
      <c r="T40" s="199">
        <f>'Balance Resinas'!$R163</f>
        <v>16.80407292799994</v>
      </c>
      <c r="U40" s="199">
        <f t="shared" ref="U40:X40" si="61">+T40+T42-T43</f>
        <v>16.80407292799994</v>
      </c>
      <c r="V40" s="199">
        <f t="shared" si="61"/>
        <v>16.80407292799994</v>
      </c>
      <c r="W40" s="199">
        <f t="shared" si="61"/>
        <v>16.80407292799994</v>
      </c>
      <c r="X40" s="199">
        <f t="shared" si="61"/>
        <v>16.80407292799994</v>
      </c>
    </row>
    <row r="41" spans="1:24" ht="13" x14ac:dyDescent="0.3">
      <c r="A41" s="187" t="s">
        <v>86</v>
      </c>
      <c r="B41" s="188">
        <f>'Balance Resinas'!R$5</f>
        <v>0</v>
      </c>
      <c r="C41" s="188">
        <f>'Balance Resinas'!$R10</f>
        <v>150</v>
      </c>
      <c r="D41" s="188">
        <f>'Balance Resinas'!$R19</f>
        <v>150</v>
      </c>
      <c r="E41" s="188">
        <f>'Balance Resinas'!$R28</f>
        <v>150</v>
      </c>
      <c r="F41" s="188">
        <f>'Balance Resinas'!$R37</f>
        <v>129.24211574399999</v>
      </c>
      <c r="G41" s="188">
        <f>'Balance Resinas'!$R46</f>
        <v>130.20566189759998</v>
      </c>
      <c r="H41" s="188">
        <f>'Balance Resinas'!$R55</f>
        <v>106.21877342399998</v>
      </c>
      <c r="I41" s="188">
        <f>'Balance Resinas'!$R64</f>
        <v>103.06665025919997</v>
      </c>
      <c r="J41" s="188">
        <f>'Balance Resinas'!$R73</f>
        <v>103.06665025919997</v>
      </c>
      <c r="K41" s="188">
        <f>'Balance Resinas'!$R82</f>
        <v>103.06665025919997</v>
      </c>
      <c r="L41" s="188">
        <f>'Balance Resinas'!$R90</f>
        <v>103.06665025919997</v>
      </c>
      <c r="M41" s="188">
        <f>'Balance Resinas'!$R99</f>
        <v>102.91288815359998</v>
      </c>
      <c r="N41" s="188">
        <f>'Balance Resinas'!$R108</f>
        <v>73.00998280959999</v>
      </c>
      <c r="O41" s="188">
        <f>'Balance Resinas'!$R117</f>
        <v>61.016538572799988</v>
      </c>
      <c r="P41" s="188">
        <f>'Balance Resinas'!$R126</f>
        <v>91.016538572799988</v>
      </c>
      <c r="Q41" s="188">
        <f>'Balance Resinas'!$R135</f>
        <v>78.284331055999957</v>
      </c>
      <c r="R41" s="188">
        <f>'Balance Resinas'!$R144</f>
        <v>56.306183599999954</v>
      </c>
      <c r="S41" s="188">
        <f>'Balance Resinas'!$R153</f>
        <v>32.257164540799941</v>
      </c>
      <c r="T41" s="188">
        <f>'Balance Resinas'!$R162</f>
        <v>16.80407292799994</v>
      </c>
      <c r="U41" s="189">
        <f t="shared" ref="U41:X41" si="62">T40-T43+T42</f>
        <v>16.80407292799994</v>
      </c>
      <c r="V41" s="189">
        <f t="shared" si="62"/>
        <v>16.80407292799994</v>
      </c>
      <c r="W41" s="189">
        <f t="shared" si="62"/>
        <v>16.80407292799994</v>
      </c>
      <c r="X41" s="189">
        <f t="shared" si="62"/>
        <v>16.80407292799994</v>
      </c>
    </row>
    <row r="42" spans="1:24" ht="13" x14ac:dyDescent="0.3">
      <c r="A42" s="202" t="s">
        <v>87</v>
      </c>
      <c r="B42" s="190">
        <v>0</v>
      </c>
      <c r="C42" s="190">
        <v>0</v>
      </c>
      <c r="D42" s="257">
        <v>0</v>
      </c>
      <c r="E42" s="257">
        <v>0</v>
      </c>
      <c r="F42" s="257">
        <v>75</v>
      </c>
      <c r="G42" s="257">
        <v>0</v>
      </c>
      <c r="H42" s="257">
        <v>0</v>
      </c>
      <c r="I42" s="257">
        <v>0</v>
      </c>
      <c r="J42" s="257">
        <v>0</v>
      </c>
      <c r="K42" s="257">
        <v>0</v>
      </c>
      <c r="L42" s="257">
        <v>0</v>
      </c>
      <c r="M42" s="257">
        <v>7</v>
      </c>
      <c r="N42" s="257">
        <v>0</v>
      </c>
      <c r="O42" s="257">
        <v>30</v>
      </c>
      <c r="P42" s="257">
        <v>55</v>
      </c>
      <c r="Q42" s="257">
        <v>18</v>
      </c>
      <c r="R42" s="257">
        <v>27</v>
      </c>
      <c r="S42" s="257">
        <v>0</v>
      </c>
      <c r="T42" s="257">
        <v>0</v>
      </c>
      <c r="U42" s="293">
        <v>0</v>
      </c>
      <c r="V42" s="293">
        <v>0</v>
      </c>
      <c r="W42" s="293">
        <v>0</v>
      </c>
      <c r="X42" s="293">
        <v>0</v>
      </c>
    </row>
    <row r="43" spans="1:24" ht="13" x14ac:dyDescent="0.3">
      <c r="A43" s="191" t="s">
        <v>88</v>
      </c>
      <c r="B43" s="192">
        <f>'Balance Resinas'!$R8</f>
        <v>0</v>
      </c>
      <c r="C43" s="192">
        <f>'Balance Resinas'!$R17</f>
        <v>0</v>
      </c>
      <c r="D43" s="256">
        <f>'Balance Resinas'!$R26</f>
        <v>0</v>
      </c>
      <c r="E43" s="256">
        <f>'Balance Resinas'!$R35</f>
        <v>20.757884256000001</v>
      </c>
      <c r="F43" s="256">
        <f>'Balance Resinas'!$R44</f>
        <v>74.036453846400008</v>
      </c>
      <c r="G43" s="256">
        <f>'Balance Resinas'!$R53</f>
        <v>23.986888473600001</v>
      </c>
      <c r="H43" s="256">
        <f>'Balance Resinas'!$R62</f>
        <v>3.1521231647999999</v>
      </c>
      <c r="I43" s="256">
        <f>'Balance Resinas'!$R71</f>
        <v>0</v>
      </c>
      <c r="J43" s="256">
        <f>'Balance Resinas'!$R80</f>
        <v>0</v>
      </c>
      <c r="K43" s="256">
        <f>'Balance Resinas'!$R89</f>
        <v>0</v>
      </c>
      <c r="L43" s="256">
        <f>'Balance Resinas'!$R98</f>
        <v>0.15376210559999998</v>
      </c>
      <c r="M43" s="256">
        <f>'Balance Resinas'!$R107</f>
        <v>36.902905343999997</v>
      </c>
      <c r="N43" s="256">
        <f>'Balance Resinas'!$R116</f>
        <v>11.9934442368</v>
      </c>
      <c r="O43" s="256">
        <f>'Balance Resinas'!$R125</f>
        <v>0</v>
      </c>
      <c r="P43" s="256">
        <f>'Balance Resinas'!$R134</f>
        <v>67.732207516800031</v>
      </c>
      <c r="Q43" s="256">
        <f>'Balance Resinas'!$R143</f>
        <v>39.978147456000002</v>
      </c>
      <c r="R43" s="256">
        <f>'Balance Resinas'!$R152</f>
        <v>51.049019059200013</v>
      </c>
      <c r="S43" s="256">
        <f>'Balance Resinas'!$R161</f>
        <v>15.4530916128</v>
      </c>
      <c r="T43" s="256">
        <f>'Balance Resinas'!$R170</f>
        <v>0</v>
      </c>
      <c r="U43" s="294">
        <f>FCST!BU3</f>
        <v>0</v>
      </c>
      <c r="V43" s="294">
        <f>FCST!BV3</f>
        <v>0</v>
      </c>
      <c r="W43" s="294">
        <f>FCST!BW3</f>
        <v>0</v>
      </c>
      <c r="X43" s="294">
        <f>FCST!BX3</f>
        <v>0</v>
      </c>
    </row>
    <row r="44" spans="1:24" ht="13" x14ac:dyDescent="0.3">
      <c r="A44" s="193" t="s">
        <v>89</v>
      </c>
      <c r="B44" s="194" t="str">
        <f t="shared" ref="B44:L44" si="63">IFERROR(+B40/AVERAGE(B43)*30,"")</f>
        <v/>
      </c>
      <c r="C44" s="194" t="str">
        <f t="shared" si="63"/>
        <v/>
      </c>
      <c r="D44" s="194" t="str">
        <f t="shared" si="63"/>
        <v/>
      </c>
      <c r="E44" s="194">
        <f t="shared" si="63"/>
        <v>216.78509931469964</v>
      </c>
      <c r="F44" s="194">
        <f t="shared" si="63"/>
        <v>52.369654013467176</v>
      </c>
      <c r="G44" s="194">
        <f t="shared" si="63"/>
        <v>162.84604237965817</v>
      </c>
      <c r="H44" s="194">
        <f t="shared" si="63"/>
        <v>1010.9259810354474</v>
      </c>
      <c r="I44" s="194" t="str">
        <f t="shared" si="63"/>
        <v/>
      </c>
      <c r="J44" s="194" t="str">
        <f t="shared" si="63"/>
        <v/>
      </c>
      <c r="K44" s="194" t="str">
        <f t="shared" si="63"/>
        <v/>
      </c>
      <c r="L44" s="194">
        <f t="shared" si="63"/>
        <v>20108.982611226675</v>
      </c>
      <c r="M44" s="194">
        <f t="shared" ref="M44:O44" si="64">IFERROR(+M40/AVERAGE(M43)*30,"")</f>
        <v>83.66242754677782</v>
      </c>
      <c r="N44" s="194">
        <f t="shared" si="64"/>
        <v>182.62472739627285</v>
      </c>
      <c r="O44" s="194" t="str">
        <f t="shared" si="64"/>
        <v/>
      </c>
      <c r="P44" s="295">
        <f>IFERROR(+P40/AVERAGE(P43)*30,"")</f>
        <v>40.313113322147927</v>
      </c>
      <c r="Q44" s="295">
        <f>IFERROR(+Q40/AVERAGE(Q43)*30,"")</f>
        <v>58.745341671091531</v>
      </c>
      <c r="R44" s="295">
        <f>IFERROR(+R40/AVERAGE(R43)*30,"")</f>
        <v>33.089480251150384</v>
      </c>
      <c r="S44" s="295">
        <f>IFERROR(+S40/AVERAGE(S43)*30,"")</f>
        <v>62.622739867951552</v>
      </c>
      <c r="T44" s="295" t="str">
        <f>IFERROR(+T40/AVERAGE(T43)*30,"")</f>
        <v/>
      </c>
      <c r="U44" s="295" t="str">
        <f t="shared" ref="U44:X44" si="65">IFERROR(+U40/AVERAGE(U43)*30,"")</f>
        <v/>
      </c>
      <c r="V44" s="295" t="str">
        <f t="shared" si="65"/>
        <v/>
      </c>
      <c r="W44" s="295" t="str">
        <f t="shared" si="65"/>
        <v/>
      </c>
      <c r="X44" s="295" t="str">
        <f t="shared" si="65"/>
        <v/>
      </c>
    </row>
    <row r="45" spans="1:24" ht="13" x14ac:dyDescent="0.3">
      <c r="A45" s="186"/>
    </row>
  </sheetData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F09B-B982-4130-965A-90363071D46B}">
  <sheetPr codeName="Hoja5">
    <tabColor theme="9" tint="0.59999389629810485"/>
  </sheetPr>
  <dimension ref="A1:S172"/>
  <sheetViews>
    <sheetView showGridLines="0" topLeftCell="B1" zoomScaleNormal="100" workbookViewId="0">
      <pane ySplit="1" topLeftCell="A159" activePane="bottomLeft" state="frozen"/>
      <selection activeCell="N906" sqref="N906:O906"/>
      <selection pane="bottomLeft" activeCell="G172" sqref="G172"/>
    </sheetView>
  </sheetViews>
  <sheetFormatPr defaultColWidth="11.453125" defaultRowHeight="14.5" x14ac:dyDescent="0.35"/>
  <cols>
    <col min="1" max="1" width="27.54296875" style="165" bestFit="1" customWidth="1"/>
    <col min="2" max="2" width="9.81640625" style="165" bestFit="1" customWidth="1"/>
    <col min="3" max="3" width="13.81640625" style="165" bestFit="1" customWidth="1"/>
    <col min="4" max="4" width="3.453125" customWidth="1"/>
    <col min="5" max="5" width="27.54296875" style="165" bestFit="1" customWidth="1"/>
    <col min="6" max="6" width="7.81640625" style="165" bestFit="1" customWidth="1"/>
    <col min="7" max="7" width="12.81640625" style="165" bestFit="1" customWidth="1"/>
    <col min="8" max="8" width="3.81640625" customWidth="1"/>
    <col min="9" max="9" width="27.54296875" style="165" bestFit="1" customWidth="1"/>
    <col min="10" max="10" width="9" style="165" bestFit="1" customWidth="1"/>
    <col min="11" max="11" width="12.81640625" style="165" bestFit="1" customWidth="1"/>
    <col min="12" max="12" width="3.7265625" customWidth="1"/>
    <col min="13" max="13" width="27.54296875" style="165" bestFit="1" customWidth="1"/>
    <col min="14" max="14" width="7.81640625" style="165" bestFit="1" customWidth="1"/>
    <col min="15" max="15" width="12.81640625" style="165" bestFit="1" customWidth="1"/>
    <col min="16" max="16" width="4.7265625" customWidth="1"/>
    <col min="17" max="17" width="27.54296875" style="165" bestFit="1" customWidth="1"/>
    <col min="18" max="18" width="8.7265625" style="165" bestFit="1" customWidth="1"/>
    <col min="19" max="19" width="12.81640625" style="165" bestFit="1" customWidth="1"/>
  </cols>
  <sheetData>
    <row r="1" spans="1:19" x14ac:dyDescent="0.35">
      <c r="A1" s="315" t="s">
        <v>72</v>
      </c>
      <c r="B1" s="315"/>
      <c r="C1" s="315"/>
      <c r="E1" s="315" t="s">
        <v>73</v>
      </c>
      <c r="F1" s="315"/>
      <c r="G1" s="315"/>
      <c r="I1" s="315" t="s">
        <v>74</v>
      </c>
      <c r="J1" s="315"/>
      <c r="K1" s="315"/>
      <c r="M1" s="315" t="s">
        <v>75</v>
      </c>
      <c r="N1" s="315"/>
      <c r="O1" s="315"/>
      <c r="Q1" s="315" t="s">
        <v>76</v>
      </c>
      <c r="R1" s="315"/>
      <c r="S1" s="315"/>
    </row>
    <row r="3" spans="1:19" x14ac:dyDescent="0.35">
      <c r="A3" s="166">
        <v>45505</v>
      </c>
      <c r="B3" s="167" t="s">
        <v>77</v>
      </c>
      <c r="C3" s="168" t="s">
        <v>78</v>
      </c>
      <c r="E3" s="166">
        <v>45505</v>
      </c>
      <c r="F3" s="167" t="s">
        <v>77</v>
      </c>
      <c r="G3" s="168" t="s">
        <v>78</v>
      </c>
      <c r="I3" s="166">
        <v>45505</v>
      </c>
      <c r="J3" s="167" t="s">
        <v>77</v>
      </c>
      <c r="K3" s="168" t="s">
        <v>78</v>
      </c>
      <c r="M3" s="166">
        <v>45505</v>
      </c>
      <c r="N3" s="167" t="s">
        <v>77</v>
      </c>
      <c r="O3" s="168" t="s">
        <v>78</v>
      </c>
      <c r="Q3" s="166">
        <v>45505</v>
      </c>
      <c r="R3" s="167" t="s">
        <v>77</v>
      </c>
      <c r="S3" s="168" t="s">
        <v>78</v>
      </c>
    </row>
    <row r="4" spans="1:19" x14ac:dyDescent="0.35">
      <c r="A4" s="169"/>
      <c r="B4" s="170">
        <f>YEAR(A3)</f>
        <v>2024</v>
      </c>
      <c r="C4" s="171">
        <f>MONTH(A3)</f>
        <v>8</v>
      </c>
      <c r="E4" s="169"/>
      <c r="F4" s="170">
        <f>YEAR(E3)</f>
        <v>2024</v>
      </c>
      <c r="G4" s="171">
        <f>MONTH(E3)</f>
        <v>8</v>
      </c>
      <c r="I4" s="169"/>
      <c r="J4" s="170">
        <f>YEAR(I3)</f>
        <v>2024</v>
      </c>
      <c r="K4" s="171">
        <f>MONTH(I3)</f>
        <v>8</v>
      </c>
      <c r="M4" s="169"/>
      <c r="N4" s="170">
        <f>YEAR(M3)</f>
        <v>2024</v>
      </c>
      <c r="O4" s="171">
        <f>MONTH(M3)</f>
        <v>8</v>
      </c>
      <c r="Q4" s="169"/>
      <c r="R4" s="170">
        <f>YEAR(Q3)</f>
        <v>2024</v>
      </c>
      <c r="S4" s="171">
        <f>MONTH(Q3)</f>
        <v>8</v>
      </c>
    </row>
    <row r="5" spans="1:19" x14ac:dyDescent="0.35">
      <c r="A5" s="172" t="s">
        <v>79</v>
      </c>
      <c r="B5" s="173">
        <v>0</v>
      </c>
      <c r="C5" s="174">
        <v>0</v>
      </c>
      <c r="E5" s="172" t="s">
        <v>79</v>
      </c>
      <c r="F5" s="173">
        <v>0</v>
      </c>
      <c r="G5" s="174">
        <v>0</v>
      </c>
      <c r="I5" s="172" t="s">
        <v>79</v>
      </c>
      <c r="J5" s="173">
        <v>0</v>
      </c>
      <c r="K5" s="174">
        <v>0</v>
      </c>
      <c r="M5" s="172" t="s">
        <v>79</v>
      </c>
      <c r="N5" s="173">
        <v>0</v>
      </c>
      <c r="O5" s="174">
        <v>0</v>
      </c>
      <c r="Q5" s="172" t="s">
        <v>79</v>
      </c>
      <c r="R5" s="173">
        <v>0</v>
      </c>
      <c r="S5" s="174">
        <v>0</v>
      </c>
    </row>
    <row r="6" spans="1:19" x14ac:dyDescent="0.35">
      <c r="A6" s="175" t="s">
        <v>80</v>
      </c>
      <c r="B6" s="176">
        <v>1602</v>
      </c>
      <c r="C6" s="177">
        <v>1801</v>
      </c>
      <c r="E6" s="175" t="s">
        <v>80</v>
      </c>
      <c r="F6" s="176">
        <v>38</v>
      </c>
      <c r="G6" s="177">
        <v>1835</v>
      </c>
      <c r="I6" s="175" t="s">
        <v>80</v>
      </c>
      <c r="J6" s="176">
        <v>300</v>
      </c>
      <c r="K6" s="177">
        <v>1977</v>
      </c>
      <c r="M6" s="175" t="s">
        <v>80</v>
      </c>
      <c r="N6" s="176">
        <v>0</v>
      </c>
      <c r="O6" s="177">
        <v>0</v>
      </c>
      <c r="Q6" s="175" t="s">
        <v>80</v>
      </c>
      <c r="R6" s="176">
        <v>150</v>
      </c>
      <c r="S6" s="177">
        <f>C6</f>
        <v>1801</v>
      </c>
    </row>
    <row r="7" spans="1:19" x14ac:dyDescent="0.35">
      <c r="A7" s="175" t="s">
        <v>81</v>
      </c>
      <c r="B7" s="176">
        <v>1873</v>
      </c>
      <c r="C7" s="177">
        <f>VLOOKUP(A3,'CSD Resina Ush'!B:U,17,0)</f>
        <v>0</v>
      </c>
      <c r="E7" s="175" t="s">
        <v>81</v>
      </c>
      <c r="F7" s="176">
        <v>34.854399999999991</v>
      </c>
      <c r="G7" s="177">
        <f>VLOOKUP(E3,'HF resina'!AA1:AU41,18,0)</f>
        <v>0</v>
      </c>
      <c r="I7" s="175" t="s">
        <v>81</v>
      </c>
      <c r="J7" s="176">
        <v>300</v>
      </c>
      <c r="K7" s="177">
        <f>VLOOKUP(I3,'HF resina'!B:W,19,0)</f>
        <v>0</v>
      </c>
      <c r="M7" s="175" t="s">
        <v>81</v>
      </c>
      <c r="N7" s="176">
        <v>60</v>
      </c>
      <c r="O7" s="177">
        <f>K7</f>
        <v>0</v>
      </c>
      <c r="Q7" s="175" t="s">
        <v>81</v>
      </c>
      <c r="R7" s="176">
        <v>0</v>
      </c>
      <c r="S7" s="177">
        <f>C7</f>
        <v>0</v>
      </c>
    </row>
    <row r="8" spans="1:19" x14ac:dyDescent="0.35">
      <c r="A8" s="175" t="s">
        <v>82</v>
      </c>
      <c r="B8" s="176">
        <v>1602</v>
      </c>
      <c r="C8" s="177"/>
      <c r="E8" s="175" t="s">
        <v>82</v>
      </c>
      <c r="F8" s="176">
        <v>38</v>
      </c>
      <c r="G8" s="177"/>
      <c r="I8" s="175" t="s">
        <v>82</v>
      </c>
      <c r="J8" s="176">
        <v>300</v>
      </c>
      <c r="K8" s="177"/>
      <c r="M8" s="175" t="s">
        <v>82</v>
      </c>
      <c r="N8" s="176">
        <v>0</v>
      </c>
      <c r="O8" s="177"/>
      <c r="Q8" s="175" t="s">
        <v>82</v>
      </c>
      <c r="R8" s="176">
        <v>0</v>
      </c>
      <c r="S8" s="177"/>
    </row>
    <row r="9" spans="1:19" x14ac:dyDescent="0.35">
      <c r="A9" s="175" t="s">
        <v>83</v>
      </c>
      <c r="B9" s="176">
        <f>B10</f>
        <v>1873</v>
      </c>
      <c r="C9" s="177"/>
      <c r="E9" s="175" t="s">
        <v>83</v>
      </c>
      <c r="F9" s="176">
        <f>F10</f>
        <v>34.854399999999998</v>
      </c>
      <c r="G9" s="177"/>
      <c r="I9" s="175" t="s">
        <v>83</v>
      </c>
      <c r="J9" s="176">
        <f>J10</f>
        <v>300</v>
      </c>
      <c r="K9" s="177"/>
      <c r="M9" s="175" t="s">
        <v>83</v>
      </c>
      <c r="N9" s="176">
        <f>N10</f>
        <v>60</v>
      </c>
      <c r="O9" s="177"/>
      <c r="Q9" s="175" t="s">
        <v>83</v>
      </c>
      <c r="R9" s="176">
        <f>R10</f>
        <v>150</v>
      </c>
      <c r="S9" s="177"/>
    </row>
    <row r="10" spans="1:19" x14ac:dyDescent="0.35">
      <c r="A10" s="178" t="str">
        <f>+"Saldo Inicio de "&amp;TEXT(EDATE(A3,1),"DD-MM-YYYY")</f>
        <v>Saldo Inicio de 01-09-2024</v>
      </c>
      <c r="B10" s="179">
        <f>+SUM(B5:B7)-B8</f>
        <v>1873</v>
      </c>
      <c r="C10" s="180">
        <f>+SUMPRODUCT(B5:B7,C5:C7)/SUM(B5:B7)</f>
        <v>830.27395683453233</v>
      </c>
      <c r="E10" s="178" t="str">
        <f>+"Saldo Inicio de "&amp;TEXT(EDATE(E3,1),"DD-MM-YYYY")</f>
        <v>Saldo Inicio de 01-09-2024</v>
      </c>
      <c r="F10" s="179">
        <f>+SUM(F5:F7)-F8</f>
        <v>34.854399999999998</v>
      </c>
      <c r="G10" s="180">
        <f>+SUMPRODUCT(F5:F7,G5:G7)/SUM(F5:F7)</f>
        <v>957.11446391707295</v>
      </c>
      <c r="I10" s="178" t="str">
        <f>+"Saldo Inicio de "&amp;TEXT(EDATE(I3,1),"DD-MM-YYYY")</f>
        <v>Saldo Inicio de 01-09-2024</v>
      </c>
      <c r="J10" s="179">
        <f>+SUM(J5:J7)-J8</f>
        <v>300</v>
      </c>
      <c r="K10" s="180">
        <f>+SUMPRODUCT(J5:J7,K5:K7)/SUM(J5:J7)</f>
        <v>988.5</v>
      </c>
      <c r="M10" s="178" t="str">
        <f>+"Saldo Inicio de "&amp;TEXT(EDATE(M3,1),"DD-MM-YYYY")</f>
        <v>Saldo Inicio de 01-09-2024</v>
      </c>
      <c r="N10" s="179">
        <f>+SUM(N5:N7)-N8</f>
        <v>60</v>
      </c>
      <c r="O10" s="180">
        <f>+SUMPRODUCT(N5:N7,O5:O7)/SUM(N5:N7)</f>
        <v>0</v>
      </c>
      <c r="Q10" s="178" t="str">
        <f>+"Saldo Inicio de "&amp;TEXT(EDATE(Q3,1),"DD-MM-YYYY")</f>
        <v>Saldo Inicio de 01-09-2024</v>
      </c>
      <c r="R10" s="179">
        <f>+SUM(R5:R7)-R8</f>
        <v>150</v>
      </c>
      <c r="S10" s="180">
        <f>+SUMPRODUCT(R5:R7,S5:S7)/SUM(R5:R7)</f>
        <v>1801</v>
      </c>
    </row>
    <row r="11" spans="1:19" x14ac:dyDescent="0.35">
      <c r="B11" s="181" t="s">
        <v>1</v>
      </c>
    </row>
    <row r="12" spans="1:19" x14ac:dyDescent="0.35">
      <c r="A12" s="166">
        <f>EDATE(A3,1)</f>
        <v>45536</v>
      </c>
      <c r="B12" s="167" t="s">
        <v>77</v>
      </c>
      <c r="C12" s="168" t="s">
        <v>78</v>
      </c>
      <c r="E12" s="166">
        <f>A12</f>
        <v>45536</v>
      </c>
      <c r="F12" s="167" t="s">
        <v>77</v>
      </c>
      <c r="G12" s="168" t="s">
        <v>78</v>
      </c>
      <c r="I12" s="166">
        <f>A12</f>
        <v>45536</v>
      </c>
      <c r="J12" s="167" t="s">
        <v>77</v>
      </c>
      <c r="K12" s="168" t="s">
        <v>78</v>
      </c>
      <c r="M12" s="166">
        <f>A12</f>
        <v>45536</v>
      </c>
      <c r="N12" s="167" t="s">
        <v>77</v>
      </c>
      <c r="O12" s="168" t="s">
        <v>78</v>
      </c>
      <c r="Q12" s="166">
        <f>A12</f>
        <v>45536</v>
      </c>
      <c r="R12" s="167" t="s">
        <v>77</v>
      </c>
      <c r="S12" s="168" t="s">
        <v>78</v>
      </c>
    </row>
    <row r="13" spans="1:19" x14ac:dyDescent="0.35">
      <c r="A13" s="169"/>
      <c r="B13" s="170">
        <f>YEAR(A12)</f>
        <v>2024</v>
      </c>
      <c r="C13" s="171">
        <f>MONTH(A12)</f>
        <v>9</v>
      </c>
      <c r="E13" s="169"/>
      <c r="F13" s="170">
        <f>YEAR(E12)</f>
        <v>2024</v>
      </c>
      <c r="G13" s="171">
        <f>MONTH(E12)</f>
        <v>9</v>
      </c>
      <c r="I13" s="169"/>
      <c r="J13" s="170">
        <f>YEAR(I12)</f>
        <v>2024</v>
      </c>
      <c r="K13" s="171">
        <f>MONTH(I12)</f>
        <v>9</v>
      </c>
      <c r="M13" s="169"/>
      <c r="N13" s="170">
        <f>YEAR(M12)</f>
        <v>2024</v>
      </c>
      <c r="O13" s="171">
        <f>MONTH(M12)</f>
        <v>9</v>
      </c>
      <c r="Q13" s="169"/>
      <c r="R13" s="170">
        <f>YEAR(Q12)</f>
        <v>2024</v>
      </c>
      <c r="S13" s="171">
        <f>MONTH(Q12)</f>
        <v>9</v>
      </c>
    </row>
    <row r="14" spans="1:19" x14ac:dyDescent="0.35">
      <c r="A14" s="172" t="s">
        <v>79</v>
      </c>
      <c r="B14" s="173">
        <f>B10</f>
        <v>1873</v>
      </c>
      <c r="C14" s="242">
        <f>C10</f>
        <v>830.27395683453233</v>
      </c>
      <c r="E14" s="172" t="s">
        <v>79</v>
      </c>
      <c r="F14" s="173">
        <f>F10</f>
        <v>34.854399999999998</v>
      </c>
      <c r="G14" s="174">
        <f>G10</f>
        <v>957.11446391707295</v>
      </c>
      <c r="I14" s="172" t="s">
        <v>79</v>
      </c>
      <c r="J14" s="173">
        <f>J10</f>
        <v>300</v>
      </c>
      <c r="K14" s="174">
        <f>K10</f>
        <v>988.5</v>
      </c>
      <c r="M14" s="172" t="s">
        <v>79</v>
      </c>
      <c r="N14" s="173">
        <f>N10</f>
        <v>60</v>
      </c>
      <c r="O14" s="174">
        <f>O10</f>
        <v>0</v>
      </c>
      <c r="Q14" s="172" t="s">
        <v>79</v>
      </c>
      <c r="R14" s="173">
        <f>R10</f>
        <v>150</v>
      </c>
      <c r="S14" s="174">
        <f>S10</f>
        <v>1801</v>
      </c>
    </row>
    <row r="15" spans="1:19" x14ac:dyDescent="0.35">
      <c r="A15" s="175" t="s">
        <v>84</v>
      </c>
      <c r="B15" s="176">
        <f>Rolling!C$6-B16</f>
        <v>550</v>
      </c>
      <c r="C15" s="241">
        <f>+'CSD Resina Ush'!U42</f>
        <v>1868.5739217808218</v>
      </c>
      <c r="E15" s="175" t="s">
        <v>84</v>
      </c>
      <c r="F15" s="176">
        <f>Rolling!C$15</f>
        <v>50</v>
      </c>
      <c r="G15" s="177">
        <f>+'HF resina'!AU42</f>
        <v>1902.6345478943247</v>
      </c>
      <c r="I15" s="175" t="s">
        <v>84</v>
      </c>
      <c r="J15" s="176">
        <f>Rolling!C$24</f>
        <v>475</v>
      </c>
      <c r="K15" s="177">
        <f>+'HF resina'!W42</f>
        <v>2015.2073824031311</v>
      </c>
      <c r="M15" s="175" t="s">
        <v>84</v>
      </c>
      <c r="N15" s="176">
        <f>Rolling!C$33</f>
        <v>0</v>
      </c>
      <c r="O15" s="177">
        <f>K15</f>
        <v>2015.2073824031311</v>
      </c>
      <c r="Q15" s="175" t="s">
        <v>84</v>
      </c>
      <c r="R15" s="176">
        <f>Rolling!C$42</f>
        <v>0</v>
      </c>
      <c r="S15" s="177">
        <f>C15</f>
        <v>1868.5739217808218</v>
      </c>
    </row>
    <row r="16" spans="1:19" x14ac:dyDescent="0.35">
      <c r="A16" s="175" t="s">
        <v>84</v>
      </c>
      <c r="B16" s="176">
        <v>500</v>
      </c>
      <c r="C16" s="241">
        <f>'CSD Resina Ush'!U44</f>
        <v>1654.3040205479451</v>
      </c>
      <c r="E16" s="175" t="s">
        <v>84</v>
      </c>
      <c r="F16" s="176">
        <v>0</v>
      </c>
      <c r="G16" s="177"/>
      <c r="I16" s="175" t="s">
        <v>84</v>
      </c>
      <c r="J16" s="176">
        <v>0</v>
      </c>
      <c r="K16" s="177"/>
      <c r="M16" s="175" t="s">
        <v>84</v>
      </c>
      <c r="N16" s="176">
        <v>0</v>
      </c>
      <c r="O16" s="177"/>
      <c r="Q16" s="175" t="s">
        <v>84</v>
      </c>
      <c r="R16" s="176">
        <v>0</v>
      </c>
      <c r="S16" s="177"/>
    </row>
    <row r="17" spans="1:19" x14ac:dyDescent="0.35">
      <c r="A17" s="175" t="s">
        <v>82</v>
      </c>
      <c r="B17" s="176">
        <f>SUMIFS(Entregas!AV:AV,Entregas!AP:AP,'Balance Resinas'!C13,Entregas!AQ:AQ,'Balance Resinas'!B13)</f>
        <v>1388.5330606799996</v>
      </c>
      <c r="C17" s="177"/>
      <c r="E17" s="175" t="s">
        <v>82</v>
      </c>
      <c r="F17" s="176">
        <f>SUMIFS(Entregas!AZ:AZ,Entregas!P:P,"5121",Entregas!AP:AP,'Balance Resinas'!G13,Entregas!AQ:AQ,'Balance Resinas'!F13)</f>
        <v>0</v>
      </c>
      <c r="G17" s="177"/>
      <c r="I17" s="175" t="s">
        <v>82</v>
      </c>
      <c r="J17" s="176">
        <f>SUMIFS(Entregas!AZ:AZ,Entregas!P:P,"5101",Entregas!AP:AP,'Balance Resinas'!K13,Entregas!AQ:AQ,'Balance Resinas'!J13)</f>
        <v>371.45938464</v>
      </c>
      <c r="K17" s="177"/>
      <c r="M17" s="175" t="s">
        <v>82</v>
      </c>
      <c r="N17" s="176">
        <f>SUMIFS(Entregas!AX:AX,Entregas!P:P,"5101",Entregas!AP:AP,'Balance Resinas'!O13,Entregas!AQ:AQ,'Balance Resinas'!N13)</f>
        <v>0</v>
      </c>
      <c r="O17" s="177"/>
      <c r="Q17" s="175" t="s">
        <v>82</v>
      </c>
      <c r="R17" s="176">
        <f>SUMIFS(Entregas!AX:AX,Entregas!P:P,"5121",Entregas!AP:AP,'Balance Resinas'!S13,Entregas!AQ:AQ,'Balance Resinas'!R13)</f>
        <v>0</v>
      </c>
      <c r="S17" s="177"/>
    </row>
    <row r="18" spans="1:19" x14ac:dyDescent="0.35">
      <c r="A18" s="175" t="s">
        <v>83</v>
      </c>
      <c r="B18" s="176">
        <f>B19</f>
        <v>1534.4669393200004</v>
      </c>
      <c r="C18" s="177"/>
      <c r="E18" s="175" t="s">
        <v>83</v>
      </c>
      <c r="F18" s="176">
        <f>+SUM(F14:F16)-F17</f>
        <v>84.854399999999998</v>
      </c>
      <c r="G18" s="177"/>
      <c r="I18" s="175" t="s">
        <v>83</v>
      </c>
      <c r="J18" s="176">
        <f>J19</f>
        <v>403.54061536</v>
      </c>
      <c r="K18" s="177"/>
      <c r="M18" s="175" t="s">
        <v>83</v>
      </c>
      <c r="N18" s="176">
        <f>N19</f>
        <v>60</v>
      </c>
      <c r="O18" s="177"/>
      <c r="Q18" s="175" t="s">
        <v>83</v>
      </c>
      <c r="R18" s="176">
        <f>R19</f>
        <v>150</v>
      </c>
      <c r="S18" s="177"/>
    </row>
    <row r="19" spans="1:19" x14ac:dyDescent="0.35">
      <c r="A19" s="178" t="str">
        <f>+"Saldo Inicio de "&amp;TEXT(EDATE(A12,1),"DD-MM-YYYY")</f>
        <v>Saldo Inicio de 01-10-2024</v>
      </c>
      <c r="B19" s="179">
        <f>+SUM(B14:B16)-B17</f>
        <v>1534.4669393200004</v>
      </c>
      <c r="C19" s="254">
        <f>+SUMPRODUCT(B14:B16,C14:C16)/SUM(B14:B16)</f>
        <v>1166.599653918749</v>
      </c>
      <c r="E19" s="178" t="str">
        <f>+"Saldo Inicio de "&amp;TEXT(EDATE(E12,1),"DD-MM-YYYY")</f>
        <v>Saldo Inicio de 01-10-2024</v>
      </c>
      <c r="F19" s="179">
        <f>F18</f>
        <v>84.854399999999998</v>
      </c>
      <c r="G19" s="180">
        <f>+SUMPRODUCT(F14:F16,G14:G16)/SUM(F14:F16)</f>
        <v>1514.2571011740988</v>
      </c>
      <c r="I19" s="178" t="str">
        <f>+"Saldo Inicio de "&amp;TEXT(EDATE(I12,1),"DD-MM-YYYY")</f>
        <v>Saldo Inicio de 01-10-2024</v>
      </c>
      <c r="J19" s="179">
        <f>+SUM(J14:J16)-J17</f>
        <v>403.54061536</v>
      </c>
      <c r="K19" s="180">
        <f>+SUMPRODUCT(J14:J16,K14:K16)/SUM(J14:J16)</f>
        <v>1617.772266634177</v>
      </c>
      <c r="M19" s="178" t="str">
        <f>+"Saldo Inicio de "&amp;TEXT(EDATE(M12,1),"DD-MM-YYYY")</f>
        <v>Saldo Inicio de 01-10-2024</v>
      </c>
      <c r="N19" s="179">
        <f>+SUM(N14:N16)-N17</f>
        <v>60</v>
      </c>
      <c r="O19" s="180">
        <f>+SUMPRODUCT(N14:N16,O14:O16)/SUM(N14:N16)</f>
        <v>0</v>
      </c>
      <c r="Q19" s="178" t="str">
        <f>+"Saldo Inicio de "&amp;TEXT(EDATE(Q12,1),"DD-MM-YYYY")</f>
        <v>Saldo Inicio de 01-10-2024</v>
      </c>
      <c r="R19" s="179">
        <f>+SUM(R14:R16)-R17</f>
        <v>150</v>
      </c>
      <c r="S19" s="180">
        <f>+SUMPRODUCT(R14:R16,S14:S16)/SUM(R14:R16)</f>
        <v>1801</v>
      </c>
    </row>
    <row r="21" spans="1:19" x14ac:dyDescent="0.35">
      <c r="A21" s="166">
        <f>EDATE(A12,1)</f>
        <v>45566</v>
      </c>
      <c r="B21" s="167" t="s">
        <v>77</v>
      </c>
      <c r="C21" s="168" t="s">
        <v>78</v>
      </c>
      <c r="E21" s="166">
        <f>A21</f>
        <v>45566</v>
      </c>
      <c r="F21" s="167" t="s">
        <v>77</v>
      </c>
      <c r="G21" s="168" t="s">
        <v>78</v>
      </c>
      <c r="I21" s="166">
        <f>A21</f>
        <v>45566</v>
      </c>
      <c r="J21" s="167" t="s">
        <v>77</v>
      </c>
      <c r="K21" s="168" t="s">
        <v>78</v>
      </c>
      <c r="M21" s="166">
        <f>A21</f>
        <v>45566</v>
      </c>
      <c r="N21" s="167" t="s">
        <v>77</v>
      </c>
      <c r="O21" s="168" t="s">
        <v>78</v>
      </c>
      <c r="Q21" s="166">
        <f>A21</f>
        <v>45566</v>
      </c>
      <c r="R21" s="167" t="s">
        <v>77</v>
      </c>
      <c r="S21" s="168" t="s">
        <v>78</v>
      </c>
    </row>
    <row r="22" spans="1:19" x14ac:dyDescent="0.35">
      <c r="A22" s="169"/>
      <c r="B22" s="249">
        <f>YEAR(A21)</f>
        <v>2024</v>
      </c>
      <c r="C22" s="171">
        <f>MONTH(A21)</f>
        <v>10</v>
      </c>
      <c r="E22" s="169"/>
      <c r="F22" s="249">
        <f>YEAR(E21)</f>
        <v>2024</v>
      </c>
      <c r="G22" s="171">
        <f>MONTH(E21)</f>
        <v>10</v>
      </c>
      <c r="I22" s="169"/>
      <c r="J22" s="249">
        <f>YEAR(I21)</f>
        <v>2024</v>
      </c>
      <c r="K22" s="171">
        <f>MONTH(I21)</f>
        <v>10</v>
      </c>
      <c r="M22" s="169"/>
      <c r="N22" s="249">
        <f>YEAR(M21)</f>
        <v>2024</v>
      </c>
      <c r="O22" s="171">
        <f>MONTH(M21)</f>
        <v>10</v>
      </c>
      <c r="Q22" s="169"/>
      <c r="R22" s="249">
        <f>YEAR(Q21)</f>
        <v>2024</v>
      </c>
      <c r="S22" s="171">
        <f>MONTH(Q21)</f>
        <v>10</v>
      </c>
    </row>
    <row r="23" spans="1:19" x14ac:dyDescent="0.35">
      <c r="A23" s="172" t="s">
        <v>79</v>
      </c>
      <c r="B23" s="250">
        <f>B19</f>
        <v>1534.4669393200004</v>
      </c>
      <c r="C23" s="251">
        <f>C19</f>
        <v>1166.599653918749</v>
      </c>
      <c r="E23" s="172" t="s">
        <v>79</v>
      </c>
      <c r="F23" s="250">
        <f>F19</f>
        <v>84.854399999999998</v>
      </c>
      <c r="G23" s="252">
        <f>G19</f>
        <v>1514.2571011740988</v>
      </c>
      <c r="I23" s="172" t="s">
        <v>79</v>
      </c>
      <c r="J23" s="250">
        <f>J19</f>
        <v>403.54061536</v>
      </c>
      <c r="K23" s="252">
        <f>K19</f>
        <v>1617.772266634177</v>
      </c>
      <c r="M23" s="172" t="s">
        <v>79</v>
      </c>
      <c r="N23" s="250">
        <f>N19</f>
        <v>60</v>
      </c>
      <c r="O23" s="252">
        <f>O19</f>
        <v>0</v>
      </c>
      <c r="Q23" s="172" t="s">
        <v>79</v>
      </c>
      <c r="R23" s="250">
        <f>R19</f>
        <v>150</v>
      </c>
      <c r="S23" s="252">
        <f>S19</f>
        <v>1801</v>
      </c>
    </row>
    <row r="24" spans="1:19" x14ac:dyDescent="0.35">
      <c r="A24" s="175" t="s">
        <v>84</v>
      </c>
      <c r="B24" s="253">
        <f>Rolling!D$6-B25</f>
        <v>800</v>
      </c>
      <c r="C24" s="241">
        <f>'CSD Resina Ush'!U44</f>
        <v>1654.3040205479451</v>
      </c>
      <c r="E24" s="175" t="s">
        <v>84</v>
      </c>
      <c r="F24" s="253">
        <f>Rolling!D$15</f>
        <v>25</v>
      </c>
      <c r="G24" s="177">
        <f>+'HF resina'!AU43</f>
        <v>1810.5209049458576</v>
      </c>
      <c r="I24" s="175" t="s">
        <v>84</v>
      </c>
      <c r="J24" s="253">
        <f>Rolling!D$24</f>
        <v>375</v>
      </c>
      <c r="K24" s="177">
        <f>+'HF resina'!W43</f>
        <v>1852.8385144109586</v>
      </c>
      <c r="M24" s="175" t="s">
        <v>84</v>
      </c>
      <c r="N24" s="253">
        <f>Rolling!D$33</f>
        <v>30</v>
      </c>
      <c r="O24" s="177">
        <f>K24</f>
        <v>1852.8385144109586</v>
      </c>
      <c r="Q24" s="175" t="s">
        <v>84</v>
      </c>
      <c r="R24" s="253">
        <f>Rolling!D$42</f>
        <v>0</v>
      </c>
      <c r="S24" s="177">
        <f>C24</f>
        <v>1654.3040205479451</v>
      </c>
    </row>
    <row r="25" spans="1:19" x14ac:dyDescent="0.35">
      <c r="A25" s="175" t="s">
        <v>84</v>
      </c>
      <c r="B25" s="253">
        <v>600</v>
      </c>
      <c r="C25" s="241">
        <f>+'CSD Resina Ush'!U43</f>
        <v>1776.781605493803</v>
      </c>
      <c r="E25" s="175" t="s">
        <v>84</v>
      </c>
      <c r="F25" s="253">
        <v>0</v>
      </c>
      <c r="G25" s="177"/>
      <c r="I25" s="175" t="s">
        <v>84</v>
      </c>
      <c r="J25" s="253">
        <v>0</v>
      </c>
      <c r="K25" s="177"/>
      <c r="M25" s="175" t="s">
        <v>84</v>
      </c>
      <c r="N25" s="253">
        <v>0</v>
      </c>
      <c r="O25" s="177"/>
      <c r="Q25" s="175" t="s">
        <v>84</v>
      </c>
      <c r="R25" s="253">
        <v>0</v>
      </c>
      <c r="S25" s="177"/>
    </row>
    <row r="26" spans="1:19" x14ac:dyDescent="0.35">
      <c r="A26" s="175" t="s">
        <v>82</v>
      </c>
      <c r="B26" s="253">
        <f>SUMIFS(Entregas!AV:AV,Entregas!AP:AP,'Balance Resinas'!C22,Entregas!AQ:AQ,'Balance Resinas'!B22)</f>
        <v>1476.2755794239997</v>
      </c>
      <c r="C26" s="177"/>
      <c r="E26" s="175" t="s">
        <v>82</v>
      </c>
      <c r="F26" s="253">
        <f>SUMIFS(Entregas!AZ:AZ,Entregas!P:P,"5121",Entregas!AP:AP,'Balance Resinas'!G22,Entregas!AQ:AQ,'Balance Resinas'!F22)</f>
        <v>84.959207423999999</v>
      </c>
      <c r="G26" s="177"/>
      <c r="I26" s="175" t="s">
        <v>82</v>
      </c>
      <c r="J26" s="253">
        <f>SUMIFS(Entregas!AZ:AZ,Entregas!P:P,"5101",Entregas!AP:AP,'Balance Resinas'!K22,Entregas!AQ:AQ,'Balance Resinas'!J22)</f>
        <v>361.12078079999992</v>
      </c>
      <c r="K26" s="177"/>
      <c r="M26" s="175" t="s">
        <v>82</v>
      </c>
      <c r="N26" s="253">
        <f>SUMIFS(Entregas!AX:AX,Entregas!P:P,"5101",Entregas!AP:AP,'Balance Resinas'!O22,Entregas!AQ:AQ,'Balance Resinas'!N22)</f>
        <v>10.972091519999998</v>
      </c>
      <c r="O26" s="177"/>
      <c r="Q26" s="175" t="s">
        <v>82</v>
      </c>
      <c r="R26" s="253">
        <f>SUMIFS(Entregas!AX:AX,Entregas!P:P,"5121",Entregas!AP:AP,'Balance Resinas'!S22,Entregas!AQ:AQ,'Balance Resinas'!R22)</f>
        <v>0</v>
      </c>
      <c r="S26" s="177"/>
    </row>
    <row r="27" spans="1:19" x14ac:dyDescent="0.35">
      <c r="A27" s="175" t="s">
        <v>83</v>
      </c>
      <c r="B27" s="253">
        <f>B28</f>
        <v>1458.1913598960004</v>
      </c>
      <c r="C27" s="177"/>
      <c r="E27" s="175" t="s">
        <v>83</v>
      </c>
      <c r="F27" s="253">
        <f>+SUM(F23:F25)-F26</f>
        <v>24.895192575999999</v>
      </c>
      <c r="G27" s="177"/>
      <c r="I27" s="175" t="s">
        <v>83</v>
      </c>
      <c r="J27" s="253">
        <f>J28</f>
        <v>417.41983456000003</v>
      </c>
      <c r="K27" s="177"/>
      <c r="M27" s="175" t="s">
        <v>83</v>
      </c>
      <c r="N27" s="253">
        <f>N28</f>
        <v>79.027908480000008</v>
      </c>
      <c r="O27" s="177"/>
      <c r="Q27" s="175" t="s">
        <v>83</v>
      </c>
      <c r="R27" s="253">
        <f>R28</f>
        <v>150</v>
      </c>
      <c r="S27" s="177"/>
    </row>
    <row r="28" spans="1:19" x14ac:dyDescent="0.35">
      <c r="A28" s="178" t="str">
        <f>+"Saldo Inicio de "&amp;TEXT(EDATE(A21,1),"DD-MM-YYYY")</f>
        <v>Saldo Inicio de 01-11-2024</v>
      </c>
      <c r="B28" s="179">
        <f>+SUM(B23:B25)-B26</f>
        <v>1458.1913598960004</v>
      </c>
      <c r="C28" s="243">
        <f>+SUMPRODUCT(B23:B25,C23:C25)/SUM(B23:B25)</f>
        <v>1424.3202825326939</v>
      </c>
      <c r="E28" s="178" t="str">
        <f>+"Saldo Inicio de "&amp;TEXT(EDATE(E21,1),"DD-MM-YYYY")</f>
        <v>Saldo Inicio de 01-11-2024</v>
      </c>
      <c r="F28" s="179">
        <f>F27</f>
        <v>24.895192575999999</v>
      </c>
      <c r="G28" s="180">
        <f>+SUMPRODUCT(F23:F25,G23:G25)/SUM(F23:F25)</f>
        <v>1581.6790259608529</v>
      </c>
      <c r="I28" s="178" t="str">
        <f>+"Saldo Inicio de "&amp;TEXT(EDATE(I21,1),"DD-MM-YYYY")</f>
        <v>Saldo Inicio de 01-11-2024</v>
      </c>
      <c r="J28" s="179">
        <f>+SUM(J23:J25)-J26</f>
        <v>417.41983456000003</v>
      </c>
      <c r="K28" s="180">
        <f>+SUMPRODUCT(J23:J25,K23:K25)/SUM(J23:J25)</f>
        <v>1730.9967294010069</v>
      </c>
      <c r="M28" s="178" t="str">
        <f>+"Saldo Inicio de "&amp;TEXT(EDATE(M21,1),"DD-MM-YYYY")</f>
        <v>Saldo Inicio de 01-11-2024</v>
      </c>
      <c r="N28" s="179">
        <f>+SUM(N23:N25)-N26</f>
        <v>79.027908480000008</v>
      </c>
      <c r="O28" s="180">
        <f>+SUMPRODUCT(N23:N25,O23:O25)/SUM(N23:N25)</f>
        <v>617.61283813698617</v>
      </c>
      <c r="Q28" s="178" t="str">
        <f>+"Saldo Inicio de "&amp;TEXT(EDATE(Q21,1),"DD-MM-YYYY")</f>
        <v>Saldo Inicio de 01-11-2024</v>
      </c>
      <c r="R28" s="179">
        <f>+SUM(R23:R25)-R26</f>
        <v>150</v>
      </c>
      <c r="S28" s="180">
        <f>+SUMPRODUCT(R23:R25,S23:S25)/SUM(R23:R25)</f>
        <v>1801</v>
      </c>
    </row>
    <row r="30" spans="1:19" x14ac:dyDescent="0.35">
      <c r="A30" s="166">
        <f>EDATE(A21,1)</f>
        <v>45597</v>
      </c>
      <c r="B30" s="167" t="s">
        <v>77</v>
      </c>
      <c r="C30" s="168" t="s">
        <v>78</v>
      </c>
      <c r="E30" s="166">
        <f>A30</f>
        <v>45597</v>
      </c>
      <c r="F30" s="167" t="s">
        <v>77</v>
      </c>
      <c r="G30" s="168" t="s">
        <v>78</v>
      </c>
      <c r="I30" s="166">
        <f>A30</f>
        <v>45597</v>
      </c>
      <c r="J30" s="167" t="s">
        <v>77</v>
      </c>
      <c r="K30" s="168" t="s">
        <v>78</v>
      </c>
      <c r="M30" s="166">
        <f>A30</f>
        <v>45597</v>
      </c>
      <c r="N30" s="167" t="s">
        <v>77</v>
      </c>
      <c r="O30" s="168" t="s">
        <v>78</v>
      </c>
      <c r="Q30" s="166">
        <f>A30</f>
        <v>45597</v>
      </c>
      <c r="R30" s="167" t="s">
        <v>77</v>
      </c>
      <c r="S30" s="168" t="s">
        <v>78</v>
      </c>
    </row>
    <row r="31" spans="1:19" x14ac:dyDescent="0.35">
      <c r="A31" s="169"/>
      <c r="B31" s="249">
        <f>YEAR(A30)</f>
        <v>2024</v>
      </c>
      <c r="C31" s="171">
        <f>MONTH(A30)</f>
        <v>11</v>
      </c>
      <c r="E31" s="169"/>
      <c r="F31" s="249">
        <f>YEAR(E30)</f>
        <v>2024</v>
      </c>
      <c r="G31" s="171">
        <f>MONTH(E30)</f>
        <v>11</v>
      </c>
      <c r="I31" s="169"/>
      <c r="J31" s="249">
        <f>YEAR(I30)</f>
        <v>2024</v>
      </c>
      <c r="K31" s="171">
        <f>MONTH(I30)</f>
        <v>11</v>
      </c>
      <c r="M31" s="169"/>
      <c r="N31" s="249">
        <f>YEAR(M30)</f>
        <v>2024</v>
      </c>
      <c r="O31" s="171">
        <f>MONTH(M30)</f>
        <v>11</v>
      </c>
      <c r="Q31" s="169"/>
      <c r="R31" s="249">
        <f>YEAR(Q30)</f>
        <v>2024</v>
      </c>
      <c r="S31" s="171">
        <f>MONTH(Q30)</f>
        <v>11</v>
      </c>
    </row>
    <row r="32" spans="1:19" x14ac:dyDescent="0.35">
      <c r="A32" s="172" t="s">
        <v>79</v>
      </c>
      <c r="B32" s="250">
        <f>B28</f>
        <v>1458.1913598960004</v>
      </c>
      <c r="C32" s="251">
        <f>C28</f>
        <v>1424.3202825326939</v>
      </c>
      <c r="E32" s="172" t="s">
        <v>79</v>
      </c>
      <c r="F32" s="250">
        <f>F28</f>
        <v>24.895192575999999</v>
      </c>
      <c r="G32" s="252">
        <f>G28</f>
        <v>1581.6790259608529</v>
      </c>
      <c r="I32" s="172" t="s">
        <v>79</v>
      </c>
      <c r="J32" s="250">
        <f>J28</f>
        <v>417.41983456000003</v>
      </c>
      <c r="K32" s="252">
        <f>K28</f>
        <v>1730.9967294010069</v>
      </c>
      <c r="M32" s="172" t="s">
        <v>79</v>
      </c>
      <c r="N32" s="250">
        <f>N28</f>
        <v>79.027908480000008</v>
      </c>
      <c r="O32" s="252">
        <f>O28</f>
        <v>617.61283813698617</v>
      </c>
      <c r="Q32" s="172" t="s">
        <v>79</v>
      </c>
      <c r="R32" s="250">
        <f>R28</f>
        <v>150</v>
      </c>
      <c r="S32" s="252">
        <f>S28</f>
        <v>1801</v>
      </c>
    </row>
    <row r="33" spans="1:19" x14ac:dyDescent="0.35">
      <c r="A33" s="175" t="s">
        <v>84</v>
      </c>
      <c r="B33" s="253">
        <f>Rolling!E$6-B34</f>
        <v>1350</v>
      </c>
      <c r="C33" s="241">
        <f>'CSD Resina Ush'!U45</f>
        <v>1590.9306091689498</v>
      </c>
      <c r="E33" s="175" t="s">
        <v>84</v>
      </c>
      <c r="F33" s="253">
        <f>Rolling!E$15</f>
        <v>0</v>
      </c>
      <c r="G33" s="177">
        <f>+'HF resina'!AU44</f>
        <v>1622.3344702648403</v>
      </c>
      <c r="I33" s="175" t="s">
        <v>84</v>
      </c>
      <c r="J33" s="253">
        <f>Rolling!E$24</f>
        <v>400</v>
      </c>
      <c r="K33" s="177">
        <f>+'HF resina'!W44</f>
        <v>1665.8394462465756</v>
      </c>
      <c r="M33" s="175" t="s">
        <v>84</v>
      </c>
      <c r="N33" s="253">
        <f>Rolling!E$33</f>
        <v>70</v>
      </c>
      <c r="O33" s="177">
        <f>K33</f>
        <v>1665.8394462465756</v>
      </c>
      <c r="Q33" s="175" t="s">
        <v>84</v>
      </c>
      <c r="R33" s="253">
        <f>Rolling!E$42</f>
        <v>0</v>
      </c>
      <c r="S33" s="177">
        <f>C33</f>
        <v>1590.9306091689498</v>
      </c>
    </row>
    <row r="34" spans="1:19" x14ac:dyDescent="0.35">
      <c r="A34" s="175" t="s">
        <v>84</v>
      </c>
      <c r="B34" s="253">
        <v>0</v>
      </c>
      <c r="C34" s="241">
        <f>+'CSD Resina Ush'!U52</f>
        <v>1250.6762911744295</v>
      </c>
      <c r="E34" s="175" t="s">
        <v>84</v>
      </c>
      <c r="F34" s="253">
        <v>0</v>
      </c>
      <c r="G34" s="177"/>
      <c r="I34" s="175" t="s">
        <v>84</v>
      </c>
      <c r="J34" s="253">
        <v>0</v>
      </c>
      <c r="K34" s="177"/>
      <c r="M34" s="175" t="s">
        <v>84</v>
      </c>
      <c r="N34" s="253">
        <v>0</v>
      </c>
      <c r="O34" s="177"/>
      <c r="Q34" s="175" t="s">
        <v>84</v>
      </c>
      <c r="R34" s="253">
        <v>0</v>
      </c>
      <c r="S34" s="177"/>
    </row>
    <row r="35" spans="1:19" x14ac:dyDescent="0.35">
      <c r="A35" s="175" t="s">
        <v>82</v>
      </c>
      <c r="B35" s="253">
        <f>SUMIFS(Entregas!AV:AV,Entregas!AP:AP,'Balance Resinas'!C31,Entregas!AQ:AQ,'Balance Resinas'!B31)</f>
        <v>1358.7141326039996</v>
      </c>
      <c r="C35" s="177"/>
      <c r="E35" s="175" t="s">
        <v>82</v>
      </c>
      <c r="F35" s="253">
        <f>SUMIFS(Entregas!AZ:AZ,Entregas!P:P,"5121",Entregas!AP:AP,'Balance Resinas'!G31,Entregas!AQ:AQ,'Balance Resinas'!F31)</f>
        <v>0</v>
      </c>
      <c r="G35" s="177"/>
      <c r="I35" s="175" t="s">
        <v>82</v>
      </c>
      <c r="J35" s="253">
        <f>SUMIFS(Entregas!AZ:AZ,Entregas!P:P,"5101",Entregas!AP:AP,'Balance Resinas'!K31,Entregas!AQ:AQ,'Balance Resinas'!J31)</f>
        <v>418.32165024000011</v>
      </c>
      <c r="K35" s="177"/>
      <c r="M35" s="175" t="s">
        <v>82</v>
      </c>
      <c r="N35" s="253">
        <f>SUMIFS(Entregas!AX:AX,Entregas!P:P,"5101",Entregas!AP:AP,'Balance Resinas'!O31,Entregas!AQ:AQ,'Balance Resinas'!N31)</f>
        <v>70.556788799999978</v>
      </c>
      <c r="O35" s="177"/>
      <c r="Q35" s="175" t="s">
        <v>82</v>
      </c>
      <c r="R35" s="253">
        <f>SUMIFS(Entregas!AX:AX,Entregas!P:P,"5121",Entregas!AP:AP,'Balance Resinas'!S31,Entregas!AQ:AQ,'Balance Resinas'!R31)</f>
        <v>20.757884256000001</v>
      </c>
      <c r="S35" s="177"/>
    </row>
    <row r="36" spans="1:19" x14ac:dyDescent="0.35">
      <c r="A36" s="175" t="s">
        <v>83</v>
      </c>
      <c r="B36" s="253">
        <f>B37</f>
        <v>1449.4772272920009</v>
      </c>
      <c r="C36" s="177"/>
      <c r="E36" s="175" t="s">
        <v>83</v>
      </c>
      <c r="F36" s="253">
        <f>+SUM(F32:F34)-F35</f>
        <v>24.895192575999999</v>
      </c>
      <c r="G36" s="177"/>
      <c r="I36" s="175" t="s">
        <v>83</v>
      </c>
      <c r="J36" s="253">
        <f>J37</f>
        <v>399.09818431999992</v>
      </c>
      <c r="K36" s="177"/>
      <c r="M36" s="175" t="s">
        <v>83</v>
      </c>
      <c r="N36" s="253">
        <f>N37</f>
        <v>78.471119680000029</v>
      </c>
      <c r="O36" s="177"/>
      <c r="Q36" s="175" t="s">
        <v>83</v>
      </c>
      <c r="R36" s="253">
        <f>R37</f>
        <v>129.24211574399999</v>
      </c>
      <c r="S36" s="177"/>
    </row>
    <row r="37" spans="1:19" x14ac:dyDescent="0.35">
      <c r="A37" s="178" t="str">
        <f>+"Saldo Inicio de "&amp;TEXT(EDATE(A30,1),"DD-MM-YYYY")</f>
        <v>Saldo Inicio de 01-12-2024</v>
      </c>
      <c r="B37" s="179">
        <f>+SUM(B32:B34)-B35</f>
        <v>1449.4772272920009</v>
      </c>
      <c r="C37" s="243">
        <f>+SUMPRODUCT(B32:B34,C32:C34)/SUM(B32:B34)</f>
        <v>1504.4159427398656</v>
      </c>
      <c r="E37" s="178" t="str">
        <f>+"Saldo Inicio de "&amp;TEXT(EDATE(E30,1),"DD-MM-YYYY")</f>
        <v>Saldo Inicio de 01-12-2024</v>
      </c>
      <c r="F37" s="179">
        <f>F36</f>
        <v>24.895192575999999</v>
      </c>
      <c r="G37" s="180">
        <f>+SUMPRODUCT(F32:F34,G32:G34)/SUM(F32:F34)</f>
        <v>1581.6790259608529</v>
      </c>
      <c r="I37" s="178" t="str">
        <f>+"Saldo Inicio de "&amp;TEXT(EDATE(I30,1),"DD-MM-YYYY")</f>
        <v>Saldo Inicio de 01-12-2024</v>
      </c>
      <c r="J37" s="179">
        <f>+SUM(J32:J34)-J35</f>
        <v>399.09818431999992</v>
      </c>
      <c r="K37" s="180">
        <f>+SUMPRODUCT(J32:J34,K32:K34)/SUM(J32:J34)</f>
        <v>1699.112363301912</v>
      </c>
      <c r="M37" s="178" t="str">
        <f>+"Saldo Inicio de "&amp;TEXT(EDATE(M30,1),"DD-MM-YYYY")</f>
        <v>Saldo Inicio de 01-12-2024</v>
      </c>
      <c r="N37" s="179">
        <f>+SUM(N32:N34)-N35</f>
        <v>78.471119680000029</v>
      </c>
      <c r="O37" s="180">
        <f>+SUMPRODUCT(N32:N34,O32:O34)/SUM(N32:N34)</f>
        <v>1109.9760694006022</v>
      </c>
      <c r="Q37" s="178" t="str">
        <f>+"Saldo Inicio de "&amp;TEXT(EDATE(Q30,1),"DD-MM-YYYY")</f>
        <v>Saldo Inicio de 01-12-2024</v>
      </c>
      <c r="R37" s="179">
        <f>+SUM(R32:R34)-R35</f>
        <v>129.24211574399999</v>
      </c>
      <c r="S37" s="180">
        <f>+SUMPRODUCT(R32:R34,S32:S34)/SUM(R32:R34)</f>
        <v>1801</v>
      </c>
    </row>
    <row r="39" spans="1:19" x14ac:dyDescent="0.35">
      <c r="A39" s="166">
        <f>EDATE(A30,1)</f>
        <v>45627</v>
      </c>
      <c r="B39" s="167" t="s">
        <v>77</v>
      </c>
      <c r="C39" s="168" t="s">
        <v>78</v>
      </c>
      <c r="E39" s="166">
        <f>A39</f>
        <v>45627</v>
      </c>
      <c r="F39" s="167" t="s">
        <v>77</v>
      </c>
      <c r="G39" s="168" t="s">
        <v>78</v>
      </c>
      <c r="I39" s="166">
        <f>A39</f>
        <v>45627</v>
      </c>
      <c r="J39" s="167" t="s">
        <v>77</v>
      </c>
      <c r="K39" s="168" t="s">
        <v>78</v>
      </c>
      <c r="M39" s="166">
        <f>A39</f>
        <v>45627</v>
      </c>
      <c r="N39" s="167" t="s">
        <v>77</v>
      </c>
      <c r="O39" s="168" t="s">
        <v>78</v>
      </c>
      <c r="Q39" s="166">
        <f>A39</f>
        <v>45627</v>
      </c>
      <c r="R39" s="167" t="s">
        <v>77</v>
      </c>
      <c r="S39" s="168" t="s">
        <v>78</v>
      </c>
    </row>
    <row r="40" spans="1:19" x14ac:dyDescent="0.35">
      <c r="A40" s="169"/>
      <c r="B40" s="249">
        <f>YEAR(A39)</f>
        <v>2024</v>
      </c>
      <c r="C40" s="171">
        <f>MONTH(A39)</f>
        <v>12</v>
      </c>
      <c r="E40" s="169"/>
      <c r="F40" s="249">
        <f>YEAR(E39)</f>
        <v>2024</v>
      </c>
      <c r="G40" s="171">
        <f>MONTH(E39)</f>
        <v>12</v>
      </c>
      <c r="I40" s="169"/>
      <c r="J40" s="249">
        <f>YEAR(I39)</f>
        <v>2024</v>
      </c>
      <c r="K40" s="171">
        <f>MONTH(I39)</f>
        <v>12</v>
      </c>
      <c r="M40" s="169"/>
      <c r="N40" s="249">
        <f>YEAR(M39)</f>
        <v>2024</v>
      </c>
      <c r="O40" s="171">
        <f>MONTH(M39)</f>
        <v>12</v>
      </c>
      <c r="Q40" s="169"/>
      <c r="R40" s="249">
        <f>YEAR(Q39)</f>
        <v>2024</v>
      </c>
      <c r="S40" s="171">
        <f>MONTH(Q39)</f>
        <v>12</v>
      </c>
    </row>
    <row r="41" spans="1:19" x14ac:dyDescent="0.35">
      <c r="A41" s="172" t="s">
        <v>79</v>
      </c>
      <c r="B41" s="250">
        <f>B37</f>
        <v>1449.4772272920009</v>
      </c>
      <c r="C41" s="251">
        <f>C37</f>
        <v>1504.4159427398656</v>
      </c>
      <c r="E41" s="172" t="s">
        <v>79</v>
      </c>
      <c r="F41" s="250">
        <f>F37</f>
        <v>24.895192575999999</v>
      </c>
      <c r="G41" s="252">
        <f>G37</f>
        <v>1581.6790259608529</v>
      </c>
      <c r="I41" s="172" t="s">
        <v>79</v>
      </c>
      <c r="J41" s="250">
        <f>J37</f>
        <v>399.09818431999992</v>
      </c>
      <c r="K41" s="252">
        <f>K37</f>
        <v>1699.112363301912</v>
      </c>
      <c r="M41" s="172" t="s">
        <v>79</v>
      </c>
      <c r="N41" s="250">
        <f>N37</f>
        <v>78.471119680000029</v>
      </c>
      <c r="O41" s="252">
        <f>O37</f>
        <v>1109.9760694006022</v>
      </c>
      <c r="Q41" s="172" t="s">
        <v>79</v>
      </c>
      <c r="R41" s="250">
        <f>R37</f>
        <v>129.24211574399999</v>
      </c>
      <c r="S41" s="252">
        <f>S37</f>
        <v>1801</v>
      </c>
    </row>
    <row r="42" spans="1:19" x14ac:dyDescent="0.35">
      <c r="A42" s="175" t="s">
        <v>84</v>
      </c>
      <c r="B42" s="253">
        <f>Rolling!F$6-B43</f>
        <v>1950</v>
      </c>
      <c r="C42" s="241">
        <f>'CSD Resina Ush'!U46</f>
        <v>1539.9865678356164</v>
      </c>
      <c r="E42" s="175" t="s">
        <v>84</v>
      </c>
      <c r="F42" s="253">
        <f>Rolling!F$15</f>
        <v>47</v>
      </c>
      <c r="G42" s="177">
        <f>+'HF resina'!AU45</f>
        <v>1571.6895133228961</v>
      </c>
      <c r="I42" s="175" t="s">
        <v>84</v>
      </c>
      <c r="J42" s="253">
        <f>Rolling!F$24</f>
        <v>400</v>
      </c>
      <c r="K42" s="177">
        <f>+'HF resina'!W45</f>
        <v>1610.549314771037</v>
      </c>
      <c r="M42" s="175" t="s">
        <v>84</v>
      </c>
      <c r="N42" s="253">
        <f>Rolling!F$33</f>
        <v>55</v>
      </c>
      <c r="O42" s="177">
        <f>K42</f>
        <v>1610.549314771037</v>
      </c>
      <c r="Q42" s="175" t="s">
        <v>84</v>
      </c>
      <c r="R42" s="253">
        <f>Rolling!F$42</f>
        <v>75</v>
      </c>
      <c r="S42" s="177">
        <f>C42</f>
        <v>1539.9865678356164</v>
      </c>
    </row>
    <row r="43" spans="1:19" x14ac:dyDescent="0.35">
      <c r="A43" s="175" t="s">
        <v>84</v>
      </c>
      <c r="B43" s="253">
        <v>0</v>
      </c>
      <c r="C43" s="241">
        <f>+'CSD Resina Ush'!U62</f>
        <v>0</v>
      </c>
      <c r="E43" s="175" t="s">
        <v>84</v>
      </c>
      <c r="F43" s="253">
        <v>0</v>
      </c>
      <c r="G43" s="177"/>
      <c r="I43" s="175" t="s">
        <v>84</v>
      </c>
      <c r="J43" s="253">
        <v>0</v>
      </c>
      <c r="K43" s="177"/>
      <c r="M43" s="175" t="s">
        <v>84</v>
      </c>
      <c r="N43" s="253">
        <v>0</v>
      </c>
      <c r="O43" s="177"/>
      <c r="Q43" s="175" t="s">
        <v>84</v>
      </c>
      <c r="R43" s="253">
        <v>0</v>
      </c>
      <c r="S43" s="177"/>
    </row>
    <row r="44" spans="1:19" x14ac:dyDescent="0.35">
      <c r="A44" s="175" t="s">
        <v>82</v>
      </c>
      <c r="B44" s="253">
        <f>SUMIFS(Entregas!AV:AV,Entregas!AP:AP,'Balance Resinas'!C40,Entregas!AQ:AQ,'Balance Resinas'!B40)</f>
        <v>1600.2754087176002</v>
      </c>
      <c r="C44" s="177"/>
      <c r="E44" s="175" t="s">
        <v>82</v>
      </c>
      <c r="F44" s="253">
        <f>SUMIFS(Entregas!AZ:AZ,Entregas!P:P,"5121",Entregas!AP:AP,'Balance Resinas'!G40,Entregas!AQ:AQ,'Balance Resinas'!F40)</f>
        <v>0</v>
      </c>
      <c r="G44" s="177"/>
      <c r="I44" s="175" t="s">
        <v>82</v>
      </c>
      <c r="J44" s="253">
        <f>SUMIFS(Entregas!AZ:AZ,Entregas!P:P,"5101",Entregas!AP:AP,'Balance Resinas'!K40,Entregas!AQ:AQ,'Balance Resinas'!J40)</f>
        <v>389.60707968000003</v>
      </c>
      <c r="K44" s="177"/>
      <c r="M44" s="175" t="s">
        <v>82</v>
      </c>
      <c r="N44" s="253">
        <f>SUMIFS(Entregas!AX:AX,Entregas!P:P,"5101",Entregas!AP:AP,'Balance Resinas'!O40,Entregas!AQ:AQ,'Balance Resinas'!N40)</f>
        <v>78.770517119999965</v>
      </c>
      <c r="O44" s="177"/>
      <c r="Q44" s="175" t="s">
        <v>82</v>
      </c>
      <c r="R44" s="253">
        <f>SUMIFS(Entregas!AX:AX,Entregas!P:P,"5121",Entregas!AP:AP,'Balance Resinas'!S40,Entregas!AQ:AQ,'Balance Resinas'!R40)</f>
        <v>74.036453846400008</v>
      </c>
      <c r="S44" s="177"/>
    </row>
    <row r="45" spans="1:19" x14ac:dyDescent="0.35">
      <c r="A45" s="175" t="s">
        <v>83</v>
      </c>
      <c r="B45" s="253">
        <f>B46</f>
        <v>1799.2018185744007</v>
      </c>
      <c r="C45" s="177"/>
      <c r="E45" s="175" t="s">
        <v>83</v>
      </c>
      <c r="F45" s="253">
        <f>+SUM(F41:F43)-F44</f>
        <v>71.895192575999999</v>
      </c>
      <c r="G45" s="177"/>
      <c r="I45" s="175" t="s">
        <v>83</v>
      </c>
      <c r="J45" s="253">
        <f>J46</f>
        <v>409.49110463999995</v>
      </c>
      <c r="K45" s="177"/>
      <c r="M45" s="175" t="s">
        <v>83</v>
      </c>
      <c r="N45" s="253">
        <f>N46</f>
        <v>54.70060256000005</v>
      </c>
      <c r="O45" s="177"/>
      <c r="Q45" s="175" t="s">
        <v>83</v>
      </c>
      <c r="R45" s="253">
        <f>R46</f>
        <v>130.20566189759998</v>
      </c>
      <c r="S45" s="177"/>
    </row>
    <row r="46" spans="1:19" x14ac:dyDescent="0.35">
      <c r="A46" s="178" t="str">
        <f>+"Saldo Inicio de "&amp;TEXT(EDATE(A39,1),"DD-MM-YYYY")</f>
        <v>Saldo Inicio de 01-01-2025</v>
      </c>
      <c r="B46" s="179">
        <f>+SUM(B41:B43)-B44</f>
        <v>1799.2018185744007</v>
      </c>
      <c r="C46" s="243">
        <f>+SUMPRODUCT(B41:B43,C41:C43)/SUM(B41:B43)</f>
        <v>1524.8198796687116</v>
      </c>
      <c r="E46" s="178" t="str">
        <f>+"Saldo Inicio de "&amp;TEXT(EDATE(E39,1),"DD-MM-YYYY")</f>
        <v>Saldo Inicio de 01-01-2025</v>
      </c>
      <c r="F46" s="179">
        <f>F45</f>
        <v>71.895192575999999</v>
      </c>
      <c r="G46" s="180">
        <f>+SUMPRODUCT(F41:F43,G41:G43)/SUM(F41:F43)</f>
        <v>1575.148588011366</v>
      </c>
      <c r="I46" s="178" t="str">
        <f>+"Saldo Inicio de "&amp;TEXT(EDATE(I39,1),"DD-MM-YYYY")</f>
        <v>Saldo Inicio de 01-01-2025</v>
      </c>
      <c r="J46" s="179">
        <f>+SUM(J41:J43)-J44</f>
        <v>409.49110463999995</v>
      </c>
      <c r="K46" s="180">
        <f>+SUMPRODUCT(J41:J43,K41:K43)/SUM(J41:J43)</f>
        <v>1654.7808654866649</v>
      </c>
      <c r="M46" s="178" t="str">
        <f>+"Saldo Inicio de "&amp;TEXT(EDATE(M39,1),"DD-MM-YYYY")</f>
        <v>Saldo Inicio de 01-01-2025</v>
      </c>
      <c r="N46" s="179">
        <f>+SUM(N41:N43)-N44</f>
        <v>54.70060256000005</v>
      </c>
      <c r="O46" s="180">
        <f>+SUMPRODUCT(N41:N43,O41:O43)/SUM(N41:N43)</f>
        <v>1316.2493707813157</v>
      </c>
      <c r="Q46" s="178" t="str">
        <f>+"Saldo Inicio de "&amp;TEXT(EDATE(Q39,1),"DD-MM-YYYY")</f>
        <v>Saldo Inicio de 01-01-2025</v>
      </c>
      <c r="R46" s="179">
        <f>+SUM(R41:R43)-R44</f>
        <v>130.20566189759998</v>
      </c>
      <c r="S46" s="180">
        <f>+SUMPRODUCT(R41:R43,S41:S43)/SUM(R41:R43)</f>
        <v>1705.1529346627724</v>
      </c>
    </row>
    <row r="48" spans="1:19" x14ac:dyDescent="0.35">
      <c r="A48" s="166">
        <f>EDATE(A39,1)</f>
        <v>45658</v>
      </c>
      <c r="B48" s="167" t="s">
        <v>77</v>
      </c>
      <c r="C48" s="168" t="s">
        <v>78</v>
      </c>
      <c r="E48" s="166">
        <f>A48</f>
        <v>45658</v>
      </c>
      <c r="F48" s="167" t="s">
        <v>77</v>
      </c>
      <c r="G48" s="168" t="s">
        <v>78</v>
      </c>
      <c r="I48" s="166">
        <f>A48</f>
        <v>45658</v>
      </c>
      <c r="J48" s="167" t="s">
        <v>77</v>
      </c>
      <c r="K48" s="168" t="s">
        <v>78</v>
      </c>
      <c r="M48" s="166">
        <f>A48</f>
        <v>45658</v>
      </c>
      <c r="N48" s="167" t="s">
        <v>77</v>
      </c>
      <c r="O48" s="168" t="s">
        <v>78</v>
      </c>
      <c r="Q48" s="166">
        <f>A48</f>
        <v>45658</v>
      </c>
      <c r="R48" s="167" t="s">
        <v>77</v>
      </c>
      <c r="S48" s="168" t="s">
        <v>78</v>
      </c>
    </row>
    <row r="49" spans="1:19" x14ac:dyDescent="0.35">
      <c r="A49" s="169"/>
      <c r="B49" s="249">
        <f>YEAR(A48)</f>
        <v>2025</v>
      </c>
      <c r="C49" s="171">
        <f>MONTH(A48)</f>
        <v>1</v>
      </c>
      <c r="E49" s="169"/>
      <c r="F49" s="249">
        <f>YEAR(E48)</f>
        <v>2025</v>
      </c>
      <c r="G49" s="171">
        <f>MONTH(E48)</f>
        <v>1</v>
      </c>
      <c r="I49" s="169"/>
      <c r="J49" s="249">
        <f>YEAR(I48)</f>
        <v>2025</v>
      </c>
      <c r="K49" s="171">
        <f>MONTH(I48)</f>
        <v>1</v>
      </c>
      <c r="M49" s="169"/>
      <c r="N49" s="249">
        <f>YEAR(M48)</f>
        <v>2025</v>
      </c>
      <c r="O49" s="171">
        <f>MONTH(M48)</f>
        <v>1</v>
      </c>
      <c r="Q49" s="169"/>
      <c r="R49" s="249">
        <f>YEAR(Q48)</f>
        <v>2025</v>
      </c>
      <c r="S49" s="171">
        <f>MONTH(Q48)</f>
        <v>1</v>
      </c>
    </row>
    <row r="50" spans="1:19" x14ac:dyDescent="0.35">
      <c r="A50" s="172" t="s">
        <v>79</v>
      </c>
      <c r="B50" s="250">
        <f>B46</f>
        <v>1799.2018185744007</v>
      </c>
      <c r="C50" s="251">
        <f>C46</f>
        <v>1524.8198796687116</v>
      </c>
      <c r="E50" s="172" t="s">
        <v>79</v>
      </c>
      <c r="F50" s="250">
        <f>F46</f>
        <v>71.895192575999999</v>
      </c>
      <c r="G50" s="252">
        <f>G46</f>
        <v>1575.148588011366</v>
      </c>
      <c r="I50" s="172" t="s">
        <v>79</v>
      </c>
      <c r="J50" s="250">
        <f>J46</f>
        <v>409.49110463999995</v>
      </c>
      <c r="K50" s="252">
        <f>K46</f>
        <v>1654.7808654866649</v>
      </c>
      <c r="M50" s="172" t="s">
        <v>79</v>
      </c>
      <c r="N50" s="250">
        <f>N46</f>
        <v>54.70060256000005</v>
      </c>
      <c r="O50" s="252">
        <f>O46</f>
        <v>1316.2493707813157</v>
      </c>
      <c r="Q50" s="172" t="s">
        <v>79</v>
      </c>
      <c r="R50" s="250">
        <f>R46</f>
        <v>130.20566189759998</v>
      </c>
      <c r="S50" s="252">
        <f>S46</f>
        <v>1705.1529346627724</v>
      </c>
    </row>
    <row r="51" spans="1:19" x14ac:dyDescent="0.35">
      <c r="A51" s="175" t="s">
        <v>84</v>
      </c>
      <c r="B51" s="253">
        <f>Rolling!G$6-B52</f>
        <v>1850</v>
      </c>
      <c r="C51" s="241">
        <f>'CSD Resina Ush'!U47</f>
        <v>1503.0795018356164</v>
      </c>
      <c r="E51" s="175" t="s">
        <v>84</v>
      </c>
      <c r="F51" s="253">
        <f>Rolling!G$15</f>
        <v>25</v>
      </c>
      <c r="G51" s="177">
        <f>+'HF resina'!AU46</f>
        <v>1534.5822130358772</v>
      </c>
      <c r="I51" s="175" t="s">
        <v>84</v>
      </c>
      <c r="J51" s="253">
        <f>Rolling!G$24</f>
        <v>350</v>
      </c>
      <c r="K51" s="177">
        <f>+'HF resina'!W46</f>
        <v>1570.5814778238748</v>
      </c>
      <c r="M51" s="175" t="s">
        <v>84</v>
      </c>
      <c r="N51" s="253">
        <f>Rolling!G$33</f>
        <v>20</v>
      </c>
      <c r="O51" s="177">
        <f>K51</f>
        <v>1570.5814778238748</v>
      </c>
      <c r="Q51" s="175" t="s">
        <v>84</v>
      </c>
      <c r="R51" s="253">
        <f>Rolling!G$42</f>
        <v>0</v>
      </c>
      <c r="S51" s="177">
        <f>C51</f>
        <v>1503.0795018356164</v>
      </c>
    </row>
    <row r="52" spans="1:19" x14ac:dyDescent="0.35">
      <c r="A52" s="175" t="s">
        <v>84</v>
      </c>
      <c r="B52" s="253">
        <v>0</v>
      </c>
      <c r="C52" s="241">
        <f>+'CSD Resina Ush'!U71</f>
        <v>0</v>
      </c>
      <c r="E52" s="175" t="s">
        <v>84</v>
      </c>
      <c r="F52" s="253">
        <v>0</v>
      </c>
      <c r="G52" s="177"/>
      <c r="I52" s="175" t="s">
        <v>84</v>
      </c>
      <c r="J52" s="253">
        <v>0</v>
      </c>
      <c r="K52" s="177"/>
      <c r="M52" s="175" t="s">
        <v>84</v>
      </c>
      <c r="N52" s="253">
        <v>0</v>
      </c>
      <c r="O52" s="177"/>
      <c r="Q52" s="175" t="s">
        <v>84</v>
      </c>
      <c r="R52" s="253">
        <v>0</v>
      </c>
      <c r="S52" s="177"/>
    </row>
    <row r="53" spans="1:19" x14ac:dyDescent="0.35">
      <c r="A53" s="175" t="s">
        <v>82</v>
      </c>
      <c r="B53" s="253">
        <f>SUMIFS(Entregas!AV:AV,Entregas!AP:AP,'Balance Resinas'!C49,Entregas!AQ:AQ,'Balance Resinas'!B49)</f>
        <v>1999.9172656223996</v>
      </c>
      <c r="C53" s="177"/>
      <c r="E53" s="175" t="s">
        <v>82</v>
      </c>
      <c r="F53" s="253">
        <f>SUMIFS(Entregas!AZ:AZ,Entregas!P:P,"5121",Entregas!AP:AP,'Balance Resinas'!G49,Entregas!AQ:AQ,'Balance Resinas'!F49)</f>
        <v>75.519295487999997</v>
      </c>
      <c r="G53" s="177"/>
      <c r="I53" s="175" t="s">
        <v>82</v>
      </c>
      <c r="J53" s="253">
        <f>SUMIFS(Entregas!AZ:AZ,Entregas!P:P,"5101",Entregas!AP:AP,'Balance Resinas'!K49,Entregas!AQ:AQ,'Balance Resinas'!J49)</f>
        <v>324.19093823999992</v>
      </c>
      <c r="K53" s="177"/>
      <c r="M53" s="175" t="s">
        <v>82</v>
      </c>
      <c r="N53" s="253">
        <f>SUMIFS(Entregas!AX:AX,Entregas!P:P,"5101",Entregas!AP:AP,'Balance Resinas'!O49,Entregas!AQ:AQ,'Balance Resinas'!N49)</f>
        <v>59.532501599999975</v>
      </c>
      <c r="O53" s="177"/>
      <c r="Q53" s="175" t="s">
        <v>82</v>
      </c>
      <c r="R53" s="253">
        <f>SUMIFS(Entregas!AX:AX,Entregas!P:P,"5121",Entregas!AP:AP,'Balance Resinas'!S49,Entregas!AQ:AQ,'Balance Resinas'!R49)</f>
        <v>23.986888473600001</v>
      </c>
      <c r="S53" s="177"/>
    </row>
    <row r="54" spans="1:19" x14ac:dyDescent="0.35">
      <c r="A54" s="175" t="s">
        <v>83</v>
      </c>
      <c r="B54" s="253">
        <f>B55</f>
        <v>1649.2845529520014</v>
      </c>
      <c r="C54" s="177"/>
      <c r="E54" s="175" t="s">
        <v>83</v>
      </c>
      <c r="F54" s="253">
        <f>+SUM(F50:F52)-F53</f>
        <v>21.375897088000002</v>
      </c>
      <c r="G54" s="177"/>
      <c r="I54" s="175" t="s">
        <v>83</v>
      </c>
      <c r="J54" s="253">
        <f>J55</f>
        <v>435.30016640000008</v>
      </c>
      <c r="K54" s="177"/>
      <c r="M54" s="175" t="s">
        <v>83</v>
      </c>
      <c r="N54" s="253">
        <f>N55</f>
        <v>15.168100960000075</v>
      </c>
      <c r="O54" s="177"/>
      <c r="Q54" s="175" t="s">
        <v>83</v>
      </c>
      <c r="R54" s="253">
        <f>R55</f>
        <v>106.21877342399998</v>
      </c>
      <c r="S54" s="177"/>
    </row>
    <row r="55" spans="1:19" x14ac:dyDescent="0.35">
      <c r="A55" s="178" t="str">
        <f>+"Saldo Inicio de "&amp;TEXT(EDATE(A48,1),"DD-MM-YYYY")</f>
        <v>Saldo Inicio de 01-02-2025</v>
      </c>
      <c r="B55" s="179">
        <f>+SUM(B50:B52)-B53</f>
        <v>1649.2845529520014</v>
      </c>
      <c r="C55" s="243">
        <f>+SUMPRODUCT(B50:B52,C50:C52)/SUM(B50:B52)</f>
        <v>1513.7983738735243</v>
      </c>
      <c r="E55" s="178" t="str">
        <f>+"Saldo Inicio de "&amp;TEXT(EDATE(E48,1),"DD-MM-YYYY")</f>
        <v>Saldo Inicio de 01-02-2025</v>
      </c>
      <c r="F55" s="179">
        <f>F54</f>
        <v>21.375897088000002</v>
      </c>
      <c r="G55" s="180">
        <f>+SUMPRODUCT(F50:F52,G50:G52)/SUM(F50:F52)</f>
        <v>1564.6820277267391</v>
      </c>
      <c r="I55" s="178" t="str">
        <f>+"Saldo Inicio de "&amp;TEXT(EDATE(I48,1),"DD-MM-YYYY")</f>
        <v>Saldo Inicio de 01-02-2025</v>
      </c>
      <c r="J55" s="179">
        <f>+SUM(J50:J52)-J53</f>
        <v>435.30016640000008</v>
      </c>
      <c r="K55" s="180">
        <f>+SUMPRODUCT(J50:J52,K50:K52)/SUM(J50:J52)</f>
        <v>1615.9788498976272</v>
      </c>
      <c r="M55" s="178" t="str">
        <f>+"Saldo Inicio de "&amp;TEXT(EDATE(M48,1),"DD-MM-YYYY")</f>
        <v>Saldo Inicio de 01-02-2025</v>
      </c>
      <c r="N55" s="179">
        <f>+SUM(N50:N52)-N53</f>
        <v>15.168100960000075</v>
      </c>
      <c r="O55" s="180">
        <f>+SUMPRODUCT(N50:N52,O50:O52)/SUM(N50:N52)</f>
        <v>1384.3430938107324</v>
      </c>
      <c r="Q55" s="178" t="str">
        <f>+"Saldo Inicio de "&amp;TEXT(EDATE(Q48,1),"DD-MM-YYYY")</f>
        <v>Saldo Inicio de 01-02-2025</v>
      </c>
      <c r="R55" s="179">
        <f>+SUM(R50:R52)-R53</f>
        <v>106.21877342399998</v>
      </c>
      <c r="S55" s="180">
        <f>+SUMPRODUCT(R50:R52,S50:S52)/SUM(R50:R52)</f>
        <v>1705.1529346627724</v>
      </c>
    </row>
    <row r="57" spans="1:19" x14ac:dyDescent="0.35">
      <c r="A57" s="166">
        <f>EDATE(A48,1)</f>
        <v>45689</v>
      </c>
      <c r="B57" s="167" t="s">
        <v>77</v>
      </c>
      <c r="C57" s="168" t="s">
        <v>78</v>
      </c>
      <c r="E57" s="166">
        <f>A57</f>
        <v>45689</v>
      </c>
      <c r="F57" s="167" t="s">
        <v>77</v>
      </c>
      <c r="G57" s="168" t="s">
        <v>78</v>
      </c>
      <c r="I57" s="166">
        <f>A57</f>
        <v>45689</v>
      </c>
      <c r="J57" s="167" t="s">
        <v>77</v>
      </c>
      <c r="K57" s="168" t="s">
        <v>78</v>
      </c>
      <c r="M57" s="166">
        <f>A57</f>
        <v>45689</v>
      </c>
      <c r="N57" s="167" t="s">
        <v>77</v>
      </c>
      <c r="O57" s="168" t="s">
        <v>78</v>
      </c>
      <c r="Q57" s="166">
        <f>A57</f>
        <v>45689</v>
      </c>
      <c r="R57" s="167" t="s">
        <v>77</v>
      </c>
      <c r="S57" s="168" t="s">
        <v>78</v>
      </c>
    </row>
    <row r="58" spans="1:19" x14ac:dyDescent="0.35">
      <c r="A58" s="169"/>
      <c r="B58" s="249">
        <f>YEAR(A57)</f>
        <v>2025</v>
      </c>
      <c r="C58" s="171">
        <f>MONTH(A57)</f>
        <v>2</v>
      </c>
      <c r="E58" s="169"/>
      <c r="F58" s="249">
        <f>YEAR(E57)</f>
        <v>2025</v>
      </c>
      <c r="G58" s="171">
        <f>MONTH(E57)</f>
        <v>2</v>
      </c>
      <c r="I58" s="169"/>
      <c r="J58" s="249">
        <f>YEAR(I57)</f>
        <v>2025</v>
      </c>
      <c r="K58" s="171">
        <f>MONTH(I57)</f>
        <v>2</v>
      </c>
      <c r="M58" s="169"/>
      <c r="N58" s="249">
        <f>YEAR(M57)</f>
        <v>2025</v>
      </c>
      <c r="O58" s="171">
        <f>MONTH(M57)</f>
        <v>2</v>
      </c>
      <c r="Q58" s="169"/>
      <c r="R58" s="249">
        <f>YEAR(Q57)</f>
        <v>2025</v>
      </c>
      <c r="S58" s="171">
        <f>MONTH(Q57)</f>
        <v>2</v>
      </c>
    </row>
    <row r="59" spans="1:19" x14ac:dyDescent="0.35">
      <c r="A59" s="172" t="s">
        <v>79</v>
      </c>
      <c r="B59" s="250">
        <f>B55</f>
        <v>1649.2845529520014</v>
      </c>
      <c r="C59" s="251">
        <f>C55</f>
        <v>1513.7983738735243</v>
      </c>
      <c r="E59" s="172" t="s">
        <v>79</v>
      </c>
      <c r="F59" s="250">
        <f>F55</f>
        <v>21.375897088000002</v>
      </c>
      <c r="G59" s="252">
        <f>G55</f>
        <v>1564.6820277267391</v>
      </c>
      <c r="I59" s="172" t="s">
        <v>79</v>
      </c>
      <c r="J59" s="250">
        <f>J55</f>
        <v>435.30016640000008</v>
      </c>
      <c r="K59" s="252">
        <f>K55</f>
        <v>1615.9788498976272</v>
      </c>
      <c r="M59" s="172" t="s">
        <v>79</v>
      </c>
      <c r="N59" s="250">
        <f>N55</f>
        <v>15.168100960000075</v>
      </c>
      <c r="O59" s="252">
        <f>O55</f>
        <v>1384.3430938107324</v>
      </c>
      <c r="Q59" s="172" t="s">
        <v>79</v>
      </c>
      <c r="R59" s="250">
        <f>R55</f>
        <v>106.21877342399998</v>
      </c>
      <c r="S59" s="252">
        <f>S55</f>
        <v>1705.1529346627724</v>
      </c>
    </row>
    <row r="60" spans="1:19" x14ac:dyDescent="0.35">
      <c r="A60" s="175" t="s">
        <v>84</v>
      </c>
      <c r="B60" s="253">
        <f>Rolling!H$6-B61</f>
        <v>1340</v>
      </c>
      <c r="C60" s="241">
        <f>'CSD Resina Ush'!U48</f>
        <v>1457.8346630724068</v>
      </c>
      <c r="E60" s="175" t="s">
        <v>84</v>
      </c>
      <c r="F60" s="253">
        <f>Rolling!H$15</f>
        <v>0</v>
      </c>
      <c r="G60" s="177">
        <f>+'HF resina'!AU47</f>
        <v>1490.5776384931505</v>
      </c>
      <c r="I60" s="175" t="s">
        <v>84</v>
      </c>
      <c r="J60" s="253">
        <f>Rolling!H$24</f>
        <v>300</v>
      </c>
      <c r="K60" s="177">
        <f>+'HF resina'!W47</f>
        <v>1520.9159610567513</v>
      </c>
      <c r="M60" s="175" t="s">
        <v>84</v>
      </c>
      <c r="N60" s="253">
        <f>Rolling!H$33</f>
        <v>75</v>
      </c>
      <c r="O60" s="177">
        <f>K60</f>
        <v>1520.9159610567513</v>
      </c>
      <c r="Q60" s="175" t="s">
        <v>84</v>
      </c>
      <c r="R60" s="253">
        <f>Rolling!H$42</f>
        <v>0</v>
      </c>
      <c r="S60" s="177">
        <f>C60</f>
        <v>1457.8346630724068</v>
      </c>
    </row>
    <row r="61" spans="1:19" x14ac:dyDescent="0.35">
      <c r="A61" s="175" t="s">
        <v>84</v>
      </c>
      <c r="B61" s="253">
        <v>0</v>
      </c>
      <c r="C61" s="241">
        <f>+'CSD Resina Ush'!U80</f>
        <v>0</v>
      </c>
      <c r="E61" s="175" t="s">
        <v>84</v>
      </c>
      <c r="F61" s="253">
        <v>0</v>
      </c>
      <c r="G61" s="177"/>
      <c r="I61" s="175" t="s">
        <v>84</v>
      </c>
      <c r="J61" s="253">
        <v>0</v>
      </c>
      <c r="K61" s="177"/>
      <c r="M61" s="175" t="s">
        <v>84</v>
      </c>
      <c r="N61" s="253">
        <v>0</v>
      </c>
      <c r="O61" s="177"/>
      <c r="Q61" s="175" t="s">
        <v>84</v>
      </c>
      <c r="R61" s="253">
        <v>0</v>
      </c>
      <c r="S61" s="177"/>
    </row>
    <row r="62" spans="1:19" x14ac:dyDescent="0.35">
      <c r="A62" s="175" t="s">
        <v>82</v>
      </c>
      <c r="B62" s="253">
        <f>SUMIFS(Entregas!AV:AV,Entregas!AP:AP,'Balance Resinas'!C58,Entregas!AQ:AQ,'Balance Resinas'!B58)</f>
        <v>1626.3035052551995</v>
      </c>
      <c r="C62" s="177"/>
      <c r="E62" s="175" t="s">
        <v>82</v>
      </c>
      <c r="F62" s="253">
        <f>SUMIFS(Entregas!AZ:AZ,Entregas!P:P,"5121",Entregas!AP:AP,'Balance Resinas'!G58,Entregas!AQ:AQ,'Balance Resinas'!F58)</f>
        <v>0</v>
      </c>
      <c r="G62" s="177"/>
      <c r="I62" s="175" t="s">
        <v>82</v>
      </c>
      <c r="J62" s="253">
        <f>SUMIFS(Entregas!AZ:AZ,Entregas!P:P,"5101",Entregas!AP:AP,'Balance Resinas'!K58,Entregas!AQ:AQ,'Balance Resinas'!J58)</f>
        <v>374.28026688000006</v>
      </c>
      <c r="K62" s="177"/>
      <c r="M62" s="175" t="s">
        <v>82</v>
      </c>
      <c r="N62" s="253">
        <f>SUMIFS(Entregas!AX:AX,Entregas!P:P,"5101",Entregas!AP:AP,'Balance Resinas'!O58,Entregas!AQ:AQ,'Balance Resinas'!N58)</f>
        <v>55.219845599999978</v>
      </c>
      <c r="O62" s="177"/>
      <c r="Q62" s="175" t="s">
        <v>82</v>
      </c>
      <c r="R62" s="253">
        <f>SUMIFS(Entregas!AX:AX,Entregas!P:P,"5121",Entregas!AP:AP,'Balance Resinas'!S58,Entregas!AQ:AQ,'Balance Resinas'!R58)</f>
        <v>3.1521231647999999</v>
      </c>
      <c r="S62" s="177"/>
    </row>
    <row r="63" spans="1:19" x14ac:dyDescent="0.35">
      <c r="A63" s="175" t="s">
        <v>83</v>
      </c>
      <c r="B63" s="253">
        <f>B64</f>
        <v>1362.9810476968019</v>
      </c>
      <c r="C63" s="177"/>
      <c r="E63" s="175" t="s">
        <v>83</v>
      </c>
      <c r="F63" s="253">
        <f>+SUM(F59:F61)-F62</f>
        <v>21.375897088000002</v>
      </c>
      <c r="G63" s="177"/>
      <c r="I63" s="175" t="s">
        <v>83</v>
      </c>
      <c r="J63" s="253">
        <f>J64</f>
        <v>361.01989952000002</v>
      </c>
      <c r="K63" s="177"/>
      <c r="M63" s="175" t="s">
        <v>83</v>
      </c>
      <c r="N63" s="253">
        <f>N64</f>
        <v>34.948255360000097</v>
      </c>
      <c r="O63" s="177"/>
      <c r="Q63" s="175" t="s">
        <v>83</v>
      </c>
      <c r="R63" s="253">
        <f>R64</f>
        <v>103.06665025919997</v>
      </c>
      <c r="S63" s="177"/>
    </row>
    <row r="64" spans="1:19" x14ac:dyDescent="0.35">
      <c r="A64" s="178" t="str">
        <f>+"Saldo Inicio de "&amp;TEXT(EDATE(A57,1),"DD-MM-YYYY")</f>
        <v>Saldo Inicio de 01-03-2025</v>
      </c>
      <c r="B64" s="179">
        <f>+SUM(B59:B61)-B62</f>
        <v>1362.9810476968019</v>
      </c>
      <c r="C64" s="243">
        <f>+SUMPRODUCT(B59:B61,C59:C61)/SUM(B59:B61)</f>
        <v>1488.7116445424404</v>
      </c>
      <c r="E64" s="178" t="str">
        <f>+"Saldo Inicio de "&amp;TEXT(EDATE(E57,1),"DD-MM-YYYY")</f>
        <v>Saldo Inicio de 01-03-2025</v>
      </c>
      <c r="F64" s="179">
        <f>F63</f>
        <v>21.375897088000002</v>
      </c>
      <c r="G64" s="180">
        <f>+SUMPRODUCT(F59:F61,G59:G61)/SUM(F59:F61)</f>
        <v>1564.6820277267389</v>
      </c>
      <c r="I64" s="178" t="str">
        <f>+"Saldo Inicio de "&amp;TEXT(EDATE(I57,1),"DD-MM-YYYY")</f>
        <v>Saldo Inicio de 01-03-2025</v>
      </c>
      <c r="J64" s="179">
        <f>+SUM(J59:J61)-J62</f>
        <v>361.01989952000002</v>
      </c>
      <c r="K64" s="180">
        <f>+SUMPRODUCT(J59:J61,K59:K61)/SUM(J59:J61)</f>
        <v>1577.1935103105441</v>
      </c>
      <c r="M64" s="178" t="str">
        <f>+"Saldo Inicio de "&amp;TEXT(EDATE(M57,1),"DD-MM-YYYY")</f>
        <v>Saldo Inicio de 01-03-2025</v>
      </c>
      <c r="N64" s="179">
        <f>+SUM(N59:N61)-N62</f>
        <v>34.948255360000097</v>
      </c>
      <c r="O64" s="180">
        <f>+SUMPRODUCT(N59:N61,O59:O61)/SUM(N59:N61)</f>
        <v>1497.9416384667338</v>
      </c>
      <c r="Q64" s="178" t="str">
        <f>+"Saldo Inicio de "&amp;TEXT(EDATE(Q57,1),"DD-MM-YYYY")</f>
        <v>Saldo Inicio de 01-03-2025</v>
      </c>
      <c r="R64" s="179">
        <f>+SUM(R59:R61)-R62</f>
        <v>103.06665025919997</v>
      </c>
      <c r="S64" s="180">
        <f>+SUMPRODUCT(R59:R61,S59:S61)/SUM(R59:R61)</f>
        <v>1705.1529346627724</v>
      </c>
    </row>
    <row r="66" spans="1:19" x14ac:dyDescent="0.35">
      <c r="A66" s="166">
        <f>EDATE(A57,1)</f>
        <v>45717</v>
      </c>
      <c r="B66" s="167" t="s">
        <v>77</v>
      </c>
      <c r="C66" s="168" t="s">
        <v>78</v>
      </c>
      <c r="E66" s="166">
        <f>A66</f>
        <v>45717</v>
      </c>
      <c r="F66" s="167" t="s">
        <v>77</v>
      </c>
      <c r="G66" s="168" t="s">
        <v>78</v>
      </c>
      <c r="I66" s="166">
        <f>A66</f>
        <v>45717</v>
      </c>
      <c r="J66" s="167" t="s">
        <v>77</v>
      </c>
      <c r="K66" s="168" t="s">
        <v>78</v>
      </c>
      <c r="M66" s="166">
        <f>A66</f>
        <v>45717</v>
      </c>
      <c r="N66" s="167" t="s">
        <v>77</v>
      </c>
      <c r="O66" s="168" t="s">
        <v>78</v>
      </c>
      <c r="Q66" s="166">
        <f>A66</f>
        <v>45717</v>
      </c>
      <c r="R66" s="167" t="s">
        <v>77</v>
      </c>
      <c r="S66" s="168" t="s">
        <v>78</v>
      </c>
    </row>
    <row r="67" spans="1:19" x14ac:dyDescent="0.35">
      <c r="A67" s="169"/>
      <c r="B67" s="249">
        <f>YEAR(A66)</f>
        <v>2025</v>
      </c>
      <c r="C67" s="171">
        <f>MONTH(A66)</f>
        <v>3</v>
      </c>
      <c r="E67" s="169"/>
      <c r="F67" s="249">
        <f>YEAR(E66)</f>
        <v>2025</v>
      </c>
      <c r="G67" s="171">
        <f>MONTH(E66)</f>
        <v>3</v>
      </c>
      <c r="I67" s="169"/>
      <c r="J67" s="249">
        <f>YEAR(I66)</f>
        <v>2025</v>
      </c>
      <c r="K67" s="171">
        <f>MONTH(I66)</f>
        <v>3</v>
      </c>
      <c r="M67" s="169"/>
      <c r="N67" s="249">
        <f>YEAR(M66)</f>
        <v>2025</v>
      </c>
      <c r="O67" s="171">
        <f>MONTH(M66)</f>
        <v>3</v>
      </c>
      <c r="Q67" s="169"/>
      <c r="R67" s="249">
        <f>YEAR(Q66)</f>
        <v>2025</v>
      </c>
      <c r="S67" s="171">
        <f>MONTH(Q66)</f>
        <v>3</v>
      </c>
    </row>
    <row r="68" spans="1:19" x14ac:dyDescent="0.35">
      <c r="A68" s="172" t="s">
        <v>79</v>
      </c>
      <c r="B68" s="250">
        <f>B64</f>
        <v>1362.9810476968019</v>
      </c>
      <c r="C68" s="251">
        <f>C64</f>
        <v>1488.7116445424404</v>
      </c>
      <c r="E68" s="172" t="s">
        <v>79</v>
      </c>
      <c r="F68" s="250">
        <f>F64</f>
        <v>21.375897088000002</v>
      </c>
      <c r="G68" s="252">
        <f>G64</f>
        <v>1564.6820277267389</v>
      </c>
      <c r="I68" s="172" t="s">
        <v>79</v>
      </c>
      <c r="J68" s="250">
        <f>J64</f>
        <v>361.01989952000002</v>
      </c>
      <c r="K68" s="252">
        <f>K64</f>
        <v>1577.1935103105441</v>
      </c>
      <c r="M68" s="172" t="s">
        <v>79</v>
      </c>
      <c r="N68" s="250">
        <f>N64</f>
        <v>34.948255360000097</v>
      </c>
      <c r="O68" s="252">
        <f>O64</f>
        <v>1497.9416384667338</v>
      </c>
      <c r="Q68" s="172" t="s">
        <v>79</v>
      </c>
      <c r="R68" s="250">
        <f>R64</f>
        <v>103.06665025919997</v>
      </c>
      <c r="S68" s="252">
        <f>S64</f>
        <v>1705.1529346627724</v>
      </c>
    </row>
    <row r="69" spans="1:19" x14ac:dyDescent="0.35">
      <c r="A69" s="175" t="s">
        <v>84</v>
      </c>
      <c r="B69" s="253">
        <f>Rolling!I$6-B70</f>
        <v>1025</v>
      </c>
      <c r="C69" s="241">
        <f>'CSD Resina Ush'!U49</f>
        <v>1450.5915200247882</v>
      </c>
      <c r="E69" s="175" t="s">
        <v>84</v>
      </c>
      <c r="F69" s="253">
        <f>Rolling!I$15</f>
        <v>50</v>
      </c>
      <c r="G69" s="177">
        <f>+'HF resina'!AU48</f>
        <v>1481.8461783809526</v>
      </c>
      <c r="I69" s="175" t="s">
        <v>84</v>
      </c>
      <c r="J69" s="253">
        <f>Rolling!I$24</f>
        <v>180</v>
      </c>
      <c r="K69" s="177">
        <f>+'HF resina'!W48</f>
        <v>1513.0084741996088</v>
      </c>
      <c r="M69" s="175" t="s">
        <v>84</v>
      </c>
      <c r="N69" s="253">
        <f>Rolling!I$33</f>
        <v>47</v>
      </c>
      <c r="O69" s="177">
        <f>K69</f>
        <v>1513.0084741996088</v>
      </c>
      <c r="Q69" s="175" t="s">
        <v>84</v>
      </c>
      <c r="R69" s="253">
        <f>Rolling!I$42</f>
        <v>0</v>
      </c>
      <c r="S69" s="177">
        <f>C69</f>
        <v>1450.5915200247882</v>
      </c>
    </row>
    <row r="70" spans="1:19" x14ac:dyDescent="0.35">
      <c r="A70" s="175" t="s">
        <v>84</v>
      </c>
      <c r="B70" s="253">
        <v>0</v>
      </c>
      <c r="C70" s="241">
        <f>+'CSD Resina Ush'!U89</f>
        <v>0</v>
      </c>
      <c r="E70" s="175" t="s">
        <v>84</v>
      </c>
      <c r="F70" s="253">
        <v>0</v>
      </c>
      <c r="G70" s="177"/>
      <c r="I70" s="175" t="s">
        <v>84</v>
      </c>
      <c r="J70" s="253">
        <v>0</v>
      </c>
      <c r="K70" s="177"/>
      <c r="M70" s="175" t="s">
        <v>84</v>
      </c>
      <c r="N70" s="253">
        <v>0</v>
      </c>
      <c r="O70" s="177"/>
      <c r="Q70" s="175" t="s">
        <v>84</v>
      </c>
      <c r="R70" s="253">
        <v>0</v>
      </c>
      <c r="S70" s="177"/>
    </row>
    <row r="71" spans="1:19" x14ac:dyDescent="0.35">
      <c r="A71" s="175" t="s">
        <v>82</v>
      </c>
      <c r="B71" s="253">
        <f>SUMIFS(Entregas!AV:AV,Entregas!AP:AP,'Balance Resinas'!C67,Entregas!AQ:AQ,'Balance Resinas'!B67)</f>
        <v>1210.2798367199996</v>
      </c>
      <c r="C71" s="177"/>
      <c r="E71" s="175" t="s">
        <v>82</v>
      </c>
      <c r="F71" s="253">
        <f>SUMIFS(Entregas!AZ:AZ,Entregas!P:P,"5121",Entregas!AP:AP,'Balance Resinas'!G67,Entregas!AQ:AQ,'Balance Resinas'!F67)</f>
        <v>39.575015424</v>
      </c>
      <c r="G71" s="177"/>
      <c r="I71" s="175" t="s">
        <v>82</v>
      </c>
      <c r="J71" s="253">
        <f>SUMIFS(Entregas!AZ:AZ,Entregas!P:P,"5101",Entregas!AP:AP,'Balance Resinas'!K67,Entregas!AQ:AQ,'Balance Resinas'!J67)</f>
        <v>244.66649021999996</v>
      </c>
      <c r="K71" s="177"/>
      <c r="M71" s="175" t="s">
        <v>82</v>
      </c>
      <c r="N71" s="253">
        <f>SUMIFS(Entregas!AX:AX,Entregas!P:P,"5101",Entregas!AP:AP,'Balance Resinas'!O67,Entregas!AQ:AQ,'Balance Resinas'!N67)</f>
        <v>49.374411839999979</v>
      </c>
      <c r="O71" s="177"/>
      <c r="Q71" s="175" t="s">
        <v>82</v>
      </c>
      <c r="R71" s="253">
        <f>SUMIFS(Entregas!AX:AX,Entregas!P:P,"5121",Entregas!AP:AP,'Balance Resinas'!S67,Entregas!AQ:AQ,'Balance Resinas'!R67)</f>
        <v>0</v>
      </c>
      <c r="S71" s="177"/>
    </row>
    <row r="72" spans="1:19" x14ac:dyDescent="0.35">
      <c r="A72" s="175" t="s">
        <v>83</v>
      </c>
      <c r="B72" s="253">
        <f>B73</f>
        <v>1177.7012109768023</v>
      </c>
      <c r="C72" s="177"/>
      <c r="E72" s="175" t="s">
        <v>83</v>
      </c>
      <c r="F72" s="253">
        <f>+SUM(F68:F70)-F71</f>
        <v>31.800881664000002</v>
      </c>
      <c r="G72" s="177"/>
      <c r="I72" s="175" t="s">
        <v>83</v>
      </c>
      <c r="J72" s="253">
        <f>J73</f>
        <v>296.35340930000012</v>
      </c>
      <c r="K72" s="177"/>
      <c r="M72" s="175" t="s">
        <v>83</v>
      </c>
      <c r="N72" s="253">
        <f>N73</f>
        <v>32.573843520000125</v>
      </c>
      <c r="O72" s="177"/>
      <c r="Q72" s="175" t="s">
        <v>83</v>
      </c>
      <c r="R72" s="253">
        <f>R73</f>
        <v>103.06665025919997</v>
      </c>
      <c r="S72" s="177"/>
    </row>
    <row r="73" spans="1:19" x14ac:dyDescent="0.35">
      <c r="A73" s="178" t="str">
        <f>+"Saldo Inicio de "&amp;TEXT(EDATE(A66,1),"DD-MM-YYYY")</f>
        <v>Saldo Inicio de 01-04-2025</v>
      </c>
      <c r="B73" s="179">
        <f>+SUM(B68:B70)-B71</f>
        <v>1177.7012109768023</v>
      </c>
      <c r="C73" s="243">
        <f>+SUMPRODUCT(B68:B70,C68:C70)/SUM(B68:B70)</f>
        <v>1472.3492334302252</v>
      </c>
      <c r="E73" s="178" t="str">
        <f>+"Saldo Inicio de "&amp;TEXT(EDATE(E66,1),"DD-MM-YYYY")</f>
        <v>Saldo Inicio de 01-04-2025</v>
      </c>
      <c r="F73" s="179">
        <f>F72</f>
        <v>31.800881664000002</v>
      </c>
      <c r="G73" s="180">
        <f>+SUMPRODUCT(F68:F70,G68:G70)/SUM(F68:F70)</f>
        <v>1506.6541410553762</v>
      </c>
      <c r="I73" s="178" t="str">
        <f>+"Saldo Inicio de "&amp;TEXT(EDATE(I66,1),"DD-MM-YYYY")</f>
        <v>Saldo Inicio de 01-04-2025</v>
      </c>
      <c r="J73" s="179">
        <f>+SUM(J68:J70)-J71</f>
        <v>296.35340930000012</v>
      </c>
      <c r="K73" s="180">
        <f>+SUMPRODUCT(J68:J70,K68:K70)/SUM(J68:J70)</f>
        <v>1555.8388309166462</v>
      </c>
      <c r="M73" s="178" t="str">
        <f>+"Saldo Inicio de "&amp;TEXT(EDATE(M66,1),"DD-MM-YYYY")</f>
        <v>Saldo Inicio de 01-04-2025</v>
      </c>
      <c r="N73" s="179">
        <f>+SUM(N68:N70)-N71</f>
        <v>32.573843520000125</v>
      </c>
      <c r="O73" s="180">
        <f>+SUMPRODUCT(N68:N70,O68:O70)/SUM(N68:N70)</f>
        <v>1506.5829606807852</v>
      </c>
      <c r="Q73" s="178" t="str">
        <f>+"Saldo Inicio de "&amp;TEXT(EDATE(Q66,1),"DD-MM-YYYY")</f>
        <v>Saldo Inicio de 01-04-2025</v>
      </c>
      <c r="R73" s="179">
        <f>+SUM(R68:R70)-R71</f>
        <v>103.06665025919997</v>
      </c>
      <c r="S73" s="180">
        <f>+SUMPRODUCT(R68:R70,S68:S70)/SUM(R68:R70)</f>
        <v>1705.1529346627726</v>
      </c>
    </row>
    <row r="75" spans="1:19" x14ac:dyDescent="0.35">
      <c r="A75" s="166">
        <f>EDATE(A66,1)</f>
        <v>45748</v>
      </c>
      <c r="B75" s="167" t="s">
        <v>77</v>
      </c>
      <c r="C75" s="168" t="s">
        <v>78</v>
      </c>
      <c r="E75" s="166">
        <f>A75</f>
        <v>45748</v>
      </c>
      <c r="F75" s="167" t="s">
        <v>77</v>
      </c>
      <c r="G75" s="168" t="s">
        <v>78</v>
      </c>
      <c r="I75" s="166">
        <f>A75</f>
        <v>45748</v>
      </c>
      <c r="J75" s="167" t="s">
        <v>77</v>
      </c>
      <c r="K75" s="168" t="s">
        <v>78</v>
      </c>
      <c r="M75" s="166">
        <f>A75</f>
        <v>45748</v>
      </c>
      <c r="N75" s="167" t="s">
        <v>77</v>
      </c>
      <c r="O75" s="168" t="s">
        <v>78</v>
      </c>
      <c r="Q75" s="166">
        <f>A75</f>
        <v>45748</v>
      </c>
      <c r="R75" s="167" t="s">
        <v>77</v>
      </c>
      <c r="S75" s="168" t="s">
        <v>78</v>
      </c>
    </row>
    <row r="76" spans="1:19" x14ac:dyDescent="0.35">
      <c r="A76" s="169"/>
      <c r="B76" s="249">
        <f>YEAR(A75)</f>
        <v>2025</v>
      </c>
      <c r="C76" s="171">
        <f>MONTH(A75)</f>
        <v>4</v>
      </c>
      <c r="E76" s="169"/>
      <c r="F76" s="249">
        <f>YEAR(E75)</f>
        <v>2025</v>
      </c>
      <c r="G76" s="171">
        <f>MONTH(E75)</f>
        <v>4</v>
      </c>
      <c r="I76" s="169"/>
      <c r="J76" s="249">
        <f>YEAR(I75)</f>
        <v>2025</v>
      </c>
      <c r="K76" s="171">
        <f>MONTH(I75)</f>
        <v>4</v>
      </c>
      <c r="M76" s="169"/>
      <c r="N76" s="249">
        <f>YEAR(M75)</f>
        <v>2025</v>
      </c>
      <c r="O76" s="171">
        <f>MONTH(M75)</f>
        <v>4</v>
      </c>
      <c r="Q76" s="169"/>
      <c r="R76" s="249">
        <f>YEAR(Q75)</f>
        <v>2025</v>
      </c>
      <c r="S76" s="171">
        <f>MONTH(Q75)</f>
        <v>4</v>
      </c>
    </row>
    <row r="77" spans="1:19" x14ac:dyDescent="0.35">
      <c r="A77" s="172" t="s">
        <v>79</v>
      </c>
      <c r="B77" s="250">
        <f>B73</f>
        <v>1177.7012109768023</v>
      </c>
      <c r="C77" s="251">
        <f>C73</f>
        <v>1472.3492334302252</v>
      </c>
      <c r="E77" s="172" t="s">
        <v>79</v>
      </c>
      <c r="F77" s="250">
        <f>F73</f>
        <v>31.800881664000002</v>
      </c>
      <c r="G77" s="252">
        <f>G73</f>
        <v>1506.6541410553762</v>
      </c>
      <c r="I77" s="172" t="s">
        <v>79</v>
      </c>
      <c r="J77" s="250">
        <f>J73</f>
        <v>296.35340930000012</v>
      </c>
      <c r="K77" s="252">
        <f>K73</f>
        <v>1555.8388309166462</v>
      </c>
      <c r="M77" s="172" t="s">
        <v>79</v>
      </c>
      <c r="N77" s="250">
        <f>N73</f>
        <v>32.573843520000125</v>
      </c>
      <c r="O77" s="252">
        <f>O73</f>
        <v>1506.5829606807852</v>
      </c>
      <c r="Q77" s="172" t="s">
        <v>79</v>
      </c>
      <c r="R77" s="250">
        <f>R73</f>
        <v>103.06665025919997</v>
      </c>
      <c r="S77" s="252">
        <f>S73</f>
        <v>1705.1529346627726</v>
      </c>
    </row>
    <row r="78" spans="1:19" x14ac:dyDescent="0.35">
      <c r="A78" s="175" t="s">
        <v>84</v>
      </c>
      <c r="B78" s="253">
        <f>Rolling!J$6-B79</f>
        <v>930</v>
      </c>
      <c r="C78" s="241">
        <f>'CSD Resina Ush'!U50</f>
        <v>1365.6349538191782</v>
      </c>
      <c r="E78" s="175" t="s">
        <v>84</v>
      </c>
      <c r="F78" s="253">
        <f>Rolling!J$15</f>
        <v>112</v>
      </c>
      <c r="G78" s="177">
        <f>+'HF resina'!AU49</f>
        <v>1395.7718414794522</v>
      </c>
      <c r="I78" s="175" t="s">
        <v>84</v>
      </c>
      <c r="J78" s="253">
        <f>Rolling!J$24</f>
        <v>320</v>
      </c>
      <c r="K78" s="177">
        <f>+'HF resina'!W49</f>
        <v>1419.0393666849313</v>
      </c>
      <c r="M78" s="175" t="s">
        <v>84</v>
      </c>
      <c r="N78" s="253">
        <f>Rolling!J$33</f>
        <v>0</v>
      </c>
      <c r="O78" s="177">
        <f>K78</f>
        <v>1419.0393666849313</v>
      </c>
      <c r="Q78" s="175" t="s">
        <v>84</v>
      </c>
      <c r="R78" s="253">
        <f>Rolling!J$42</f>
        <v>0</v>
      </c>
      <c r="S78" s="177">
        <f>C78</f>
        <v>1365.6349538191782</v>
      </c>
    </row>
    <row r="79" spans="1:19" x14ac:dyDescent="0.35">
      <c r="A79" s="175" t="s">
        <v>84</v>
      </c>
      <c r="B79" s="253">
        <v>0</v>
      </c>
      <c r="C79" s="241"/>
      <c r="E79" s="175" t="s">
        <v>84</v>
      </c>
      <c r="F79" s="253">
        <v>0</v>
      </c>
      <c r="G79" s="177"/>
      <c r="I79" s="175" t="s">
        <v>84</v>
      </c>
      <c r="J79" s="253">
        <v>0</v>
      </c>
      <c r="K79" s="177"/>
      <c r="M79" s="175" t="s">
        <v>84</v>
      </c>
      <c r="N79" s="253">
        <v>0</v>
      </c>
      <c r="O79" s="177"/>
      <c r="Q79" s="175" t="s">
        <v>84</v>
      </c>
      <c r="R79" s="253">
        <v>0</v>
      </c>
      <c r="S79" s="177"/>
    </row>
    <row r="80" spans="1:19" x14ac:dyDescent="0.35">
      <c r="A80" s="175" t="s">
        <v>82</v>
      </c>
      <c r="B80" s="253">
        <f>SUMIFS(Entregas!AV:AV,Entregas!AP:AP,'Balance Resinas'!C76,Entregas!AQ:AQ,'Balance Resinas'!B76)</f>
        <v>933.94157549999966</v>
      </c>
      <c r="C80" s="177"/>
      <c r="E80" s="175" t="s">
        <v>82</v>
      </c>
      <c r="F80" s="253">
        <f>SUMIFS(Entregas!AZ:AZ,Entregas!P:P,"5121",Entregas!AP:AP,'Balance Resinas'!G76,Entregas!AQ:AQ,'Balance Resinas'!F76)</f>
        <v>89.729873279999993</v>
      </c>
      <c r="G80" s="177"/>
      <c r="I80" s="175" t="s">
        <v>82</v>
      </c>
      <c r="J80" s="253">
        <f>SUMIFS(Entregas!AZ:AZ,Entregas!P:P,"5101",Entregas!AP:AP,'Balance Resinas'!K76,Entregas!AQ:AQ,'Balance Resinas'!J76)</f>
        <v>347.02577640000004</v>
      </c>
      <c r="K80" s="177"/>
      <c r="M80" s="175" t="s">
        <v>82</v>
      </c>
      <c r="N80" s="253">
        <f>SUMIFS(Entregas!AX:AX,Entregas!P:P,"5101",Entregas!AP:AP,'Balance Resinas'!O76,Entregas!AQ:AQ,'Balance Resinas'!N76)</f>
        <v>10.233585359999998</v>
      </c>
      <c r="O80" s="177"/>
      <c r="Q80" s="175" t="s">
        <v>82</v>
      </c>
      <c r="R80" s="253">
        <f>SUMIFS(Entregas!AX:AX,Entregas!P:P,"5121",Entregas!AP:AP,'Balance Resinas'!S76,Entregas!AQ:AQ,'Balance Resinas'!R76)</f>
        <v>0</v>
      </c>
      <c r="S80" s="177"/>
    </row>
    <row r="81" spans="1:19" x14ac:dyDescent="0.35">
      <c r="A81" s="175" t="s">
        <v>83</v>
      </c>
      <c r="B81" s="253">
        <f>B82</f>
        <v>1173.7596354768025</v>
      </c>
      <c r="C81" s="177"/>
      <c r="E81" s="175" t="s">
        <v>83</v>
      </c>
      <c r="F81" s="253">
        <f>+SUM(F77:F79)-F80</f>
        <v>54.07100838400001</v>
      </c>
      <c r="G81" s="177"/>
      <c r="I81" s="175" t="s">
        <v>83</v>
      </c>
      <c r="J81" s="253">
        <f>J82</f>
        <v>269.32763290000003</v>
      </c>
      <c r="K81" s="177"/>
      <c r="M81" s="175" t="s">
        <v>83</v>
      </c>
      <c r="N81" s="253">
        <f>N82</f>
        <v>22.340258160000126</v>
      </c>
      <c r="O81" s="177"/>
      <c r="Q81" s="175" t="s">
        <v>83</v>
      </c>
      <c r="R81" s="253">
        <f>R82</f>
        <v>103.06665025919997</v>
      </c>
      <c r="S81" s="177"/>
    </row>
    <row r="82" spans="1:19" x14ac:dyDescent="0.35">
      <c r="A82" s="178" t="str">
        <f>+"Saldo Inicio de "&amp;TEXT(EDATE(A75,1),"DD-MM-YYYY")</f>
        <v>Saldo Inicio de 01-05-2025</v>
      </c>
      <c r="B82" s="179">
        <f>+SUM(B77:B79)-B80</f>
        <v>1173.7596354768025</v>
      </c>
      <c r="C82" s="243">
        <f>+SUMPRODUCT(B77:B79,C77:C79)/SUM(B77:B79)</f>
        <v>1425.262730124437</v>
      </c>
      <c r="E82" s="178" t="str">
        <f>+"Saldo Inicio de "&amp;TEXT(EDATE(E75,1),"DD-MM-YYYY")</f>
        <v>Saldo Inicio de 01-05-2025</v>
      </c>
      <c r="F82" s="179">
        <f>F81</f>
        <v>54.07100838400001</v>
      </c>
      <c r="G82" s="180">
        <f>+SUMPRODUCT(F77:F79,G77:G79)/SUM(F77:F79)</f>
        <v>1420.2929351378709</v>
      </c>
      <c r="I82" s="178" t="str">
        <f>+"Saldo Inicio de "&amp;TEXT(EDATE(I75,1),"DD-MM-YYYY")</f>
        <v>Saldo Inicio de 01-05-2025</v>
      </c>
      <c r="J82" s="179">
        <f>+SUM(J77:J79)-J80</f>
        <v>269.32763290000003</v>
      </c>
      <c r="K82" s="180">
        <f>+SUMPRODUCT(J77:J79,K77:K79)/SUM(J77:J79)</f>
        <v>1484.8149217541004</v>
      </c>
      <c r="M82" s="178" t="str">
        <f>+"Saldo Inicio de "&amp;TEXT(EDATE(M75,1),"DD-MM-YYYY")</f>
        <v>Saldo Inicio de 01-05-2025</v>
      </c>
      <c r="N82" s="179">
        <f>+SUM(N77:N79)-N80</f>
        <v>22.340258160000126</v>
      </c>
      <c r="O82" s="180">
        <f>+SUMPRODUCT(N77:N79,O77:O79)/SUM(N77:N79)</f>
        <v>1506.5829606807852</v>
      </c>
      <c r="Q82" s="178" t="str">
        <f>+"Saldo Inicio de "&amp;TEXT(EDATE(Q75,1),"DD-MM-YYYY")</f>
        <v>Saldo Inicio de 01-05-2025</v>
      </c>
      <c r="R82" s="179">
        <f>+SUM(R77:R79)-R80</f>
        <v>103.06665025919997</v>
      </c>
      <c r="S82" s="180">
        <f>+SUMPRODUCT(R77:R79,S77:S79)/SUM(R77:R79)</f>
        <v>1705.1529346627726</v>
      </c>
    </row>
    <row r="83" spans="1:19" x14ac:dyDescent="0.35">
      <c r="C83" s="268"/>
    </row>
    <row r="84" spans="1:19" x14ac:dyDescent="0.35">
      <c r="A84" s="166">
        <f>EDATE(A75,1)</f>
        <v>45778</v>
      </c>
      <c r="B84" s="167" t="s">
        <v>77</v>
      </c>
      <c r="C84" s="168" t="s">
        <v>78</v>
      </c>
      <c r="E84" s="166">
        <f>A84</f>
        <v>45778</v>
      </c>
      <c r="F84" s="167" t="s">
        <v>77</v>
      </c>
      <c r="G84" s="168" t="s">
        <v>78</v>
      </c>
      <c r="I84" s="166">
        <f>A84</f>
        <v>45778</v>
      </c>
      <c r="J84" s="167" t="s">
        <v>77</v>
      </c>
      <c r="K84" s="168" t="s">
        <v>78</v>
      </c>
      <c r="M84" s="166">
        <f>A84</f>
        <v>45778</v>
      </c>
      <c r="N84" s="167" t="s">
        <v>77</v>
      </c>
      <c r="O84" s="168" t="s">
        <v>78</v>
      </c>
      <c r="Q84" s="166">
        <f>A84</f>
        <v>45778</v>
      </c>
      <c r="R84" s="167" t="s">
        <v>77</v>
      </c>
      <c r="S84" s="168" t="s">
        <v>78</v>
      </c>
    </row>
    <row r="85" spans="1:19" x14ac:dyDescent="0.35">
      <c r="A85" s="169"/>
      <c r="B85" s="249">
        <f>YEAR(A84)</f>
        <v>2025</v>
      </c>
      <c r="C85" s="171">
        <f>MONTH(A84)</f>
        <v>5</v>
      </c>
      <c r="E85" s="169"/>
      <c r="F85" s="249">
        <f>YEAR(E84)</f>
        <v>2025</v>
      </c>
      <c r="G85" s="171">
        <f>MONTH(E84)</f>
        <v>5</v>
      </c>
      <c r="I85" s="169"/>
      <c r="J85" s="249">
        <f>YEAR(I84)</f>
        <v>2025</v>
      </c>
      <c r="K85" s="171">
        <f>MONTH(I84)</f>
        <v>5</v>
      </c>
      <c r="M85" s="169"/>
      <c r="N85" s="249">
        <f>YEAR(M84)</f>
        <v>2025</v>
      </c>
      <c r="O85" s="171">
        <f>MONTH(M84)</f>
        <v>5</v>
      </c>
      <c r="Q85" s="169"/>
      <c r="R85" s="249">
        <f>YEAR(Q84)</f>
        <v>2025</v>
      </c>
      <c r="S85" s="171">
        <f>MONTH(Q84)</f>
        <v>5</v>
      </c>
    </row>
    <row r="86" spans="1:19" x14ac:dyDescent="0.35">
      <c r="A86" s="172" t="s">
        <v>79</v>
      </c>
      <c r="B86" s="250">
        <f>B82</f>
        <v>1173.7596354768025</v>
      </c>
      <c r="C86" s="251">
        <f>C82</f>
        <v>1425.262730124437</v>
      </c>
      <c r="E86" s="172" t="s">
        <v>79</v>
      </c>
      <c r="F86" s="250">
        <f>F82</f>
        <v>54.07100838400001</v>
      </c>
      <c r="G86" s="252">
        <f>G82</f>
        <v>1420.2929351378709</v>
      </c>
      <c r="I86" s="172" t="s">
        <v>79</v>
      </c>
      <c r="J86" s="250">
        <f>J82</f>
        <v>269.32763290000003</v>
      </c>
      <c r="K86" s="252">
        <f>K82</f>
        <v>1484.8149217541004</v>
      </c>
      <c r="M86" s="172" t="s">
        <v>79</v>
      </c>
      <c r="N86" s="250">
        <f>N82</f>
        <v>22.340258160000126</v>
      </c>
      <c r="O86" s="252">
        <f>O82</f>
        <v>1506.5829606807852</v>
      </c>
      <c r="Q86" s="172" t="s">
        <v>79</v>
      </c>
      <c r="R86" s="250">
        <f>R82</f>
        <v>103.06665025919997</v>
      </c>
      <c r="S86" s="252">
        <f>S82</f>
        <v>1705.1529346627726</v>
      </c>
    </row>
    <row r="87" spans="1:19" x14ac:dyDescent="0.35">
      <c r="A87" s="175" t="s">
        <v>84</v>
      </c>
      <c r="B87" s="253">
        <f>Rolling!K$6-B88</f>
        <v>1280</v>
      </c>
      <c r="C87" s="241">
        <f>'CSD Resina Ush'!U51</f>
        <v>1342.5142214961513</v>
      </c>
      <c r="E87" s="175" t="s">
        <v>84</v>
      </c>
      <c r="F87" s="253">
        <f>Rolling!K$15</f>
        <v>23</v>
      </c>
      <c r="G87" s="177">
        <f>'HF resina'!AU50</f>
        <v>1372.6533164096543</v>
      </c>
      <c r="I87" s="175" t="s">
        <v>84</v>
      </c>
      <c r="J87" s="253">
        <f>Rolling!K$24</f>
        <v>565</v>
      </c>
      <c r="K87" s="177">
        <f>'HF resina'!W50</f>
        <v>1393.8004017847359</v>
      </c>
      <c r="M87" s="175" t="s">
        <v>84</v>
      </c>
      <c r="N87" s="253">
        <f>Rolling!K$33</f>
        <v>0</v>
      </c>
      <c r="O87" s="177">
        <f>K87</f>
        <v>1393.8004017847359</v>
      </c>
      <c r="Q87" s="175" t="s">
        <v>84</v>
      </c>
      <c r="R87" s="253">
        <f>Rolling!K$42</f>
        <v>0</v>
      </c>
      <c r="S87" s="177">
        <f>C87</f>
        <v>1342.5142214961513</v>
      </c>
    </row>
    <row r="88" spans="1:19" x14ac:dyDescent="0.35">
      <c r="A88" s="175" t="s">
        <v>84</v>
      </c>
      <c r="B88" s="253">
        <v>0</v>
      </c>
      <c r="C88" s="241"/>
      <c r="E88" s="175" t="s">
        <v>84</v>
      </c>
      <c r="F88" s="253">
        <v>0</v>
      </c>
      <c r="G88" s="177"/>
      <c r="I88" s="175" t="s">
        <v>84</v>
      </c>
      <c r="J88" s="253">
        <v>0</v>
      </c>
      <c r="K88" s="177"/>
      <c r="M88" s="175" t="s">
        <v>84</v>
      </c>
      <c r="N88" s="253">
        <v>0</v>
      </c>
      <c r="O88" s="177"/>
      <c r="Q88" s="175" t="s">
        <v>84</v>
      </c>
      <c r="R88" s="253">
        <v>0</v>
      </c>
      <c r="S88" s="177"/>
    </row>
    <row r="89" spans="1:19" x14ac:dyDescent="0.35">
      <c r="A89" s="175" t="s">
        <v>82</v>
      </c>
      <c r="B89" s="253">
        <f>SUMIFS(Entregas!AV:AV,Entregas!AP:AP,'Balance Resinas'!C85,Entregas!AQ:AQ,'Balance Resinas'!B85)</f>
        <v>996.56040556799951</v>
      </c>
      <c r="C89" s="177"/>
      <c r="E89" s="175" t="s">
        <v>82</v>
      </c>
      <c r="F89" s="253">
        <f>SUMIFS(Entregas!AZ:AZ,Entregas!P:P,"5121",Entregas!AP:AP,'Balance Resinas'!G85,Entregas!AQ:AQ,'Balance Resinas'!F85)</f>
        <v>35.670585599999995</v>
      </c>
      <c r="G89" s="177"/>
      <c r="I89" s="175" t="s">
        <v>82</v>
      </c>
      <c r="J89" s="253">
        <f>SUMIFS(Entregas!AZ:AZ,Entregas!P:P,"5101",Entregas!AP:AP,'Balance Resinas'!K85,Entregas!AQ:AQ,'Balance Resinas'!J85)</f>
        <v>402.45049727999992</v>
      </c>
      <c r="K89" s="177"/>
      <c r="M89" s="175" t="s">
        <v>82</v>
      </c>
      <c r="N89" s="253">
        <f>SUMIFS(Entregas!AX:AX,Entregas!P:P,"5101",Entregas!AP:AP,'Balance Resinas'!O85,Entregas!AQ:AQ,'Balance Resinas'!N85)</f>
        <v>0</v>
      </c>
      <c r="O89" s="177"/>
      <c r="Q89" s="175" t="s">
        <v>82</v>
      </c>
      <c r="R89" s="253">
        <f>SUMIFS(Entregas!AX:AX,Entregas!P:P,"5121",Entregas!AP:AP,'Balance Resinas'!S85,Entregas!AQ:AQ,'Balance Resinas'!R85)</f>
        <v>0</v>
      </c>
      <c r="S89" s="177"/>
    </row>
    <row r="90" spans="1:19" x14ac:dyDescent="0.35">
      <c r="A90" s="175" t="s">
        <v>83</v>
      </c>
      <c r="B90" s="253">
        <f>B91</f>
        <v>1457.1992299088029</v>
      </c>
      <c r="C90" s="177"/>
      <c r="E90" s="175" t="s">
        <v>83</v>
      </c>
      <c r="F90" s="253">
        <f>+SUM(F86:F88)-F89</f>
        <v>41.400422784000014</v>
      </c>
      <c r="G90" s="177"/>
      <c r="I90" s="175" t="s">
        <v>83</v>
      </c>
      <c r="J90" s="253">
        <f>J91</f>
        <v>431.8771356200001</v>
      </c>
      <c r="K90" s="177"/>
      <c r="M90" s="175" t="s">
        <v>83</v>
      </c>
      <c r="N90" s="253">
        <f>N91</f>
        <v>22.340258160000126</v>
      </c>
      <c r="O90" s="177"/>
      <c r="Q90" s="175" t="s">
        <v>83</v>
      </c>
      <c r="R90" s="253">
        <f>R91</f>
        <v>103.06665025919997</v>
      </c>
      <c r="S90" s="177"/>
    </row>
    <row r="91" spans="1:19" x14ac:dyDescent="0.35">
      <c r="A91" s="178" t="str">
        <f>+"Saldo Inicio de "&amp;TEXT(EDATE(A84,1),"DD-MM-YYYY")</f>
        <v>Saldo Inicio de 01-06-2025</v>
      </c>
      <c r="B91" s="179">
        <f>+SUM(B86:B88)-B89</f>
        <v>1457.1992299088029</v>
      </c>
      <c r="C91" s="243">
        <f>+SUMPRODUCT(B86:B88,C86:C88)/SUM(B86:B88)</f>
        <v>1382.0970958411001</v>
      </c>
      <c r="E91" s="178" t="str">
        <f>+"Saldo Inicio de "&amp;TEXT(EDATE(E84,1),"DD-MM-YYYY")</f>
        <v>Saldo Inicio de 01-06-2025</v>
      </c>
      <c r="F91" s="179">
        <f>F90</f>
        <v>41.400422784000014</v>
      </c>
      <c r="G91" s="180">
        <f>+SUMPRODUCT(F86:F88,G86:G88)/SUM(F86:F88)</f>
        <v>1406.0760297966342</v>
      </c>
      <c r="I91" s="178" t="str">
        <f>+"Saldo Inicio de "&amp;TEXT(EDATE(I84,1),"DD-MM-YYYY")</f>
        <v>Saldo Inicio de 01-06-2025</v>
      </c>
      <c r="J91" s="179">
        <f>+SUM(J86:J88)-J89</f>
        <v>431.8771356200001</v>
      </c>
      <c r="K91" s="180">
        <f>+SUMPRODUCT(J86:J88,K86:K88)/SUM(J86:J88)</f>
        <v>1423.1806167701559</v>
      </c>
      <c r="M91" s="178" t="str">
        <f>+"Saldo Inicio de "&amp;TEXT(EDATE(M84,1),"DD-MM-YYYY")</f>
        <v>Saldo Inicio de 01-06-2025</v>
      </c>
      <c r="N91" s="179">
        <f>+SUM(N86:N88)-N89</f>
        <v>22.340258160000126</v>
      </c>
      <c r="O91" s="180">
        <f>+SUMPRODUCT(N86:N88,O86:O88)/SUM(N86:N88)</f>
        <v>1506.5829606807849</v>
      </c>
      <c r="Q91" s="178" t="str">
        <f>+"Saldo Inicio de "&amp;TEXT(EDATE(Q84,1),"DD-MM-YYYY")</f>
        <v>Saldo Inicio de 01-06-2025</v>
      </c>
      <c r="R91" s="179">
        <f>+SUM(R86:R88)-R89</f>
        <v>103.06665025919997</v>
      </c>
      <c r="S91" s="180">
        <f>+SUMPRODUCT(R86:R88,S86:S88)/SUM(R86:R88)</f>
        <v>1705.1529346627726</v>
      </c>
    </row>
    <row r="93" spans="1:19" x14ac:dyDescent="0.35">
      <c r="A93" s="166">
        <f>EDATE(A84,1)</f>
        <v>45809</v>
      </c>
      <c r="B93" s="167" t="s">
        <v>77</v>
      </c>
      <c r="C93" s="168" t="s">
        <v>78</v>
      </c>
      <c r="E93" s="166">
        <f>A93</f>
        <v>45809</v>
      </c>
      <c r="F93" s="167" t="s">
        <v>77</v>
      </c>
      <c r="G93" s="168" t="s">
        <v>78</v>
      </c>
      <c r="I93" s="166">
        <f>A93</f>
        <v>45809</v>
      </c>
      <c r="J93" s="167" t="s">
        <v>77</v>
      </c>
      <c r="K93" s="168" t="s">
        <v>78</v>
      </c>
      <c r="M93" s="166">
        <f>A93</f>
        <v>45809</v>
      </c>
      <c r="N93" s="167" t="s">
        <v>77</v>
      </c>
      <c r="O93" s="168" t="s">
        <v>78</v>
      </c>
      <c r="Q93" s="166">
        <f>A93</f>
        <v>45809</v>
      </c>
      <c r="R93" s="167" t="s">
        <v>77</v>
      </c>
      <c r="S93" s="168" t="s">
        <v>78</v>
      </c>
    </row>
    <row r="94" spans="1:19" x14ac:dyDescent="0.35">
      <c r="A94" s="169"/>
      <c r="B94" s="249">
        <f>YEAR(A93)</f>
        <v>2025</v>
      </c>
      <c r="C94" s="171">
        <f>MONTH(A93)</f>
        <v>6</v>
      </c>
      <c r="E94" s="169"/>
      <c r="F94" s="249">
        <f>YEAR(E93)</f>
        <v>2025</v>
      </c>
      <c r="G94" s="171">
        <f>MONTH(E93)</f>
        <v>6</v>
      </c>
      <c r="I94" s="169"/>
      <c r="J94" s="249">
        <f>YEAR(I93)</f>
        <v>2025</v>
      </c>
      <c r="K94" s="171">
        <f>MONTH(I93)</f>
        <v>6</v>
      </c>
      <c r="M94" s="169"/>
      <c r="N94" s="249">
        <f>YEAR(M93)</f>
        <v>2025</v>
      </c>
      <c r="O94" s="171">
        <f>MONTH(M93)</f>
        <v>6</v>
      </c>
      <c r="Q94" s="169"/>
      <c r="R94" s="249">
        <f>YEAR(Q93)</f>
        <v>2025</v>
      </c>
      <c r="S94" s="171">
        <f>MONTH(Q93)</f>
        <v>6</v>
      </c>
    </row>
    <row r="95" spans="1:19" x14ac:dyDescent="0.35">
      <c r="A95" s="172" t="s">
        <v>79</v>
      </c>
      <c r="B95" s="250">
        <f>B91</f>
        <v>1457.1992299088029</v>
      </c>
      <c r="C95" s="251">
        <f>C91</f>
        <v>1382.0970958411001</v>
      </c>
      <c r="E95" s="172" t="s">
        <v>79</v>
      </c>
      <c r="F95" s="250">
        <f>F91</f>
        <v>41.400422784000014</v>
      </c>
      <c r="G95" s="252">
        <f>G91</f>
        <v>1406.0760297966342</v>
      </c>
      <c r="I95" s="172" t="s">
        <v>79</v>
      </c>
      <c r="J95" s="250">
        <f>J91</f>
        <v>431.8771356200001</v>
      </c>
      <c r="K95" s="252">
        <f>K91</f>
        <v>1423.1806167701559</v>
      </c>
      <c r="M95" s="172" t="s">
        <v>79</v>
      </c>
      <c r="N95" s="250">
        <f>N91</f>
        <v>22.340258160000126</v>
      </c>
      <c r="O95" s="252">
        <f>O91</f>
        <v>1506.5829606807849</v>
      </c>
      <c r="Q95" s="172" t="s">
        <v>79</v>
      </c>
      <c r="R95" s="250">
        <f>R91</f>
        <v>103.06665025919997</v>
      </c>
      <c r="S95" s="252">
        <f>S91</f>
        <v>1705.1529346627726</v>
      </c>
    </row>
    <row r="96" spans="1:19" x14ac:dyDescent="0.35">
      <c r="A96" s="175" t="s">
        <v>84</v>
      </c>
      <c r="B96" s="253">
        <f>Rolling!L$6-B97</f>
        <v>1250</v>
      </c>
      <c r="C96" s="241">
        <f>'CSD Resina Ush'!U52</f>
        <v>1250.6762911744295</v>
      </c>
      <c r="E96" s="175" t="s">
        <v>84</v>
      </c>
      <c r="F96" s="253">
        <f>Rolling!L$15</f>
        <v>36</v>
      </c>
      <c r="G96" s="177">
        <f>'HF resina'!AU51</f>
        <v>1280.8241535251145</v>
      </c>
      <c r="I96" s="175" t="s">
        <v>84</v>
      </c>
      <c r="J96" s="253">
        <f>Rolling!L$24</f>
        <v>140</v>
      </c>
      <c r="K96" s="177">
        <f>'HF resina'!W51</f>
        <v>1293.5486334794521</v>
      </c>
      <c r="M96" s="175" t="s">
        <v>84</v>
      </c>
      <c r="N96" s="253">
        <f>Rolling!L$33</f>
        <v>0</v>
      </c>
      <c r="O96" s="177">
        <f>K96</f>
        <v>1293.5486334794521</v>
      </c>
      <c r="Q96" s="175" t="s">
        <v>84</v>
      </c>
      <c r="R96" s="253">
        <f>Rolling!L$42</f>
        <v>0</v>
      </c>
      <c r="S96" s="177">
        <f>C96</f>
        <v>1250.6762911744295</v>
      </c>
    </row>
    <row r="97" spans="1:19" x14ac:dyDescent="0.35">
      <c r="A97" s="175" t="s">
        <v>84</v>
      </c>
      <c r="B97" s="253">
        <v>0</v>
      </c>
      <c r="C97" s="241"/>
      <c r="E97" s="175" t="s">
        <v>84</v>
      </c>
      <c r="F97" s="253">
        <v>0</v>
      </c>
      <c r="G97" s="177"/>
      <c r="I97" s="175" t="s">
        <v>84</v>
      </c>
      <c r="J97" s="253">
        <v>0</v>
      </c>
      <c r="K97" s="177"/>
      <c r="M97" s="175" t="s">
        <v>84</v>
      </c>
      <c r="N97" s="253">
        <v>0</v>
      </c>
      <c r="O97" s="177"/>
      <c r="Q97" s="175" t="s">
        <v>84</v>
      </c>
      <c r="R97" s="253">
        <v>0</v>
      </c>
      <c r="S97" s="177"/>
    </row>
    <row r="98" spans="1:19" x14ac:dyDescent="0.35">
      <c r="A98" s="175" t="s">
        <v>82</v>
      </c>
      <c r="B98" s="253">
        <f>SUMIFS(Entregas!AV:AV,Entregas!AP:AP,'Balance Resinas'!C94,Entregas!AQ:AQ,'Balance Resinas'!B94)</f>
        <v>1394.4639335903996</v>
      </c>
      <c r="C98" s="177"/>
      <c r="E98" s="175" t="s">
        <v>82</v>
      </c>
      <c r="F98" s="253">
        <f>SUMIFS(Entregas!AZ:AZ,Entregas!P:P,"5121",Entregas!AP:AP,'Balance Resinas'!G94,Entregas!AQ:AQ,'Balance Resinas'!F94)</f>
        <v>38.848868351999997</v>
      </c>
      <c r="G98" s="177"/>
      <c r="I98" s="175" t="s">
        <v>82</v>
      </c>
      <c r="J98" s="253">
        <f>SUMIFS(Entregas!AZ:AZ,Entregas!P:P,"5101",Entregas!AP:AP,'Balance Resinas'!K94,Entregas!AQ:AQ,'Balance Resinas'!J94)</f>
        <v>264.60069938999993</v>
      </c>
      <c r="K98" s="177"/>
      <c r="M98" s="175" t="s">
        <v>82</v>
      </c>
      <c r="N98" s="253">
        <f>SUMIFS(Entregas!AX:AX,Entregas!P:P,"5101",Entregas!AP:AP,'Balance Resinas'!O94,Entregas!AQ:AQ,'Balance Resinas'!N94)</f>
        <v>0.29723678999999992</v>
      </c>
      <c r="O98" s="177"/>
      <c r="Q98" s="175" t="s">
        <v>82</v>
      </c>
      <c r="R98" s="253">
        <f>SUMIFS(Entregas!AX:AX,Entregas!P:P,"5121",Entregas!AP:AP,'Balance Resinas'!S94,Entregas!AQ:AQ,'Balance Resinas'!R94)</f>
        <v>0.15376210559999998</v>
      </c>
      <c r="S98" s="177"/>
    </row>
    <row r="99" spans="1:19" x14ac:dyDescent="0.35">
      <c r="A99" s="175" t="s">
        <v>83</v>
      </c>
      <c r="B99" s="253">
        <f>B100</f>
        <v>1312.7352963184032</v>
      </c>
      <c r="C99" s="177"/>
      <c r="E99" s="175" t="s">
        <v>83</v>
      </c>
      <c r="F99" s="253">
        <f>+SUM(F95:F97)-F98</f>
        <v>38.551554432000017</v>
      </c>
      <c r="G99" s="177"/>
      <c r="I99" s="175" t="s">
        <v>83</v>
      </c>
      <c r="J99" s="253">
        <f>J100</f>
        <v>307.27643623000017</v>
      </c>
      <c r="K99" s="177"/>
      <c r="M99" s="175" t="s">
        <v>83</v>
      </c>
      <c r="N99" s="253">
        <f>N100</f>
        <v>22.043021370000126</v>
      </c>
      <c r="O99" s="177"/>
      <c r="Q99" s="175" t="s">
        <v>83</v>
      </c>
      <c r="R99" s="253">
        <f>R100</f>
        <v>102.91288815359998</v>
      </c>
      <c r="S99" s="177"/>
    </row>
    <row r="100" spans="1:19" x14ac:dyDescent="0.35">
      <c r="A100" s="178" t="str">
        <f>+"Saldo Inicio de "&amp;TEXT(EDATE(A93,1),"DD-MM-YYYY")</f>
        <v>Saldo Inicio de 01-07-2025</v>
      </c>
      <c r="B100" s="179">
        <f>+SUM(B95:B97)-B98</f>
        <v>1312.7352963184032</v>
      </c>
      <c r="C100" s="243">
        <f>+SUMPRODUCT(B95:B97,C95:C97)/SUM(B95:B97)</f>
        <v>1321.4159298528577</v>
      </c>
      <c r="E100" s="178" t="str">
        <f>+"Saldo Inicio de "&amp;TEXT(EDATE(E93,1),"DD-MM-YYYY")</f>
        <v>Saldo Inicio de 01-07-2025</v>
      </c>
      <c r="F100" s="179">
        <f>F99</f>
        <v>38.551554432000017</v>
      </c>
      <c r="G100" s="180">
        <f>+SUMPRODUCT(F95:F97,G95:G97)/SUM(F95:F97)</f>
        <v>1347.8196613739697</v>
      </c>
      <c r="I100" s="178" t="str">
        <f>+"Saldo Inicio de "&amp;TEXT(EDATE(I93,1),"DD-MM-YYYY")</f>
        <v>Saldo Inicio de 01-07-2025</v>
      </c>
      <c r="J100" s="179">
        <f>+SUM(J95:J97)-J98</f>
        <v>307.27643623000017</v>
      </c>
      <c r="K100" s="180">
        <f>+SUMPRODUCT(J95:J97,K95:K97)/SUM(J95:J97)</f>
        <v>1391.4456923776586</v>
      </c>
      <c r="M100" s="178" t="str">
        <f>+"Saldo Inicio de "&amp;TEXT(EDATE(M93,1),"DD-MM-YYYY")</f>
        <v>Saldo Inicio de 01-07-2025</v>
      </c>
      <c r="N100" s="179">
        <f>+SUM(N95:N97)-N98</f>
        <v>22.043021370000126</v>
      </c>
      <c r="O100" s="180">
        <f>+SUMPRODUCT(N95:N97,O95:O97)/SUM(N95:N97)</f>
        <v>1506.5829606807849</v>
      </c>
      <c r="Q100" s="178" t="str">
        <f>+"Saldo Inicio de "&amp;TEXT(EDATE(Q93,1),"DD-MM-YYYY")</f>
        <v>Saldo Inicio de 01-07-2025</v>
      </c>
      <c r="R100" s="179">
        <f>+SUM(R95:R97)-R98</f>
        <v>102.91288815359998</v>
      </c>
      <c r="S100" s="180">
        <f>+SUMPRODUCT(R95:R97,S95:S97)/SUM(R95:R97)</f>
        <v>1705.1529346627726</v>
      </c>
    </row>
    <row r="102" spans="1:19" x14ac:dyDescent="0.35">
      <c r="A102" s="166">
        <f>EDATE(A93,1)</f>
        <v>45839</v>
      </c>
      <c r="B102" s="167" t="s">
        <v>77</v>
      </c>
      <c r="C102" s="168" t="s">
        <v>78</v>
      </c>
      <c r="E102" s="166">
        <f>A102</f>
        <v>45839</v>
      </c>
      <c r="F102" s="167" t="s">
        <v>77</v>
      </c>
      <c r="G102" s="168" t="s">
        <v>78</v>
      </c>
      <c r="I102" s="166">
        <f>A102</f>
        <v>45839</v>
      </c>
      <c r="J102" s="167" t="s">
        <v>77</v>
      </c>
      <c r="K102" s="168" t="s">
        <v>78</v>
      </c>
      <c r="M102" s="166">
        <f>A102</f>
        <v>45839</v>
      </c>
      <c r="N102" s="167" t="s">
        <v>77</v>
      </c>
      <c r="O102" s="168" t="s">
        <v>78</v>
      </c>
      <c r="Q102" s="166">
        <f>A102</f>
        <v>45839</v>
      </c>
      <c r="R102" s="167" t="s">
        <v>77</v>
      </c>
      <c r="S102" s="168" t="s">
        <v>78</v>
      </c>
    </row>
    <row r="103" spans="1:19" x14ac:dyDescent="0.35">
      <c r="A103" s="169"/>
      <c r="B103" s="249">
        <f>YEAR(A102)</f>
        <v>2025</v>
      </c>
      <c r="C103" s="171">
        <f>MONTH(A102)</f>
        <v>7</v>
      </c>
      <c r="E103" s="169"/>
      <c r="F103" s="249">
        <f>YEAR(E102)</f>
        <v>2025</v>
      </c>
      <c r="G103" s="171">
        <f>MONTH(E102)</f>
        <v>7</v>
      </c>
      <c r="I103" s="169"/>
      <c r="J103" s="249">
        <f>YEAR(I102)</f>
        <v>2025</v>
      </c>
      <c r="K103" s="171">
        <f>MONTH(I102)</f>
        <v>7</v>
      </c>
      <c r="M103" s="169"/>
      <c r="N103" s="249">
        <f>YEAR(M102)</f>
        <v>2025</v>
      </c>
      <c r="O103" s="171">
        <f>MONTH(M102)</f>
        <v>7</v>
      </c>
      <c r="Q103" s="169"/>
      <c r="R103" s="249">
        <f>YEAR(Q102)</f>
        <v>2025</v>
      </c>
      <c r="S103" s="171">
        <f>MONTH(Q102)</f>
        <v>7</v>
      </c>
    </row>
    <row r="104" spans="1:19" x14ac:dyDescent="0.35">
      <c r="A104" s="172" t="s">
        <v>79</v>
      </c>
      <c r="B104" s="250">
        <f>B100</f>
        <v>1312.7352963184032</v>
      </c>
      <c r="C104" s="251">
        <f>C100</f>
        <v>1321.4159298528577</v>
      </c>
      <c r="E104" s="172" t="s">
        <v>79</v>
      </c>
      <c r="F104" s="250">
        <f>F100</f>
        <v>38.551554432000017</v>
      </c>
      <c r="G104" s="252">
        <f>G100</f>
        <v>1347.8196613739697</v>
      </c>
      <c r="I104" s="172" t="s">
        <v>79</v>
      </c>
      <c r="J104" s="250">
        <f>J100</f>
        <v>307.27643623000017</v>
      </c>
      <c r="K104" s="252">
        <f>K100</f>
        <v>1391.4456923776586</v>
      </c>
      <c r="M104" s="172" t="s">
        <v>79</v>
      </c>
      <c r="N104" s="250">
        <f>N100</f>
        <v>22.043021370000126</v>
      </c>
      <c r="O104" s="252">
        <f>O100</f>
        <v>1506.5829606807849</v>
      </c>
      <c r="Q104" s="172" t="s">
        <v>79</v>
      </c>
      <c r="R104" s="250">
        <f>R100</f>
        <v>102.91288815359998</v>
      </c>
      <c r="S104" s="252">
        <f>S100</f>
        <v>1705.1529346627726</v>
      </c>
    </row>
    <row r="105" spans="1:19" x14ac:dyDescent="0.35">
      <c r="A105" s="175" t="s">
        <v>84</v>
      </c>
      <c r="B105" s="253">
        <f>Rolling!M$6-B106</f>
        <v>1552</v>
      </c>
      <c r="C105" s="241">
        <f>'CSD Resina Ush'!U53</f>
        <v>1251.9166738097847</v>
      </c>
      <c r="E105" s="175" t="s">
        <v>84</v>
      </c>
      <c r="F105" s="253">
        <f>Rolling!M$15</f>
        <v>16</v>
      </c>
      <c r="G105" s="177">
        <f>'HF resina'!AU52</f>
        <v>1282.0644177455968</v>
      </c>
      <c r="I105" s="175" t="s">
        <v>84</v>
      </c>
      <c r="J105" s="253">
        <f>Rolling!M$24</f>
        <v>250</v>
      </c>
      <c r="K105" s="177">
        <f>'HF resina'!W52</f>
        <v>1294.9026552015655</v>
      </c>
      <c r="M105" s="175" t="s">
        <v>84</v>
      </c>
      <c r="N105" s="253">
        <f>Rolling!M$33</f>
        <v>0</v>
      </c>
      <c r="O105" s="177">
        <f>K105</f>
        <v>1294.9026552015655</v>
      </c>
      <c r="Q105" s="175" t="s">
        <v>84</v>
      </c>
      <c r="R105" s="253">
        <f>Rolling!M$42</f>
        <v>7</v>
      </c>
      <c r="S105" s="177">
        <f>C105</f>
        <v>1251.9166738097847</v>
      </c>
    </row>
    <row r="106" spans="1:19" x14ac:dyDescent="0.35">
      <c r="A106" s="175" t="s">
        <v>84</v>
      </c>
      <c r="B106" s="253">
        <v>0</v>
      </c>
      <c r="C106" s="241"/>
      <c r="E106" s="175" t="s">
        <v>84</v>
      </c>
      <c r="F106" s="253">
        <v>0</v>
      </c>
      <c r="G106" s="177"/>
      <c r="I106" s="175" t="s">
        <v>84</v>
      </c>
      <c r="J106" s="253">
        <v>0</v>
      </c>
      <c r="K106" s="177"/>
      <c r="M106" s="175" t="s">
        <v>84</v>
      </c>
      <c r="N106" s="253">
        <v>0</v>
      </c>
      <c r="O106" s="177"/>
      <c r="Q106" s="175" t="s">
        <v>84</v>
      </c>
      <c r="R106" s="253">
        <v>0</v>
      </c>
      <c r="S106" s="177"/>
    </row>
    <row r="107" spans="1:19" x14ac:dyDescent="0.35">
      <c r="A107" s="175" t="s">
        <v>82</v>
      </c>
      <c r="B107" s="253">
        <f>SUMIFS(Entregas!AV:AV,Entregas!AP:AP,'Balance Resinas'!C103,Entregas!AQ:AQ,'Balance Resinas'!B103)</f>
        <v>1451.206225872</v>
      </c>
      <c r="C107" s="177"/>
      <c r="E107" s="175" t="s">
        <v>82</v>
      </c>
      <c r="F107" s="253">
        <f>SUMIFS(Entregas!AZ:AZ,Entregas!P:P,"5121",Entregas!AP:AP,'Balance Resinas'!G103,Entregas!AQ:AQ,'Balance Resinas'!F103)</f>
        <v>37.759647743999999</v>
      </c>
      <c r="G107" s="177"/>
      <c r="I107" s="175" t="s">
        <v>82</v>
      </c>
      <c r="J107" s="253">
        <f>SUMIFS(Entregas!AZ:AZ,Entregas!P:P,"5101",Entregas!AP:AP,'Balance Resinas'!K103,Entregas!AQ:AQ,'Balance Resinas'!J103)</f>
        <v>266.77559375999994</v>
      </c>
      <c r="K107" s="177"/>
      <c r="M107" s="175" t="s">
        <v>82</v>
      </c>
      <c r="N107" s="253">
        <f>SUMIFS(Entregas!AX:AX,Entregas!P:P,"5101",Entregas!AP:AP,'Balance Resinas'!O103,Entregas!AQ:AQ,'Balance Resinas'!N103)</f>
        <v>2.7430228799999994</v>
      </c>
      <c r="O107" s="177"/>
      <c r="Q107" s="175" t="s">
        <v>82</v>
      </c>
      <c r="R107" s="253">
        <f>SUMIFS(Entregas!AX:AX,Entregas!P:P,"5121",Entregas!AP:AP,'Balance Resinas'!S103,Entregas!AQ:AQ,'Balance Resinas'!R103)</f>
        <v>36.902905343999997</v>
      </c>
      <c r="S107" s="177"/>
    </row>
    <row r="108" spans="1:19" x14ac:dyDescent="0.35">
      <c r="A108" s="175" t="s">
        <v>83</v>
      </c>
      <c r="B108" s="253">
        <f>B109</f>
        <v>1413.529070446403</v>
      </c>
      <c r="C108" s="177"/>
      <c r="E108" s="175" t="s">
        <v>83</v>
      </c>
      <c r="F108" s="253">
        <f>+SUM(F104:F106)-F107</f>
        <v>16.791906688000019</v>
      </c>
      <c r="G108" s="177"/>
      <c r="I108" s="175" t="s">
        <v>83</v>
      </c>
      <c r="J108" s="253">
        <f>J109</f>
        <v>290.50084247000024</v>
      </c>
      <c r="K108" s="177"/>
      <c r="M108" s="175" t="s">
        <v>83</v>
      </c>
      <c r="N108" s="253">
        <f>N109</f>
        <v>19.299998490000128</v>
      </c>
      <c r="O108" s="177"/>
      <c r="Q108" s="175" t="s">
        <v>83</v>
      </c>
      <c r="R108" s="253">
        <f>R109</f>
        <v>73.00998280959999</v>
      </c>
      <c r="S108" s="177"/>
    </row>
    <row r="109" spans="1:19" x14ac:dyDescent="0.35">
      <c r="A109" s="178" t="str">
        <f>+"Saldo Inicio de "&amp;TEXT(EDATE(A102,1),"DD-MM-YYYY")</f>
        <v>Saldo Inicio de 01-08-2025</v>
      </c>
      <c r="B109" s="179">
        <f>+SUM(B104:B106)-B107</f>
        <v>1413.529070446403</v>
      </c>
      <c r="C109" s="243">
        <f>+SUMPRODUCT(B104:B106,C104:C106)/SUM(B104:B106)</f>
        <v>1283.7639884963671</v>
      </c>
      <c r="E109" s="178" t="str">
        <f>+"Saldo Inicio de "&amp;TEXT(EDATE(E102,1),"DD-MM-YYYY")</f>
        <v>Saldo Inicio de 01-08-2025</v>
      </c>
      <c r="F109" s="179">
        <f>F108</f>
        <v>16.791906688000019</v>
      </c>
      <c r="G109" s="180">
        <f>+SUMPRODUCT(F104:F106,G104:G106)/SUM(F104:F106)</f>
        <v>1328.533613359235</v>
      </c>
      <c r="I109" s="178" t="str">
        <f>+"Saldo Inicio de "&amp;TEXT(EDATE(I102,1),"DD-MM-YYYY")</f>
        <v>Saldo Inicio de 01-08-2025</v>
      </c>
      <c r="J109" s="179">
        <f>+SUM(J104:J106)-J107</f>
        <v>290.50084247000024</v>
      </c>
      <c r="K109" s="180">
        <f>+SUMPRODUCT(J104:J106,K104:K106)/SUM(J104:J106)</f>
        <v>1348.1354827134876</v>
      </c>
      <c r="M109" s="178" t="str">
        <f>+"Saldo Inicio de "&amp;TEXT(EDATE(M102,1),"DD-MM-YYYY")</f>
        <v>Saldo Inicio de 01-08-2025</v>
      </c>
      <c r="N109" s="179">
        <f>+SUM(N104:N106)-N107</f>
        <v>19.299998490000128</v>
      </c>
      <c r="O109" s="180">
        <f>+SUMPRODUCT(N104:N106,O104:O106)/SUM(N104:N106)</f>
        <v>1506.5829606807852</v>
      </c>
      <c r="Q109" s="178" t="str">
        <f>+"Saldo Inicio de "&amp;TEXT(EDATE(Q102,1),"DD-MM-YYYY")</f>
        <v>Saldo Inicio de 01-08-2025</v>
      </c>
      <c r="R109" s="179">
        <f>+SUM(R104:R106)-R107</f>
        <v>73.00998280959999</v>
      </c>
      <c r="S109" s="180">
        <f>+SUMPRODUCT(R104:R106,S104:S106)/SUM(R104:R106)</f>
        <v>1676.2877680816048</v>
      </c>
    </row>
    <row r="111" spans="1:19" x14ac:dyDescent="0.35">
      <c r="A111" s="166">
        <f>EDATE(A102,1)</f>
        <v>45870</v>
      </c>
      <c r="B111" s="167" t="s">
        <v>77</v>
      </c>
      <c r="C111" s="168" t="s">
        <v>78</v>
      </c>
      <c r="E111" s="166">
        <f>A111</f>
        <v>45870</v>
      </c>
      <c r="F111" s="167" t="s">
        <v>77</v>
      </c>
      <c r="G111" s="168" t="s">
        <v>78</v>
      </c>
      <c r="I111" s="166">
        <f>A111</f>
        <v>45870</v>
      </c>
      <c r="J111" s="167" t="s">
        <v>77</v>
      </c>
      <c r="K111" s="168" t="s">
        <v>78</v>
      </c>
      <c r="M111" s="166">
        <f>A111</f>
        <v>45870</v>
      </c>
      <c r="N111" s="167" t="s">
        <v>77</v>
      </c>
      <c r="O111" s="168" t="s">
        <v>78</v>
      </c>
      <c r="Q111" s="166">
        <f>A111</f>
        <v>45870</v>
      </c>
      <c r="R111" s="167" t="s">
        <v>77</v>
      </c>
      <c r="S111" s="168" t="s">
        <v>78</v>
      </c>
    </row>
    <row r="112" spans="1:19" x14ac:dyDescent="0.35">
      <c r="A112" s="169"/>
      <c r="B112" s="249">
        <f>YEAR(A111)</f>
        <v>2025</v>
      </c>
      <c r="C112" s="171">
        <f>MONTH(A111)</f>
        <v>8</v>
      </c>
      <c r="E112" s="169"/>
      <c r="F112" s="249">
        <f>YEAR(E111)</f>
        <v>2025</v>
      </c>
      <c r="G112" s="171">
        <f>MONTH(E111)</f>
        <v>8</v>
      </c>
      <c r="I112" s="169"/>
      <c r="J112" s="249">
        <f>YEAR(I111)</f>
        <v>2025</v>
      </c>
      <c r="K112" s="171">
        <f>MONTH(I111)</f>
        <v>8</v>
      </c>
      <c r="M112" s="169"/>
      <c r="N112" s="249">
        <f>YEAR(M111)</f>
        <v>2025</v>
      </c>
      <c r="O112" s="171">
        <f>MONTH(M111)</f>
        <v>8</v>
      </c>
      <c r="Q112" s="169"/>
      <c r="R112" s="249">
        <f>YEAR(Q111)</f>
        <v>2025</v>
      </c>
      <c r="S112" s="171">
        <f>MONTH(Q111)</f>
        <v>8</v>
      </c>
    </row>
    <row r="113" spans="1:19" x14ac:dyDescent="0.35">
      <c r="A113" s="172" t="s">
        <v>79</v>
      </c>
      <c r="B113" s="250">
        <f>B109</f>
        <v>1413.529070446403</v>
      </c>
      <c r="C113" s="251">
        <f>C109</f>
        <v>1283.7639884963671</v>
      </c>
      <c r="E113" s="172" t="s">
        <v>79</v>
      </c>
      <c r="F113" s="250">
        <f>F109</f>
        <v>16.791906688000019</v>
      </c>
      <c r="G113" s="252">
        <f>G109</f>
        <v>1328.533613359235</v>
      </c>
      <c r="I113" s="172" t="s">
        <v>79</v>
      </c>
      <c r="J113" s="250">
        <f>J109</f>
        <v>290.50084247000024</v>
      </c>
      <c r="K113" s="252">
        <f>K109</f>
        <v>1348.1354827134876</v>
      </c>
      <c r="M113" s="172" t="s">
        <v>79</v>
      </c>
      <c r="N113" s="250">
        <f>N109</f>
        <v>19.299998490000128</v>
      </c>
      <c r="O113" s="252">
        <f>O109</f>
        <v>1506.5829606807852</v>
      </c>
      <c r="Q113" s="172" t="s">
        <v>79</v>
      </c>
      <c r="R113" s="250">
        <f>R109</f>
        <v>73.00998280959999</v>
      </c>
      <c r="S113" s="252">
        <f>S109</f>
        <v>1676.2877680816048</v>
      </c>
    </row>
    <row r="114" spans="1:19" x14ac:dyDescent="0.35">
      <c r="A114" s="175" t="s">
        <v>84</v>
      </c>
      <c r="B114" s="253">
        <f>Rolling!N$6-B115</f>
        <v>1400</v>
      </c>
      <c r="C114" s="241">
        <f>'CSD Resina Ush'!U54</f>
        <v>1352.2311274656229</v>
      </c>
      <c r="E114" s="175" t="s">
        <v>84</v>
      </c>
      <c r="F114" s="253">
        <f>Rolling!N$15</f>
        <v>2</v>
      </c>
      <c r="G114" s="177">
        <f>'HF resina'!AU53</f>
        <v>1383.3691992746249</v>
      </c>
      <c r="I114" s="175" t="s">
        <v>84</v>
      </c>
      <c r="J114" s="253">
        <f>Rolling!N$24</f>
        <v>220</v>
      </c>
      <c r="K114" s="177">
        <f>'HF resina'!W53</f>
        <v>1406.6188279483367</v>
      </c>
      <c r="M114" s="175" t="s">
        <v>84</v>
      </c>
      <c r="N114" s="253">
        <f>Rolling!N$33</f>
        <v>0</v>
      </c>
      <c r="O114" s="177">
        <f>K114</f>
        <v>1406.6188279483367</v>
      </c>
      <c r="Q114" s="175" t="s">
        <v>84</v>
      </c>
      <c r="R114" s="253">
        <f>Rolling!N$42</f>
        <v>0</v>
      </c>
      <c r="S114" s="177">
        <f>C114</f>
        <v>1352.2311274656229</v>
      </c>
    </row>
    <row r="115" spans="1:19" x14ac:dyDescent="0.35">
      <c r="A115" s="175" t="s">
        <v>84</v>
      </c>
      <c r="B115" s="253">
        <v>0</v>
      </c>
      <c r="C115" s="241"/>
      <c r="E115" s="175" t="s">
        <v>84</v>
      </c>
      <c r="F115" s="253">
        <v>0</v>
      </c>
      <c r="G115" s="177"/>
      <c r="I115" s="175" t="s">
        <v>84</v>
      </c>
      <c r="J115" s="253">
        <v>0</v>
      </c>
      <c r="K115" s="177"/>
      <c r="M115" s="175" t="s">
        <v>84</v>
      </c>
      <c r="N115" s="253">
        <v>0</v>
      </c>
      <c r="O115" s="177"/>
      <c r="Q115" s="175" t="s">
        <v>84</v>
      </c>
      <c r="R115" s="253">
        <v>0</v>
      </c>
      <c r="S115" s="177"/>
    </row>
    <row r="116" spans="1:19" x14ac:dyDescent="0.35">
      <c r="A116" s="175" t="s">
        <v>82</v>
      </c>
      <c r="B116" s="253">
        <f>SUMIFS(Entregas!AV:AV,Entregas!AP:AP,'Balance Resinas'!C112,Entregas!AQ:AQ,'Balance Resinas'!B112)</f>
        <v>1165.2183540792</v>
      </c>
      <c r="C116" s="177"/>
      <c r="E116" s="175" t="s">
        <v>82</v>
      </c>
      <c r="F116" s="253">
        <f>SUMIFS(Entregas!AZ:AZ,Entregas!P:P,"5121",Entregas!AP:AP,'Balance Resinas'!G112,Entregas!AQ:AQ,'Balance Resinas'!F112)</f>
        <v>0</v>
      </c>
      <c r="G116" s="177"/>
      <c r="I116" s="175" t="s">
        <v>82</v>
      </c>
      <c r="J116" s="253">
        <f>SUMIFS(Entregas!AZ:AZ,Entregas!P:P,"5101",Entregas!AP:AP,'Balance Resinas'!K112,Entregas!AQ:AQ,'Balance Resinas'!J112)</f>
        <v>297.24626916</v>
      </c>
      <c r="K116" s="177"/>
      <c r="M116" s="175" t="s">
        <v>82</v>
      </c>
      <c r="N116" s="253">
        <f>SUMIFS(Entregas!AX:AX,Entregas!P:P,"5101",Entregas!AP:AP,'Balance Resinas'!O112,Entregas!AQ:AQ,'Balance Resinas'!N112)</f>
        <v>2.3821394399999996</v>
      </c>
      <c r="O116" s="177"/>
      <c r="Q116" s="175" t="s">
        <v>82</v>
      </c>
      <c r="R116" s="253">
        <f>SUMIFS(Entregas!AX:AX,Entregas!P:P,"5121",Entregas!AP:AP,'Balance Resinas'!S112,Entregas!AQ:AQ,'Balance Resinas'!R112)</f>
        <v>11.9934442368</v>
      </c>
      <c r="S116" s="177"/>
    </row>
    <row r="117" spans="1:19" x14ac:dyDescent="0.35">
      <c r="A117" s="175" t="s">
        <v>83</v>
      </c>
      <c r="B117" s="253">
        <f>B118</f>
        <v>1648.3107163672032</v>
      </c>
      <c r="C117" s="177"/>
      <c r="E117" s="175" t="s">
        <v>83</v>
      </c>
      <c r="F117" s="253">
        <f>+SUM(F113:F115)-F116</f>
        <v>18.791906688000019</v>
      </c>
      <c r="G117" s="177"/>
      <c r="I117" s="175" t="s">
        <v>83</v>
      </c>
      <c r="J117" s="253">
        <f>J118</f>
        <v>213.25457331000024</v>
      </c>
      <c r="K117" s="177"/>
      <c r="M117" s="175" t="s">
        <v>83</v>
      </c>
      <c r="N117" s="253">
        <f>N118</f>
        <v>16.917859050000128</v>
      </c>
      <c r="O117" s="177"/>
      <c r="Q117" s="175" t="s">
        <v>83</v>
      </c>
      <c r="R117" s="253">
        <f>R118</f>
        <v>61.016538572799988</v>
      </c>
      <c r="S117" s="177"/>
    </row>
    <row r="118" spans="1:19" x14ac:dyDescent="0.35">
      <c r="A118" s="178" t="str">
        <f>+"Saldo Inicio de "&amp;TEXT(EDATE(A111,1),"DD-MM-YYYY")</f>
        <v>Saldo Inicio de 01-09-2025</v>
      </c>
      <c r="B118" s="179">
        <f>+SUM(B113:B115)-B116</f>
        <v>1648.3107163672032</v>
      </c>
      <c r="C118" s="243">
        <f>+SUMPRODUCT(B113:B115,C113:C115)/SUM(B113:B115)</f>
        <v>1317.8329432350326</v>
      </c>
      <c r="E118" s="178" t="str">
        <f>+"Saldo Inicio de "&amp;TEXT(EDATE(E111,1),"DD-MM-YYYY")</f>
        <v>Saldo Inicio de 01-09-2025</v>
      </c>
      <c r="F118" s="179">
        <f>F117</f>
        <v>18.791906688000019</v>
      </c>
      <c r="G118" s="180">
        <f>+SUMPRODUCT(F113:F115,G113:G115)/SUM(F113:F115)</f>
        <v>1334.3696987363942</v>
      </c>
      <c r="I118" s="178" t="str">
        <f>+"Saldo Inicio de "&amp;TEXT(EDATE(I111,1),"DD-MM-YYYY")</f>
        <v>Saldo Inicio de 01-09-2025</v>
      </c>
      <c r="J118" s="179">
        <f>+SUM(J113:J115)-J116</f>
        <v>213.25457331000024</v>
      </c>
      <c r="K118" s="180">
        <f>+SUMPRODUCT(J113:J115,K113:K115)/SUM(J113:J115)</f>
        <v>1373.3388416137677</v>
      </c>
      <c r="M118" s="178" t="str">
        <f>+"Saldo Inicio de "&amp;TEXT(EDATE(M111,1),"DD-MM-YYYY")</f>
        <v>Saldo Inicio de 01-09-2025</v>
      </c>
      <c r="N118" s="179">
        <f>+SUM(N113:N115)-N116</f>
        <v>16.917859050000128</v>
      </c>
      <c r="O118" s="180">
        <f>+SUMPRODUCT(N113:N115,O113:O115)/SUM(N113:N115)</f>
        <v>1506.5829606807852</v>
      </c>
      <c r="Q118" s="178" t="str">
        <f>+"Saldo Inicio de "&amp;TEXT(EDATE(Q111,1),"DD-MM-YYYY")</f>
        <v>Saldo Inicio de 01-09-2025</v>
      </c>
      <c r="R118" s="179">
        <f>+SUM(R113:R115)-R116</f>
        <v>61.016538572799988</v>
      </c>
      <c r="S118" s="180">
        <f>+SUMPRODUCT(R113:R115,S113:S115)/SUM(R113:R115)</f>
        <v>1676.2877680816048</v>
      </c>
    </row>
    <row r="120" spans="1:19" x14ac:dyDescent="0.35">
      <c r="A120" s="166">
        <f>EDATE(A111,1)</f>
        <v>45901</v>
      </c>
      <c r="B120" s="167" t="s">
        <v>77</v>
      </c>
      <c r="C120" s="168" t="s">
        <v>78</v>
      </c>
      <c r="E120" s="166">
        <f>A120</f>
        <v>45901</v>
      </c>
      <c r="F120" s="167" t="s">
        <v>77</v>
      </c>
      <c r="G120" s="168" t="s">
        <v>78</v>
      </c>
      <c r="I120" s="166">
        <f>A120</f>
        <v>45901</v>
      </c>
      <c r="J120" s="167" t="s">
        <v>77</v>
      </c>
      <c r="K120" s="168" t="s">
        <v>78</v>
      </c>
      <c r="M120" s="166">
        <f>A120</f>
        <v>45901</v>
      </c>
      <c r="N120" s="167" t="s">
        <v>77</v>
      </c>
      <c r="O120" s="168" t="s">
        <v>78</v>
      </c>
      <c r="Q120" s="166">
        <f>A120</f>
        <v>45901</v>
      </c>
      <c r="R120" s="167" t="s">
        <v>77</v>
      </c>
      <c r="S120" s="168" t="s">
        <v>78</v>
      </c>
    </row>
    <row r="121" spans="1:19" x14ac:dyDescent="0.35">
      <c r="A121" s="169"/>
      <c r="B121" s="249">
        <f>YEAR(A120)</f>
        <v>2025</v>
      </c>
      <c r="C121" s="171">
        <f>MONTH(A120)</f>
        <v>9</v>
      </c>
      <c r="E121" s="169"/>
      <c r="F121" s="249">
        <f>YEAR(E120)</f>
        <v>2025</v>
      </c>
      <c r="G121" s="171">
        <f>MONTH(E120)</f>
        <v>9</v>
      </c>
      <c r="I121" s="169"/>
      <c r="J121" s="249">
        <f>YEAR(I120)</f>
        <v>2025</v>
      </c>
      <c r="K121" s="171">
        <f>MONTH(I120)</f>
        <v>9</v>
      </c>
      <c r="M121" s="169"/>
      <c r="N121" s="249">
        <f>YEAR(M120)</f>
        <v>2025</v>
      </c>
      <c r="O121" s="171">
        <f>MONTH(M120)</f>
        <v>9</v>
      </c>
      <c r="Q121" s="169"/>
      <c r="R121" s="249">
        <f>YEAR(Q120)</f>
        <v>2025</v>
      </c>
      <c r="S121" s="171">
        <f>MONTH(Q120)</f>
        <v>9</v>
      </c>
    </row>
    <row r="122" spans="1:19" x14ac:dyDescent="0.35">
      <c r="A122" s="172" t="s">
        <v>79</v>
      </c>
      <c r="B122" s="250">
        <f>B118</f>
        <v>1648.3107163672032</v>
      </c>
      <c r="C122" s="251">
        <f>C118</f>
        <v>1317.8329432350326</v>
      </c>
      <c r="E122" s="172" t="s">
        <v>79</v>
      </c>
      <c r="F122" s="250">
        <f>F118</f>
        <v>18.791906688000019</v>
      </c>
      <c r="G122" s="252">
        <f>G118</f>
        <v>1334.3696987363942</v>
      </c>
      <c r="I122" s="172" t="s">
        <v>79</v>
      </c>
      <c r="J122" s="250">
        <f>J118</f>
        <v>213.25457331000024</v>
      </c>
      <c r="K122" s="252">
        <f>K118</f>
        <v>1373.3388416137677</v>
      </c>
      <c r="M122" s="172" t="s">
        <v>79</v>
      </c>
      <c r="N122" s="250">
        <f>N118</f>
        <v>16.917859050000128</v>
      </c>
      <c r="O122" s="252">
        <f>O118</f>
        <v>1506.5829606807852</v>
      </c>
      <c r="Q122" s="172" t="s">
        <v>79</v>
      </c>
      <c r="R122" s="250">
        <f>R118</f>
        <v>61.016538572799988</v>
      </c>
      <c r="S122" s="252">
        <f>S118</f>
        <v>1676.2877680816048</v>
      </c>
    </row>
    <row r="123" spans="1:19" x14ac:dyDescent="0.35">
      <c r="A123" s="175" t="s">
        <v>84</v>
      </c>
      <c r="B123" s="253">
        <f>Rolling!O$6-B124</f>
        <v>1700</v>
      </c>
      <c r="C123" s="241">
        <f>'CSD Resina Ush'!U56</f>
        <v>1419.894</v>
      </c>
      <c r="E123" s="175" t="s">
        <v>84</v>
      </c>
      <c r="F123" s="253">
        <f>Rolling!O$15</f>
        <v>37.759647743999999</v>
      </c>
      <c r="G123" s="177">
        <f>'HF resina'!AU55</f>
        <v>1450.4371428571428</v>
      </c>
      <c r="I123" s="175" t="s">
        <v>84</v>
      </c>
      <c r="J123" s="253">
        <f>Rolling!O$24</f>
        <v>200</v>
      </c>
      <c r="K123" s="177">
        <f>'HF resina'!W55</f>
        <v>1448.5965714285715</v>
      </c>
      <c r="M123" s="175" t="s">
        <v>84</v>
      </c>
      <c r="N123" s="253">
        <f>Rolling!O$33</f>
        <v>0</v>
      </c>
      <c r="O123" s="177">
        <f>K123</f>
        <v>1448.5965714285715</v>
      </c>
      <c r="Q123" s="175" t="s">
        <v>84</v>
      </c>
      <c r="R123" s="253">
        <f>Rolling!O$42</f>
        <v>30</v>
      </c>
      <c r="S123" s="177">
        <f>C123</f>
        <v>1419.894</v>
      </c>
    </row>
    <row r="124" spans="1:19" x14ac:dyDescent="0.35">
      <c r="A124" s="175" t="s">
        <v>84</v>
      </c>
      <c r="B124" s="253">
        <v>0</v>
      </c>
      <c r="C124" s="241"/>
      <c r="E124" s="175" t="s">
        <v>84</v>
      </c>
      <c r="F124" s="253">
        <v>0</v>
      </c>
      <c r="G124" s="177"/>
      <c r="I124" s="175" t="s">
        <v>84</v>
      </c>
      <c r="J124" s="253">
        <v>0</v>
      </c>
      <c r="K124" s="177"/>
      <c r="M124" s="175" t="s">
        <v>84</v>
      </c>
      <c r="N124" s="253">
        <v>0</v>
      </c>
      <c r="O124" s="177"/>
      <c r="Q124" s="175" t="s">
        <v>84</v>
      </c>
      <c r="R124" s="253">
        <v>0</v>
      </c>
      <c r="S124" s="177"/>
    </row>
    <row r="125" spans="1:19" x14ac:dyDescent="0.35">
      <c r="A125" s="175" t="s">
        <v>82</v>
      </c>
      <c r="B125" s="253">
        <f>SUMIFS(Entregas!AV:AV,Entregas!AP:AP,'Balance Resinas'!C121,Entregas!AQ:AQ,'Balance Resinas'!B121)</f>
        <v>1595.4140449079991</v>
      </c>
      <c r="C125" s="177"/>
      <c r="E125" s="175" t="s">
        <v>82</v>
      </c>
      <c r="F125" s="253">
        <f>SUMIFS(Entregas!AZ:AZ,Entregas!P:P,"5121",Entregas!AP:AP,'Balance Resinas'!G121,Entregas!AQ:AQ,'Balance Resinas'!F121)</f>
        <v>18.879823871999999</v>
      </c>
      <c r="G125" s="177"/>
      <c r="I125" s="175" t="s">
        <v>82</v>
      </c>
      <c r="J125" s="253">
        <f>SUMIFS(Entregas!AZ:AZ,Entregas!P:P,"5101",Entregas!AP:AP,'Balance Resinas'!K121,Entregas!AQ:AQ,'Balance Resinas'!J121)</f>
        <v>184.82750783999998</v>
      </c>
      <c r="K125" s="177"/>
      <c r="M125" s="175" t="s">
        <v>82</v>
      </c>
      <c r="N125" s="253">
        <f>SUMIFS(Entregas!AX:AX,Entregas!P:P,"5101",Entregas!AP:AP,'Balance Resinas'!O121,Entregas!AQ:AQ,'Balance Resinas'!N121)</f>
        <v>6.1893849599999999</v>
      </c>
      <c r="O125" s="177"/>
      <c r="Q125" s="175" t="s">
        <v>82</v>
      </c>
      <c r="R125" s="253">
        <f>SUMIFS(Entregas!AX:AX,Entregas!P:P,"5121",Entregas!AP:AP,'Balance Resinas'!S121,Entregas!AQ:AQ,'Balance Resinas'!R121)</f>
        <v>0</v>
      </c>
      <c r="S125" s="177"/>
    </row>
    <row r="126" spans="1:19" x14ac:dyDescent="0.35">
      <c r="A126" s="175" t="s">
        <v>83</v>
      </c>
      <c r="B126" s="253">
        <f>B127</f>
        <v>1752.8966714592038</v>
      </c>
      <c r="C126" s="177"/>
      <c r="E126" s="175" t="s">
        <v>83</v>
      </c>
      <c r="F126" s="253">
        <f>+SUM(F122:F124)-F125</f>
        <v>37.671730560000015</v>
      </c>
      <c r="G126" s="177"/>
      <c r="I126" s="175" t="s">
        <v>83</v>
      </c>
      <c r="J126" s="253">
        <f>J127</f>
        <v>228.42706547000026</v>
      </c>
      <c r="K126" s="177"/>
      <c r="M126" s="175" t="s">
        <v>83</v>
      </c>
      <c r="N126" s="253">
        <f>N127</f>
        <v>10.728474090000129</v>
      </c>
      <c r="O126" s="177"/>
      <c r="Q126" s="175" t="s">
        <v>83</v>
      </c>
      <c r="R126" s="253">
        <f>R127</f>
        <v>91.016538572799988</v>
      </c>
      <c r="S126" s="177"/>
    </row>
    <row r="127" spans="1:19" x14ac:dyDescent="0.35">
      <c r="A127" s="178" t="str">
        <f>+"Saldo Inicio de "&amp;TEXT(EDATE(A120,1),"DD-MM-YYYY")</f>
        <v>Saldo Inicio de 01-10-2025</v>
      </c>
      <c r="B127" s="179">
        <f>+SUM(B122:B124)-B125</f>
        <v>1752.8966714592038</v>
      </c>
      <c r="C127" s="243">
        <f>+SUMPRODUCT(B122:B124,C122:C124)/SUM(B122:B124)</f>
        <v>1369.6512513903433</v>
      </c>
      <c r="E127" s="178" t="str">
        <f>+"Saldo Inicio de "&amp;TEXT(EDATE(E120,1),"DD-MM-YYYY")</f>
        <v>Saldo Inicio de 01-10-2025</v>
      </c>
      <c r="F127" s="179">
        <f>F126</f>
        <v>37.671730560000015</v>
      </c>
      <c r="G127" s="180">
        <f>+SUMPRODUCT(F122:F124,G122:G124)/SUM(F122:F124)</f>
        <v>1411.8682900406488</v>
      </c>
      <c r="I127" s="178" t="str">
        <f>+"Saldo Inicio de "&amp;TEXT(EDATE(I120,1),"DD-MM-YYYY")</f>
        <v>Saldo Inicio de 01-10-2025</v>
      </c>
      <c r="J127" s="179">
        <f>+SUM(J122:J124)-J125</f>
        <v>228.42706547000026</v>
      </c>
      <c r="K127" s="180">
        <f>+SUMPRODUCT(J122:J124,K122:K124)/SUM(J122:J124)</f>
        <v>1409.7608123191469</v>
      </c>
      <c r="M127" s="178" t="str">
        <f>+"Saldo Inicio de "&amp;TEXT(EDATE(M120,1),"DD-MM-YYYY")</f>
        <v>Saldo Inicio de 01-10-2025</v>
      </c>
      <c r="N127" s="179">
        <f>+SUM(N122:N124)-N125</f>
        <v>10.728474090000129</v>
      </c>
      <c r="O127" s="180">
        <f>+SUMPRODUCT(N122:N124,O122:O124)/SUM(N122:N124)</f>
        <v>1506.5829606807852</v>
      </c>
      <c r="Q127" s="178" t="str">
        <f>+"Saldo Inicio de "&amp;TEXT(EDATE(Q120,1),"DD-MM-YYYY")</f>
        <v>Saldo Inicio de 01-10-2025</v>
      </c>
      <c r="R127" s="179">
        <f>+SUM(R122:R124)-R125</f>
        <v>91.016538572799988</v>
      </c>
      <c r="S127" s="180">
        <f>+SUMPRODUCT(R122:R124,S122:S124)/SUM(R122:R124)</f>
        <v>1591.7777091070393</v>
      </c>
    </row>
    <row r="129" spans="1:19" x14ac:dyDescent="0.35">
      <c r="A129" s="166">
        <f>EDATE(A120,1)</f>
        <v>45931</v>
      </c>
      <c r="B129" s="167" t="s">
        <v>77</v>
      </c>
      <c r="C129" s="168" t="s">
        <v>78</v>
      </c>
      <c r="E129" s="166">
        <f>A129</f>
        <v>45931</v>
      </c>
      <c r="F129" s="167" t="s">
        <v>77</v>
      </c>
      <c r="G129" s="168" t="s">
        <v>78</v>
      </c>
      <c r="I129" s="166">
        <f>A129</f>
        <v>45931</v>
      </c>
      <c r="J129" s="167" t="s">
        <v>77</v>
      </c>
      <c r="K129" s="168" t="s">
        <v>78</v>
      </c>
      <c r="M129" s="166">
        <f>A129</f>
        <v>45931</v>
      </c>
      <c r="N129" s="167" t="s">
        <v>77</v>
      </c>
      <c r="O129" s="168" t="s">
        <v>78</v>
      </c>
      <c r="Q129" s="166">
        <f>A129</f>
        <v>45931</v>
      </c>
      <c r="R129" s="167" t="s">
        <v>77</v>
      </c>
      <c r="S129" s="168" t="s">
        <v>78</v>
      </c>
    </row>
    <row r="130" spans="1:19" x14ac:dyDescent="0.35">
      <c r="A130" s="169"/>
      <c r="B130" s="249">
        <f>YEAR(A129)</f>
        <v>2025</v>
      </c>
      <c r="C130" s="171">
        <f>MONTH(A129)</f>
        <v>10</v>
      </c>
      <c r="E130" s="169"/>
      <c r="F130" s="249">
        <f>YEAR(E129)</f>
        <v>2025</v>
      </c>
      <c r="G130" s="171">
        <f>MONTH(E129)</f>
        <v>10</v>
      </c>
      <c r="I130" s="169"/>
      <c r="J130" s="249">
        <f>YEAR(I129)</f>
        <v>2025</v>
      </c>
      <c r="K130" s="171">
        <f>MONTH(I129)</f>
        <v>10</v>
      </c>
      <c r="M130" s="169"/>
      <c r="N130" s="249">
        <f>YEAR(M129)</f>
        <v>2025</v>
      </c>
      <c r="O130" s="171">
        <f>MONTH(M129)</f>
        <v>10</v>
      </c>
      <c r="Q130" s="169"/>
      <c r="R130" s="249">
        <f>YEAR(Q129)</f>
        <v>2025</v>
      </c>
      <c r="S130" s="171">
        <f>MONTH(Q129)</f>
        <v>10</v>
      </c>
    </row>
    <row r="131" spans="1:19" x14ac:dyDescent="0.35">
      <c r="A131" s="172" t="str">
        <f>+A127</f>
        <v>Saldo Inicio de 01-10-2025</v>
      </c>
      <c r="B131" s="250">
        <f>B127</f>
        <v>1752.8966714592038</v>
      </c>
      <c r="C131" s="251">
        <f>C127</f>
        <v>1369.6512513903433</v>
      </c>
      <c r="E131" s="172" t="str">
        <f>+E127</f>
        <v>Saldo Inicio de 01-10-2025</v>
      </c>
      <c r="F131" s="250">
        <f>F127</f>
        <v>37.671730560000015</v>
      </c>
      <c r="G131" s="252">
        <f>G127</f>
        <v>1411.8682900406488</v>
      </c>
      <c r="I131" s="172" t="str">
        <f>+I127</f>
        <v>Saldo Inicio de 01-10-2025</v>
      </c>
      <c r="J131" s="250">
        <f>J127</f>
        <v>228.42706547000026</v>
      </c>
      <c r="K131" s="252">
        <f>K127</f>
        <v>1409.7608123191469</v>
      </c>
      <c r="M131" s="172" t="str">
        <f>+M127</f>
        <v>Saldo Inicio de 01-10-2025</v>
      </c>
      <c r="N131" s="250">
        <f>N127</f>
        <v>10.728474090000129</v>
      </c>
      <c r="O131" s="252">
        <f>O127</f>
        <v>1506.5829606807852</v>
      </c>
      <c r="Q131" s="172" t="str">
        <f>+Q127</f>
        <v>Saldo Inicio de 01-10-2025</v>
      </c>
      <c r="R131" s="250">
        <f>R127</f>
        <v>91.016538572799988</v>
      </c>
      <c r="S131" s="252">
        <f>S127</f>
        <v>1591.7777091070393</v>
      </c>
    </row>
    <row r="132" spans="1:19" x14ac:dyDescent="0.35">
      <c r="A132" s="175" t="s">
        <v>84</v>
      </c>
      <c r="B132" s="253">
        <f>Rolling!P$6-B133</f>
        <v>1700</v>
      </c>
      <c r="C132" s="241">
        <f>'CSD Resina Ush'!U57</f>
        <v>1391.0811550000001</v>
      </c>
      <c r="E132" s="175" t="s">
        <v>84</v>
      </c>
      <c r="F132" s="253">
        <f>Rolling!P$15</f>
        <v>19</v>
      </c>
      <c r="G132" s="177">
        <f>'HF resina'!AU56</f>
        <v>1421.336155</v>
      </c>
      <c r="I132" s="175" t="s">
        <v>84</v>
      </c>
      <c r="J132" s="253">
        <f>Rolling!P$24</f>
        <v>110</v>
      </c>
      <c r="K132" s="177">
        <f>'HF resina'!W56</f>
        <v>1416.8264300000001</v>
      </c>
      <c r="M132" s="175" t="s">
        <v>84</v>
      </c>
      <c r="N132" s="253">
        <f>Rolling!P$33</f>
        <v>0</v>
      </c>
      <c r="O132" s="177">
        <f>K132</f>
        <v>1416.8264300000001</v>
      </c>
      <c r="Q132" s="175" t="s">
        <v>84</v>
      </c>
      <c r="R132" s="253">
        <f>Rolling!P$42</f>
        <v>55</v>
      </c>
      <c r="S132" s="177">
        <f>C132</f>
        <v>1391.0811550000001</v>
      </c>
    </row>
    <row r="133" spans="1:19" x14ac:dyDescent="0.35">
      <c r="A133" s="175" t="s">
        <v>84</v>
      </c>
      <c r="B133" s="253">
        <v>0</v>
      </c>
      <c r="C133" s="241"/>
      <c r="E133" s="175" t="s">
        <v>84</v>
      </c>
      <c r="F133" s="253">
        <v>0</v>
      </c>
      <c r="G133" s="177"/>
      <c r="I133" s="175" t="s">
        <v>84</v>
      </c>
      <c r="J133" s="253">
        <v>0</v>
      </c>
      <c r="K133" s="177"/>
      <c r="M133" s="175" t="s">
        <v>84</v>
      </c>
      <c r="N133" s="253">
        <v>0</v>
      </c>
      <c r="O133" s="177"/>
      <c r="Q133" s="175" t="s">
        <v>84</v>
      </c>
      <c r="R133" s="253">
        <v>0</v>
      </c>
      <c r="S133" s="177"/>
    </row>
    <row r="134" spans="1:19" x14ac:dyDescent="0.35">
      <c r="A134" s="175" t="s">
        <v>82</v>
      </c>
      <c r="B134" s="253">
        <f>SUMIFS(Entregas!AV:AV,Entregas!AP:AP,'Balance Resinas'!C130,Entregas!AQ:AQ,'Balance Resinas'!B130)</f>
        <v>1749.1766745552002</v>
      </c>
      <c r="C134" s="177"/>
      <c r="E134" s="175" t="s">
        <v>82</v>
      </c>
      <c r="F134" s="253">
        <f>SUMIFS(Entregas!AZ:AZ,Entregas!P:P,"5121",Entregas!AP:AP,'Balance Resinas'!G130,Entregas!AQ:AQ,'Balance Resinas'!F130)</f>
        <v>37.759647743999999</v>
      </c>
      <c r="G134" s="177"/>
      <c r="I134" s="175" t="s">
        <v>82</v>
      </c>
      <c r="J134" s="253">
        <f>SUMIFS(Entregas!AZ:AZ,Entregas!P:P,"5101",Entregas!AP:AP,'Balance Resinas'!K130,Entregas!AQ:AQ,'Balance Resinas'!J130)</f>
        <v>133.1752032</v>
      </c>
      <c r="K134" s="177"/>
      <c r="M134" s="175" t="s">
        <v>82</v>
      </c>
      <c r="N134" s="253">
        <f>SUMIFS(Entregas!AX:AX,Entregas!P:P,"5101",Entregas!AP:AP,'Balance Resinas'!O130,Entregas!AQ:AQ,'Balance Resinas'!N130)</f>
        <v>0</v>
      </c>
      <c r="O134" s="177"/>
      <c r="Q134" s="175" t="s">
        <v>82</v>
      </c>
      <c r="R134" s="253">
        <f>SUMIFS(Entregas!AX:AX,Entregas!P:P,"5121",Entregas!AP:AP,'Balance Resinas'!S130,Entregas!AQ:AQ,'Balance Resinas'!R130)</f>
        <v>67.732207516800031</v>
      </c>
      <c r="S134" s="177"/>
    </row>
    <row r="135" spans="1:19" x14ac:dyDescent="0.35">
      <c r="A135" s="175" t="s">
        <v>83</v>
      </c>
      <c r="B135" s="253">
        <f>B136</f>
        <v>1703.7199969040037</v>
      </c>
      <c r="C135" s="177"/>
      <c r="E135" s="175" t="s">
        <v>83</v>
      </c>
      <c r="F135" s="253">
        <f>+SUM(F131:F133)-F134</f>
        <v>18.912082816000016</v>
      </c>
      <c r="G135" s="177"/>
      <c r="I135" s="175" t="s">
        <v>83</v>
      </c>
      <c r="J135" s="253">
        <f>J136</f>
        <v>205.25186227000023</v>
      </c>
      <c r="K135" s="177"/>
      <c r="M135" s="175" t="s">
        <v>83</v>
      </c>
      <c r="N135" s="253">
        <f>N136</f>
        <v>10.728474090000129</v>
      </c>
      <c r="O135" s="177"/>
      <c r="Q135" s="175" t="s">
        <v>83</v>
      </c>
      <c r="R135" s="253">
        <f>R136</f>
        <v>78.284331055999957</v>
      </c>
      <c r="S135" s="177"/>
    </row>
    <row r="136" spans="1:19" x14ac:dyDescent="0.35">
      <c r="A136" s="178" t="str">
        <f>+"Saldo Inicio de "&amp;TEXT(EDATE(A129,1),"DD-MM-YYYY")</f>
        <v>Saldo Inicio de 01-11-2025</v>
      </c>
      <c r="B136" s="179">
        <f>+SUM(B131:B133)-B134</f>
        <v>1703.7199969040037</v>
      </c>
      <c r="C136" s="243">
        <f>+SUMPRODUCT(B131:B133,C131:C133)/SUM(B131:B133)</f>
        <v>1380.2020554261387</v>
      </c>
      <c r="E136" s="178" t="str">
        <f>+"Saldo Inicio de "&amp;TEXT(EDATE(E129,1),"DD-MM-YYYY")</f>
        <v>Saldo Inicio de 01-11-2025</v>
      </c>
      <c r="F136" s="179">
        <f>F135</f>
        <v>18.912082816000016</v>
      </c>
      <c r="G136" s="180">
        <f>+SUMPRODUCT(F131:F133,G131:G133)/SUM(F131:F133)</f>
        <v>1415.0425258095249</v>
      </c>
      <c r="I136" s="178" t="str">
        <f>+"Saldo Inicio de "&amp;TEXT(EDATE(I129,1),"DD-MM-YYYY")</f>
        <v>Saldo Inicio de 01-11-2025</v>
      </c>
      <c r="J136" s="179">
        <f>+SUM(J131:J133)-J134</f>
        <v>205.25186227000023</v>
      </c>
      <c r="K136" s="180">
        <f>+SUMPRODUCT(J131:J133,K131:K133)/SUM(J131:J133)</f>
        <v>1412.0573719746653</v>
      </c>
      <c r="M136" s="178" t="str">
        <f>+"Saldo Inicio de "&amp;TEXT(EDATE(M129,1),"DD-MM-YYYY")</f>
        <v>Saldo Inicio de 01-11-2025</v>
      </c>
      <c r="N136" s="179">
        <f>+SUM(N131:N133)-N134</f>
        <v>10.728474090000129</v>
      </c>
      <c r="O136" s="180">
        <f>+SUMPRODUCT(N131:N133,O131:O133)/SUM(N131:N133)</f>
        <v>1506.5829606807852</v>
      </c>
      <c r="Q136" s="178" t="str">
        <f>+"Saldo Inicio de "&amp;TEXT(EDATE(Q129,1),"DD-MM-YYYY")</f>
        <v>Saldo Inicio de 01-11-2025</v>
      </c>
      <c r="R136" s="179">
        <f>+SUM(R131:R133)-R134</f>
        <v>78.284331055999957</v>
      </c>
      <c r="S136" s="180">
        <f>+SUMPRODUCT(R131:R133,S131:S133)/SUM(R131:R133)</f>
        <v>1516.1814062239673</v>
      </c>
    </row>
    <row r="138" spans="1:19" x14ac:dyDescent="0.35">
      <c r="A138" s="166">
        <f>EDATE(A129,1)</f>
        <v>45962</v>
      </c>
      <c r="B138" s="167" t="s">
        <v>77</v>
      </c>
      <c r="C138" s="168" t="s">
        <v>78</v>
      </c>
      <c r="E138" s="166">
        <f>A138</f>
        <v>45962</v>
      </c>
      <c r="F138" s="167" t="s">
        <v>77</v>
      </c>
      <c r="G138" s="168" t="s">
        <v>78</v>
      </c>
      <c r="I138" s="166">
        <f>A138</f>
        <v>45962</v>
      </c>
      <c r="J138" s="167" t="s">
        <v>77</v>
      </c>
      <c r="K138" s="168" t="s">
        <v>78</v>
      </c>
      <c r="M138" s="166">
        <f>A138</f>
        <v>45962</v>
      </c>
      <c r="N138" s="167" t="s">
        <v>77</v>
      </c>
      <c r="O138" s="168" t="s">
        <v>78</v>
      </c>
      <c r="Q138" s="166">
        <f>A138</f>
        <v>45962</v>
      </c>
      <c r="R138" s="167" t="s">
        <v>77</v>
      </c>
      <c r="S138" s="168" t="s">
        <v>78</v>
      </c>
    </row>
    <row r="139" spans="1:19" x14ac:dyDescent="0.35">
      <c r="A139" s="169"/>
      <c r="B139" s="249">
        <f>YEAR(A138)</f>
        <v>2025</v>
      </c>
      <c r="C139" s="171">
        <f>MONTH(A138)</f>
        <v>11</v>
      </c>
      <c r="E139" s="169"/>
      <c r="F139" s="249">
        <f>YEAR(E138)</f>
        <v>2025</v>
      </c>
      <c r="G139" s="171">
        <f>MONTH(E138)</f>
        <v>11</v>
      </c>
      <c r="I139" s="169"/>
      <c r="J139" s="249">
        <f>YEAR(I138)</f>
        <v>2025</v>
      </c>
      <c r="K139" s="171">
        <f>MONTH(I138)</f>
        <v>11</v>
      </c>
      <c r="M139" s="169"/>
      <c r="N139" s="249">
        <f>YEAR(M138)</f>
        <v>2025</v>
      </c>
      <c r="O139" s="171">
        <f>MONTH(M138)</f>
        <v>11</v>
      </c>
      <c r="Q139" s="169"/>
      <c r="R139" s="249">
        <f>YEAR(Q138)</f>
        <v>2025</v>
      </c>
      <c r="S139" s="171">
        <f>MONTH(Q138)</f>
        <v>11</v>
      </c>
    </row>
    <row r="140" spans="1:19" x14ac:dyDescent="0.35">
      <c r="A140" s="172" t="str">
        <f>+A136</f>
        <v>Saldo Inicio de 01-11-2025</v>
      </c>
      <c r="B140" s="250">
        <f>B136</f>
        <v>1703.7199969040037</v>
      </c>
      <c r="C140" s="251">
        <f>C136</f>
        <v>1380.2020554261387</v>
      </c>
      <c r="E140" s="172" t="str">
        <f>+E136</f>
        <v>Saldo Inicio de 01-11-2025</v>
      </c>
      <c r="F140" s="250">
        <f>F136</f>
        <v>18.912082816000016</v>
      </c>
      <c r="G140" s="252">
        <f>G136</f>
        <v>1415.0425258095249</v>
      </c>
      <c r="I140" s="172" t="str">
        <f>+I136</f>
        <v>Saldo Inicio de 01-11-2025</v>
      </c>
      <c r="J140" s="250">
        <f>J136</f>
        <v>205.25186227000023</v>
      </c>
      <c r="K140" s="252">
        <f>K136</f>
        <v>1412.0573719746653</v>
      </c>
      <c r="M140" s="172" t="str">
        <f>+M136</f>
        <v>Saldo Inicio de 01-11-2025</v>
      </c>
      <c r="N140" s="250">
        <f>N136</f>
        <v>10.728474090000129</v>
      </c>
      <c r="O140" s="252">
        <f>O136</f>
        <v>1506.5829606807852</v>
      </c>
      <c r="Q140" s="172" t="str">
        <f>+Q136</f>
        <v>Saldo Inicio de 01-11-2025</v>
      </c>
      <c r="R140" s="250">
        <f>R136</f>
        <v>78.284331055999957</v>
      </c>
      <c r="S140" s="252">
        <f>S136</f>
        <v>1516.1814062239673</v>
      </c>
    </row>
    <row r="141" spans="1:19" x14ac:dyDescent="0.35">
      <c r="A141" s="175" t="s">
        <v>84</v>
      </c>
      <c r="B141" s="253">
        <f>Rolling!Q$6-B142</f>
        <v>1400</v>
      </c>
      <c r="C141" s="241">
        <f>'CSD Resina Ush'!U58</f>
        <v>1300.2657300000001</v>
      </c>
      <c r="E141" s="175" t="s">
        <v>84</v>
      </c>
      <c r="F141" s="253">
        <f>Rolling!Q$15</f>
        <v>37.571788799999993</v>
      </c>
      <c r="G141" s="177">
        <f>'HF resina'!AU57</f>
        <v>1330.5207300000002</v>
      </c>
      <c r="I141" s="175" t="s">
        <v>84</v>
      </c>
      <c r="J141" s="253">
        <f>Rolling!Q$24</f>
        <v>300</v>
      </c>
      <c r="K141" s="177">
        <f>'HF resina'!W57</f>
        <v>1317.68138</v>
      </c>
      <c r="M141" s="175" t="s">
        <v>84</v>
      </c>
      <c r="N141" s="253">
        <f>Rolling!Q$33</f>
        <v>16</v>
      </c>
      <c r="O141" s="177">
        <f>K141</f>
        <v>1317.68138</v>
      </c>
      <c r="Q141" s="175" t="s">
        <v>84</v>
      </c>
      <c r="R141" s="253">
        <f>Rolling!Q$42</f>
        <v>18</v>
      </c>
      <c r="S141" s="177">
        <f>C141</f>
        <v>1300.2657300000001</v>
      </c>
    </row>
    <row r="142" spans="1:19" x14ac:dyDescent="0.35">
      <c r="A142" s="175" t="s">
        <v>84</v>
      </c>
      <c r="B142" s="253">
        <v>0</v>
      </c>
      <c r="C142" s="241"/>
      <c r="E142" s="175" t="s">
        <v>84</v>
      </c>
      <c r="F142" s="253">
        <v>0</v>
      </c>
      <c r="G142" s="177"/>
      <c r="I142" s="175" t="s">
        <v>84</v>
      </c>
      <c r="J142" s="253">
        <v>0</v>
      </c>
      <c r="K142" s="177"/>
      <c r="M142" s="175" t="s">
        <v>84</v>
      </c>
      <c r="N142" s="253">
        <v>0</v>
      </c>
      <c r="O142" s="177"/>
      <c r="Q142" s="175" t="s">
        <v>84</v>
      </c>
      <c r="R142" s="253">
        <v>0</v>
      </c>
      <c r="S142" s="177"/>
    </row>
    <row r="143" spans="1:19" x14ac:dyDescent="0.35">
      <c r="A143" s="175" t="s">
        <v>82</v>
      </c>
      <c r="B143" s="253">
        <f>SUMIFS(Entregas!AV:AV,Entregas!AP:AP,'Balance Resinas'!C139,Entregas!AQ:AQ,'Balance Resinas'!B139)</f>
        <v>1452.7914742800001</v>
      </c>
      <c r="C143" s="177"/>
      <c r="E143" s="175" t="s">
        <v>82</v>
      </c>
      <c r="F143" s="253">
        <f>SUMIFS(Entregas!AZ:AZ,Entregas!P:P,"5121",Entregas!AP:AP,'Balance Resinas'!G139,Entregas!AQ:AQ,'Balance Resinas'!F139)</f>
        <v>18.879823871999999</v>
      </c>
      <c r="G143" s="177"/>
      <c r="I143" s="175" t="s">
        <v>82</v>
      </c>
      <c r="J143" s="253">
        <f>SUMIFS(Entregas!AZ:AZ,Entregas!P:P,"5101",Entregas!AP:AP,'Balance Resinas'!K139,Entregas!AQ:AQ,'Balance Resinas'!J139)</f>
        <v>240.37856927999997</v>
      </c>
      <c r="K143" s="177"/>
      <c r="M143" s="175" t="s">
        <v>82</v>
      </c>
      <c r="N143" s="253">
        <f>SUMIFS(Entregas!AX:AX,Entregas!P:P,"5101",Entregas!AP:AP,'Balance Resinas'!O139,Entregas!AQ:AQ,'Balance Resinas'!N139)</f>
        <v>5.3453779200000007</v>
      </c>
      <c r="O143" s="177"/>
      <c r="Q143" s="175" t="s">
        <v>82</v>
      </c>
      <c r="R143" s="253">
        <f>SUMIFS(Entregas!AX:AX,Entregas!P:P,"5121",Entregas!AP:AP,'Balance Resinas'!S139,Entregas!AQ:AQ,'Balance Resinas'!R139)</f>
        <v>39.978147456000002</v>
      </c>
      <c r="S143" s="177"/>
    </row>
    <row r="144" spans="1:19" x14ac:dyDescent="0.35">
      <c r="A144" s="175" t="s">
        <v>83</v>
      </c>
      <c r="B144" s="253">
        <f>B145</f>
        <v>1650.9285226240038</v>
      </c>
      <c r="C144" s="177"/>
      <c r="E144" s="175" t="s">
        <v>83</v>
      </c>
      <c r="F144" s="253">
        <f>+SUM(F140:F142)-F143</f>
        <v>37.604047744000013</v>
      </c>
      <c r="G144" s="177"/>
      <c r="I144" s="175" t="s">
        <v>83</v>
      </c>
      <c r="J144" s="253">
        <f>J145</f>
        <v>264.87329299000027</v>
      </c>
      <c r="K144" s="177"/>
      <c r="M144" s="175" t="s">
        <v>83</v>
      </c>
      <c r="N144" s="253">
        <f>N145</f>
        <v>21.383096170000126</v>
      </c>
      <c r="O144" s="177"/>
      <c r="Q144" s="175" t="s">
        <v>83</v>
      </c>
      <c r="R144" s="253">
        <f>R145</f>
        <v>56.306183599999954</v>
      </c>
      <c r="S144" s="177"/>
    </row>
    <row r="145" spans="1:19" x14ac:dyDescent="0.35">
      <c r="A145" s="178" t="str">
        <f>+"Saldo Inicio de "&amp;TEXT(EDATE(A138,1),"DD-MM-YYYY")</f>
        <v>Saldo Inicio de 01-12-2025</v>
      </c>
      <c r="B145" s="179">
        <f>+SUM(B140:B142)-B143</f>
        <v>1650.9285226240038</v>
      </c>
      <c r="C145" s="243">
        <f>+SUMPRODUCT(B140:B142,C140:C142)/SUM(B140:B142)</f>
        <v>1344.1450478003778</v>
      </c>
      <c r="E145" s="178" t="str">
        <f>+"Saldo Inicio de "&amp;TEXT(EDATE(E138,1),"DD-MM-YYYY")</f>
        <v>Saldo Inicio de 01-12-2025</v>
      </c>
      <c r="F145" s="179">
        <f>F144</f>
        <v>37.604047744000013</v>
      </c>
      <c r="G145" s="180">
        <f>+SUMPRODUCT(F140:F142,G140:G142)/SUM(F140:F142)</f>
        <v>1358.8205465029109</v>
      </c>
      <c r="I145" s="178" t="str">
        <f>+"Saldo Inicio de "&amp;TEXT(EDATE(I138,1),"DD-MM-YYYY")</f>
        <v>Saldo Inicio de 01-12-2025</v>
      </c>
      <c r="J145" s="179">
        <f>+SUM(J140:J142)-J143</f>
        <v>264.87329299000027</v>
      </c>
      <c r="K145" s="180">
        <f>+SUMPRODUCT(J140:J142,K140:K142)/SUM(J140:J142)</f>
        <v>1356.0203739808417</v>
      </c>
      <c r="M145" s="178" t="str">
        <f>+"Saldo Inicio de "&amp;TEXT(EDATE(M138,1),"DD-MM-YYYY")</f>
        <v>Saldo Inicio de 01-12-2025</v>
      </c>
      <c r="N145" s="179">
        <f>+SUM(N140:N142)-N143</f>
        <v>21.383096170000126</v>
      </c>
      <c r="O145" s="180">
        <f>+SUMPRODUCT(N140:N142,O140:O142)/SUM(N140:N142)</f>
        <v>1393.5041040009969</v>
      </c>
      <c r="Q145" s="178" t="str">
        <f>+"Saldo Inicio de "&amp;TEXT(EDATE(Q138,1),"DD-MM-YYYY")</f>
        <v>Saldo Inicio de 01-12-2025</v>
      </c>
      <c r="R145" s="179">
        <f>+SUM(R140:R142)-R143</f>
        <v>56.306183599999954</v>
      </c>
      <c r="S145" s="180">
        <f>+SUMPRODUCT(R140:R142,S140:S142)/SUM(R140:R142)</f>
        <v>1475.8167681836303</v>
      </c>
    </row>
    <row r="147" spans="1:19" x14ac:dyDescent="0.35">
      <c r="A147" s="166">
        <f>EDATE(A138,1)</f>
        <v>45992</v>
      </c>
      <c r="B147" s="167" t="s">
        <v>77</v>
      </c>
      <c r="C147" s="168" t="s">
        <v>78</v>
      </c>
      <c r="E147" s="166">
        <f>A147</f>
        <v>45992</v>
      </c>
      <c r="F147" s="167" t="s">
        <v>77</v>
      </c>
      <c r="G147" s="168" t="s">
        <v>78</v>
      </c>
      <c r="I147" s="166">
        <f>A147</f>
        <v>45992</v>
      </c>
      <c r="J147" s="167" t="s">
        <v>77</v>
      </c>
      <c r="K147" s="168" t="s">
        <v>78</v>
      </c>
      <c r="M147" s="166">
        <f>A147</f>
        <v>45992</v>
      </c>
      <c r="N147" s="167" t="s">
        <v>77</v>
      </c>
      <c r="O147" s="168" t="s">
        <v>78</v>
      </c>
      <c r="Q147" s="166">
        <f>A147</f>
        <v>45992</v>
      </c>
      <c r="R147" s="167" t="s">
        <v>77</v>
      </c>
      <c r="S147" s="168" t="s">
        <v>78</v>
      </c>
    </row>
    <row r="148" spans="1:19" x14ac:dyDescent="0.35">
      <c r="A148" s="169"/>
      <c r="B148" s="249">
        <f>YEAR(A147)</f>
        <v>2025</v>
      </c>
      <c r="C148" s="171">
        <f>MONTH(A147)</f>
        <v>12</v>
      </c>
      <c r="E148" s="169"/>
      <c r="F148" s="249">
        <f>YEAR(E147)</f>
        <v>2025</v>
      </c>
      <c r="G148" s="171">
        <f>MONTH(E147)</f>
        <v>12</v>
      </c>
      <c r="I148" s="169"/>
      <c r="J148" s="249">
        <f>YEAR(I147)</f>
        <v>2025</v>
      </c>
      <c r="K148" s="171">
        <f>MONTH(I147)</f>
        <v>12</v>
      </c>
      <c r="M148" s="169"/>
      <c r="N148" s="249">
        <f>YEAR(M147)</f>
        <v>2025</v>
      </c>
      <c r="O148" s="171">
        <f>MONTH(M147)</f>
        <v>12</v>
      </c>
      <c r="Q148" s="169"/>
      <c r="R148" s="249">
        <f>YEAR(Q147)</f>
        <v>2025</v>
      </c>
      <c r="S148" s="171">
        <f>MONTH(Q147)</f>
        <v>12</v>
      </c>
    </row>
    <row r="149" spans="1:19" x14ac:dyDescent="0.35">
      <c r="A149" s="172" t="str">
        <f>+A145</f>
        <v>Saldo Inicio de 01-12-2025</v>
      </c>
      <c r="B149" s="250">
        <f>B145</f>
        <v>1650.9285226240038</v>
      </c>
      <c r="C149" s="251">
        <f>C145</f>
        <v>1344.1450478003778</v>
      </c>
      <c r="E149" s="172" t="str">
        <f>+E145</f>
        <v>Saldo Inicio de 01-12-2025</v>
      </c>
      <c r="F149" s="250">
        <f>F145</f>
        <v>37.604047744000013</v>
      </c>
      <c r="G149" s="252">
        <f>G145</f>
        <v>1358.8205465029109</v>
      </c>
      <c r="I149" s="172" t="str">
        <f>+I145</f>
        <v>Saldo Inicio de 01-12-2025</v>
      </c>
      <c r="J149" s="250">
        <f>J145</f>
        <v>264.87329299000027</v>
      </c>
      <c r="K149" s="252">
        <f>K145</f>
        <v>1356.0203739808417</v>
      </c>
      <c r="M149" s="172" t="str">
        <f>+M145</f>
        <v>Saldo Inicio de 01-12-2025</v>
      </c>
      <c r="N149" s="250">
        <f>N145</f>
        <v>21.383096170000126</v>
      </c>
      <c r="O149" s="252">
        <f>O145</f>
        <v>1393.5041040009969</v>
      </c>
      <c r="Q149" s="172" t="str">
        <f>+Q145</f>
        <v>Saldo Inicio de 01-12-2025</v>
      </c>
      <c r="R149" s="250">
        <f>R145</f>
        <v>56.306183599999954</v>
      </c>
      <c r="S149" s="252">
        <f>S145</f>
        <v>1475.8167681836303</v>
      </c>
    </row>
    <row r="150" spans="1:19" x14ac:dyDescent="0.35">
      <c r="A150" s="175" t="s">
        <v>84</v>
      </c>
      <c r="B150" s="253">
        <f>Rolling!R$6-B151</f>
        <v>1450</v>
      </c>
      <c r="C150" s="241">
        <f>'CSD Resina Ush'!U59</f>
        <v>1249.0512142857142</v>
      </c>
      <c r="E150" s="175" t="s">
        <v>84</v>
      </c>
      <c r="F150" s="253">
        <f>Rolling!R$15</f>
        <v>29</v>
      </c>
      <c r="G150" s="177">
        <f>'HF resina'!AU58</f>
        <v>1279.3062142857143</v>
      </c>
      <c r="I150" s="175" t="s">
        <v>84</v>
      </c>
      <c r="J150" s="253">
        <f>Rolling!R$24</f>
        <v>190</v>
      </c>
      <c r="K150" s="177">
        <f>'HF resina'!W58</f>
        <v>1283.6038571428571</v>
      </c>
      <c r="M150" s="175" t="s">
        <v>84</v>
      </c>
      <c r="N150" s="253">
        <f>Rolling!R$33</f>
        <v>0</v>
      </c>
      <c r="O150" s="177">
        <f>K150</f>
        <v>1283.6038571428571</v>
      </c>
      <c r="Q150" s="175" t="s">
        <v>84</v>
      </c>
      <c r="R150" s="253">
        <f>Rolling!R$42</f>
        <v>27</v>
      </c>
      <c r="S150" s="177">
        <f>C150</f>
        <v>1249.0512142857142</v>
      </c>
    </row>
    <row r="151" spans="1:19" x14ac:dyDescent="0.35">
      <c r="A151" s="175" t="s">
        <v>84</v>
      </c>
      <c r="B151" s="253">
        <v>0</v>
      </c>
      <c r="C151" s="241"/>
      <c r="E151" s="175" t="s">
        <v>84</v>
      </c>
      <c r="F151" s="253">
        <v>0</v>
      </c>
      <c r="G151" s="177"/>
      <c r="I151" s="175" t="s">
        <v>84</v>
      </c>
      <c r="J151" s="253">
        <v>0</v>
      </c>
      <c r="K151" s="177"/>
      <c r="M151" s="175" t="s">
        <v>84</v>
      </c>
      <c r="N151" s="253">
        <v>0</v>
      </c>
      <c r="O151" s="177"/>
      <c r="Q151" s="175" t="s">
        <v>84</v>
      </c>
      <c r="R151" s="253">
        <v>0</v>
      </c>
      <c r="S151" s="177"/>
    </row>
    <row r="152" spans="1:19" x14ac:dyDescent="0.35">
      <c r="A152" s="175" t="s">
        <v>82</v>
      </c>
      <c r="B152" s="253">
        <f>SUMIFS(Entregas!AV:AV,Entregas!AP:AP,'Balance Resinas'!C148,Entregas!AQ:AQ,'Balance Resinas'!B148)</f>
        <v>1558.0655388048006</v>
      </c>
      <c r="C152" s="177"/>
      <c r="E152" s="175" t="s">
        <v>82</v>
      </c>
      <c r="F152" s="253">
        <f>SUMIFS(Entregas!AZ:AZ,Entregas!P:P,"5121",Entregas!AP:AP,'Balance Resinas'!G148,Entregas!AQ:AQ,'Balance Resinas'!F148)</f>
        <v>47.19955968</v>
      </c>
      <c r="G152" s="177"/>
      <c r="I152" s="175" t="s">
        <v>82</v>
      </c>
      <c r="J152" s="253">
        <f>SUMIFS(Entregas!AZ:AZ,Entregas!P:P,"5101",Entregas!AP:AP,'Balance Resinas'!K148,Entregas!AQ:AQ,'Balance Resinas'!J148)</f>
        <v>190.61939519999999</v>
      </c>
      <c r="K152" s="177"/>
      <c r="M152" s="175" t="s">
        <v>82</v>
      </c>
      <c r="N152" s="253">
        <f>SUMIFS(Entregas!AX:AX,Entregas!P:P,"5101",Entregas!AP:AP,'Balance Resinas'!O148,Entregas!AQ:AQ,'Balance Resinas'!N148)</f>
        <v>0</v>
      </c>
      <c r="O152" s="177"/>
      <c r="Q152" s="175" t="s">
        <v>82</v>
      </c>
      <c r="R152" s="253">
        <f>SUMIFS(Entregas!AX:AX,Entregas!P:P,"5121",Entregas!AP:AP,'Balance Resinas'!S148,Entregas!AQ:AQ,'Balance Resinas'!R148)</f>
        <v>51.049019059200013</v>
      </c>
      <c r="S152" s="177"/>
    </row>
    <row r="153" spans="1:19" x14ac:dyDescent="0.35">
      <c r="A153" s="175" t="s">
        <v>83</v>
      </c>
      <c r="B153" s="253">
        <f>B154</f>
        <v>1542.862983819203</v>
      </c>
      <c r="C153" s="177"/>
      <c r="E153" s="175" t="s">
        <v>83</v>
      </c>
      <c r="F153" s="253">
        <f>+SUM(F149:F151)-F152</f>
        <v>19.404488064000013</v>
      </c>
      <c r="G153" s="177"/>
      <c r="I153" s="175" t="s">
        <v>83</v>
      </c>
      <c r="J153" s="253">
        <f>J154</f>
        <v>264.25389779000028</v>
      </c>
      <c r="K153" s="177"/>
      <c r="M153" s="175" t="s">
        <v>83</v>
      </c>
      <c r="N153" s="253">
        <f>N154</f>
        <v>21.383096170000126</v>
      </c>
      <c r="O153" s="177"/>
      <c r="Q153" s="175" t="s">
        <v>83</v>
      </c>
      <c r="R153" s="253">
        <f>R154</f>
        <v>32.257164540799941</v>
      </c>
      <c r="S153" s="177"/>
    </row>
    <row r="154" spans="1:19" x14ac:dyDescent="0.35">
      <c r="A154" s="178" t="str">
        <f>+"Saldo Inicio de "&amp;TEXT(EDATE(A147,1),"DD-MM-YYYY")</f>
        <v>Saldo Inicio de 01-01-2026</v>
      </c>
      <c r="B154" s="179">
        <f>+SUM(B149:B151)-B152</f>
        <v>1542.862983819203</v>
      </c>
      <c r="C154" s="243">
        <f>+SUMPRODUCT(B149:B151,C149:C151)/SUM(B149:B151)</f>
        <v>1299.678992684866</v>
      </c>
      <c r="E154" s="178" t="str">
        <f>+"Saldo Inicio de "&amp;TEXT(EDATE(E147,1),"DD-MM-YYYY")</f>
        <v>Saldo Inicio de 01-01-2026</v>
      </c>
      <c r="F154" s="179">
        <f>F153</f>
        <v>19.404488064000013</v>
      </c>
      <c r="G154" s="180">
        <f>+SUMPRODUCT(F149:F151,G149:G151)/SUM(F149:F151)</f>
        <v>1324.1992928043107</v>
      </c>
      <c r="I154" s="178" t="str">
        <f>+"Saldo Inicio de "&amp;TEXT(EDATE(I147,1),"DD-MM-YYYY")</f>
        <v>Saldo Inicio de 01-01-2026</v>
      </c>
      <c r="J154" s="179">
        <f>+SUM(J149:J151)-J152</f>
        <v>264.25389779000028</v>
      </c>
      <c r="K154" s="180">
        <f>+SUMPRODUCT(J149:J151,K149:K151)/SUM(J149:J151)</f>
        <v>1325.7720863560073</v>
      </c>
      <c r="M154" s="178" t="str">
        <f>+"Saldo Inicio de "&amp;TEXT(EDATE(M147,1),"DD-MM-YYYY")</f>
        <v>Saldo Inicio de 01-01-2026</v>
      </c>
      <c r="N154" s="179">
        <f>+SUM(N149:N151)-N152</f>
        <v>21.383096170000126</v>
      </c>
      <c r="O154" s="180">
        <f>+SUMPRODUCT(N149:N151,O149:O151)/SUM(N149:N151)</f>
        <v>1393.5041040009969</v>
      </c>
      <c r="Q154" s="178" t="str">
        <f>+"Saldo Inicio de "&amp;TEXT(EDATE(Q147,1),"DD-MM-YYYY")</f>
        <v>Saldo Inicio de 01-01-2026</v>
      </c>
      <c r="R154" s="179">
        <f>+SUM(R149:R151)-R152</f>
        <v>32.257164540799941</v>
      </c>
      <c r="S154" s="180">
        <f>+SUMPRODUCT(R149:R151,S149:S151)/SUM(R149:R151)</f>
        <v>1402.3207839642339</v>
      </c>
    </row>
    <row r="156" spans="1:19" x14ac:dyDescent="0.35">
      <c r="A156" s="166">
        <f>EDATE(A147,1)</f>
        <v>46023</v>
      </c>
      <c r="B156" s="167" t="s">
        <v>77</v>
      </c>
      <c r="C156" s="168" t="s">
        <v>78</v>
      </c>
      <c r="E156" s="166">
        <f>A156</f>
        <v>46023</v>
      </c>
      <c r="F156" s="167" t="s">
        <v>77</v>
      </c>
      <c r="G156" s="168" t="s">
        <v>78</v>
      </c>
      <c r="I156" s="166">
        <f>A156</f>
        <v>46023</v>
      </c>
      <c r="J156" s="167" t="s">
        <v>77</v>
      </c>
      <c r="K156" s="168" t="s">
        <v>78</v>
      </c>
      <c r="M156" s="166">
        <f>A156</f>
        <v>46023</v>
      </c>
      <c r="N156" s="167" t="s">
        <v>77</v>
      </c>
      <c r="O156" s="168" t="s">
        <v>78</v>
      </c>
      <c r="Q156" s="166">
        <f>A156</f>
        <v>46023</v>
      </c>
      <c r="R156" s="167" t="s">
        <v>77</v>
      </c>
      <c r="S156" s="168" t="s">
        <v>78</v>
      </c>
    </row>
    <row r="157" spans="1:19" x14ac:dyDescent="0.35">
      <c r="A157" s="169"/>
      <c r="B157" s="249">
        <f>YEAR(A156)</f>
        <v>2026</v>
      </c>
      <c r="C157" s="171">
        <f>MONTH(A156)</f>
        <v>1</v>
      </c>
      <c r="E157" s="169"/>
      <c r="F157" s="249">
        <f>YEAR(E156)</f>
        <v>2026</v>
      </c>
      <c r="G157" s="171">
        <f>MONTH(E156)</f>
        <v>1</v>
      </c>
      <c r="I157" s="169"/>
      <c r="J157" s="249">
        <f>YEAR(I156)</f>
        <v>2026</v>
      </c>
      <c r="K157" s="171">
        <f>MONTH(I156)</f>
        <v>1</v>
      </c>
      <c r="M157" s="169"/>
      <c r="N157" s="249">
        <f>YEAR(M156)</f>
        <v>2026</v>
      </c>
      <c r="O157" s="171">
        <f>MONTH(M156)</f>
        <v>1</v>
      </c>
      <c r="Q157" s="169"/>
      <c r="R157" s="249">
        <f>YEAR(Q156)</f>
        <v>2026</v>
      </c>
      <c r="S157" s="171">
        <f>MONTH(Q156)</f>
        <v>1</v>
      </c>
    </row>
    <row r="158" spans="1:19" x14ac:dyDescent="0.35">
      <c r="A158" s="172" t="str">
        <f>+A154</f>
        <v>Saldo Inicio de 01-01-2026</v>
      </c>
      <c r="B158" s="250">
        <f>B154</f>
        <v>1542.862983819203</v>
      </c>
      <c r="C158" s="251">
        <f>C154</f>
        <v>1299.678992684866</v>
      </c>
      <c r="E158" s="172" t="str">
        <f>+E154</f>
        <v>Saldo Inicio de 01-01-2026</v>
      </c>
      <c r="F158" s="250">
        <f>F154</f>
        <v>19.404488064000013</v>
      </c>
      <c r="G158" s="252">
        <f>G154</f>
        <v>1324.1992928043107</v>
      </c>
      <c r="I158" s="172" t="str">
        <f>+I154</f>
        <v>Saldo Inicio de 01-01-2026</v>
      </c>
      <c r="J158" s="250">
        <f>J154</f>
        <v>264.25389779000028</v>
      </c>
      <c r="K158" s="252">
        <f>K154</f>
        <v>1325.7720863560073</v>
      </c>
      <c r="M158" s="172" t="str">
        <f>+M154</f>
        <v>Saldo Inicio de 01-01-2026</v>
      </c>
      <c r="N158" s="250">
        <f>N154</f>
        <v>21.383096170000126</v>
      </c>
      <c r="O158" s="252">
        <f>O154</f>
        <v>1393.5041040009969</v>
      </c>
      <c r="Q158" s="172" t="str">
        <f>+Q154</f>
        <v>Saldo Inicio de 01-01-2026</v>
      </c>
      <c r="R158" s="250">
        <f>R154</f>
        <v>32.257164540799941</v>
      </c>
      <c r="S158" s="252">
        <f>S154</f>
        <v>1402.3207839642339</v>
      </c>
    </row>
    <row r="159" spans="1:19" x14ac:dyDescent="0.35">
      <c r="A159" s="175" t="s">
        <v>84</v>
      </c>
      <c r="B159" s="253">
        <f>Rolling!S$6-B160</f>
        <v>1330</v>
      </c>
      <c r="C159" s="241">
        <f>'CSD Resina Ush'!U60</f>
        <v>1256.2908035714286</v>
      </c>
      <c r="E159" s="175" t="s">
        <v>84</v>
      </c>
      <c r="F159" s="253">
        <f>Rolling!S$15</f>
        <v>81</v>
      </c>
      <c r="G159" s="177">
        <f>'HF resina'!AU59</f>
        <v>1286.5458035714287</v>
      </c>
      <c r="I159" s="175" t="s">
        <v>84</v>
      </c>
      <c r="J159" s="253">
        <f>Rolling!S$24</f>
        <v>265</v>
      </c>
      <c r="K159" s="177">
        <f>'HF resina'!W59</f>
        <v>1291.5074642857144</v>
      </c>
      <c r="M159" s="175" t="s">
        <v>84</v>
      </c>
      <c r="N159" s="253">
        <f>Rolling!S$33</f>
        <v>3</v>
      </c>
      <c r="O159" s="177">
        <f>K159</f>
        <v>1291.5074642857144</v>
      </c>
      <c r="Q159" s="175" t="s">
        <v>84</v>
      </c>
      <c r="R159" s="253">
        <f>Rolling!S$42</f>
        <v>0</v>
      </c>
      <c r="S159" s="177">
        <f>C159</f>
        <v>1256.2908035714286</v>
      </c>
    </row>
    <row r="160" spans="1:19" x14ac:dyDescent="0.35">
      <c r="A160" s="175" t="s">
        <v>84</v>
      </c>
      <c r="B160" s="253">
        <v>0</v>
      </c>
      <c r="C160" s="241"/>
      <c r="E160" s="175" t="s">
        <v>84</v>
      </c>
      <c r="F160" s="253">
        <v>0</v>
      </c>
      <c r="G160" s="177"/>
      <c r="I160" s="175" t="s">
        <v>84</v>
      </c>
      <c r="J160" s="253">
        <v>0</v>
      </c>
      <c r="K160" s="177"/>
      <c r="M160" s="175" t="s">
        <v>84</v>
      </c>
      <c r="N160" s="253">
        <v>0</v>
      </c>
      <c r="O160" s="177"/>
      <c r="Q160" s="175" t="s">
        <v>84</v>
      </c>
      <c r="R160" s="253">
        <v>0</v>
      </c>
      <c r="S160" s="177"/>
    </row>
    <row r="161" spans="1:19" x14ac:dyDescent="0.35">
      <c r="A161" s="175" t="s">
        <v>82</v>
      </c>
      <c r="B161" s="253">
        <f>SUMIFS(Entregas!AV:AV,Entregas!AP:AP,'Balance Resinas'!C157,Entregas!AQ:AQ,'Balance Resinas'!B157)</f>
        <v>1494.3070376112</v>
      </c>
      <c r="C161" s="177"/>
      <c r="E161" s="175" t="s">
        <v>82</v>
      </c>
      <c r="F161" s="253">
        <f>SUMIFS(Entregas!AZ:AZ,Entregas!P:P,"5121",Entregas!AP:AP,'Balance Resinas'!G157,Entregas!AQ:AQ,'Balance Resinas'!F157)</f>
        <v>56.639471615999994</v>
      </c>
      <c r="G161" s="177"/>
      <c r="I161" s="175" t="s">
        <v>82</v>
      </c>
      <c r="J161" s="253">
        <f>SUMIFS(Entregas!AZ:AZ,Entregas!P:P,"5101",Entregas!AP:AP,'Balance Resinas'!K157,Entregas!AQ:AQ,'Balance Resinas'!J157)</f>
        <v>334.60725672000001</v>
      </c>
      <c r="K161" s="177"/>
      <c r="M161" s="175" t="s">
        <v>82</v>
      </c>
      <c r="N161" s="253">
        <f>SUMIFS(Entregas!AX:AX,Entregas!P:P,"5101",Entregas!AP:AP,'Balance Resinas'!O157,Entregas!AQ:AQ,'Balance Resinas'!N157)</f>
        <v>24.194868479999997</v>
      </c>
      <c r="O161" s="177"/>
      <c r="Q161" s="175" t="s">
        <v>82</v>
      </c>
      <c r="R161" s="253">
        <f>SUMIFS(Entregas!AX:AX,Entregas!P:P,"5121",Entregas!AP:AP,'Balance Resinas'!S157,Entregas!AQ:AQ,'Balance Resinas'!R157)</f>
        <v>15.4530916128</v>
      </c>
      <c r="S161" s="177"/>
    </row>
    <row r="162" spans="1:19" x14ac:dyDescent="0.35">
      <c r="A162" s="175" t="s">
        <v>83</v>
      </c>
      <c r="B162" s="253">
        <f>B163</f>
        <v>1378.5559462080028</v>
      </c>
      <c r="C162" s="177"/>
      <c r="E162" s="175" t="s">
        <v>83</v>
      </c>
      <c r="F162" s="253">
        <f>+SUM(F158:F160)-F161</f>
        <v>43.765016448000026</v>
      </c>
      <c r="G162" s="177"/>
      <c r="I162" s="175" t="s">
        <v>83</v>
      </c>
      <c r="J162" s="253">
        <f>J163</f>
        <v>194.64664107000033</v>
      </c>
      <c r="K162" s="177"/>
      <c r="M162" s="175" t="s">
        <v>83</v>
      </c>
      <c r="N162" s="253">
        <f>N163</f>
        <v>0.1882276900001294</v>
      </c>
      <c r="O162" s="177"/>
      <c r="Q162" s="175" t="s">
        <v>83</v>
      </c>
      <c r="R162" s="253">
        <f>R163</f>
        <v>16.80407292799994</v>
      </c>
      <c r="S162" s="177"/>
    </row>
    <row r="163" spans="1:19" x14ac:dyDescent="0.35">
      <c r="A163" s="178" t="str">
        <f>+"Saldo Inicio de "&amp;TEXT(EDATE(A156,1),"DD-MM-YYYY")</f>
        <v>Saldo Inicio de 01-02-2026</v>
      </c>
      <c r="B163" s="179">
        <f>+SUM(B158:B160)-B161</f>
        <v>1378.5559462080028</v>
      </c>
      <c r="C163" s="243">
        <f>+SUMPRODUCT(B158:B160,C158:C160)/SUM(B158:B160)</f>
        <v>1279.5923084796357</v>
      </c>
      <c r="E163" s="178" t="str">
        <f>+"Saldo Inicio de "&amp;TEXT(EDATE(E156,1),"DD-MM-YYYY")</f>
        <v>Saldo Inicio de 01-02-2026</v>
      </c>
      <c r="F163" s="179">
        <f>F162</f>
        <v>43.765016448000026</v>
      </c>
      <c r="G163" s="180">
        <f>+SUMPRODUCT(F158:F160,G158:G160)/SUM(F158:F160)</f>
        <v>1293.8228356690543</v>
      </c>
      <c r="I163" s="178" t="str">
        <f>+"Saldo Inicio de "&amp;TEXT(EDATE(I156,1),"DD-MM-YYYY")</f>
        <v>Saldo Inicio de 01-02-2026</v>
      </c>
      <c r="J163" s="179">
        <f>+SUM(J158:J160)-J161</f>
        <v>194.64664107000033</v>
      </c>
      <c r="K163" s="180">
        <f>+SUMPRODUCT(J158:J160,K158:K160)/SUM(J158:J160)</f>
        <v>1308.61562348149</v>
      </c>
      <c r="M163" s="178" t="str">
        <f>+"Saldo Inicio de "&amp;TEXT(EDATE(M156,1),"DD-MM-YYYY")</f>
        <v>Saldo Inicio de 01-02-2026</v>
      </c>
      <c r="N163" s="179">
        <f>+SUM(N158:N160)-N161</f>
        <v>0.1882276900001294</v>
      </c>
      <c r="O163" s="180">
        <f>+SUMPRODUCT(N158:N160,O158:O160)/SUM(N158:N160)</f>
        <v>1380.9548396658824</v>
      </c>
      <c r="Q163" s="178" t="str">
        <f>+"Saldo Inicio de "&amp;TEXT(EDATE(Q156,1),"DD-MM-YYYY")</f>
        <v>Saldo Inicio de 01-02-2026</v>
      </c>
      <c r="R163" s="179">
        <f>+SUM(R158:R160)-R161</f>
        <v>16.80407292799994</v>
      </c>
      <c r="S163" s="180">
        <f>+SUMPRODUCT(R158:R160,S158:S160)/SUM(R158:R160)</f>
        <v>1402.3207839642339</v>
      </c>
    </row>
    <row r="165" spans="1:19" x14ac:dyDescent="0.35">
      <c r="A165" s="166">
        <f>EDATE(A156,1)</f>
        <v>46054</v>
      </c>
      <c r="B165" s="167" t="s">
        <v>77</v>
      </c>
      <c r="C165" s="168" t="s">
        <v>78</v>
      </c>
      <c r="E165" s="166">
        <f>A165</f>
        <v>46054</v>
      </c>
      <c r="F165" s="167" t="s">
        <v>77</v>
      </c>
      <c r="G165" s="168" t="s">
        <v>78</v>
      </c>
      <c r="I165" s="166">
        <f>A165</f>
        <v>46054</v>
      </c>
      <c r="J165" s="167" t="s">
        <v>77</v>
      </c>
      <c r="K165" s="168" t="s">
        <v>78</v>
      </c>
      <c r="M165" s="166">
        <f>A165</f>
        <v>46054</v>
      </c>
      <c r="N165" s="167" t="s">
        <v>77</v>
      </c>
      <c r="O165" s="168" t="s">
        <v>78</v>
      </c>
      <c r="Q165" s="166">
        <f>A165</f>
        <v>46054</v>
      </c>
      <c r="R165" s="167" t="s">
        <v>77</v>
      </c>
      <c r="S165" s="168" t="s">
        <v>78</v>
      </c>
    </row>
    <row r="166" spans="1:19" x14ac:dyDescent="0.35">
      <c r="A166" s="169"/>
      <c r="B166" s="249">
        <f>YEAR(A165)</f>
        <v>2026</v>
      </c>
      <c r="C166" s="171">
        <f>MONTH(A165)</f>
        <v>2</v>
      </c>
      <c r="E166" s="169"/>
      <c r="F166" s="249">
        <f>YEAR(E165)</f>
        <v>2026</v>
      </c>
      <c r="G166" s="171">
        <f>MONTH(E165)</f>
        <v>2</v>
      </c>
      <c r="I166" s="169"/>
      <c r="J166" s="249">
        <f>YEAR(I165)</f>
        <v>2026</v>
      </c>
      <c r="K166" s="171">
        <f>MONTH(I165)</f>
        <v>2</v>
      </c>
      <c r="M166" s="169"/>
      <c r="N166" s="249">
        <f>YEAR(M165)</f>
        <v>2026</v>
      </c>
      <c r="O166" s="171">
        <f>MONTH(M165)</f>
        <v>2</v>
      </c>
      <c r="Q166" s="169"/>
      <c r="R166" s="249">
        <f>YEAR(Q165)</f>
        <v>2026</v>
      </c>
      <c r="S166" s="171">
        <f>MONTH(Q165)</f>
        <v>2</v>
      </c>
    </row>
    <row r="167" spans="1:19" x14ac:dyDescent="0.35">
      <c r="A167" s="172" t="str">
        <f>+A163</f>
        <v>Saldo Inicio de 01-02-2026</v>
      </c>
      <c r="B167" s="250">
        <f>B163</f>
        <v>1378.5559462080028</v>
      </c>
      <c r="C167" s="251">
        <f>C163</f>
        <v>1279.5923084796357</v>
      </c>
      <c r="E167" s="172" t="str">
        <f>+E163</f>
        <v>Saldo Inicio de 01-02-2026</v>
      </c>
      <c r="F167" s="250">
        <f>F163</f>
        <v>43.765016448000026</v>
      </c>
      <c r="G167" s="252">
        <f>G163</f>
        <v>1293.8228356690543</v>
      </c>
      <c r="I167" s="172" t="str">
        <f>+I163</f>
        <v>Saldo Inicio de 01-02-2026</v>
      </c>
      <c r="J167" s="250">
        <f>J163</f>
        <v>194.64664107000033</v>
      </c>
      <c r="K167" s="252">
        <f>K163</f>
        <v>1308.61562348149</v>
      </c>
      <c r="M167" s="172" t="str">
        <f>+M163</f>
        <v>Saldo Inicio de 01-02-2026</v>
      </c>
      <c r="N167" s="250">
        <f>N163</f>
        <v>0.1882276900001294</v>
      </c>
      <c r="O167" s="252">
        <f>O163</f>
        <v>1380.9548396658824</v>
      </c>
      <c r="Q167" s="172" t="str">
        <f>+Q163</f>
        <v>Saldo Inicio de 01-02-2026</v>
      </c>
      <c r="R167" s="250">
        <f>R163</f>
        <v>16.80407292799994</v>
      </c>
      <c r="S167" s="252">
        <f>S163</f>
        <v>1402.3207839642339</v>
      </c>
    </row>
    <row r="168" spans="1:19" x14ac:dyDescent="0.35">
      <c r="A168" s="175" t="s">
        <v>84</v>
      </c>
      <c r="B168" s="253">
        <f>Rolling!T$6-B169</f>
        <v>1500</v>
      </c>
      <c r="C168" s="241">
        <f>'CSD Resina Ush'!U61</f>
        <v>1237.1902916666668</v>
      </c>
      <c r="E168" s="175" t="s">
        <v>84</v>
      </c>
      <c r="F168" s="253">
        <f>Rolling!T$15</f>
        <v>0</v>
      </c>
      <c r="G168" s="177">
        <f>'HF resina'!AU60</f>
        <v>1267.4452916666669</v>
      </c>
      <c r="I168" s="175" t="s">
        <v>84</v>
      </c>
      <c r="J168" s="253">
        <f>Rolling!T$24</f>
        <v>260</v>
      </c>
      <c r="K168" s="177">
        <f>'HF resina'!W60</f>
        <v>1271.5722500000002</v>
      </c>
      <c r="M168" s="175" t="s">
        <v>84</v>
      </c>
      <c r="N168" s="253">
        <f>Rolling!T$33</f>
        <v>0</v>
      </c>
      <c r="O168" s="177">
        <f>K168</f>
        <v>1271.5722500000002</v>
      </c>
      <c r="Q168" s="175" t="s">
        <v>84</v>
      </c>
      <c r="R168" s="253">
        <f>Rolling!T$42</f>
        <v>0</v>
      </c>
      <c r="S168" s="177">
        <f>C168</f>
        <v>1237.1902916666668</v>
      </c>
    </row>
    <row r="169" spans="1:19" x14ac:dyDescent="0.35">
      <c r="A169" s="175" t="s">
        <v>84</v>
      </c>
      <c r="B169" s="253">
        <v>0</v>
      </c>
      <c r="C169" s="241"/>
      <c r="E169" s="175" t="s">
        <v>84</v>
      </c>
      <c r="F169" s="253">
        <v>0</v>
      </c>
      <c r="G169" s="177"/>
      <c r="I169" s="175" t="s">
        <v>84</v>
      </c>
      <c r="J169" s="253">
        <v>0</v>
      </c>
      <c r="K169" s="177"/>
      <c r="M169" s="175" t="s">
        <v>84</v>
      </c>
      <c r="N169" s="253">
        <v>0</v>
      </c>
      <c r="O169" s="177"/>
      <c r="Q169" s="175" t="s">
        <v>84</v>
      </c>
      <c r="R169" s="253">
        <v>0</v>
      </c>
      <c r="S169" s="177"/>
    </row>
    <row r="170" spans="1:19" x14ac:dyDescent="0.35">
      <c r="A170" s="175" t="s">
        <v>82</v>
      </c>
      <c r="B170" s="253">
        <f>SUMIFS(Entregas!AV:AV,Entregas!AP:AP,'Balance Resinas'!C166,Entregas!AQ:AQ,'Balance Resinas'!B166)</f>
        <v>1447.1129943359997</v>
      </c>
      <c r="C170" s="177"/>
      <c r="E170" s="175" t="s">
        <v>82</v>
      </c>
      <c r="F170" s="253">
        <f>SUMIFS(Entregas!AZ:AZ,Entregas!P:P,"5121",Entregas!AP:AP,'Balance Resinas'!G166,Entregas!AQ:AQ,'Balance Resinas'!F166)</f>
        <v>18.879823871999999</v>
      </c>
      <c r="G170" s="177"/>
      <c r="I170" s="175" t="s">
        <v>82</v>
      </c>
      <c r="J170" s="253">
        <f>SUMIFS(Entregas!AZ:AZ,Entregas!P:P,"5101",Entregas!AP:AP,'Balance Resinas'!K166,Entregas!AQ:AQ,'Balance Resinas'!J166)</f>
        <v>221.27157359999995</v>
      </c>
      <c r="K170" s="177"/>
      <c r="M170" s="175" t="s">
        <v>82</v>
      </c>
      <c r="N170" s="253">
        <f>SUMIFS(Entregas!AX:AX,Entregas!P:P,"5101",Entregas!AP:AP,'Balance Resinas'!O166,Entregas!AQ:AQ,'Balance Resinas'!N166)</f>
        <v>0</v>
      </c>
      <c r="O170" s="177"/>
      <c r="Q170" s="175" t="s">
        <v>82</v>
      </c>
      <c r="R170" s="253">
        <f>SUMIFS(Entregas!AX:AX,Entregas!P:P,"5121",Entregas!AP:AP,'Balance Resinas'!S166,Entregas!AQ:AQ,'Balance Resinas'!R166)</f>
        <v>0</v>
      </c>
      <c r="S170" s="177"/>
    </row>
    <row r="171" spans="1:19" x14ac:dyDescent="0.35">
      <c r="A171" s="175" t="s">
        <v>83</v>
      </c>
      <c r="B171" s="253">
        <f>B172</f>
        <v>1431.4429518720031</v>
      </c>
      <c r="C171" s="177"/>
      <c r="E171" s="175" t="s">
        <v>83</v>
      </c>
      <c r="F171" s="253">
        <f>+SUM(F167:F169)-F170</f>
        <v>24.885192576000026</v>
      </c>
      <c r="G171" s="177"/>
      <c r="I171" s="175" t="s">
        <v>83</v>
      </c>
      <c r="J171" s="253">
        <f>J172</f>
        <v>233.37506747000037</v>
      </c>
      <c r="K171" s="177"/>
      <c r="M171" s="175" t="s">
        <v>83</v>
      </c>
      <c r="N171" s="253">
        <f>N172</f>
        <v>0.1882276900001294</v>
      </c>
      <c r="O171" s="177"/>
      <c r="Q171" s="175" t="s">
        <v>83</v>
      </c>
      <c r="R171" s="253">
        <f>R172</f>
        <v>16.80407292799994</v>
      </c>
      <c r="S171" s="177"/>
    </row>
    <row r="172" spans="1:19" x14ac:dyDescent="0.35">
      <c r="A172" s="178" t="str">
        <f>+"Saldo Inicio de "&amp;TEXT(EDATE(A165,1),"DD-MM-YYYY")</f>
        <v>Saldo Inicio de 01-03-2026</v>
      </c>
      <c r="B172" s="179">
        <f>+SUM(B167:B169)-B170</f>
        <v>1431.4429518720031</v>
      </c>
      <c r="C172" s="243">
        <f>+SUMPRODUCT(B167:B169,C167:C169)/SUM(B167:B169)</f>
        <v>1257.4968458907499</v>
      </c>
      <c r="E172" s="178" t="str">
        <f>+"Saldo Inicio de "&amp;TEXT(EDATE(E165,1),"DD-MM-YYYY")</f>
        <v>Saldo Inicio de 01-03-2026</v>
      </c>
      <c r="F172" s="179">
        <f>F171</f>
        <v>24.885192576000026</v>
      </c>
      <c r="G172" s="180">
        <f>+SUMPRODUCT(F167:F169,G167:G169)/SUM(F167:F169)</f>
        <v>1293.8228356690543</v>
      </c>
      <c r="I172" s="178" t="str">
        <f>+"Saldo Inicio de "&amp;TEXT(EDATE(I165,1),"DD-MM-YYYY")</f>
        <v>Saldo Inicio de 01-03-2026</v>
      </c>
      <c r="J172" s="179">
        <f>+SUM(J167:J169)-J170</f>
        <v>233.37506747000037</v>
      </c>
      <c r="K172" s="180">
        <f>+SUMPRODUCT(J167:J169,K167:K169)/SUM(J167:J169)</f>
        <v>1287.431529648705</v>
      </c>
      <c r="M172" s="178" t="str">
        <f>+"Saldo Inicio de "&amp;TEXT(EDATE(M165,1),"DD-MM-YYYY")</f>
        <v>Saldo Inicio de 01-03-2026</v>
      </c>
      <c r="N172" s="179">
        <f>+SUM(N167:N169)-N170</f>
        <v>0.1882276900001294</v>
      </c>
      <c r="O172" s="180">
        <f>+SUMPRODUCT(N167:N169,O167:O169)/SUM(N167:N169)</f>
        <v>1380.9548396658824</v>
      </c>
      <c r="Q172" s="178" t="str">
        <f>+"Saldo Inicio de "&amp;TEXT(EDATE(Q165,1),"DD-MM-YYYY")</f>
        <v>Saldo Inicio de 01-03-2026</v>
      </c>
      <c r="R172" s="179">
        <f>+SUM(R167:R169)-R170</f>
        <v>16.80407292799994</v>
      </c>
      <c r="S172" s="180">
        <f>+SUMPRODUCT(R167:R169,S167:S169)/SUM(R167:R169)</f>
        <v>1402.3207839642339</v>
      </c>
    </row>
  </sheetData>
  <mergeCells count="5">
    <mergeCell ref="Q1:S1"/>
    <mergeCell ref="A1:C1"/>
    <mergeCell ref="E1:G1"/>
    <mergeCell ref="I1:K1"/>
    <mergeCell ref="M1:O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0CBB-7697-4AD9-BA40-2C69A8FA95E0}">
  <sheetPr codeName="Hoja6">
    <tabColor theme="9" tint="0.59999389629810485"/>
  </sheetPr>
  <dimension ref="A1:CU116"/>
  <sheetViews>
    <sheetView showGridLines="0" zoomScale="120" zoomScaleNormal="120" workbookViewId="0">
      <pane ySplit="4" topLeftCell="A5" activePane="bottomLeft" state="frozen"/>
      <selection activeCell="N906" sqref="N906:O906"/>
      <selection pane="bottomLeft" activeCell="AF16" sqref="AF16"/>
    </sheetView>
  </sheetViews>
  <sheetFormatPr defaultColWidth="8.81640625" defaultRowHeight="14.5" outlineLevelCol="1" x14ac:dyDescent="0.35"/>
  <cols>
    <col min="1" max="1" width="5.54296875" bestFit="1" customWidth="1"/>
    <col min="2" max="2" width="14.1796875" bestFit="1" customWidth="1"/>
    <col min="3" max="3" width="24.1796875" bestFit="1" customWidth="1"/>
    <col min="4" max="4" width="24.1796875" customWidth="1"/>
    <col min="5" max="5" width="6.26953125" customWidth="1"/>
    <col min="6" max="6" width="4.54296875" bestFit="1" customWidth="1"/>
    <col min="7" max="7" width="6" bestFit="1" customWidth="1"/>
    <col min="8" max="8" width="7.54296875" bestFit="1" customWidth="1"/>
    <col min="9" max="9" width="8.1796875" customWidth="1"/>
    <col min="10" max="10" width="4.1796875" hidden="1" customWidth="1" outlineLevel="1"/>
    <col min="11" max="13" width="7.1796875" hidden="1" customWidth="1" outlineLevel="1"/>
    <col min="14" max="18" width="7.1796875" hidden="1" customWidth="1" outlineLevel="1" collapsed="1"/>
    <col min="19" max="19" width="7.1796875" hidden="1" customWidth="1" outlineLevel="1"/>
    <col min="20" max="25" width="7.1796875" hidden="1" customWidth="1" outlineLevel="1" collapsed="1"/>
    <col min="26" max="26" width="7.1796875" hidden="1" customWidth="1" collapsed="1"/>
    <col min="27" max="27" width="7.1796875" hidden="1" customWidth="1"/>
    <col min="28" max="31" width="7.1796875" customWidth="1"/>
    <col min="32" max="32" width="6.81640625" bestFit="1" customWidth="1"/>
    <col min="33" max="53" width="5.54296875" customWidth="1"/>
    <col min="54" max="54" width="3" customWidth="1"/>
    <col min="55" max="55" width="9.54296875" bestFit="1" customWidth="1"/>
    <col min="56" max="76" width="6.1796875" customWidth="1"/>
  </cols>
  <sheetData>
    <row r="1" spans="1:99" x14ac:dyDescent="0.35">
      <c r="AF1" s="204" t="s">
        <v>92</v>
      </c>
      <c r="AG1" s="205">
        <f t="shared" ref="AG1:AT1" si="0">+AG4</f>
        <v>45566</v>
      </c>
      <c r="AH1" s="205">
        <f t="shared" si="0"/>
        <v>45597</v>
      </c>
      <c r="AI1" s="205">
        <f t="shared" si="0"/>
        <v>45627</v>
      </c>
      <c r="AJ1" s="205">
        <f t="shared" si="0"/>
        <v>45658</v>
      </c>
      <c r="AK1" s="205">
        <f t="shared" si="0"/>
        <v>45689</v>
      </c>
      <c r="AL1" s="205">
        <f t="shared" si="0"/>
        <v>45717</v>
      </c>
      <c r="AM1" s="205">
        <f t="shared" si="0"/>
        <v>45748</v>
      </c>
      <c r="AN1" s="205">
        <f t="shared" si="0"/>
        <v>45778</v>
      </c>
      <c r="AO1" s="205">
        <f t="shared" si="0"/>
        <v>45809</v>
      </c>
      <c r="AP1" s="205">
        <f t="shared" si="0"/>
        <v>45839</v>
      </c>
      <c r="AQ1" s="205">
        <f t="shared" si="0"/>
        <v>45870</v>
      </c>
      <c r="AR1" s="205">
        <f t="shared" si="0"/>
        <v>45901</v>
      </c>
      <c r="AS1" s="205">
        <f t="shared" si="0"/>
        <v>45931</v>
      </c>
      <c r="AT1" s="205">
        <f t="shared" si="0"/>
        <v>45962</v>
      </c>
      <c r="AU1" s="205">
        <f>+AU4</f>
        <v>45992</v>
      </c>
      <c r="AV1" s="205">
        <f t="shared" ref="AV1:BA1" si="1">+AV4</f>
        <v>46023</v>
      </c>
      <c r="AW1" s="205">
        <f t="shared" si="1"/>
        <v>46054</v>
      </c>
      <c r="AX1" s="205">
        <f t="shared" si="1"/>
        <v>46082</v>
      </c>
      <c r="AY1" s="205">
        <f t="shared" si="1"/>
        <v>46113</v>
      </c>
      <c r="AZ1" s="205">
        <f t="shared" si="1"/>
        <v>46143</v>
      </c>
      <c r="BA1" s="205">
        <f t="shared" si="1"/>
        <v>46174</v>
      </c>
      <c r="BB1" s="185"/>
      <c r="BC1" s="204" t="s">
        <v>93</v>
      </c>
      <c r="BD1" s="206">
        <f t="shared" ref="BD1:BN1" si="2">+BD4</f>
        <v>45566</v>
      </c>
      <c r="BE1" s="206">
        <f t="shared" si="2"/>
        <v>45597</v>
      </c>
      <c r="BF1" s="206">
        <f t="shared" si="2"/>
        <v>45627</v>
      </c>
      <c r="BG1" s="206">
        <f t="shared" si="2"/>
        <v>45658</v>
      </c>
      <c r="BH1" s="206">
        <f t="shared" si="2"/>
        <v>45689</v>
      </c>
      <c r="BI1" s="206">
        <f t="shared" si="2"/>
        <v>45717</v>
      </c>
      <c r="BJ1" s="206">
        <f t="shared" si="2"/>
        <v>45748</v>
      </c>
      <c r="BK1" s="206">
        <f t="shared" si="2"/>
        <v>45778</v>
      </c>
      <c r="BL1" s="206">
        <f t="shared" si="2"/>
        <v>45809</v>
      </c>
      <c r="BM1" s="206">
        <f t="shared" si="2"/>
        <v>45839</v>
      </c>
      <c r="BN1" s="206">
        <f t="shared" si="2"/>
        <v>45870</v>
      </c>
      <c r="BO1" s="206">
        <f t="shared" ref="BO1:BQ1" si="3">+BO4</f>
        <v>45901</v>
      </c>
      <c r="BP1" s="206">
        <f t="shared" si="3"/>
        <v>45931</v>
      </c>
      <c r="BQ1" s="206">
        <f t="shared" si="3"/>
        <v>45962</v>
      </c>
      <c r="BR1" s="206">
        <f>+BR4</f>
        <v>45992</v>
      </c>
      <c r="BS1" s="206">
        <f t="shared" ref="BS1:BX1" si="4">+BS4</f>
        <v>46023</v>
      </c>
      <c r="BT1" s="206">
        <f t="shared" si="4"/>
        <v>46054</v>
      </c>
      <c r="BU1" s="206">
        <f t="shared" si="4"/>
        <v>46082</v>
      </c>
      <c r="BV1" s="206">
        <f t="shared" si="4"/>
        <v>46113</v>
      </c>
      <c r="BW1" s="206">
        <f t="shared" si="4"/>
        <v>46143</v>
      </c>
      <c r="BX1" s="206">
        <f t="shared" si="4"/>
        <v>46174</v>
      </c>
      <c r="BZ1" s="204" t="s">
        <v>94</v>
      </c>
      <c r="CA1" s="205">
        <f t="shared" ref="CA1:CK1" si="5">+CA4</f>
        <v>45566</v>
      </c>
      <c r="CB1" s="205">
        <f t="shared" si="5"/>
        <v>45597</v>
      </c>
      <c r="CC1" s="205">
        <f t="shared" si="5"/>
        <v>45627</v>
      </c>
      <c r="CD1" s="205">
        <f t="shared" si="5"/>
        <v>45658</v>
      </c>
      <c r="CE1" s="205">
        <f t="shared" si="5"/>
        <v>45689</v>
      </c>
      <c r="CF1" s="205">
        <f t="shared" si="5"/>
        <v>45717</v>
      </c>
      <c r="CG1" s="205">
        <f t="shared" si="5"/>
        <v>45748</v>
      </c>
      <c r="CH1" s="205">
        <f t="shared" si="5"/>
        <v>45778</v>
      </c>
      <c r="CI1" s="205">
        <f t="shared" si="5"/>
        <v>45809</v>
      </c>
      <c r="CJ1" s="205">
        <f t="shared" si="5"/>
        <v>45839</v>
      </c>
      <c r="CK1" s="205">
        <f t="shared" si="5"/>
        <v>45870</v>
      </c>
      <c r="CL1" s="205">
        <f t="shared" ref="CL1:CN1" si="6">+CL4</f>
        <v>45901</v>
      </c>
      <c r="CM1" s="205">
        <f t="shared" si="6"/>
        <v>45931</v>
      </c>
      <c r="CN1" s="205">
        <f t="shared" si="6"/>
        <v>45962</v>
      </c>
      <c r="CO1" s="205">
        <f>+CO4</f>
        <v>45992</v>
      </c>
      <c r="CP1" s="205">
        <f t="shared" ref="CP1:CU1" si="7">+CP4</f>
        <v>46023</v>
      </c>
      <c r="CQ1" s="205">
        <f t="shared" si="7"/>
        <v>46054</v>
      </c>
      <c r="CR1" s="205">
        <f t="shared" si="7"/>
        <v>46082</v>
      </c>
      <c r="CS1" s="205">
        <f t="shared" si="7"/>
        <v>46113</v>
      </c>
      <c r="CT1" s="205">
        <f t="shared" si="7"/>
        <v>46143</v>
      </c>
      <c r="CU1" s="205">
        <f t="shared" si="7"/>
        <v>46174</v>
      </c>
    </row>
    <row r="2" spans="1:99" x14ac:dyDescent="0.35">
      <c r="AF2" s="207" t="s">
        <v>95</v>
      </c>
      <c r="AG2" s="208">
        <v>0</v>
      </c>
      <c r="AH2" s="208">
        <v>0</v>
      </c>
      <c r="AI2" s="208">
        <v>0</v>
      </c>
      <c r="AJ2" s="208">
        <v>0</v>
      </c>
      <c r="AK2" s="208">
        <v>0</v>
      </c>
      <c r="AL2" s="208">
        <v>0</v>
      </c>
      <c r="AM2" s="208">
        <v>0</v>
      </c>
      <c r="AN2" s="208">
        <v>0</v>
      </c>
      <c r="AO2" s="208">
        <v>0</v>
      </c>
      <c r="AP2" s="208">
        <v>0</v>
      </c>
      <c r="AQ2" s="208">
        <v>0</v>
      </c>
      <c r="AR2" s="208">
        <v>0</v>
      </c>
      <c r="AS2" s="208">
        <v>0</v>
      </c>
      <c r="AT2" s="208">
        <v>0</v>
      </c>
      <c r="AU2" s="208">
        <v>0</v>
      </c>
      <c r="AV2" s="208">
        <v>0</v>
      </c>
      <c r="AW2" s="208">
        <v>0</v>
      </c>
      <c r="AX2" s="208">
        <v>0</v>
      </c>
      <c r="AY2" s="208">
        <v>0</v>
      </c>
      <c r="AZ2" s="208">
        <v>0</v>
      </c>
      <c r="BA2" s="208">
        <v>0</v>
      </c>
      <c r="BB2" s="209"/>
      <c r="BC2" s="207" t="s">
        <v>95</v>
      </c>
      <c r="BD2" s="208">
        <f t="shared" ref="BD2:BX2" si="8">+SUMIFS(BD$5:BD$685,$A$5:$A$685,"5101")</f>
        <v>18</v>
      </c>
      <c r="BE2" s="208">
        <f t="shared" si="8"/>
        <v>54.087269366927018</v>
      </c>
      <c r="BF2" s="208">
        <f t="shared" si="8"/>
        <v>54</v>
      </c>
      <c r="BG2" s="208">
        <f t="shared" si="8"/>
        <v>39.24</v>
      </c>
      <c r="BH2" s="208">
        <f t="shared" si="8"/>
        <v>14.147999999999998</v>
      </c>
      <c r="BI2" s="208">
        <f t="shared" si="8"/>
        <v>35.124299999999998</v>
      </c>
      <c r="BJ2" s="208">
        <f t="shared" si="8"/>
        <v>0</v>
      </c>
      <c r="BK2" s="208">
        <f t="shared" si="8"/>
        <v>55.617200000000054</v>
      </c>
      <c r="BL2" s="208">
        <f t="shared" si="8"/>
        <v>55.68</v>
      </c>
      <c r="BM2" s="208">
        <f t="shared" si="8"/>
        <v>0.81720000000000015</v>
      </c>
      <c r="BN2" s="208">
        <f t="shared" si="8"/>
        <v>4.6140000000000008</v>
      </c>
      <c r="BO2" s="208">
        <f t="shared" si="8"/>
        <v>0</v>
      </c>
      <c r="BP2" s="208">
        <f t="shared" si="8"/>
        <v>0</v>
      </c>
      <c r="BQ2" s="208">
        <f t="shared" si="8"/>
        <v>4.4789760000000003</v>
      </c>
      <c r="BR2" s="208">
        <f t="shared" si="8"/>
        <v>21.792000000000002</v>
      </c>
      <c r="BS2" s="208">
        <f t="shared" si="8"/>
        <v>21.588000000000001</v>
      </c>
      <c r="BT2" s="208">
        <f t="shared" si="8"/>
        <v>0</v>
      </c>
      <c r="BU2" s="208">
        <f t="shared" si="8"/>
        <v>0</v>
      </c>
      <c r="BV2" s="208">
        <f t="shared" si="8"/>
        <v>0</v>
      </c>
      <c r="BW2" s="208">
        <f t="shared" si="8"/>
        <v>0</v>
      </c>
      <c r="BX2" s="208">
        <f t="shared" si="8"/>
        <v>17.225999999999999</v>
      </c>
      <c r="BZ2" s="207" t="s">
        <v>95</v>
      </c>
      <c r="CA2" s="208">
        <f t="shared" ref="CA2:CU2" si="9">+SUMIFS(CA$5:CA$685,$A$5:$A$685,"5101")</f>
        <v>319.23</v>
      </c>
      <c r="CB2" s="208">
        <f t="shared" si="9"/>
        <v>325.3867272178253</v>
      </c>
      <c r="CC2" s="208">
        <f t="shared" si="9"/>
        <v>246</v>
      </c>
      <c r="CD2" s="208">
        <f t="shared" si="9"/>
        <v>277.37200000000001</v>
      </c>
      <c r="CE2" s="208">
        <f t="shared" si="9"/>
        <v>323.89777777777755</v>
      </c>
      <c r="CF2" s="208">
        <f t="shared" si="9"/>
        <v>201.49503866666666</v>
      </c>
      <c r="CG2" s="208">
        <f t="shared" si="9"/>
        <v>345.68888888888887</v>
      </c>
      <c r="CH2" s="208">
        <f t="shared" si="9"/>
        <v>178.07811555555574</v>
      </c>
      <c r="CI2" s="208">
        <f t="shared" si="9"/>
        <v>207.17354666666665</v>
      </c>
      <c r="CJ2" s="208">
        <f t="shared" si="9"/>
        <v>309.7112444444445</v>
      </c>
      <c r="CK2" s="208">
        <f t="shared" si="9"/>
        <v>225.11899422222226</v>
      </c>
      <c r="CL2" s="208">
        <f t="shared" si="9"/>
        <v>172.580096</v>
      </c>
      <c r="CM2" s="208">
        <f t="shared" si="9"/>
        <v>142.97087999999999</v>
      </c>
      <c r="CN2" s="208">
        <f t="shared" si="9"/>
        <v>205.27379199999999</v>
      </c>
      <c r="CO2" s="296">
        <f t="shared" si="9"/>
        <v>261.84076799999997</v>
      </c>
      <c r="CP2" s="296">
        <f t="shared" si="9"/>
        <v>264.23543999999998</v>
      </c>
      <c r="CQ2" s="296">
        <f t="shared" si="9"/>
        <v>195.57333333333332</v>
      </c>
      <c r="CR2" s="296">
        <f t="shared" si="9"/>
        <v>234.554112</v>
      </c>
      <c r="CS2" s="296">
        <f t="shared" si="9"/>
        <v>119.97772799999998</v>
      </c>
      <c r="CT2" s="296">
        <f t="shared" si="9"/>
        <v>117.277056</v>
      </c>
      <c r="CU2" s="296">
        <f t="shared" si="9"/>
        <v>314.98063200000001</v>
      </c>
    </row>
    <row r="3" spans="1:99" x14ac:dyDescent="0.35">
      <c r="K3" s="210">
        <f t="shared" ref="K3:AE3" si="10">SUM(K5:K116)</f>
        <v>47265.031999999992</v>
      </c>
      <c r="L3" s="210">
        <f t="shared" si="10"/>
        <v>48799.021848778495</v>
      </c>
      <c r="M3" s="210">
        <f t="shared" si="10"/>
        <v>55422.936079365092</v>
      </c>
      <c r="N3" s="210">
        <f t="shared" si="10"/>
        <v>57465</v>
      </c>
      <c r="O3" s="210">
        <f t="shared" si="10"/>
        <v>49976.281984126988</v>
      </c>
      <c r="P3" s="210">
        <f t="shared" si="10"/>
        <v>39627.528835978825</v>
      </c>
      <c r="Q3" s="210">
        <f t="shared" si="10"/>
        <v>37446.354005291003</v>
      </c>
      <c r="R3" s="210">
        <f t="shared" si="10"/>
        <v>31326.108322751323</v>
      </c>
      <c r="S3" s="210">
        <f t="shared" si="10"/>
        <v>33906.050391534387</v>
      </c>
      <c r="T3" s="210">
        <f t="shared" si="10"/>
        <v>43974.412640211653</v>
      </c>
      <c r="U3" s="210">
        <f t="shared" si="10"/>
        <v>40634.364661375672</v>
      </c>
      <c r="V3" s="210">
        <f t="shared" si="10"/>
        <v>31941.464000000004</v>
      </c>
      <c r="W3" s="210">
        <f t="shared" si="10"/>
        <v>53820.712</v>
      </c>
      <c r="X3" s="210">
        <f t="shared" si="10"/>
        <v>53099.520000000004</v>
      </c>
      <c r="Y3" s="210">
        <f t="shared" si="10"/>
        <v>53815.448000000019</v>
      </c>
      <c r="Z3" s="210">
        <f t="shared" si="10"/>
        <v>49864.732799999976</v>
      </c>
      <c r="AA3" s="210">
        <f t="shared" si="10"/>
        <v>41706.630507936527</v>
      </c>
      <c r="AB3" s="210">
        <f t="shared" si="10"/>
        <v>43668.359999999993</v>
      </c>
      <c r="AC3" s="210">
        <f t="shared" si="10"/>
        <v>34426.287999999993</v>
      </c>
      <c r="AD3" s="210">
        <f t="shared" si="10"/>
        <v>30555.624000000003</v>
      </c>
      <c r="AE3" s="210">
        <f t="shared" si="10"/>
        <v>42225.588000000003</v>
      </c>
      <c r="AF3" s="207" t="s">
        <v>96</v>
      </c>
      <c r="AG3" s="208">
        <f t="shared" ref="AG3:BA3" si="11">+SUM(AG$5:AG$685)</f>
        <v>1227.7437815111109</v>
      </c>
      <c r="AH3" s="208">
        <f t="shared" si="11"/>
        <v>1244.6586143257302</v>
      </c>
      <c r="AI3" s="208">
        <f t="shared" si="11"/>
        <v>1525.4991896550266</v>
      </c>
      <c r="AJ3" s="208">
        <f t="shared" si="11"/>
        <v>1598.8752800000004</v>
      </c>
      <c r="AK3" s="208">
        <f t="shared" si="11"/>
        <v>1304.9206235793654</v>
      </c>
      <c r="AL3" s="208">
        <f t="shared" si="11"/>
        <v>1029.9079194645499</v>
      </c>
      <c r="AM3" s="208">
        <f t="shared" si="11"/>
        <v>831.93546663280415</v>
      </c>
      <c r="AN3" s="208">
        <f t="shared" si="11"/>
        <v>815.50602170624313</v>
      </c>
      <c r="AO3" s="208">
        <f t="shared" si="11"/>
        <v>836.66961042936498</v>
      </c>
      <c r="AP3" s="208">
        <f t="shared" si="11"/>
        <v>1399.178290886244</v>
      </c>
      <c r="AQ3" s="208">
        <f t="shared" si="11"/>
        <v>1306.2869207883598</v>
      </c>
      <c r="AR3" s="208">
        <f t="shared" si="11"/>
        <v>1012.79231824</v>
      </c>
      <c r="AS3" s="208">
        <f t="shared" si="11"/>
        <v>1763.79869472</v>
      </c>
      <c r="AT3" s="208">
        <f t="shared" si="11"/>
        <v>1720.4153449600001</v>
      </c>
      <c r="AU3" s="208">
        <f t="shared" si="11"/>
        <v>1638.7741643200002</v>
      </c>
      <c r="AV3" s="208">
        <f t="shared" si="11"/>
        <v>1523.6812019199997</v>
      </c>
      <c r="AW3" s="208">
        <f t="shared" si="11"/>
        <v>1362.5470308269839</v>
      </c>
      <c r="AX3" s="208">
        <f t="shared" si="11"/>
        <v>1429.5034807999998</v>
      </c>
      <c r="AY3" s="208">
        <f t="shared" si="11"/>
        <v>1141.3454872000004</v>
      </c>
      <c r="AZ3" s="208">
        <f t="shared" si="11"/>
        <v>1052.0024927999998</v>
      </c>
      <c r="BA3" s="208">
        <f t="shared" si="11"/>
        <v>1244.5474327999998</v>
      </c>
      <c r="BB3" s="209"/>
      <c r="BC3" s="207" t="s">
        <v>96</v>
      </c>
      <c r="BD3" s="208">
        <f t="shared" ref="BD3:BX3" si="12">+SUMIFS(BD$5:BD$685,$A$5:$A$685,"5121")</f>
        <v>16.319320000000001</v>
      </c>
      <c r="BE3" s="208">
        <f t="shared" si="12"/>
        <v>24.119200754746146</v>
      </c>
      <c r="BF3" s="208">
        <f t="shared" si="12"/>
        <v>21.001066666666667</v>
      </c>
      <c r="BG3" s="208">
        <f t="shared" si="12"/>
        <v>81.372920000000008</v>
      </c>
      <c r="BH3" s="208">
        <f t="shared" si="12"/>
        <v>33.950688888888912</v>
      </c>
      <c r="BI3" s="208">
        <f t="shared" si="12"/>
        <v>45.361475555555515</v>
      </c>
      <c r="BJ3" s="208">
        <f t="shared" si="12"/>
        <v>29.595808888888914</v>
      </c>
      <c r="BK3" s="208">
        <f t="shared" si="12"/>
        <v>18.996196757777799</v>
      </c>
      <c r="BL3" s="208">
        <f t="shared" si="12"/>
        <v>61.320313398148151</v>
      </c>
      <c r="BM3" s="208">
        <f t="shared" si="12"/>
        <v>10.856764444444444</v>
      </c>
      <c r="BN3" s="208">
        <f t="shared" si="12"/>
        <v>17.086666666666666</v>
      </c>
      <c r="BO3" s="208">
        <f t="shared" si="12"/>
        <v>19.68205056</v>
      </c>
      <c r="BP3" s="208">
        <f t="shared" si="12"/>
        <v>89.894978879999996</v>
      </c>
      <c r="BQ3" s="208">
        <f t="shared" si="12"/>
        <v>78.194352640000005</v>
      </c>
      <c r="BR3" s="208">
        <f t="shared" si="12"/>
        <v>55.690951679999998</v>
      </c>
      <c r="BS3" s="208">
        <f t="shared" si="12"/>
        <v>31.823400960000001</v>
      </c>
      <c r="BT3" s="208">
        <f t="shared" si="12"/>
        <v>0</v>
      </c>
      <c r="BU3" s="208">
        <f t="shared" si="12"/>
        <v>0</v>
      </c>
      <c r="BV3" s="208">
        <f t="shared" si="12"/>
        <v>0</v>
      </c>
      <c r="BW3" s="208">
        <f t="shared" si="12"/>
        <v>0</v>
      </c>
      <c r="BX3" s="208">
        <f t="shared" si="12"/>
        <v>0</v>
      </c>
      <c r="BZ3" s="207" t="s">
        <v>96</v>
      </c>
      <c r="CA3" s="208">
        <f t="shared" ref="CA3:CU3" si="13">+SUMIFS(CA$5:CA$685,$A$5:$A$685,"5121")</f>
        <v>72.307199999999995</v>
      </c>
      <c r="CB3" s="208">
        <f t="shared" si="13"/>
        <v>64.616257803688825</v>
      </c>
      <c r="CC3" s="208">
        <f t="shared" si="13"/>
        <v>144.5546666666668</v>
      </c>
      <c r="CD3" s="208">
        <f t="shared" si="13"/>
        <v>107.29600000000001</v>
      </c>
      <c r="CE3" s="208">
        <f t="shared" si="13"/>
        <v>96.529066666666807</v>
      </c>
      <c r="CF3" s="208">
        <f t="shared" si="13"/>
        <v>122.33386666666681</v>
      </c>
      <c r="CG3" s="208">
        <f t="shared" si="13"/>
        <v>78.847999999999999</v>
      </c>
      <c r="CH3" s="208">
        <f t="shared" si="13"/>
        <v>71.731370666666649</v>
      </c>
      <c r="CI3" s="208">
        <f t="shared" si="13"/>
        <v>56.491008000000001</v>
      </c>
      <c r="CJ3" s="208">
        <f t="shared" si="13"/>
        <v>0</v>
      </c>
      <c r="CK3" s="208">
        <f t="shared" si="13"/>
        <v>0</v>
      </c>
      <c r="CL3" s="208">
        <f t="shared" si="13"/>
        <v>0</v>
      </c>
      <c r="CM3" s="208">
        <f t="shared" si="13"/>
        <v>37.571788799999993</v>
      </c>
      <c r="CN3" s="208">
        <f t="shared" si="13"/>
        <v>18.785894399999997</v>
      </c>
      <c r="CO3" s="296">
        <f t="shared" si="13"/>
        <v>37.571788799999993</v>
      </c>
      <c r="CP3" s="296">
        <f t="shared" si="13"/>
        <v>18.785894399999997</v>
      </c>
      <c r="CQ3" s="296">
        <f t="shared" si="13"/>
        <v>43.804444444444442</v>
      </c>
      <c r="CR3" s="296">
        <f t="shared" si="13"/>
        <v>18.785894399999997</v>
      </c>
      <c r="CS3" s="296">
        <f t="shared" si="13"/>
        <v>18.785894399999997</v>
      </c>
      <c r="CT3" s="296">
        <f t="shared" si="13"/>
        <v>37.571788799999993</v>
      </c>
      <c r="CU3" s="296">
        <f t="shared" si="13"/>
        <v>18.785894399999997</v>
      </c>
    </row>
    <row r="4" spans="1:99" x14ac:dyDescent="0.35">
      <c r="A4" s="211" t="s">
        <v>97</v>
      </c>
      <c r="B4" s="212" t="s">
        <v>98</v>
      </c>
      <c r="C4" s="212" t="s">
        <v>99</v>
      </c>
      <c r="D4" s="212" t="s">
        <v>100</v>
      </c>
      <c r="E4" s="212" t="s">
        <v>101</v>
      </c>
      <c r="F4" s="212" t="s">
        <v>102</v>
      </c>
      <c r="G4" s="212" t="s">
        <v>50</v>
      </c>
      <c r="H4" s="212" t="s">
        <v>103</v>
      </c>
      <c r="I4" s="213" t="s">
        <v>104</v>
      </c>
      <c r="J4" s="214"/>
      <c r="K4" s="215">
        <v>45566</v>
      </c>
      <c r="L4" s="215">
        <v>45597</v>
      </c>
      <c r="M4" s="215">
        <v>45627</v>
      </c>
      <c r="N4" s="215">
        <v>45658</v>
      </c>
      <c r="O4" s="215">
        <v>45689</v>
      </c>
      <c r="P4" s="215">
        <v>45717</v>
      </c>
      <c r="Q4" s="215">
        <v>45748</v>
      </c>
      <c r="R4" s="215">
        <v>45778</v>
      </c>
      <c r="S4" s="215">
        <v>45809</v>
      </c>
      <c r="T4" s="261">
        <v>45839</v>
      </c>
      <c r="U4" s="261">
        <v>45870</v>
      </c>
      <c r="V4" s="261">
        <v>45901</v>
      </c>
      <c r="W4" s="261">
        <v>45931</v>
      </c>
      <c r="X4" s="261">
        <v>45962</v>
      </c>
      <c r="Y4" s="261">
        <v>45992</v>
      </c>
      <c r="Z4" s="261">
        <v>46023</v>
      </c>
      <c r="AA4" s="261">
        <v>46054</v>
      </c>
      <c r="AB4" s="261">
        <v>46082</v>
      </c>
      <c r="AC4" s="261">
        <v>46113</v>
      </c>
      <c r="AD4" s="261">
        <v>46143</v>
      </c>
      <c r="AE4" s="261">
        <v>46174</v>
      </c>
      <c r="AF4" s="216"/>
      <c r="AG4" s="217">
        <f>K4</f>
        <v>45566</v>
      </c>
      <c r="AH4" s="217">
        <f t="shared" ref="AH4:AP4" si="14">L4</f>
        <v>45597</v>
      </c>
      <c r="AI4" s="217">
        <f t="shared" si="14"/>
        <v>45627</v>
      </c>
      <c r="AJ4" s="217">
        <f t="shared" si="14"/>
        <v>45658</v>
      </c>
      <c r="AK4" s="217">
        <f t="shared" si="14"/>
        <v>45689</v>
      </c>
      <c r="AL4" s="217">
        <f t="shared" si="14"/>
        <v>45717</v>
      </c>
      <c r="AM4" s="217">
        <f t="shared" si="14"/>
        <v>45748</v>
      </c>
      <c r="AN4" s="217">
        <f t="shared" si="14"/>
        <v>45778</v>
      </c>
      <c r="AO4" s="217">
        <f t="shared" si="14"/>
        <v>45809</v>
      </c>
      <c r="AP4" s="217">
        <f t="shared" si="14"/>
        <v>45839</v>
      </c>
      <c r="AQ4" s="217">
        <f t="shared" ref="AQ4" si="15">U4</f>
        <v>45870</v>
      </c>
      <c r="AR4" s="217">
        <f t="shared" ref="AR4" si="16">V4</f>
        <v>45901</v>
      </c>
      <c r="AS4" s="217">
        <f t="shared" ref="AS4" si="17">W4</f>
        <v>45931</v>
      </c>
      <c r="AT4" s="217">
        <f t="shared" ref="AT4" si="18">X4</f>
        <v>45962</v>
      </c>
      <c r="AU4" s="217">
        <f>Y4</f>
        <v>45992</v>
      </c>
      <c r="AV4" s="217">
        <f t="shared" ref="AV4:BB4" si="19">Z4</f>
        <v>46023</v>
      </c>
      <c r="AW4" s="217">
        <f t="shared" si="19"/>
        <v>46054</v>
      </c>
      <c r="AX4" s="217">
        <f t="shared" si="19"/>
        <v>46082</v>
      </c>
      <c r="AY4" s="217">
        <f t="shared" si="19"/>
        <v>46113</v>
      </c>
      <c r="AZ4" s="217">
        <f t="shared" si="19"/>
        <v>46143</v>
      </c>
      <c r="BA4" s="217">
        <f t="shared" si="19"/>
        <v>46174</v>
      </c>
      <c r="BB4" s="217">
        <f t="shared" si="19"/>
        <v>0</v>
      </c>
      <c r="BC4" s="209"/>
      <c r="BD4" s="217">
        <f>K4</f>
        <v>45566</v>
      </c>
      <c r="BE4" s="217">
        <f t="shared" ref="BE4:BN4" si="20">L4</f>
        <v>45597</v>
      </c>
      <c r="BF4" s="217">
        <f t="shared" si="20"/>
        <v>45627</v>
      </c>
      <c r="BG4" s="217">
        <f t="shared" si="20"/>
        <v>45658</v>
      </c>
      <c r="BH4" s="217">
        <f t="shared" si="20"/>
        <v>45689</v>
      </c>
      <c r="BI4" s="217">
        <f t="shared" si="20"/>
        <v>45717</v>
      </c>
      <c r="BJ4" s="217">
        <f t="shared" si="20"/>
        <v>45748</v>
      </c>
      <c r="BK4" s="217">
        <f t="shared" si="20"/>
        <v>45778</v>
      </c>
      <c r="BL4" s="217">
        <f t="shared" si="20"/>
        <v>45809</v>
      </c>
      <c r="BM4" s="217">
        <f t="shared" si="20"/>
        <v>45839</v>
      </c>
      <c r="BN4" s="217">
        <f t="shared" si="20"/>
        <v>45870</v>
      </c>
      <c r="BO4" s="217">
        <f t="shared" ref="BO4" si="21">V4</f>
        <v>45901</v>
      </c>
      <c r="BP4" s="217">
        <f t="shared" ref="BP4" si="22">W4</f>
        <v>45931</v>
      </c>
      <c r="BQ4" s="217">
        <f t="shared" ref="BQ4" si="23">X4</f>
        <v>45962</v>
      </c>
      <c r="BR4" s="217">
        <f>Y4</f>
        <v>45992</v>
      </c>
      <c r="BS4" s="217">
        <f t="shared" ref="BS4:BX4" si="24">Z4</f>
        <v>46023</v>
      </c>
      <c r="BT4" s="217">
        <f t="shared" si="24"/>
        <v>46054</v>
      </c>
      <c r="BU4" s="217">
        <f t="shared" si="24"/>
        <v>46082</v>
      </c>
      <c r="BV4" s="217">
        <f t="shared" si="24"/>
        <v>46113</v>
      </c>
      <c r="BW4" s="217">
        <f t="shared" si="24"/>
        <v>46143</v>
      </c>
      <c r="BX4" s="217">
        <f t="shared" si="24"/>
        <v>46174</v>
      </c>
      <c r="BZ4" s="216"/>
      <c r="CA4" s="217">
        <f>K4</f>
        <v>45566</v>
      </c>
      <c r="CB4" s="217">
        <f t="shared" ref="CB4:CK4" si="25">L4</f>
        <v>45597</v>
      </c>
      <c r="CC4" s="217">
        <f t="shared" si="25"/>
        <v>45627</v>
      </c>
      <c r="CD4" s="217">
        <f t="shared" si="25"/>
        <v>45658</v>
      </c>
      <c r="CE4" s="217">
        <f t="shared" si="25"/>
        <v>45689</v>
      </c>
      <c r="CF4" s="217">
        <f t="shared" si="25"/>
        <v>45717</v>
      </c>
      <c r="CG4" s="217">
        <f t="shared" si="25"/>
        <v>45748</v>
      </c>
      <c r="CH4" s="217">
        <f t="shared" si="25"/>
        <v>45778</v>
      </c>
      <c r="CI4" s="217">
        <f t="shared" si="25"/>
        <v>45809</v>
      </c>
      <c r="CJ4" s="217">
        <f t="shared" si="25"/>
        <v>45839</v>
      </c>
      <c r="CK4" s="217">
        <f t="shared" si="25"/>
        <v>45870</v>
      </c>
      <c r="CL4" s="217">
        <f t="shared" ref="CL4" si="26">V4</f>
        <v>45901</v>
      </c>
      <c r="CM4" s="217">
        <f t="shared" ref="CM4" si="27">W4</f>
        <v>45931</v>
      </c>
      <c r="CN4" s="217">
        <f t="shared" ref="CN4" si="28">X4</f>
        <v>45962</v>
      </c>
      <c r="CO4" s="217">
        <f>Y4</f>
        <v>45992</v>
      </c>
      <c r="CP4" s="217">
        <f t="shared" ref="CP4:CU4" si="29">Z4</f>
        <v>46023</v>
      </c>
      <c r="CQ4" s="217">
        <f t="shared" si="29"/>
        <v>46054</v>
      </c>
      <c r="CR4" s="217">
        <f t="shared" si="29"/>
        <v>46082</v>
      </c>
      <c r="CS4" s="217">
        <f t="shared" si="29"/>
        <v>46113</v>
      </c>
      <c r="CT4" s="217">
        <f t="shared" si="29"/>
        <v>46143</v>
      </c>
      <c r="CU4" s="217">
        <f t="shared" si="29"/>
        <v>46174</v>
      </c>
    </row>
    <row r="5" spans="1:99" x14ac:dyDescent="0.35">
      <c r="A5" s="233">
        <v>5121</v>
      </c>
      <c r="B5" s="233">
        <v>20000335</v>
      </c>
      <c r="C5" s="234" t="s">
        <v>105</v>
      </c>
      <c r="D5" s="234">
        <v>50034574</v>
      </c>
      <c r="E5" s="233">
        <v>19.5</v>
      </c>
      <c r="F5" s="233" t="s">
        <v>106</v>
      </c>
      <c r="G5" s="233" t="s">
        <v>107</v>
      </c>
      <c r="H5" s="233" t="s">
        <v>70</v>
      </c>
      <c r="I5" s="235">
        <v>0</v>
      </c>
      <c r="J5" s="218"/>
      <c r="K5" s="237">
        <v>9474</v>
      </c>
      <c r="L5" s="237">
        <v>9609.8195797656499</v>
      </c>
      <c r="M5" s="237">
        <v>6681.8095238095202</v>
      </c>
      <c r="N5" s="237">
        <v>0</v>
      </c>
      <c r="O5" s="237">
        <v>0</v>
      </c>
      <c r="P5" s="237">
        <v>0</v>
      </c>
      <c r="Q5" s="237">
        <v>3800</v>
      </c>
      <c r="R5" s="237">
        <v>0</v>
      </c>
      <c r="S5" s="238">
        <v>2157.3270000000002</v>
      </c>
      <c r="T5" s="263">
        <v>0</v>
      </c>
      <c r="U5" s="262">
        <v>0</v>
      </c>
      <c r="V5" s="262">
        <v>0</v>
      </c>
      <c r="W5" s="262">
        <v>0</v>
      </c>
      <c r="X5" s="262">
        <v>0</v>
      </c>
      <c r="Y5" s="262">
        <v>0</v>
      </c>
      <c r="Z5" s="262">
        <v>0</v>
      </c>
      <c r="AA5" s="262">
        <v>0</v>
      </c>
      <c r="AB5" s="262">
        <v>0</v>
      </c>
      <c r="AC5" s="262">
        <v>0</v>
      </c>
      <c r="AD5" s="262">
        <v>0</v>
      </c>
      <c r="AE5" s="262">
        <v>0</v>
      </c>
      <c r="AF5" s="219"/>
      <c r="AG5" s="220">
        <f t="shared" ref="AG5:AG36" si="30">IF($C5="CERVECERIA Y MALTERIA",K5*$E5/1000*(1-$I5),0)</f>
        <v>184.74299999999999</v>
      </c>
      <c r="AH5" s="220">
        <f t="shared" ref="AH5:AH36" si="31">IF($C5="CERVECERIA Y MALTERIA",L5*$E5/1000*(1-$I5),0)</f>
        <v>187.39148180543017</v>
      </c>
      <c r="AI5" s="220">
        <f t="shared" ref="AI5:AI36" si="32">IF($C5="CERVECERIA Y MALTERIA",M5*$E5/1000*(1-$I5),0)</f>
        <v>130.29528571428563</v>
      </c>
      <c r="AJ5" s="220">
        <f t="shared" ref="AJ5:AJ36" si="33">IF($C5="CERVECERIA Y MALTERIA",N5*$E5/1000*(1-$I5),0)</f>
        <v>0</v>
      </c>
      <c r="AK5" s="220">
        <f t="shared" ref="AK5:AK36" si="34">IF($C5="CERVECERIA Y MALTERIA",O5*$E5/1000*(1-$I5),0)</f>
        <v>0</v>
      </c>
      <c r="AL5" s="220">
        <f t="shared" ref="AL5:AL36" si="35">IF($C5="CERVECERIA Y MALTERIA",P5*$E5/1000*(1-$I5),0)</f>
        <v>0</v>
      </c>
      <c r="AM5" s="220">
        <f t="shared" ref="AM5:AM36" si="36">IF($C5="CERVECERIA Y MALTERIA",Q5*$E5/1000*(1-$I5),0)</f>
        <v>74.099999999999994</v>
      </c>
      <c r="AN5" s="220">
        <f t="shared" ref="AN5:AN36" si="37">IF($C5="CERVECERIA Y MALTERIA",R5*$E5/1000*(1-$I5),0)</f>
        <v>0</v>
      </c>
      <c r="AO5" s="220">
        <f t="shared" ref="AO5:AO36" si="38">IF($C5="CERVECERIA Y MALTERIA",S5*$E5/1000*(1-$I5),0)</f>
        <v>42.067876500000004</v>
      </c>
      <c r="AP5" s="220">
        <f t="shared" ref="AP5:AP36" si="39">IF($C5="CERVECERIA Y MALTERIA",T5*$E5/1000*(1-$I5),0)</f>
        <v>0</v>
      </c>
      <c r="AQ5" s="220">
        <f t="shared" ref="AQ5:AQ36" si="40">IF($C5="CERVECERIA Y MALTERIA",U5*$E5/1000*(1-$I5),0)</f>
        <v>0</v>
      </c>
      <c r="AR5" s="220">
        <f t="shared" ref="AR5:AR36" si="41">IF($C5="CERVECERIA Y MALTERIA",V5*$E5/1000*(1-$I5),0)</f>
        <v>0</v>
      </c>
      <c r="AS5" s="220">
        <f t="shared" ref="AS5:AS36" si="42">IF($C5="CERVECERIA Y MALTERIA",W5*$E5/1000*(1-$I5),0)</f>
        <v>0</v>
      </c>
      <c r="AT5" s="220">
        <f t="shared" ref="AT5:AT36" si="43">IF($C5="CERVECERIA Y MALTERIA",X5*$E5/1000*(1-$I5),0)</f>
        <v>0</v>
      </c>
      <c r="AU5" s="220">
        <f t="shared" ref="AU5:AU36" si="44">IF($C5="CERVECERIA Y MALTERIA",Y5*$E5/1000*(1-$I5),0)</f>
        <v>0</v>
      </c>
      <c r="AV5" s="220">
        <f t="shared" ref="AV5:AV36" si="45">IF($C5="CERVECERIA Y MALTERIA",Z5*$E5/1000*(1-$I5),0)</f>
        <v>0</v>
      </c>
      <c r="AW5" s="220">
        <f t="shared" ref="AW5:AW36" si="46">IF($C5="CERVECERIA Y MALTERIA",AA5*$E5/1000*(1-$I5),0)</f>
        <v>0</v>
      </c>
      <c r="AX5" s="220">
        <f t="shared" ref="AX5:AX36" si="47">IF($C5="CERVECERIA Y MALTERIA",AB5*$E5/1000*(1-$I5),0)</f>
        <v>0</v>
      </c>
      <c r="AY5" s="220">
        <f t="shared" ref="AY5:AY36" si="48">IF($C5="CERVECERIA Y MALTERIA",AC5*$E5/1000*(1-$I5),0)</f>
        <v>0</v>
      </c>
      <c r="AZ5" s="220">
        <f t="shared" ref="AZ5:AZ36" si="49">IF($C5="CERVECERIA Y MALTERIA",AD5*$E5/1000*(1-$I5),0)</f>
        <v>0</v>
      </c>
      <c r="BA5" s="220">
        <f t="shared" ref="BA5:BA36" si="50">IF($C5="CERVECERIA Y MALTERIA",AE5*$E5/1000*(1-$I5),0)</f>
        <v>0</v>
      </c>
      <c r="BB5" s="219"/>
      <c r="BC5" s="219"/>
      <c r="BD5" s="220">
        <f t="shared" ref="BD5:BD27" si="51">+K5*$E5/1000*$I5</f>
        <v>0</v>
      </c>
      <c r="BE5" s="220">
        <f t="shared" ref="BE5:BG20" si="52">+L5*$E5/1000*$I5</f>
        <v>0</v>
      </c>
      <c r="BF5" s="220">
        <f t="shared" si="52"/>
        <v>0</v>
      </c>
      <c r="BG5" s="220">
        <f t="shared" si="52"/>
        <v>0</v>
      </c>
      <c r="BH5" s="220">
        <f t="shared" ref="BH5:BN20" si="53">+O5*$E5/1000*$I5</f>
        <v>0</v>
      </c>
      <c r="BI5" s="220">
        <f t="shared" si="53"/>
        <v>0</v>
      </c>
      <c r="BJ5" s="220">
        <f t="shared" si="53"/>
        <v>0</v>
      </c>
      <c r="BK5" s="220">
        <f t="shared" si="53"/>
        <v>0</v>
      </c>
      <c r="BL5" s="220">
        <f t="shared" si="53"/>
        <v>0</v>
      </c>
      <c r="BM5" s="220">
        <f t="shared" si="53"/>
        <v>0</v>
      </c>
      <c r="BN5" s="220">
        <f t="shared" si="53"/>
        <v>0</v>
      </c>
      <c r="BO5" s="220">
        <f t="shared" ref="BO5:BO56" si="54">+V5*$E5/1000*$I5</f>
        <v>0</v>
      </c>
      <c r="BP5" s="220">
        <f t="shared" ref="BP5:BP56" si="55">+W5*$E5/1000*$I5</f>
        <v>0</v>
      </c>
      <c r="BQ5" s="220">
        <f t="shared" ref="BQ5:BQ56" si="56">+X5*$E5/1000*$I5</f>
        <v>0</v>
      </c>
      <c r="BR5" s="220">
        <f t="shared" ref="BR5:BR31" si="57">+Y5*$E5/1000*$I5</f>
        <v>0</v>
      </c>
      <c r="BS5" s="220">
        <f t="shared" ref="BS5:BS55" si="58">+Z5*$E5/1000*$I5</f>
        <v>0</v>
      </c>
      <c r="BT5" s="220">
        <f t="shared" ref="BT5:BT55" si="59">+AA5*$E5/1000*$I5</f>
        <v>0</v>
      </c>
      <c r="BU5" s="220">
        <f t="shared" ref="BU5:BU55" si="60">+AB5*$E5/1000*$I5</f>
        <v>0</v>
      </c>
      <c r="BV5" s="220">
        <f t="shared" ref="BV5:BV55" si="61">+AC5*$E5/1000*$I5</f>
        <v>0</v>
      </c>
      <c r="BW5" s="220">
        <f t="shared" ref="BW5:BW55" si="62">+AD5*$E5/1000*$I5</f>
        <v>0</v>
      </c>
      <c r="BX5" s="220">
        <f t="shared" ref="BX5:BX55" si="63">+AE5*$E5/1000*$I5</f>
        <v>0</v>
      </c>
      <c r="BZ5" s="219"/>
      <c r="CA5" s="220">
        <f t="shared" ref="CA5:CK5" si="64">IF($C5="CERVECERIA Y MALTERIA.",K5*$E5/1000*(1-$I5),0)</f>
        <v>0</v>
      </c>
      <c r="CB5" s="220">
        <f t="shared" si="64"/>
        <v>0</v>
      </c>
      <c r="CC5" s="220">
        <f t="shared" si="64"/>
        <v>0</v>
      </c>
      <c r="CD5" s="220">
        <f t="shared" si="64"/>
        <v>0</v>
      </c>
      <c r="CE5" s="220">
        <f t="shared" si="64"/>
        <v>0</v>
      </c>
      <c r="CF5" s="220">
        <f t="shared" si="64"/>
        <v>0</v>
      </c>
      <c r="CG5" s="220">
        <f t="shared" si="64"/>
        <v>0</v>
      </c>
      <c r="CH5" s="220">
        <f t="shared" si="64"/>
        <v>0</v>
      </c>
      <c r="CI5" s="220">
        <f t="shared" si="64"/>
        <v>0</v>
      </c>
      <c r="CJ5" s="220">
        <f t="shared" si="64"/>
        <v>0</v>
      </c>
      <c r="CK5" s="220">
        <f t="shared" si="64"/>
        <v>0</v>
      </c>
      <c r="CL5" s="220">
        <f t="shared" ref="CL5:CL56" si="65">IF($C5="CERVECERIA Y MALTERIA.",V5*$E5/1000*(1-$I5),0)</f>
        <v>0</v>
      </c>
      <c r="CM5" s="220">
        <f t="shared" ref="CM5:CM56" si="66">IF($C5="CERVECERIA Y MALTERIA.",W5*$E5/1000*(1-$I5),0)</f>
        <v>0</v>
      </c>
      <c r="CN5" s="220">
        <f t="shared" ref="CN5:CN56" si="67">IF($C5="CERVECERIA Y MALTERIA.",X5*$E5/1000*(1-$I5),0)</f>
        <v>0</v>
      </c>
      <c r="CO5" s="220">
        <f t="shared" ref="CO5:CO31" si="68">IF($C5="CERVECERIA Y MALTERIA.",Y5*$E5/1000*(1-$I5),0)</f>
        <v>0</v>
      </c>
      <c r="CP5" s="220">
        <f t="shared" ref="CP5:CP55" si="69">IF($C5="CERVECERIA Y MALTERIA.",Z5*$E5/1000*(1-$I5),0)</f>
        <v>0</v>
      </c>
      <c r="CQ5" s="220">
        <f t="shared" ref="CQ5:CQ55" si="70">IF($C5="CERVECERIA Y MALTERIA.",AA5*$E5/1000*(1-$I5),0)</f>
        <v>0</v>
      </c>
      <c r="CR5" s="220">
        <f t="shared" ref="CR5:CR55" si="71">IF($C5="CERVECERIA Y MALTERIA.",AB5*$E5/1000*(1-$I5),0)</f>
        <v>0</v>
      </c>
      <c r="CS5" s="220">
        <f t="shared" ref="CS5:CS55" si="72">IF($C5="CERVECERIA Y MALTERIA.",AC5*$E5/1000*(1-$I5),0)</f>
        <v>0</v>
      </c>
      <c r="CT5" s="220">
        <f t="shared" ref="CT5:CT55" si="73">IF($C5="CERVECERIA Y MALTERIA.",AD5*$E5/1000*(1-$I5),0)</f>
        <v>0</v>
      </c>
      <c r="CU5" s="220">
        <f t="shared" ref="CU5:CU55" si="74">IF($C5="CERVECERIA Y MALTERIA.",AE5*$E5/1000*(1-$I5),0)</f>
        <v>0</v>
      </c>
    </row>
    <row r="6" spans="1:99" x14ac:dyDescent="0.35">
      <c r="A6" s="233">
        <v>5121</v>
      </c>
      <c r="B6" s="233">
        <v>20000335</v>
      </c>
      <c r="C6" s="234" t="s">
        <v>105</v>
      </c>
      <c r="D6" s="234">
        <v>50035184</v>
      </c>
      <c r="E6" s="233">
        <v>19.5</v>
      </c>
      <c r="F6" s="233" t="s">
        <v>106</v>
      </c>
      <c r="G6" s="233" t="s">
        <v>110</v>
      </c>
      <c r="H6" s="233" t="s">
        <v>70</v>
      </c>
      <c r="I6" s="235">
        <v>0</v>
      </c>
      <c r="J6" s="218"/>
      <c r="K6" s="238">
        <v>0</v>
      </c>
      <c r="L6" s="238">
        <v>0</v>
      </c>
      <c r="M6" s="238">
        <v>2586.666666666667</v>
      </c>
      <c r="N6" s="237">
        <v>2520</v>
      </c>
      <c r="O6" s="237">
        <v>2493.3333333333298</v>
      </c>
      <c r="P6" s="237">
        <v>1626.6666666666699</v>
      </c>
      <c r="Q6" s="237">
        <v>1733.3333333333301</v>
      </c>
      <c r="R6" s="237">
        <v>1060</v>
      </c>
      <c r="S6" s="238">
        <v>1346.6666666666665</v>
      </c>
      <c r="T6" s="263">
        <v>124.10400000000004</v>
      </c>
      <c r="U6" s="263">
        <v>1046.1019999999999</v>
      </c>
      <c r="V6" s="263">
        <v>977.18399999999997</v>
      </c>
      <c r="W6" s="263">
        <v>7816</v>
      </c>
      <c r="X6" s="263">
        <v>8797.4719999999998</v>
      </c>
      <c r="Y6" s="263">
        <v>7817.4719999999998</v>
      </c>
      <c r="Z6" s="263">
        <v>7817.4719999999998</v>
      </c>
      <c r="AA6" s="263">
        <v>7430.0476190476184</v>
      </c>
      <c r="AB6" s="263">
        <v>5863.1039999999994</v>
      </c>
      <c r="AC6" s="263">
        <v>6840.1039999999994</v>
      </c>
      <c r="AD6" s="263">
        <v>2931.5519999999997</v>
      </c>
      <c r="AE6" s="263">
        <v>4885.92</v>
      </c>
      <c r="AF6" s="219"/>
      <c r="AG6" s="220">
        <f t="shared" si="30"/>
        <v>0</v>
      </c>
      <c r="AH6" s="220">
        <f t="shared" si="31"/>
        <v>0</v>
      </c>
      <c r="AI6" s="220">
        <f t="shared" si="32"/>
        <v>50.440000000000005</v>
      </c>
      <c r="AJ6" s="220">
        <f t="shared" si="33"/>
        <v>49.14</v>
      </c>
      <c r="AK6" s="220">
        <f t="shared" si="34"/>
        <v>48.619999999999933</v>
      </c>
      <c r="AL6" s="220">
        <f t="shared" si="35"/>
        <v>31.720000000000063</v>
      </c>
      <c r="AM6" s="220">
        <f t="shared" si="36"/>
        <v>33.799999999999933</v>
      </c>
      <c r="AN6" s="220">
        <f t="shared" si="37"/>
        <v>20.67</v>
      </c>
      <c r="AO6" s="220">
        <f t="shared" si="38"/>
        <v>26.259999999999998</v>
      </c>
      <c r="AP6" s="220">
        <f t="shared" si="39"/>
        <v>2.4200280000000007</v>
      </c>
      <c r="AQ6" s="220">
        <f t="shared" si="40"/>
        <v>20.398988999999997</v>
      </c>
      <c r="AR6" s="220">
        <f t="shared" si="41"/>
        <v>19.055088000000001</v>
      </c>
      <c r="AS6" s="220">
        <f t="shared" si="42"/>
        <v>152.41200000000001</v>
      </c>
      <c r="AT6" s="220">
        <f t="shared" si="43"/>
        <v>171.550704</v>
      </c>
      <c r="AU6" s="220">
        <f t="shared" si="44"/>
        <v>152.44070400000001</v>
      </c>
      <c r="AV6" s="220">
        <f t="shared" si="45"/>
        <v>152.44070400000001</v>
      </c>
      <c r="AW6" s="220">
        <f t="shared" si="46"/>
        <v>144.88592857142856</v>
      </c>
      <c r="AX6" s="220">
        <f t="shared" si="47"/>
        <v>114.33052799999999</v>
      </c>
      <c r="AY6" s="220">
        <f t="shared" si="48"/>
        <v>133.38202799999999</v>
      </c>
      <c r="AZ6" s="220">
        <f t="shared" si="49"/>
        <v>57.165263999999993</v>
      </c>
      <c r="BA6" s="220">
        <f t="shared" si="50"/>
        <v>95.275440000000003</v>
      </c>
      <c r="BB6" s="219"/>
      <c r="BC6" s="219"/>
      <c r="BD6" s="220">
        <f t="shared" si="51"/>
        <v>0</v>
      </c>
      <c r="BE6" s="220">
        <f t="shared" si="52"/>
        <v>0</v>
      </c>
      <c r="BF6" s="220">
        <f t="shared" si="52"/>
        <v>0</v>
      </c>
      <c r="BG6" s="220">
        <f t="shared" si="52"/>
        <v>0</v>
      </c>
      <c r="BH6" s="220">
        <f t="shared" si="53"/>
        <v>0</v>
      </c>
      <c r="BI6" s="220">
        <f t="shared" si="53"/>
        <v>0</v>
      </c>
      <c r="BJ6" s="220">
        <f t="shared" si="53"/>
        <v>0</v>
      </c>
      <c r="BK6" s="220">
        <f t="shared" si="53"/>
        <v>0</v>
      </c>
      <c r="BL6" s="220">
        <f t="shared" si="53"/>
        <v>0</v>
      </c>
      <c r="BM6" s="220">
        <f t="shared" si="53"/>
        <v>0</v>
      </c>
      <c r="BN6" s="220">
        <f t="shared" si="53"/>
        <v>0</v>
      </c>
      <c r="BO6" s="220">
        <f t="shared" si="54"/>
        <v>0</v>
      </c>
      <c r="BP6" s="220">
        <f t="shared" si="55"/>
        <v>0</v>
      </c>
      <c r="BQ6" s="220">
        <f t="shared" si="56"/>
        <v>0</v>
      </c>
      <c r="BR6" s="220">
        <f t="shared" si="57"/>
        <v>0</v>
      </c>
      <c r="BS6" s="220">
        <f t="shared" si="58"/>
        <v>0</v>
      </c>
      <c r="BT6" s="220">
        <f t="shared" si="59"/>
        <v>0</v>
      </c>
      <c r="BU6" s="220">
        <f t="shared" si="60"/>
        <v>0</v>
      </c>
      <c r="BV6" s="220">
        <f t="shared" si="61"/>
        <v>0</v>
      </c>
      <c r="BW6" s="220">
        <f t="shared" si="62"/>
        <v>0</v>
      </c>
      <c r="BX6" s="220">
        <f t="shared" si="63"/>
        <v>0</v>
      </c>
      <c r="BZ6" s="219"/>
      <c r="CA6" s="220">
        <f t="shared" ref="CA6:CA57" si="75">IF($C6="CERVECERIA Y MALTERIA.",K6*$E6/1000*(1-$I6),0)</f>
        <v>0</v>
      </c>
      <c r="CB6" s="220">
        <f t="shared" ref="CB6:CB57" si="76">IF($C6="CERVECERIA Y MALTERIA.",L6*$E6/1000*(1-$I6),0)</f>
        <v>0</v>
      </c>
      <c r="CC6" s="220">
        <f t="shared" ref="CC6:CC57" si="77">IF($C6="CERVECERIA Y MALTERIA.",M6*$E6/1000*(1-$I6),0)</f>
        <v>0</v>
      </c>
      <c r="CD6" s="220">
        <f t="shared" ref="CD6:CD57" si="78">IF($C6="CERVECERIA Y MALTERIA.",N6*$E6/1000*(1-$I6),0)</f>
        <v>0</v>
      </c>
      <c r="CE6" s="220">
        <f t="shared" ref="CE6:CE57" si="79">IF($C6="CERVECERIA Y MALTERIA.",O6*$E6/1000*(1-$I6),0)</f>
        <v>0</v>
      </c>
      <c r="CF6" s="220">
        <f t="shared" ref="CF6:CF57" si="80">IF($C6="CERVECERIA Y MALTERIA.",P6*$E6/1000*(1-$I6),0)</f>
        <v>0</v>
      </c>
      <c r="CG6" s="220">
        <f t="shared" ref="CG6:CG57" si="81">IF($C6="CERVECERIA Y MALTERIA.",Q6*$E6/1000*(1-$I6),0)</f>
        <v>0</v>
      </c>
      <c r="CH6" s="220">
        <f t="shared" ref="CH6:CH57" si="82">IF($C6="CERVECERIA Y MALTERIA.",R6*$E6/1000*(1-$I6),0)</f>
        <v>0</v>
      </c>
      <c r="CI6" s="220">
        <f t="shared" ref="CI6:CI57" si="83">IF($C6="CERVECERIA Y MALTERIA.",S6*$E6/1000*(1-$I6),0)</f>
        <v>0</v>
      </c>
      <c r="CJ6" s="220">
        <f t="shared" ref="CJ6:CJ57" si="84">IF($C6="CERVECERIA Y MALTERIA.",T6*$E6/1000*(1-$I6),0)</f>
        <v>0</v>
      </c>
      <c r="CK6" s="220">
        <f t="shared" ref="CK6:CK57" si="85">IF($C6="CERVECERIA Y MALTERIA.",U6*$E6/1000*(1-$I6),0)</f>
        <v>0</v>
      </c>
      <c r="CL6" s="220">
        <f t="shared" si="65"/>
        <v>0</v>
      </c>
      <c r="CM6" s="220">
        <f t="shared" si="66"/>
        <v>0</v>
      </c>
      <c r="CN6" s="220">
        <f t="shared" si="67"/>
        <v>0</v>
      </c>
      <c r="CO6" s="220">
        <f t="shared" si="68"/>
        <v>0</v>
      </c>
      <c r="CP6" s="220">
        <f t="shared" si="69"/>
        <v>0</v>
      </c>
      <c r="CQ6" s="220">
        <f t="shared" si="70"/>
        <v>0</v>
      </c>
      <c r="CR6" s="220">
        <f t="shared" si="71"/>
        <v>0</v>
      </c>
      <c r="CS6" s="220">
        <f t="shared" si="72"/>
        <v>0</v>
      </c>
      <c r="CT6" s="220">
        <f t="shared" si="73"/>
        <v>0</v>
      </c>
      <c r="CU6" s="220">
        <f t="shared" si="74"/>
        <v>0</v>
      </c>
    </row>
    <row r="7" spans="1:99" x14ac:dyDescent="0.35">
      <c r="A7" s="233">
        <v>5121</v>
      </c>
      <c r="B7" s="233">
        <v>20000335</v>
      </c>
      <c r="C7" s="234" t="s">
        <v>105</v>
      </c>
      <c r="D7" s="234">
        <v>50030374</v>
      </c>
      <c r="E7" s="233">
        <v>19.5</v>
      </c>
      <c r="F7" s="233" t="s">
        <v>106</v>
      </c>
      <c r="G7" s="233" t="s">
        <v>111</v>
      </c>
      <c r="H7" s="233" t="s">
        <v>112</v>
      </c>
      <c r="I7" s="235">
        <v>1</v>
      </c>
      <c r="J7" s="218"/>
      <c r="K7" s="238">
        <v>0</v>
      </c>
      <c r="L7" s="237">
        <v>0</v>
      </c>
      <c r="M7" s="237">
        <v>0</v>
      </c>
      <c r="N7" s="237">
        <v>0</v>
      </c>
      <c r="O7" s="237">
        <v>0</v>
      </c>
      <c r="P7" s="237">
        <v>0</v>
      </c>
      <c r="Q7" s="237">
        <v>0</v>
      </c>
      <c r="R7" s="237">
        <v>0</v>
      </c>
      <c r="S7" s="238">
        <v>0</v>
      </c>
      <c r="T7" s="263">
        <v>0</v>
      </c>
      <c r="U7" s="262">
        <v>0</v>
      </c>
      <c r="V7" s="262">
        <v>0</v>
      </c>
      <c r="W7" s="262">
        <v>0</v>
      </c>
      <c r="X7" s="262">
        <v>0</v>
      </c>
      <c r="Y7" s="262">
        <v>0</v>
      </c>
      <c r="Z7" s="262">
        <v>0</v>
      </c>
      <c r="AA7" s="262">
        <v>0</v>
      </c>
      <c r="AB7" s="262">
        <v>0</v>
      </c>
      <c r="AC7" s="262">
        <v>0</v>
      </c>
      <c r="AD7" s="262">
        <v>0</v>
      </c>
      <c r="AE7" s="262">
        <v>0</v>
      </c>
      <c r="AF7" s="219"/>
      <c r="AG7" s="220">
        <f t="shared" si="30"/>
        <v>0</v>
      </c>
      <c r="AH7" s="220">
        <f t="shared" si="31"/>
        <v>0</v>
      </c>
      <c r="AI7" s="220">
        <f t="shared" si="32"/>
        <v>0</v>
      </c>
      <c r="AJ7" s="220">
        <f t="shared" si="33"/>
        <v>0</v>
      </c>
      <c r="AK7" s="220">
        <f t="shared" si="34"/>
        <v>0</v>
      </c>
      <c r="AL7" s="220">
        <f t="shared" si="35"/>
        <v>0</v>
      </c>
      <c r="AM7" s="220">
        <f t="shared" si="36"/>
        <v>0</v>
      </c>
      <c r="AN7" s="220">
        <f t="shared" si="37"/>
        <v>0</v>
      </c>
      <c r="AO7" s="220">
        <f t="shared" si="38"/>
        <v>0</v>
      </c>
      <c r="AP7" s="220">
        <f t="shared" si="39"/>
        <v>0</v>
      </c>
      <c r="AQ7" s="220">
        <f t="shared" si="40"/>
        <v>0</v>
      </c>
      <c r="AR7" s="220">
        <f t="shared" si="41"/>
        <v>0</v>
      </c>
      <c r="AS7" s="220">
        <f t="shared" si="42"/>
        <v>0</v>
      </c>
      <c r="AT7" s="220">
        <f t="shared" si="43"/>
        <v>0</v>
      </c>
      <c r="AU7" s="220">
        <f t="shared" si="44"/>
        <v>0</v>
      </c>
      <c r="AV7" s="220">
        <f t="shared" si="45"/>
        <v>0</v>
      </c>
      <c r="AW7" s="220">
        <f t="shared" si="46"/>
        <v>0</v>
      </c>
      <c r="AX7" s="220">
        <f t="shared" si="47"/>
        <v>0</v>
      </c>
      <c r="AY7" s="220">
        <f t="shared" si="48"/>
        <v>0</v>
      </c>
      <c r="AZ7" s="220">
        <f t="shared" si="49"/>
        <v>0</v>
      </c>
      <c r="BA7" s="220">
        <f t="shared" si="50"/>
        <v>0</v>
      </c>
      <c r="BB7" s="219"/>
      <c r="BC7" s="219"/>
      <c r="BD7" s="220">
        <f t="shared" si="51"/>
        <v>0</v>
      </c>
      <c r="BE7" s="220">
        <f t="shared" si="52"/>
        <v>0</v>
      </c>
      <c r="BF7" s="220">
        <f t="shared" si="52"/>
        <v>0</v>
      </c>
      <c r="BG7" s="220">
        <f t="shared" si="52"/>
        <v>0</v>
      </c>
      <c r="BH7" s="220">
        <f t="shared" si="53"/>
        <v>0</v>
      </c>
      <c r="BI7" s="220">
        <f t="shared" si="53"/>
        <v>0</v>
      </c>
      <c r="BJ7" s="220">
        <f t="shared" si="53"/>
        <v>0</v>
      </c>
      <c r="BK7" s="220">
        <f t="shared" si="53"/>
        <v>0</v>
      </c>
      <c r="BL7" s="220">
        <f t="shared" si="53"/>
        <v>0</v>
      </c>
      <c r="BM7" s="220">
        <f t="shared" si="53"/>
        <v>0</v>
      </c>
      <c r="BN7" s="220">
        <f t="shared" si="53"/>
        <v>0</v>
      </c>
      <c r="BO7" s="220">
        <f t="shared" si="54"/>
        <v>0</v>
      </c>
      <c r="BP7" s="220">
        <f t="shared" si="55"/>
        <v>0</v>
      </c>
      <c r="BQ7" s="220">
        <f t="shared" si="56"/>
        <v>0</v>
      </c>
      <c r="BR7" s="220">
        <f t="shared" si="57"/>
        <v>0</v>
      </c>
      <c r="BS7" s="220">
        <f t="shared" si="58"/>
        <v>0</v>
      </c>
      <c r="BT7" s="220">
        <f t="shared" si="59"/>
        <v>0</v>
      </c>
      <c r="BU7" s="220">
        <f t="shared" si="60"/>
        <v>0</v>
      </c>
      <c r="BV7" s="220">
        <f t="shared" si="61"/>
        <v>0</v>
      </c>
      <c r="BW7" s="220">
        <f t="shared" si="62"/>
        <v>0</v>
      </c>
      <c r="BX7" s="220">
        <f t="shared" si="63"/>
        <v>0</v>
      </c>
      <c r="BZ7" s="219"/>
      <c r="CA7" s="220">
        <f t="shared" si="75"/>
        <v>0</v>
      </c>
      <c r="CB7" s="220">
        <f t="shared" si="76"/>
        <v>0</v>
      </c>
      <c r="CC7" s="220">
        <f t="shared" si="77"/>
        <v>0</v>
      </c>
      <c r="CD7" s="220">
        <f t="shared" si="78"/>
        <v>0</v>
      </c>
      <c r="CE7" s="220">
        <f t="shared" si="79"/>
        <v>0</v>
      </c>
      <c r="CF7" s="220">
        <f t="shared" si="80"/>
        <v>0</v>
      </c>
      <c r="CG7" s="220">
        <f t="shared" si="81"/>
        <v>0</v>
      </c>
      <c r="CH7" s="220">
        <f t="shared" si="82"/>
        <v>0</v>
      </c>
      <c r="CI7" s="220">
        <f t="shared" si="83"/>
        <v>0</v>
      </c>
      <c r="CJ7" s="220">
        <f t="shared" si="84"/>
        <v>0</v>
      </c>
      <c r="CK7" s="220">
        <f t="shared" si="85"/>
        <v>0</v>
      </c>
      <c r="CL7" s="220">
        <f t="shared" si="65"/>
        <v>0</v>
      </c>
      <c r="CM7" s="220">
        <f t="shared" si="66"/>
        <v>0</v>
      </c>
      <c r="CN7" s="220">
        <f t="shared" si="67"/>
        <v>0</v>
      </c>
      <c r="CO7" s="220">
        <f t="shared" si="68"/>
        <v>0</v>
      </c>
      <c r="CP7" s="220">
        <f t="shared" si="69"/>
        <v>0</v>
      </c>
      <c r="CQ7" s="220">
        <f t="shared" si="70"/>
        <v>0</v>
      </c>
      <c r="CR7" s="220">
        <f t="shared" si="71"/>
        <v>0</v>
      </c>
      <c r="CS7" s="220">
        <f t="shared" si="72"/>
        <v>0</v>
      </c>
      <c r="CT7" s="220">
        <f t="shared" si="73"/>
        <v>0</v>
      </c>
      <c r="CU7" s="220">
        <f t="shared" si="74"/>
        <v>0</v>
      </c>
    </row>
    <row r="8" spans="1:99" x14ac:dyDescent="0.35">
      <c r="A8" s="233">
        <v>5121</v>
      </c>
      <c r="B8" s="233">
        <v>20000335</v>
      </c>
      <c r="C8" s="234" t="s">
        <v>105</v>
      </c>
      <c r="D8" s="234">
        <v>50034573</v>
      </c>
      <c r="E8" s="233">
        <v>19.5</v>
      </c>
      <c r="F8" s="233" t="s">
        <v>108</v>
      </c>
      <c r="G8" s="233" t="s">
        <v>107</v>
      </c>
      <c r="H8" s="233" t="s">
        <v>70</v>
      </c>
      <c r="I8" s="235">
        <v>0</v>
      </c>
      <c r="J8" s="218"/>
      <c r="K8" s="237">
        <v>1667</v>
      </c>
      <c r="L8" s="237">
        <v>1694.741542822899</v>
      </c>
      <c r="M8" s="237">
        <v>0</v>
      </c>
      <c r="N8" s="237">
        <v>0</v>
      </c>
      <c r="O8" s="237">
        <v>0</v>
      </c>
      <c r="P8" s="237">
        <v>0</v>
      </c>
      <c r="Q8" s="237">
        <v>0</v>
      </c>
      <c r="R8" s="237">
        <v>2164</v>
      </c>
      <c r="S8" s="238">
        <v>0</v>
      </c>
      <c r="T8" s="263">
        <v>0</v>
      </c>
      <c r="U8" s="262">
        <v>0</v>
      </c>
      <c r="V8" s="262">
        <v>0</v>
      </c>
      <c r="W8" s="262">
        <v>0</v>
      </c>
      <c r="X8" s="262">
        <v>0</v>
      </c>
      <c r="Y8" s="262">
        <v>0</v>
      </c>
      <c r="Z8" s="262">
        <v>0</v>
      </c>
      <c r="AA8" s="262">
        <v>0</v>
      </c>
      <c r="AB8" s="262">
        <v>0</v>
      </c>
      <c r="AC8" s="262">
        <v>0</v>
      </c>
      <c r="AD8" s="262">
        <v>0</v>
      </c>
      <c r="AE8" s="262">
        <v>0</v>
      </c>
      <c r="AF8" s="219"/>
      <c r="AG8" s="220">
        <f t="shared" si="30"/>
        <v>32.506500000000003</v>
      </c>
      <c r="AH8" s="220">
        <f t="shared" si="31"/>
        <v>33.047460085046531</v>
      </c>
      <c r="AI8" s="220">
        <f t="shared" si="32"/>
        <v>0</v>
      </c>
      <c r="AJ8" s="220">
        <f t="shared" si="33"/>
        <v>0</v>
      </c>
      <c r="AK8" s="220">
        <f t="shared" si="34"/>
        <v>0</v>
      </c>
      <c r="AL8" s="220">
        <f t="shared" si="35"/>
        <v>0</v>
      </c>
      <c r="AM8" s="220">
        <f t="shared" si="36"/>
        <v>0</v>
      </c>
      <c r="AN8" s="220">
        <f t="shared" si="37"/>
        <v>42.198</v>
      </c>
      <c r="AO8" s="220">
        <f t="shared" si="38"/>
        <v>0</v>
      </c>
      <c r="AP8" s="220">
        <f t="shared" si="39"/>
        <v>0</v>
      </c>
      <c r="AQ8" s="220">
        <f t="shared" si="40"/>
        <v>0</v>
      </c>
      <c r="AR8" s="220">
        <f t="shared" si="41"/>
        <v>0</v>
      </c>
      <c r="AS8" s="220">
        <f t="shared" si="42"/>
        <v>0</v>
      </c>
      <c r="AT8" s="220">
        <f t="shared" si="43"/>
        <v>0</v>
      </c>
      <c r="AU8" s="220">
        <f t="shared" si="44"/>
        <v>0</v>
      </c>
      <c r="AV8" s="220">
        <f t="shared" si="45"/>
        <v>0</v>
      </c>
      <c r="AW8" s="220">
        <f t="shared" si="46"/>
        <v>0</v>
      </c>
      <c r="AX8" s="220">
        <f t="shared" si="47"/>
        <v>0</v>
      </c>
      <c r="AY8" s="220">
        <f t="shared" si="48"/>
        <v>0</v>
      </c>
      <c r="AZ8" s="220">
        <f t="shared" si="49"/>
        <v>0</v>
      </c>
      <c r="BA8" s="220">
        <f t="shared" si="50"/>
        <v>0</v>
      </c>
      <c r="BB8" s="219"/>
      <c r="BC8" s="219"/>
      <c r="BD8" s="220">
        <f t="shared" si="51"/>
        <v>0</v>
      </c>
      <c r="BE8" s="220">
        <f t="shared" si="52"/>
        <v>0</v>
      </c>
      <c r="BF8" s="220">
        <f t="shared" si="52"/>
        <v>0</v>
      </c>
      <c r="BG8" s="220">
        <f t="shared" si="52"/>
        <v>0</v>
      </c>
      <c r="BH8" s="220">
        <f t="shared" si="53"/>
        <v>0</v>
      </c>
      <c r="BI8" s="220">
        <f t="shared" si="53"/>
        <v>0</v>
      </c>
      <c r="BJ8" s="220">
        <f t="shared" si="53"/>
        <v>0</v>
      </c>
      <c r="BK8" s="220">
        <f t="shared" si="53"/>
        <v>0</v>
      </c>
      <c r="BL8" s="220">
        <f t="shared" si="53"/>
        <v>0</v>
      </c>
      <c r="BM8" s="220">
        <f t="shared" si="53"/>
        <v>0</v>
      </c>
      <c r="BN8" s="220">
        <f t="shared" si="53"/>
        <v>0</v>
      </c>
      <c r="BO8" s="220">
        <f t="shared" si="54"/>
        <v>0</v>
      </c>
      <c r="BP8" s="220">
        <f t="shared" si="55"/>
        <v>0</v>
      </c>
      <c r="BQ8" s="220">
        <f t="shared" si="56"/>
        <v>0</v>
      </c>
      <c r="BR8" s="220">
        <f t="shared" si="57"/>
        <v>0</v>
      </c>
      <c r="BS8" s="220">
        <f t="shared" si="58"/>
        <v>0</v>
      </c>
      <c r="BT8" s="220">
        <f t="shared" si="59"/>
        <v>0</v>
      </c>
      <c r="BU8" s="220">
        <f t="shared" si="60"/>
        <v>0</v>
      </c>
      <c r="BV8" s="220">
        <f t="shared" si="61"/>
        <v>0</v>
      </c>
      <c r="BW8" s="220">
        <f t="shared" si="62"/>
        <v>0</v>
      </c>
      <c r="BX8" s="220">
        <f t="shared" si="63"/>
        <v>0</v>
      </c>
      <c r="BZ8" s="219"/>
      <c r="CA8" s="220">
        <f t="shared" si="75"/>
        <v>0</v>
      </c>
      <c r="CB8" s="220">
        <f t="shared" si="76"/>
        <v>0</v>
      </c>
      <c r="CC8" s="220">
        <f t="shared" si="77"/>
        <v>0</v>
      </c>
      <c r="CD8" s="220">
        <f t="shared" si="78"/>
        <v>0</v>
      </c>
      <c r="CE8" s="220">
        <f t="shared" si="79"/>
        <v>0</v>
      </c>
      <c r="CF8" s="220">
        <f t="shared" si="80"/>
        <v>0</v>
      </c>
      <c r="CG8" s="220">
        <f t="shared" si="81"/>
        <v>0</v>
      </c>
      <c r="CH8" s="220">
        <f t="shared" si="82"/>
        <v>0</v>
      </c>
      <c r="CI8" s="220">
        <f t="shared" si="83"/>
        <v>0</v>
      </c>
      <c r="CJ8" s="220">
        <f t="shared" si="84"/>
        <v>0</v>
      </c>
      <c r="CK8" s="220">
        <f t="shared" si="85"/>
        <v>0</v>
      </c>
      <c r="CL8" s="220">
        <f t="shared" si="65"/>
        <v>0</v>
      </c>
      <c r="CM8" s="220">
        <f t="shared" si="66"/>
        <v>0</v>
      </c>
      <c r="CN8" s="220">
        <f t="shared" si="67"/>
        <v>0</v>
      </c>
      <c r="CO8" s="220">
        <f t="shared" si="68"/>
        <v>0</v>
      </c>
      <c r="CP8" s="220">
        <f t="shared" si="69"/>
        <v>0</v>
      </c>
      <c r="CQ8" s="220">
        <f t="shared" si="70"/>
        <v>0</v>
      </c>
      <c r="CR8" s="220">
        <f t="shared" si="71"/>
        <v>0</v>
      </c>
      <c r="CS8" s="220">
        <f t="shared" si="72"/>
        <v>0</v>
      </c>
      <c r="CT8" s="220">
        <f t="shared" si="73"/>
        <v>0</v>
      </c>
      <c r="CU8" s="220">
        <f t="shared" si="74"/>
        <v>0</v>
      </c>
    </row>
    <row r="9" spans="1:99" x14ac:dyDescent="0.35">
      <c r="A9" s="233">
        <v>5121</v>
      </c>
      <c r="B9" s="233">
        <v>20000335</v>
      </c>
      <c r="C9" s="234" t="s">
        <v>105</v>
      </c>
      <c r="D9" s="234">
        <v>50034561</v>
      </c>
      <c r="E9" s="233">
        <v>19.5</v>
      </c>
      <c r="F9" s="233" t="s">
        <v>109</v>
      </c>
      <c r="G9" s="233" t="s">
        <v>107</v>
      </c>
      <c r="H9" s="233" t="s">
        <v>70</v>
      </c>
      <c r="I9" s="235">
        <v>0</v>
      </c>
      <c r="J9" s="218"/>
      <c r="K9" s="237">
        <v>0</v>
      </c>
      <c r="L9" s="237">
        <v>0</v>
      </c>
      <c r="M9" s="237">
        <v>3522</v>
      </c>
      <c r="N9" s="237">
        <v>10055</v>
      </c>
      <c r="O9" s="237">
        <v>9081.9047619047597</v>
      </c>
      <c r="P9" s="237">
        <v>6588.5714285714303</v>
      </c>
      <c r="Q9" s="237">
        <v>2017.1428571428596</v>
      </c>
      <c r="R9" s="237">
        <v>2975.0476190476202</v>
      </c>
      <c r="S9" s="238">
        <v>4024.5777619047612</v>
      </c>
      <c r="T9" s="263">
        <v>0</v>
      </c>
      <c r="U9" s="262">
        <v>0</v>
      </c>
      <c r="V9" s="262">
        <v>0</v>
      </c>
      <c r="W9" s="262">
        <v>977.18399999999997</v>
      </c>
      <c r="X9" s="262">
        <v>0</v>
      </c>
      <c r="Y9" s="262">
        <v>977.18399999999997</v>
      </c>
      <c r="Z9" s="262">
        <v>1954.3679999999999</v>
      </c>
      <c r="AA9" s="262">
        <v>0</v>
      </c>
      <c r="AB9" s="262">
        <v>977.18399999999997</v>
      </c>
      <c r="AC9" s="262">
        <v>977.18399999999997</v>
      </c>
      <c r="AD9" s="262">
        <v>977.18399999999997</v>
      </c>
      <c r="AE9" s="262">
        <v>977.18399999999997</v>
      </c>
      <c r="AF9" s="219"/>
      <c r="AG9" s="220">
        <f t="shared" si="30"/>
        <v>0</v>
      </c>
      <c r="AH9" s="220">
        <f t="shared" si="31"/>
        <v>0</v>
      </c>
      <c r="AI9" s="220">
        <f t="shared" si="32"/>
        <v>68.679000000000002</v>
      </c>
      <c r="AJ9" s="220">
        <f t="shared" si="33"/>
        <v>196.07249999999999</v>
      </c>
      <c r="AK9" s="220">
        <f t="shared" si="34"/>
        <v>177.09714285714281</v>
      </c>
      <c r="AL9" s="220">
        <f t="shared" si="35"/>
        <v>128.47714285714289</v>
      </c>
      <c r="AM9" s="220">
        <f t="shared" si="36"/>
        <v>39.334285714285762</v>
      </c>
      <c r="AN9" s="220">
        <f t="shared" si="37"/>
        <v>58.013428571428591</v>
      </c>
      <c r="AO9" s="220">
        <f t="shared" si="38"/>
        <v>78.479266357142848</v>
      </c>
      <c r="AP9" s="220">
        <f t="shared" si="39"/>
        <v>0</v>
      </c>
      <c r="AQ9" s="220">
        <f t="shared" si="40"/>
        <v>0</v>
      </c>
      <c r="AR9" s="220">
        <f t="shared" si="41"/>
        <v>0</v>
      </c>
      <c r="AS9" s="220">
        <f t="shared" si="42"/>
        <v>19.055088000000001</v>
      </c>
      <c r="AT9" s="220">
        <f t="shared" si="43"/>
        <v>0</v>
      </c>
      <c r="AU9" s="220">
        <f t="shared" si="44"/>
        <v>19.055088000000001</v>
      </c>
      <c r="AV9" s="220">
        <f t="shared" si="45"/>
        <v>38.110176000000003</v>
      </c>
      <c r="AW9" s="220">
        <f t="shared" si="46"/>
        <v>0</v>
      </c>
      <c r="AX9" s="220">
        <f t="shared" si="47"/>
        <v>19.055088000000001</v>
      </c>
      <c r="AY9" s="220">
        <f t="shared" si="48"/>
        <v>19.055088000000001</v>
      </c>
      <c r="AZ9" s="220">
        <f t="shared" si="49"/>
        <v>19.055088000000001</v>
      </c>
      <c r="BA9" s="220">
        <f t="shared" si="50"/>
        <v>19.055088000000001</v>
      </c>
      <c r="BB9" s="219"/>
      <c r="BC9" s="219"/>
      <c r="BD9" s="220">
        <f t="shared" si="51"/>
        <v>0</v>
      </c>
      <c r="BE9" s="220">
        <f t="shared" si="52"/>
        <v>0</v>
      </c>
      <c r="BF9" s="220">
        <f t="shared" si="52"/>
        <v>0</v>
      </c>
      <c r="BG9" s="220">
        <f t="shared" si="52"/>
        <v>0</v>
      </c>
      <c r="BH9" s="220">
        <f t="shared" si="53"/>
        <v>0</v>
      </c>
      <c r="BI9" s="220">
        <f t="shared" si="53"/>
        <v>0</v>
      </c>
      <c r="BJ9" s="220">
        <f t="shared" si="53"/>
        <v>0</v>
      </c>
      <c r="BK9" s="220">
        <f t="shared" si="53"/>
        <v>0</v>
      </c>
      <c r="BL9" s="220">
        <f t="shared" si="53"/>
        <v>0</v>
      </c>
      <c r="BM9" s="220">
        <f t="shared" si="53"/>
        <v>0</v>
      </c>
      <c r="BN9" s="220">
        <f t="shared" si="53"/>
        <v>0</v>
      </c>
      <c r="BO9" s="220">
        <f t="shared" si="54"/>
        <v>0</v>
      </c>
      <c r="BP9" s="220">
        <f t="shared" si="55"/>
        <v>0</v>
      </c>
      <c r="BQ9" s="220">
        <f t="shared" si="56"/>
        <v>0</v>
      </c>
      <c r="BR9" s="220">
        <f t="shared" si="57"/>
        <v>0</v>
      </c>
      <c r="BS9" s="220">
        <f t="shared" si="58"/>
        <v>0</v>
      </c>
      <c r="BT9" s="220">
        <f t="shared" si="59"/>
        <v>0</v>
      </c>
      <c r="BU9" s="220">
        <f t="shared" si="60"/>
        <v>0</v>
      </c>
      <c r="BV9" s="220">
        <f t="shared" si="61"/>
        <v>0</v>
      </c>
      <c r="BW9" s="220">
        <f t="shared" si="62"/>
        <v>0</v>
      </c>
      <c r="BX9" s="220">
        <f t="shared" si="63"/>
        <v>0</v>
      </c>
      <c r="BZ9" s="219"/>
      <c r="CA9" s="220">
        <f t="shared" si="75"/>
        <v>0</v>
      </c>
      <c r="CB9" s="220">
        <f t="shared" si="76"/>
        <v>0</v>
      </c>
      <c r="CC9" s="220">
        <f t="shared" si="77"/>
        <v>0</v>
      </c>
      <c r="CD9" s="220">
        <f t="shared" si="78"/>
        <v>0</v>
      </c>
      <c r="CE9" s="220">
        <f t="shared" si="79"/>
        <v>0</v>
      </c>
      <c r="CF9" s="220">
        <f t="shared" si="80"/>
        <v>0</v>
      </c>
      <c r="CG9" s="220">
        <f t="shared" si="81"/>
        <v>0</v>
      </c>
      <c r="CH9" s="220">
        <f t="shared" si="82"/>
        <v>0</v>
      </c>
      <c r="CI9" s="220">
        <f t="shared" si="83"/>
        <v>0</v>
      </c>
      <c r="CJ9" s="220">
        <f t="shared" si="84"/>
        <v>0</v>
      </c>
      <c r="CK9" s="220">
        <f t="shared" si="85"/>
        <v>0</v>
      </c>
      <c r="CL9" s="220">
        <f t="shared" si="65"/>
        <v>0</v>
      </c>
      <c r="CM9" s="220">
        <f t="shared" si="66"/>
        <v>0</v>
      </c>
      <c r="CN9" s="220">
        <f t="shared" si="67"/>
        <v>0</v>
      </c>
      <c r="CO9" s="220">
        <f t="shared" si="68"/>
        <v>0</v>
      </c>
      <c r="CP9" s="220">
        <f t="shared" si="69"/>
        <v>0</v>
      </c>
      <c r="CQ9" s="220">
        <f t="shared" si="70"/>
        <v>0</v>
      </c>
      <c r="CR9" s="220">
        <f t="shared" si="71"/>
        <v>0</v>
      </c>
      <c r="CS9" s="220">
        <f t="shared" si="72"/>
        <v>0</v>
      </c>
      <c r="CT9" s="220">
        <f t="shared" si="73"/>
        <v>0</v>
      </c>
      <c r="CU9" s="220">
        <f t="shared" si="74"/>
        <v>0</v>
      </c>
    </row>
    <row r="10" spans="1:99" x14ac:dyDescent="0.35">
      <c r="A10" s="233">
        <v>5121</v>
      </c>
      <c r="B10" s="233">
        <v>20000335</v>
      </c>
      <c r="C10" s="234" t="s">
        <v>105</v>
      </c>
      <c r="D10" s="234">
        <v>50032573</v>
      </c>
      <c r="E10" s="233">
        <v>37.200000000000003</v>
      </c>
      <c r="F10" s="233" t="s">
        <v>106</v>
      </c>
      <c r="G10" s="233" t="s">
        <v>107</v>
      </c>
      <c r="H10" s="233" t="s">
        <v>70</v>
      </c>
      <c r="I10" s="235">
        <v>0</v>
      </c>
      <c r="J10" s="218"/>
      <c r="K10" s="237">
        <v>0</v>
      </c>
      <c r="L10" s="237">
        <v>0</v>
      </c>
      <c r="M10" s="237">
        <v>0</v>
      </c>
      <c r="N10" s="237">
        <v>0</v>
      </c>
      <c r="O10" s="237">
        <v>0</v>
      </c>
      <c r="P10" s="237">
        <v>0</v>
      </c>
      <c r="Q10" s="237">
        <v>0</v>
      </c>
      <c r="R10" s="237">
        <v>0</v>
      </c>
      <c r="S10" s="238">
        <v>0</v>
      </c>
      <c r="T10" s="263">
        <v>7547.6190476190468</v>
      </c>
      <c r="U10" s="262">
        <v>8362.1904761904752</v>
      </c>
      <c r="V10" s="262">
        <v>7816</v>
      </c>
      <c r="W10" s="262">
        <v>0</v>
      </c>
      <c r="X10" s="262">
        <v>0</v>
      </c>
      <c r="Y10" s="262">
        <v>0</v>
      </c>
      <c r="Z10" s="262">
        <v>0</v>
      </c>
      <c r="AA10" s="262">
        <v>0</v>
      </c>
      <c r="AB10" s="262">
        <v>0</v>
      </c>
      <c r="AC10" s="262">
        <v>0</v>
      </c>
      <c r="AD10" s="262">
        <v>0</v>
      </c>
      <c r="AE10" s="262">
        <v>0</v>
      </c>
      <c r="AF10" s="219"/>
      <c r="AG10" s="220">
        <f t="shared" si="30"/>
        <v>0</v>
      </c>
      <c r="AH10" s="220">
        <f t="shared" si="31"/>
        <v>0</v>
      </c>
      <c r="AI10" s="220">
        <f t="shared" si="32"/>
        <v>0</v>
      </c>
      <c r="AJ10" s="220">
        <f t="shared" si="33"/>
        <v>0</v>
      </c>
      <c r="AK10" s="220">
        <f t="shared" si="34"/>
        <v>0</v>
      </c>
      <c r="AL10" s="220">
        <f t="shared" si="35"/>
        <v>0</v>
      </c>
      <c r="AM10" s="220">
        <f t="shared" si="36"/>
        <v>0</v>
      </c>
      <c r="AN10" s="220">
        <f t="shared" si="37"/>
        <v>0</v>
      </c>
      <c r="AO10" s="220">
        <f t="shared" si="38"/>
        <v>0</v>
      </c>
      <c r="AP10" s="220">
        <f t="shared" si="39"/>
        <v>280.7714285714286</v>
      </c>
      <c r="AQ10" s="220">
        <f t="shared" si="40"/>
        <v>311.07348571428571</v>
      </c>
      <c r="AR10" s="220">
        <f t="shared" si="41"/>
        <v>290.7552</v>
      </c>
      <c r="AS10" s="220">
        <f t="shared" si="42"/>
        <v>0</v>
      </c>
      <c r="AT10" s="220">
        <f t="shared" si="43"/>
        <v>0</v>
      </c>
      <c r="AU10" s="220">
        <f t="shared" si="44"/>
        <v>0</v>
      </c>
      <c r="AV10" s="220">
        <f t="shared" si="45"/>
        <v>0</v>
      </c>
      <c r="AW10" s="220">
        <f t="shared" si="46"/>
        <v>0</v>
      </c>
      <c r="AX10" s="220">
        <f t="shared" si="47"/>
        <v>0</v>
      </c>
      <c r="AY10" s="220">
        <f t="shared" si="48"/>
        <v>0</v>
      </c>
      <c r="AZ10" s="220">
        <f t="shared" si="49"/>
        <v>0</v>
      </c>
      <c r="BA10" s="220">
        <f t="shared" si="50"/>
        <v>0</v>
      </c>
      <c r="BB10" s="219"/>
      <c r="BC10" s="219"/>
      <c r="BD10" s="220">
        <f t="shared" si="51"/>
        <v>0</v>
      </c>
      <c r="BE10" s="220">
        <f t="shared" si="52"/>
        <v>0</v>
      </c>
      <c r="BF10" s="220">
        <f t="shared" si="52"/>
        <v>0</v>
      </c>
      <c r="BG10" s="220">
        <f t="shared" si="52"/>
        <v>0</v>
      </c>
      <c r="BH10" s="220">
        <f t="shared" si="53"/>
        <v>0</v>
      </c>
      <c r="BI10" s="220">
        <f t="shared" si="53"/>
        <v>0</v>
      </c>
      <c r="BJ10" s="220">
        <f t="shared" si="53"/>
        <v>0</v>
      </c>
      <c r="BK10" s="220">
        <f t="shared" si="53"/>
        <v>0</v>
      </c>
      <c r="BL10" s="220">
        <f t="shared" si="53"/>
        <v>0</v>
      </c>
      <c r="BM10" s="220">
        <f t="shared" si="53"/>
        <v>0</v>
      </c>
      <c r="BN10" s="220">
        <f t="shared" si="53"/>
        <v>0</v>
      </c>
      <c r="BO10" s="220">
        <f t="shared" si="54"/>
        <v>0</v>
      </c>
      <c r="BP10" s="220">
        <f t="shared" si="55"/>
        <v>0</v>
      </c>
      <c r="BQ10" s="220">
        <f t="shared" si="56"/>
        <v>0</v>
      </c>
      <c r="BR10" s="220">
        <f t="shared" si="57"/>
        <v>0</v>
      </c>
      <c r="BS10" s="220">
        <f t="shared" si="58"/>
        <v>0</v>
      </c>
      <c r="BT10" s="220">
        <f t="shared" si="59"/>
        <v>0</v>
      </c>
      <c r="BU10" s="220">
        <f t="shared" si="60"/>
        <v>0</v>
      </c>
      <c r="BV10" s="220">
        <f t="shared" si="61"/>
        <v>0</v>
      </c>
      <c r="BW10" s="220">
        <f t="shared" si="62"/>
        <v>0</v>
      </c>
      <c r="BX10" s="220">
        <f t="shared" si="63"/>
        <v>0</v>
      </c>
      <c r="BZ10" s="219"/>
      <c r="CA10" s="220">
        <f t="shared" si="75"/>
        <v>0</v>
      </c>
      <c r="CB10" s="220">
        <f t="shared" si="76"/>
        <v>0</v>
      </c>
      <c r="CC10" s="220">
        <f t="shared" si="77"/>
        <v>0</v>
      </c>
      <c r="CD10" s="220">
        <f t="shared" si="78"/>
        <v>0</v>
      </c>
      <c r="CE10" s="220">
        <f t="shared" si="79"/>
        <v>0</v>
      </c>
      <c r="CF10" s="220">
        <f t="shared" si="80"/>
        <v>0</v>
      </c>
      <c r="CG10" s="220">
        <f t="shared" si="81"/>
        <v>0</v>
      </c>
      <c r="CH10" s="220">
        <f t="shared" si="82"/>
        <v>0</v>
      </c>
      <c r="CI10" s="220">
        <f t="shared" si="83"/>
        <v>0</v>
      </c>
      <c r="CJ10" s="220">
        <f t="shared" si="84"/>
        <v>0</v>
      </c>
      <c r="CK10" s="220">
        <f t="shared" si="85"/>
        <v>0</v>
      </c>
      <c r="CL10" s="220">
        <f t="shared" si="65"/>
        <v>0</v>
      </c>
      <c r="CM10" s="220">
        <f t="shared" si="66"/>
        <v>0</v>
      </c>
      <c r="CN10" s="220">
        <f t="shared" si="67"/>
        <v>0</v>
      </c>
      <c r="CO10" s="220">
        <f t="shared" si="68"/>
        <v>0</v>
      </c>
      <c r="CP10" s="220">
        <f t="shared" si="69"/>
        <v>0</v>
      </c>
      <c r="CQ10" s="220">
        <f t="shared" si="70"/>
        <v>0</v>
      </c>
      <c r="CR10" s="220">
        <f t="shared" si="71"/>
        <v>0</v>
      </c>
      <c r="CS10" s="220">
        <f t="shared" si="72"/>
        <v>0</v>
      </c>
      <c r="CT10" s="220">
        <f t="shared" si="73"/>
        <v>0</v>
      </c>
      <c r="CU10" s="220">
        <f t="shared" si="74"/>
        <v>0</v>
      </c>
    </row>
    <row r="11" spans="1:99" x14ac:dyDescent="0.35">
      <c r="A11" s="233">
        <v>5121</v>
      </c>
      <c r="B11" s="233">
        <v>20000335</v>
      </c>
      <c r="C11" s="234" t="s">
        <v>105</v>
      </c>
      <c r="D11" s="234">
        <v>50037887</v>
      </c>
      <c r="E11" s="233">
        <v>37.200000000000003</v>
      </c>
      <c r="F11" s="233" t="s">
        <v>106</v>
      </c>
      <c r="G11" s="233" t="s">
        <v>110</v>
      </c>
      <c r="H11" s="233" t="s">
        <v>70</v>
      </c>
      <c r="I11" s="235">
        <v>0</v>
      </c>
      <c r="J11" s="218"/>
      <c r="K11" s="237">
        <v>0</v>
      </c>
      <c r="L11" s="237">
        <v>0</v>
      </c>
      <c r="M11" s="237">
        <v>0</v>
      </c>
      <c r="N11" s="237">
        <v>0</v>
      </c>
      <c r="O11" s="237">
        <v>0</v>
      </c>
      <c r="P11" s="237">
        <v>0</v>
      </c>
      <c r="Q11" s="237">
        <v>0</v>
      </c>
      <c r="R11" s="237">
        <v>0</v>
      </c>
      <c r="S11" s="238">
        <v>0</v>
      </c>
      <c r="T11" s="263">
        <v>0</v>
      </c>
      <c r="U11" s="262">
        <v>0</v>
      </c>
      <c r="V11" s="262">
        <v>0</v>
      </c>
      <c r="W11" s="262">
        <v>6911.424</v>
      </c>
      <c r="X11" s="262">
        <v>6763.1040000000003</v>
      </c>
      <c r="Y11" s="262">
        <v>6840.2879999999996</v>
      </c>
      <c r="Z11" s="262">
        <v>6840.2879999999996</v>
      </c>
      <c r="AA11" s="262">
        <v>6519.9999999999991</v>
      </c>
      <c r="AB11" s="262">
        <v>4885.92</v>
      </c>
      <c r="AC11" s="262">
        <v>3908.7359999999999</v>
      </c>
      <c r="AD11" s="262">
        <v>3908.7359999999999</v>
      </c>
      <c r="AE11" s="262">
        <v>4885.92</v>
      </c>
      <c r="AF11" s="219"/>
      <c r="AG11" s="220">
        <f t="shared" si="30"/>
        <v>0</v>
      </c>
      <c r="AH11" s="220">
        <f t="shared" si="31"/>
        <v>0</v>
      </c>
      <c r="AI11" s="220">
        <f t="shared" si="32"/>
        <v>0</v>
      </c>
      <c r="AJ11" s="220">
        <f t="shared" si="33"/>
        <v>0</v>
      </c>
      <c r="AK11" s="220">
        <f t="shared" si="34"/>
        <v>0</v>
      </c>
      <c r="AL11" s="220">
        <f t="shared" si="35"/>
        <v>0</v>
      </c>
      <c r="AM11" s="220">
        <f t="shared" si="36"/>
        <v>0</v>
      </c>
      <c r="AN11" s="220">
        <f t="shared" si="37"/>
        <v>0</v>
      </c>
      <c r="AO11" s="220">
        <f t="shared" si="38"/>
        <v>0</v>
      </c>
      <c r="AP11" s="220">
        <f t="shared" si="39"/>
        <v>0</v>
      </c>
      <c r="AQ11" s="220">
        <f t="shared" si="40"/>
        <v>0</v>
      </c>
      <c r="AR11" s="220">
        <f t="shared" si="41"/>
        <v>0</v>
      </c>
      <c r="AS11" s="220">
        <f t="shared" si="42"/>
        <v>257.10497280000004</v>
      </c>
      <c r="AT11" s="220">
        <f t="shared" si="43"/>
        <v>251.58746880000004</v>
      </c>
      <c r="AU11" s="220">
        <f t="shared" si="44"/>
        <v>254.45871360000001</v>
      </c>
      <c r="AV11" s="220">
        <f t="shared" si="45"/>
        <v>254.45871360000001</v>
      </c>
      <c r="AW11" s="220">
        <f t="shared" si="46"/>
        <v>242.54399999999998</v>
      </c>
      <c r="AX11" s="220">
        <f t="shared" si="47"/>
        <v>181.756224</v>
      </c>
      <c r="AY11" s="220">
        <f t="shared" si="48"/>
        <v>145.40497920000001</v>
      </c>
      <c r="AZ11" s="220">
        <f t="shared" si="49"/>
        <v>145.40497920000001</v>
      </c>
      <c r="BA11" s="220">
        <f t="shared" si="50"/>
        <v>181.756224</v>
      </c>
      <c r="BB11" s="219"/>
      <c r="BC11" s="219"/>
      <c r="BD11" s="220">
        <f t="shared" si="51"/>
        <v>0</v>
      </c>
      <c r="BE11" s="220">
        <f t="shared" si="52"/>
        <v>0</v>
      </c>
      <c r="BF11" s="220">
        <f t="shared" si="52"/>
        <v>0</v>
      </c>
      <c r="BG11" s="220">
        <f t="shared" si="52"/>
        <v>0</v>
      </c>
      <c r="BH11" s="220">
        <f t="shared" si="53"/>
        <v>0</v>
      </c>
      <c r="BI11" s="220">
        <f t="shared" si="53"/>
        <v>0</v>
      </c>
      <c r="BJ11" s="220">
        <f t="shared" si="53"/>
        <v>0</v>
      </c>
      <c r="BK11" s="220">
        <f t="shared" si="53"/>
        <v>0</v>
      </c>
      <c r="BL11" s="220">
        <f t="shared" si="53"/>
        <v>0</v>
      </c>
      <c r="BM11" s="220">
        <f t="shared" si="53"/>
        <v>0</v>
      </c>
      <c r="BN11" s="220">
        <f t="shared" si="53"/>
        <v>0</v>
      </c>
      <c r="BO11" s="220">
        <f t="shared" si="54"/>
        <v>0</v>
      </c>
      <c r="BP11" s="220">
        <f t="shared" si="55"/>
        <v>0</v>
      </c>
      <c r="BQ11" s="220">
        <f t="shared" si="56"/>
        <v>0</v>
      </c>
      <c r="BR11" s="220">
        <f t="shared" si="57"/>
        <v>0</v>
      </c>
      <c r="BS11" s="220">
        <f t="shared" si="58"/>
        <v>0</v>
      </c>
      <c r="BT11" s="220">
        <f t="shared" si="59"/>
        <v>0</v>
      </c>
      <c r="BU11" s="220">
        <f t="shared" si="60"/>
        <v>0</v>
      </c>
      <c r="BV11" s="220">
        <f t="shared" si="61"/>
        <v>0</v>
      </c>
      <c r="BW11" s="220">
        <f t="shared" si="62"/>
        <v>0</v>
      </c>
      <c r="BX11" s="220">
        <f t="shared" si="63"/>
        <v>0</v>
      </c>
      <c r="BZ11" s="219"/>
      <c r="CA11" s="220">
        <f t="shared" si="75"/>
        <v>0</v>
      </c>
      <c r="CB11" s="220">
        <f t="shared" si="76"/>
        <v>0</v>
      </c>
      <c r="CC11" s="220">
        <f t="shared" si="77"/>
        <v>0</v>
      </c>
      <c r="CD11" s="220">
        <f t="shared" si="78"/>
        <v>0</v>
      </c>
      <c r="CE11" s="220">
        <f t="shared" si="79"/>
        <v>0</v>
      </c>
      <c r="CF11" s="220">
        <f t="shared" si="80"/>
        <v>0</v>
      </c>
      <c r="CG11" s="220">
        <f t="shared" si="81"/>
        <v>0</v>
      </c>
      <c r="CH11" s="220">
        <f t="shared" si="82"/>
        <v>0</v>
      </c>
      <c r="CI11" s="220">
        <f t="shared" si="83"/>
        <v>0</v>
      </c>
      <c r="CJ11" s="220">
        <f t="shared" si="84"/>
        <v>0</v>
      </c>
      <c r="CK11" s="220">
        <f t="shared" si="85"/>
        <v>0</v>
      </c>
      <c r="CL11" s="220">
        <f t="shared" si="65"/>
        <v>0</v>
      </c>
      <c r="CM11" s="220">
        <f t="shared" si="66"/>
        <v>0</v>
      </c>
      <c r="CN11" s="220">
        <f t="shared" si="67"/>
        <v>0</v>
      </c>
      <c r="CO11" s="220">
        <f t="shared" si="68"/>
        <v>0</v>
      </c>
      <c r="CP11" s="220">
        <f t="shared" si="69"/>
        <v>0</v>
      </c>
      <c r="CQ11" s="220">
        <f t="shared" si="70"/>
        <v>0</v>
      </c>
      <c r="CR11" s="220">
        <f t="shared" si="71"/>
        <v>0</v>
      </c>
      <c r="CS11" s="220">
        <f t="shared" si="72"/>
        <v>0</v>
      </c>
      <c r="CT11" s="220">
        <f t="shared" si="73"/>
        <v>0</v>
      </c>
      <c r="CU11" s="220">
        <f t="shared" si="74"/>
        <v>0</v>
      </c>
    </row>
    <row r="12" spans="1:99" x14ac:dyDescent="0.35">
      <c r="A12" s="233">
        <v>5121</v>
      </c>
      <c r="B12" s="233">
        <v>20000335</v>
      </c>
      <c r="C12" s="234" t="s">
        <v>105</v>
      </c>
      <c r="D12" s="234">
        <v>50032580</v>
      </c>
      <c r="E12" s="233">
        <v>37.200000000000003</v>
      </c>
      <c r="F12" s="233" t="s">
        <v>108</v>
      </c>
      <c r="G12" s="233" t="s">
        <v>107</v>
      </c>
      <c r="H12" s="233" t="s">
        <v>70</v>
      </c>
      <c r="I12" s="235">
        <v>0</v>
      </c>
      <c r="J12" s="218"/>
      <c r="K12" s="237">
        <v>0</v>
      </c>
      <c r="L12" s="237">
        <v>0</v>
      </c>
      <c r="M12" s="237">
        <v>0</v>
      </c>
      <c r="N12" s="237">
        <v>0</v>
      </c>
      <c r="O12" s="237">
        <v>0</v>
      </c>
      <c r="P12" s="237">
        <v>0</v>
      </c>
      <c r="Q12" s="237">
        <v>0</v>
      </c>
      <c r="R12" s="237">
        <v>0</v>
      </c>
      <c r="S12" s="238">
        <v>0</v>
      </c>
      <c r="T12" s="263">
        <v>1266.6666666666699</v>
      </c>
      <c r="U12" s="262">
        <v>2160</v>
      </c>
      <c r="V12" s="262">
        <v>1954</v>
      </c>
      <c r="W12" s="262">
        <v>0</v>
      </c>
      <c r="X12" s="262">
        <v>0</v>
      </c>
      <c r="Y12" s="262">
        <v>0</v>
      </c>
      <c r="Z12" s="262">
        <v>0</v>
      </c>
      <c r="AA12" s="262">
        <v>0</v>
      </c>
      <c r="AB12" s="262">
        <v>0</v>
      </c>
      <c r="AC12" s="262">
        <v>0</v>
      </c>
      <c r="AD12" s="262">
        <v>0</v>
      </c>
      <c r="AE12" s="262">
        <v>0</v>
      </c>
      <c r="AF12" s="219"/>
      <c r="AG12" s="220">
        <f t="shared" si="30"/>
        <v>0</v>
      </c>
      <c r="AH12" s="220">
        <f t="shared" si="31"/>
        <v>0</v>
      </c>
      <c r="AI12" s="220">
        <f t="shared" si="32"/>
        <v>0</v>
      </c>
      <c r="AJ12" s="220">
        <f t="shared" si="33"/>
        <v>0</v>
      </c>
      <c r="AK12" s="220">
        <f t="shared" si="34"/>
        <v>0</v>
      </c>
      <c r="AL12" s="220">
        <f t="shared" si="35"/>
        <v>0</v>
      </c>
      <c r="AM12" s="220">
        <f t="shared" si="36"/>
        <v>0</v>
      </c>
      <c r="AN12" s="220">
        <f t="shared" si="37"/>
        <v>0</v>
      </c>
      <c r="AO12" s="220">
        <f t="shared" si="38"/>
        <v>0</v>
      </c>
      <c r="AP12" s="220">
        <f t="shared" si="39"/>
        <v>47.120000000000125</v>
      </c>
      <c r="AQ12" s="220">
        <f t="shared" si="40"/>
        <v>80.352000000000004</v>
      </c>
      <c r="AR12" s="220">
        <f t="shared" si="41"/>
        <v>72.688800000000001</v>
      </c>
      <c r="AS12" s="220">
        <f t="shared" si="42"/>
        <v>0</v>
      </c>
      <c r="AT12" s="220">
        <f t="shared" si="43"/>
        <v>0</v>
      </c>
      <c r="AU12" s="220">
        <f t="shared" si="44"/>
        <v>0</v>
      </c>
      <c r="AV12" s="220">
        <f t="shared" si="45"/>
        <v>0</v>
      </c>
      <c r="AW12" s="220">
        <f t="shared" si="46"/>
        <v>0</v>
      </c>
      <c r="AX12" s="220">
        <f t="shared" si="47"/>
        <v>0</v>
      </c>
      <c r="AY12" s="220">
        <f t="shared" si="48"/>
        <v>0</v>
      </c>
      <c r="AZ12" s="220">
        <f t="shared" si="49"/>
        <v>0</v>
      </c>
      <c r="BA12" s="220">
        <f t="shared" si="50"/>
        <v>0</v>
      </c>
      <c r="BB12" s="219"/>
      <c r="BC12" s="219"/>
      <c r="BD12" s="220">
        <f t="shared" si="51"/>
        <v>0</v>
      </c>
      <c r="BE12" s="220">
        <f t="shared" si="52"/>
        <v>0</v>
      </c>
      <c r="BF12" s="220">
        <f t="shared" si="52"/>
        <v>0</v>
      </c>
      <c r="BG12" s="220">
        <f t="shared" si="52"/>
        <v>0</v>
      </c>
      <c r="BH12" s="220">
        <f t="shared" si="53"/>
        <v>0</v>
      </c>
      <c r="BI12" s="220">
        <f t="shared" si="53"/>
        <v>0</v>
      </c>
      <c r="BJ12" s="220">
        <f t="shared" si="53"/>
        <v>0</v>
      </c>
      <c r="BK12" s="220">
        <f t="shared" si="53"/>
        <v>0</v>
      </c>
      <c r="BL12" s="220">
        <f t="shared" si="53"/>
        <v>0</v>
      </c>
      <c r="BM12" s="220">
        <f t="shared" si="53"/>
        <v>0</v>
      </c>
      <c r="BN12" s="220">
        <f t="shared" si="53"/>
        <v>0</v>
      </c>
      <c r="BO12" s="220">
        <f t="shared" si="54"/>
        <v>0</v>
      </c>
      <c r="BP12" s="220">
        <f t="shared" si="55"/>
        <v>0</v>
      </c>
      <c r="BQ12" s="220">
        <f t="shared" si="56"/>
        <v>0</v>
      </c>
      <c r="BR12" s="220">
        <f t="shared" si="57"/>
        <v>0</v>
      </c>
      <c r="BS12" s="220">
        <f t="shared" si="58"/>
        <v>0</v>
      </c>
      <c r="BT12" s="220">
        <f t="shared" si="59"/>
        <v>0</v>
      </c>
      <c r="BU12" s="220">
        <f t="shared" si="60"/>
        <v>0</v>
      </c>
      <c r="BV12" s="220">
        <f t="shared" si="61"/>
        <v>0</v>
      </c>
      <c r="BW12" s="220">
        <f t="shared" si="62"/>
        <v>0</v>
      </c>
      <c r="BX12" s="220">
        <f t="shared" si="63"/>
        <v>0</v>
      </c>
      <c r="BZ12" s="219"/>
      <c r="CA12" s="220">
        <f t="shared" si="75"/>
        <v>0</v>
      </c>
      <c r="CB12" s="220">
        <f t="shared" si="76"/>
        <v>0</v>
      </c>
      <c r="CC12" s="220">
        <f t="shared" si="77"/>
        <v>0</v>
      </c>
      <c r="CD12" s="220">
        <f t="shared" si="78"/>
        <v>0</v>
      </c>
      <c r="CE12" s="220">
        <f t="shared" si="79"/>
        <v>0</v>
      </c>
      <c r="CF12" s="220">
        <f t="shared" si="80"/>
        <v>0</v>
      </c>
      <c r="CG12" s="220">
        <f t="shared" si="81"/>
        <v>0</v>
      </c>
      <c r="CH12" s="220">
        <f t="shared" si="82"/>
        <v>0</v>
      </c>
      <c r="CI12" s="220">
        <f t="shared" si="83"/>
        <v>0</v>
      </c>
      <c r="CJ12" s="220">
        <f t="shared" si="84"/>
        <v>0</v>
      </c>
      <c r="CK12" s="220">
        <f t="shared" si="85"/>
        <v>0</v>
      </c>
      <c r="CL12" s="220">
        <f t="shared" si="65"/>
        <v>0</v>
      </c>
      <c r="CM12" s="220">
        <f t="shared" si="66"/>
        <v>0</v>
      </c>
      <c r="CN12" s="220">
        <f t="shared" si="67"/>
        <v>0</v>
      </c>
      <c r="CO12" s="220">
        <f t="shared" si="68"/>
        <v>0</v>
      </c>
      <c r="CP12" s="220">
        <f t="shared" si="69"/>
        <v>0</v>
      </c>
      <c r="CQ12" s="220">
        <f t="shared" si="70"/>
        <v>0</v>
      </c>
      <c r="CR12" s="220">
        <f t="shared" si="71"/>
        <v>0</v>
      </c>
      <c r="CS12" s="220">
        <f t="shared" si="72"/>
        <v>0</v>
      </c>
      <c r="CT12" s="220">
        <f t="shared" si="73"/>
        <v>0</v>
      </c>
      <c r="CU12" s="220">
        <f t="shared" si="74"/>
        <v>0</v>
      </c>
    </row>
    <row r="13" spans="1:99" x14ac:dyDescent="0.35">
      <c r="A13" s="233">
        <v>5121</v>
      </c>
      <c r="B13" s="233">
        <v>20000335</v>
      </c>
      <c r="C13" s="234" t="s">
        <v>105</v>
      </c>
      <c r="D13" s="234">
        <v>50032578</v>
      </c>
      <c r="E13" s="233">
        <v>37.200000000000003</v>
      </c>
      <c r="F13" s="233" t="s">
        <v>109</v>
      </c>
      <c r="G13" s="233" t="s">
        <v>107</v>
      </c>
      <c r="H13" s="233" t="s">
        <v>70</v>
      </c>
      <c r="I13" s="235">
        <v>0</v>
      </c>
      <c r="J13" s="218"/>
      <c r="K13" s="237">
        <v>700</v>
      </c>
      <c r="L13" s="237">
        <v>1722.5241910658972</v>
      </c>
      <c r="M13" s="237">
        <v>1893.3333333333333</v>
      </c>
      <c r="N13" s="237">
        <v>1325</v>
      </c>
      <c r="O13" s="237">
        <v>946.66666666666697</v>
      </c>
      <c r="P13" s="237">
        <v>1920</v>
      </c>
      <c r="Q13" s="237">
        <v>880</v>
      </c>
      <c r="R13" s="237">
        <v>1433.3333333333301</v>
      </c>
      <c r="S13" s="238">
        <v>0</v>
      </c>
      <c r="T13" s="263">
        <v>0</v>
      </c>
      <c r="U13" s="262">
        <v>0</v>
      </c>
      <c r="V13" s="262">
        <v>0</v>
      </c>
      <c r="W13" s="262">
        <v>0</v>
      </c>
      <c r="X13" s="262">
        <v>0</v>
      </c>
      <c r="Y13" s="262">
        <v>0</v>
      </c>
      <c r="Z13" s="262">
        <v>0</v>
      </c>
      <c r="AA13" s="262">
        <v>0</v>
      </c>
      <c r="AB13" s="262">
        <v>0</v>
      </c>
      <c r="AC13" s="262">
        <v>0</v>
      </c>
      <c r="AD13" s="262">
        <v>0</v>
      </c>
      <c r="AE13" s="262">
        <v>0</v>
      </c>
      <c r="AF13" s="219"/>
      <c r="AG13" s="220">
        <f t="shared" si="30"/>
        <v>26.040000000000003</v>
      </c>
      <c r="AH13" s="220">
        <f t="shared" si="31"/>
        <v>64.077899907651386</v>
      </c>
      <c r="AI13" s="220">
        <f t="shared" si="32"/>
        <v>70.432000000000002</v>
      </c>
      <c r="AJ13" s="220">
        <f t="shared" si="33"/>
        <v>49.290000000000006</v>
      </c>
      <c r="AK13" s="220">
        <f t="shared" si="34"/>
        <v>35.216000000000015</v>
      </c>
      <c r="AL13" s="220">
        <f t="shared" si="35"/>
        <v>71.424000000000007</v>
      </c>
      <c r="AM13" s="220">
        <f t="shared" si="36"/>
        <v>32.736000000000004</v>
      </c>
      <c r="AN13" s="220">
        <f t="shared" si="37"/>
        <v>53.319999999999887</v>
      </c>
      <c r="AO13" s="220">
        <f t="shared" si="38"/>
        <v>0</v>
      </c>
      <c r="AP13" s="220">
        <f t="shared" si="39"/>
        <v>0</v>
      </c>
      <c r="AQ13" s="220">
        <f t="shared" si="40"/>
        <v>0</v>
      </c>
      <c r="AR13" s="220">
        <f t="shared" si="41"/>
        <v>0</v>
      </c>
      <c r="AS13" s="220">
        <f t="shared" si="42"/>
        <v>0</v>
      </c>
      <c r="AT13" s="220">
        <f t="shared" si="43"/>
        <v>0</v>
      </c>
      <c r="AU13" s="220">
        <f t="shared" si="44"/>
        <v>0</v>
      </c>
      <c r="AV13" s="220">
        <f t="shared" si="45"/>
        <v>0</v>
      </c>
      <c r="AW13" s="220">
        <f t="shared" si="46"/>
        <v>0</v>
      </c>
      <c r="AX13" s="220">
        <f t="shared" si="47"/>
        <v>0</v>
      </c>
      <c r="AY13" s="220">
        <f t="shared" si="48"/>
        <v>0</v>
      </c>
      <c r="AZ13" s="220">
        <f t="shared" si="49"/>
        <v>0</v>
      </c>
      <c r="BA13" s="220">
        <f t="shared" si="50"/>
        <v>0</v>
      </c>
      <c r="BB13" s="219"/>
      <c r="BC13" s="219"/>
      <c r="BD13" s="220">
        <f t="shared" si="51"/>
        <v>0</v>
      </c>
      <c r="BE13" s="220">
        <f t="shared" si="52"/>
        <v>0</v>
      </c>
      <c r="BF13" s="220">
        <f t="shared" si="52"/>
        <v>0</v>
      </c>
      <c r="BG13" s="220">
        <f t="shared" si="52"/>
        <v>0</v>
      </c>
      <c r="BH13" s="220">
        <f t="shared" si="53"/>
        <v>0</v>
      </c>
      <c r="BI13" s="220">
        <f t="shared" si="53"/>
        <v>0</v>
      </c>
      <c r="BJ13" s="220">
        <f t="shared" si="53"/>
        <v>0</v>
      </c>
      <c r="BK13" s="220">
        <f t="shared" si="53"/>
        <v>0</v>
      </c>
      <c r="BL13" s="220">
        <f t="shared" si="53"/>
        <v>0</v>
      </c>
      <c r="BM13" s="220">
        <f t="shared" si="53"/>
        <v>0</v>
      </c>
      <c r="BN13" s="220">
        <f t="shared" si="53"/>
        <v>0</v>
      </c>
      <c r="BO13" s="220">
        <f t="shared" si="54"/>
        <v>0</v>
      </c>
      <c r="BP13" s="220">
        <f t="shared" si="55"/>
        <v>0</v>
      </c>
      <c r="BQ13" s="220">
        <f t="shared" si="56"/>
        <v>0</v>
      </c>
      <c r="BR13" s="220">
        <f t="shared" si="57"/>
        <v>0</v>
      </c>
      <c r="BS13" s="220">
        <f t="shared" si="58"/>
        <v>0</v>
      </c>
      <c r="BT13" s="220">
        <f t="shared" si="59"/>
        <v>0</v>
      </c>
      <c r="BU13" s="220">
        <f t="shared" si="60"/>
        <v>0</v>
      </c>
      <c r="BV13" s="220">
        <f t="shared" si="61"/>
        <v>0</v>
      </c>
      <c r="BW13" s="220">
        <f t="shared" si="62"/>
        <v>0</v>
      </c>
      <c r="BX13" s="220">
        <f t="shared" si="63"/>
        <v>0</v>
      </c>
      <c r="BZ13" s="219"/>
      <c r="CA13" s="220">
        <f t="shared" si="75"/>
        <v>0</v>
      </c>
      <c r="CB13" s="220">
        <f t="shared" si="76"/>
        <v>0</v>
      </c>
      <c r="CC13" s="220">
        <f t="shared" si="77"/>
        <v>0</v>
      </c>
      <c r="CD13" s="220">
        <f t="shared" si="78"/>
        <v>0</v>
      </c>
      <c r="CE13" s="220">
        <f t="shared" si="79"/>
        <v>0</v>
      </c>
      <c r="CF13" s="220">
        <f t="shared" si="80"/>
        <v>0</v>
      </c>
      <c r="CG13" s="220">
        <f t="shared" si="81"/>
        <v>0</v>
      </c>
      <c r="CH13" s="220">
        <f t="shared" si="82"/>
        <v>0</v>
      </c>
      <c r="CI13" s="220">
        <f t="shared" si="83"/>
        <v>0</v>
      </c>
      <c r="CJ13" s="220">
        <f t="shared" si="84"/>
        <v>0</v>
      </c>
      <c r="CK13" s="220">
        <f t="shared" si="85"/>
        <v>0</v>
      </c>
      <c r="CL13" s="220">
        <f t="shared" si="65"/>
        <v>0</v>
      </c>
      <c r="CM13" s="220">
        <f t="shared" si="66"/>
        <v>0</v>
      </c>
      <c r="CN13" s="220">
        <f t="shared" si="67"/>
        <v>0</v>
      </c>
      <c r="CO13" s="220">
        <f t="shared" si="68"/>
        <v>0</v>
      </c>
      <c r="CP13" s="220">
        <f t="shared" si="69"/>
        <v>0</v>
      </c>
      <c r="CQ13" s="220">
        <f t="shared" si="70"/>
        <v>0</v>
      </c>
      <c r="CR13" s="220">
        <f t="shared" si="71"/>
        <v>0</v>
      </c>
      <c r="CS13" s="220">
        <f t="shared" si="72"/>
        <v>0</v>
      </c>
      <c r="CT13" s="220">
        <f t="shared" si="73"/>
        <v>0</v>
      </c>
      <c r="CU13" s="220">
        <f t="shared" si="74"/>
        <v>0</v>
      </c>
    </row>
    <row r="14" spans="1:99" x14ac:dyDescent="0.35">
      <c r="A14" s="233">
        <v>5121</v>
      </c>
      <c r="B14" s="233">
        <v>20000335</v>
      </c>
      <c r="C14" s="234" t="s">
        <v>105</v>
      </c>
      <c r="D14" s="234">
        <v>50035183</v>
      </c>
      <c r="E14" s="233">
        <v>46.6</v>
      </c>
      <c r="F14" s="233" t="s">
        <v>106</v>
      </c>
      <c r="G14" s="233" t="s">
        <v>107</v>
      </c>
      <c r="H14" s="233" t="s">
        <v>70</v>
      </c>
      <c r="I14" s="235">
        <v>0</v>
      </c>
      <c r="J14" s="218"/>
      <c r="K14" s="238">
        <v>660</v>
      </c>
      <c r="L14" s="238">
        <v>641.03430360802406</v>
      </c>
      <c r="M14" s="238">
        <v>1255</v>
      </c>
      <c r="N14" s="238">
        <v>1937</v>
      </c>
      <c r="O14" s="237">
        <v>1693</v>
      </c>
      <c r="P14" s="237">
        <v>1093.3333333333301</v>
      </c>
      <c r="Q14" s="237">
        <v>1013.33333333333</v>
      </c>
      <c r="R14" s="237">
        <v>999.99999999999989</v>
      </c>
      <c r="S14" s="238">
        <v>123</v>
      </c>
      <c r="T14" s="263">
        <v>0</v>
      </c>
      <c r="U14" s="262">
        <v>0</v>
      </c>
      <c r="V14" s="262">
        <v>0</v>
      </c>
      <c r="W14" s="262">
        <v>594</v>
      </c>
      <c r="X14" s="262">
        <v>1330</v>
      </c>
      <c r="Y14" s="262">
        <v>0</v>
      </c>
      <c r="Z14" s="262">
        <v>0</v>
      </c>
      <c r="AA14" s="262">
        <v>0</v>
      </c>
      <c r="AB14" s="262">
        <v>1920</v>
      </c>
      <c r="AC14" s="262">
        <v>0</v>
      </c>
      <c r="AD14" s="262">
        <v>0</v>
      </c>
      <c r="AE14" s="262">
        <v>0</v>
      </c>
      <c r="AF14" s="219"/>
      <c r="AG14" s="220">
        <f t="shared" si="30"/>
        <v>30.756</v>
      </c>
      <c r="AH14" s="220">
        <f t="shared" si="31"/>
        <v>29.872198548133923</v>
      </c>
      <c r="AI14" s="220">
        <f t="shared" si="32"/>
        <v>58.482999999999997</v>
      </c>
      <c r="AJ14" s="220">
        <f t="shared" si="33"/>
        <v>90.264200000000002</v>
      </c>
      <c r="AK14" s="220">
        <f t="shared" si="34"/>
        <v>78.893799999999999</v>
      </c>
      <c r="AL14" s="220">
        <f t="shared" si="35"/>
        <v>50.949333333333186</v>
      </c>
      <c r="AM14" s="220">
        <f t="shared" si="36"/>
        <v>47.221333333333178</v>
      </c>
      <c r="AN14" s="220">
        <f t="shared" si="37"/>
        <v>46.599999999999994</v>
      </c>
      <c r="AO14" s="220">
        <f t="shared" si="38"/>
        <v>5.7317999999999998</v>
      </c>
      <c r="AP14" s="220">
        <f t="shared" si="39"/>
        <v>0</v>
      </c>
      <c r="AQ14" s="220">
        <f t="shared" si="40"/>
        <v>0</v>
      </c>
      <c r="AR14" s="220">
        <f t="shared" si="41"/>
        <v>0</v>
      </c>
      <c r="AS14" s="220">
        <f t="shared" si="42"/>
        <v>27.680400000000002</v>
      </c>
      <c r="AT14" s="220">
        <f t="shared" si="43"/>
        <v>61.978000000000002</v>
      </c>
      <c r="AU14" s="220">
        <f t="shared" si="44"/>
        <v>0</v>
      </c>
      <c r="AV14" s="220">
        <f t="shared" si="45"/>
        <v>0</v>
      </c>
      <c r="AW14" s="220">
        <f t="shared" si="46"/>
        <v>0</v>
      </c>
      <c r="AX14" s="220">
        <f t="shared" si="47"/>
        <v>89.471999999999994</v>
      </c>
      <c r="AY14" s="220">
        <f t="shared" si="48"/>
        <v>0</v>
      </c>
      <c r="AZ14" s="220">
        <f t="shared" si="49"/>
        <v>0</v>
      </c>
      <c r="BA14" s="220">
        <f t="shared" si="50"/>
        <v>0</v>
      </c>
      <c r="BB14" s="219"/>
      <c r="BC14" s="219"/>
      <c r="BD14" s="220">
        <f t="shared" si="51"/>
        <v>0</v>
      </c>
      <c r="BE14" s="220">
        <f t="shared" si="52"/>
        <v>0</v>
      </c>
      <c r="BF14" s="220">
        <f t="shared" si="52"/>
        <v>0</v>
      </c>
      <c r="BG14" s="220">
        <f t="shared" si="52"/>
        <v>0</v>
      </c>
      <c r="BH14" s="220">
        <f t="shared" si="53"/>
        <v>0</v>
      </c>
      <c r="BI14" s="220">
        <f t="shared" si="53"/>
        <v>0</v>
      </c>
      <c r="BJ14" s="220">
        <f t="shared" si="53"/>
        <v>0</v>
      </c>
      <c r="BK14" s="220">
        <f t="shared" si="53"/>
        <v>0</v>
      </c>
      <c r="BL14" s="220">
        <f t="shared" si="53"/>
        <v>0</v>
      </c>
      <c r="BM14" s="220">
        <f t="shared" si="53"/>
        <v>0</v>
      </c>
      <c r="BN14" s="220">
        <f t="shared" si="53"/>
        <v>0</v>
      </c>
      <c r="BO14" s="220">
        <f t="shared" si="54"/>
        <v>0</v>
      </c>
      <c r="BP14" s="220">
        <f t="shared" si="55"/>
        <v>0</v>
      </c>
      <c r="BQ14" s="220">
        <f t="shared" si="56"/>
        <v>0</v>
      </c>
      <c r="BR14" s="220">
        <f t="shared" si="57"/>
        <v>0</v>
      </c>
      <c r="BS14" s="220">
        <f t="shared" si="58"/>
        <v>0</v>
      </c>
      <c r="BT14" s="220">
        <f t="shared" si="59"/>
        <v>0</v>
      </c>
      <c r="BU14" s="220">
        <f t="shared" si="60"/>
        <v>0</v>
      </c>
      <c r="BV14" s="220">
        <f t="shared" si="61"/>
        <v>0</v>
      </c>
      <c r="BW14" s="220">
        <f t="shared" si="62"/>
        <v>0</v>
      </c>
      <c r="BX14" s="220">
        <f t="shared" si="63"/>
        <v>0</v>
      </c>
      <c r="BZ14" s="219"/>
      <c r="CA14" s="220">
        <f t="shared" si="75"/>
        <v>0</v>
      </c>
      <c r="CB14" s="220">
        <f t="shared" si="76"/>
        <v>0</v>
      </c>
      <c r="CC14" s="220">
        <f t="shared" si="77"/>
        <v>0</v>
      </c>
      <c r="CD14" s="220">
        <f t="shared" si="78"/>
        <v>0</v>
      </c>
      <c r="CE14" s="220">
        <f t="shared" si="79"/>
        <v>0</v>
      </c>
      <c r="CF14" s="220">
        <f t="shared" si="80"/>
        <v>0</v>
      </c>
      <c r="CG14" s="220">
        <f t="shared" si="81"/>
        <v>0</v>
      </c>
      <c r="CH14" s="220">
        <f t="shared" si="82"/>
        <v>0</v>
      </c>
      <c r="CI14" s="220">
        <f t="shared" si="83"/>
        <v>0</v>
      </c>
      <c r="CJ14" s="220">
        <f t="shared" si="84"/>
        <v>0</v>
      </c>
      <c r="CK14" s="220">
        <f t="shared" si="85"/>
        <v>0</v>
      </c>
      <c r="CL14" s="220">
        <f t="shared" si="65"/>
        <v>0</v>
      </c>
      <c r="CM14" s="220">
        <f t="shared" si="66"/>
        <v>0</v>
      </c>
      <c r="CN14" s="220">
        <f t="shared" si="67"/>
        <v>0</v>
      </c>
      <c r="CO14" s="220">
        <f t="shared" si="68"/>
        <v>0</v>
      </c>
      <c r="CP14" s="220">
        <f t="shared" si="69"/>
        <v>0</v>
      </c>
      <c r="CQ14" s="220">
        <f t="shared" si="70"/>
        <v>0</v>
      </c>
      <c r="CR14" s="220">
        <f t="shared" si="71"/>
        <v>0</v>
      </c>
      <c r="CS14" s="220">
        <f t="shared" si="72"/>
        <v>0</v>
      </c>
      <c r="CT14" s="220">
        <f t="shared" si="73"/>
        <v>0</v>
      </c>
      <c r="CU14" s="220">
        <f t="shared" si="74"/>
        <v>0</v>
      </c>
    </row>
    <row r="15" spans="1:99" x14ac:dyDescent="0.35">
      <c r="A15" s="233">
        <v>5121</v>
      </c>
      <c r="B15" s="233">
        <v>20000335</v>
      </c>
      <c r="C15" s="234" t="s">
        <v>105</v>
      </c>
      <c r="D15" s="234">
        <v>50034616</v>
      </c>
      <c r="E15" s="233">
        <v>46.6</v>
      </c>
      <c r="F15" s="233" t="s">
        <v>106</v>
      </c>
      <c r="G15" s="233" t="s">
        <v>107</v>
      </c>
      <c r="H15" s="233" t="s">
        <v>70</v>
      </c>
      <c r="I15" s="235">
        <v>0</v>
      </c>
      <c r="J15" s="218"/>
      <c r="K15" s="238">
        <v>0</v>
      </c>
      <c r="L15" s="238">
        <v>0</v>
      </c>
      <c r="M15" s="238">
        <v>0</v>
      </c>
      <c r="N15" s="238">
        <v>0</v>
      </c>
      <c r="O15" s="238">
        <v>0</v>
      </c>
      <c r="P15" s="238">
        <v>0</v>
      </c>
      <c r="Q15" s="238">
        <v>0</v>
      </c>
      <c r="R15" s="237">
        <v>0</v>
      </c>
      <c r="S15" s="238">
        <v>1010.3333333333301</v>
      </c>
      <c r="T15" s="263">
        <v>0</v>
      </c>
      <c r="U15" s="262">
        <v>0</v>
      </c>
      <c r="V15" s="262">
        <v>0</v>
      </c>
      <c r="W15" s="262">
        <v>1158.384</v>
      </c>
      <c r="X15" s="262">
        <v>0</v>
      </c>
      <c r="Y15" s="262">
        <v>0</v>
      </c>
      <c r="Z15" s="262">
        <v>0</v>
      </c>
      <c r="AA15" s="262">
        <v>0</v>
      </c>
      <c r="AB15" s="262">
        <v>0</v>
      </c>
      <c r="AC15" s="262">
        <v>0</v>
      </c>
      <c r="AD15" s="262">
        <v>0</v>
      </c>
      <c r="AE15" s="262">
        <v>0</v>
      </c>
      <c r="AF15" s="219"/>
      <c r="AG15" s="220">
        <f t="shared" si="30"/>
        <v>0</v>
      </c>
      <c r="AH15" s="220">
        <f t="shared" si="31"/>
        <v>0</v>
      </c>
      <c r="AI15" s="220">
        <f t="shared" si="32"/>
        <v>0</v>
      </c>
      <c r="AJ15" s="220">
        <f t="shared" si="33"/>
        <v>0</v>
      </c>
      <c r="AK15" s="220">
        <f t="shared" si="34"/>
        <v>0</v>
      </c>
      <c r="AL15" s="220">
        <f t="shared" si="35"/>
        <v>0</v>
      </c>
      <c r="AM15" s="220">
        <f t="shared" si="36"/>
        <v>0</v>
      </c>
      <c r="AN15" s="220">
        <f t="shared" si="37"/>
        <v>0</v>
      </c>
      <c r="AO15" s="220">
        <f t="shared" si="38"/>
        <v>47.081533333333184</v>
      </c>
      <c r="AP15" s="220">
        <f t="shared" si="39"/>
        <v>0</v>
      </c>
      <c r="AQ15" s="220">
        <f t="shared" si="40"/>
        <v>0</v>
      </c>
      <c r="AR15" s="220">
        <f t="shared" si="41"/>
        <v>0</v>
      </c>
      <c r="AS15" s="220">
        <f t="shared" si="42"/>
        <v>53.980694399999997</v>
      </c>
      <c r="AT15" s="220">
        <f t="shared" si="43"/>
        <v>0</v>
      </c>
      <c r="AU15" s="220">
        <f t="shared" si="44"/>
        <v>0</v>
      </c>
      <c r="AV15" s="220">
        <f t="shared" si="45"/>
        <v>0</v>
      </c>
      <c r="AW15" s="220">
        <f t="shared" si="46"/>
        <v>0</v>
      </c>
      <c r="AX15" s="220">
        <f t="shared" si="47"/>
        <v>0</v>
      </c>
      <c r="AY15" s="220">
        <f t="shared" si="48"/>
        <v>0</v>
      </c>
      <c r="AZ15" s="220">
        <f t="shared" si="49"/>
        <v>0</v>
      </c>
      <c r="BA15" s="220">
        <f t="shared" si="50"/>
        <v>0</v>
      </c>
      <c r="BB15" s="219"/>
      <c r="BC15" s="219"/>
      <c r="BD15" s="220">
        <f t="shared" si="51"/>
        <v>0</v>
      </c>
      <c r="BE15" s="220">
        <f t="shared" si="52"/>
        <v>0</v>
      </c>
      <c r="BF15" s="220">
        <f t="shared" si="52"/>
        <v>0</v>
      </c>
      <c r="BG15" s="220">
        <f t="shared" si="52"/>
        <v>0</v>
      </c>
      <c r="BH15" s="220">
        <f t="shared" si="53"/>
        <v>0</v>
      </c>
      <c r="BI15" s="220">
        <f t="shared" si="53"/>
        <v>0</v>
      </c>
      <c r="BJ15" s="220">
        <f t="shared" si="53"/>
        <v>0</v>
      </c>
      <c r="BK15" s="220">
        <f t="shared" si="53"/>
        <v>0</v>
      </c>
      <c r="BL15" s="220">
        <f t="shared" si="53"/>
        <v>0</v>
      </c>
      <c r="BM15" s="220">
        <f t="shared" si="53"/>
        <v>0</v>
      </c>
      <c r="BN15" s="220">
        <f t="shared" si="53"/>
        <v>0</v>
      </c>
      <c r="BO15" s="220">
        <f t="shared" si="54"/>
        <v>0</v>
      </c>
      <c r="BP15" s="220">
        <f t="shared" si="55"/>
        <v>0</v>
      </c>
      <c r="BQ15" s="220">
        <f t="shared" si="56"/>
        <v>0</v>
      </c>
      <c r="BR15" s="220">
        <f t="shared" si="57"/>
        <v>0</v>
      </c>
      <c r="BS15" s="220">
        <f t="shared" si="58"/>
        <v>0</v>
      </c>
      <c r="BT15" s="220">
        <f t="shared" si="59"/>
        <v>0</v>
      </c>
      <c r="BU15" s="220">
        <f t="shared" si="60"/>
        <v>0</v>
      </c>
      <c r="BV15" s="220">
        <f t="shared" si="61"/>
        <v>0</v>
      </c>
      <c r="BW15" s="220">
        <f t="shared" si="62"/>
        <v>0</v>
      </c>
      <c r="BX15" s="220">
        <f t="shared" si="63"/>
        <v>0</v>
      </c>
      <c r="BZ15" s="219"/>
      <c r="CA15" s="220">
        <f t="shared" si="75"/>
        <v>0</v>
      </c>
      <c r="CB15" s="220">
        <f t="shared" si="76"/>
        <v>0</v>
      </c>
      <c r="CC15" s="220">
        <f t="shared" si="77"/>
        <v>0</v>
      </c>
      <c r="CD15" s="220">
        <f t="shared" si="78"/>
        <v>0</v>
      </c>
      <c r="CE15" s="220">
        <f t="shared" si="79"/>
        <v>0</v>
      </c>
      <c r="CF15" s="220">
        <f t="shared" si="80"/>
        <v>0</v>
      </c>
      <c r="CG15" s="220">
        <f t="shared" si="81"/>
        <v>0</v>
      </c>
      <c r="CH15" s="220">
        <f t="shared" si="82"/>
        <v>0</v>
      </c>
      <c r="CI15" s="220">
        <f t="shared" si="83"/>
        <v>0</v>
      </c>
      <c r="CJ15" s="220">
        <f t="shared" si="84"/>
        <v>0</v>
      </c>
      <c r="CK15" s="220">
        <f t="shared" si="85"/>
        <v>0</v>
      </c>
      <c r="CL15" s="220">
        <f t="shared" si="65"/>
        <v>0</v>
      </c>
      <c r="CM15" s="220">
        <f t="shared" si="66"/>
        <v>0</v>
      </c>
      <c r="CN15" s="220">
        <f t="shared" si="67"/>
        <v>0</v>
      </c>
      <c r="CO15" s="220">
        <f t="shared" si="68"/>
        <v>0</v>
      </c>
      <c r="CP15" s="220">
        <f t="shared" si="69"/>
        <v>0</v>
      </c>
      <c r="CQ15" s="220">
        <f t="shared" si="70"/>
        <v>0</v>
      </c>
      <c r="CR15" s="220">
        <f t="shared" si="71"/>
        <v>0</v>
      </c>
      <c r="CS15" s="220">
        <f t="shared" si="72"/>
        <v>0</v>
      </c>
      <c r="CT15" s="220">
        <f t="shared" si="73"/>
        <v>0</v>
      </c>
      <c r="CU15" s="220">
        <f t="shared" si="74"/>
        <v>0</v>
      </c>
    </row>
    <row r="16" spans="1:99" x14ac:dyDescent="0.35">
      <c r="A16" s="233">
        <v>5121</v>
      </c>
      <c r="B16" s="233">
        <v>20000335</v>
      </c>
      <c r="C16" s="234" t="s">
        <v>105</v>
      </c>
      <c r="D16" s="234">
        <v>50039815</v>
      </c>
      <c r="E16" s="233">
        <v>46.6</v>
      </c>
      <c r="F16" s="233" t="s">
        <v>106</v>
      </c>
      <c r="G16" s="233" t="s">
        <v>113</v>
      </c>
      <c r="H16" s="233" t="s">
        <v>112</v>
      </c>
      <c r="I16" s="235">
        <v>0.2</v>
      </c>
      <c r="J16" s="218"/>
      <c r="K16" s="237">
        <v>0</v>
      </c>
      <c r="L16" s="237">
        <v>0</v>
      </c>
      <c r="M16" s="237">
        <v>0</v>
      </c>
      <c r="N16" s="237">
        <v>4389</v>
      </c>
      <c r="O16" s="237">
        <v>0</v>
      </c>
      <c r="P16" s="237">
        <v>0</v>
      </c>
      <c r="Q16" s="237">
        <v>0</v>
      </c>
      <c r="R16" s="237">
        <v>0</v>
      </c>
      <c r="S16" s="238">
        <v>0</v>
      </c>
      <c r="T16" s="263">
        <v>0</v>
      </c>
      <c r="U16" s="262">
        <v>0</v>
      </c>
      <c r="V16" s="262">
        <v>0</v>
      </c>
      <c r="W16" s="262">
        <v>4736.384</v>
      </c>
      <c r="X16" s="262">
        <v>3694.9759999999997</v>
      </c>
      <c r="Y16" s="262">
        <v>0</v>
      </c>
      <c r="Z16" s="262">
        <v>0</v>
      </c>
      <c r="AA16" s="262">
        <v>0</v>
      </c>
      <c r="AB16" s="262">
        <v>0</v>
      </c>
      <c r="AC16" s="262">
        <v>0</v>
      </c>
      <c r="AD16" s="262">
        <v>0</v>
      </c>
      <c r="AE16" s="262">
        <v>0</v>
      </c>
      <c r="AF16" s="219"/>
      <c r="AG16" s="220">
        <f t="shared" si="30"/>
        <v>0</v>
      </c>
      <c r="AH16" s="220">
        <f t="shared" si="31"/>
        <v>0</v>
      </c>
      <c r="AI16" s="220">
        <f t="shared" si="32"/>
        <v>0</v>
      </c>
      <c r="AJ16" s="220">
        <f t="shared" si="33"/>
        <v>163.62192000000002</v>
      </c>
      <c r="AK16" s="220">
        <f t="shared" si="34"/>
        <v>0</v>
      </c>
      <c r="AL16" s="220">
        <f t="shared" si="35"/>
        <v>0</v>
      </c>
      <c r="AM16" s="220">
        <f t="shared" si="36"/>
        <v>0</v>
      </c>
      <c r="AN16" s="220">
        <f t="shared" si="37"/>
        <v>0</v>
      </c>
      <c r="AO16" s="220">
        <f t="shared" si="38"/>
        <v>0</v>
      </c>
      <c r="AP16" s="220">
        <f t="shared" si="39"/>
        <v>0</v>
      </c>
      <c r="AQ16" s="220">
        <f t="shared" si="40"/>
        <v>0</v>
      </c>
      <c r="AR16" s="220">
        <f t="shared" si="41"/>
        <v>0</v>
      </c>
      <c r="AS16" s="220">
        <f t="shared" si="42"/>
        <v>176.57239551999999</v>
      </c>
      <c r="AT16" s="220">
        <f t="shared" si="43"/>
        <v>137.74870528</v>
      </c>
      <c r="AU16" s="220">
        <f t="shared" si="44"/>
        <v>0</v>
      </c>
      <c r="AV16" s="220">
        <f t="shared" si="45"/>
        <v>0</v>
      </c>
      <c r="AW16" s="220">
        <f t="shared" si="46"/>
        <v>0</v>
      </c>
      <c r="AX16" s="220">
        <f t="shared" si="47"/>
        <v>0</v>
      </c>
      <c r="AY16" s="220">
        <f t="shared" si="48"/>
        <v>0</v>
      </c>
      <c r="AZ16" s="220">
        <f t="shared" si="49"/>
        <v>0</v>
      </c>
      <c r="BA16" s="220">
        <f t="shared" si="50"/>
        <v>0</v>
      </c>
      <c r="BB16" s="219"/>
      <c r="BC16" s="219"/>
      <c r="BD16" s="220">
        <f t="shared" si="51"/>
        <v>0</v>
      </c>
      <c r="BE16" s="220">
        <f t="shared" si="52"/>
        <v>0</v>
      </c>
      <c r="BF16" s="220">
        <f t="shared" si="52"/>
        <v>0</v>
      </c>
      <c r="BG16" s="220">
        <f t="shared" si="52"/>
        <v>40.905480000000004</v>
      </c>
      <c r="BH16" s="220">
        <f t="shared" si="53"/>
        <v>0</v>
      </c>
      <c r="BI16" s="220">
        <f t="shared" si="53"/>
        <v>0</v>
      </c>
      <c r="BJ16" s="220">
        <f t="shared" si="53"/>
        <v>0</v>
      </c>
      <c r="BK16" s="220">
        <f t="shared" si="53"/>
        <v>0</v>
      </c>
      <c r="BL16" s="220">
        <f t="shared" si="53"/>
        <v>0</v>
      </c>
      <c r="BM16" s="220">
        <f t="shared" si="53"/>
        <v>0</v>
      </c>
      <c r="BN16" s="220">
        <f t="shared" si="53"/>
        <v>0</v>
      </c>
      <c r="BO16" s="220">
        <f t="shared" si="54"/>
        <v>0</v>
      </c>
      <c r="BP16" s="220">
        <f t="shared" si="55"/>
        <v>44.143098879999997</v>
      </c>
      <c r="BQ16" s="220">
        <f t="shared" si="56"/>
        <v>34.437176319999999</v>
      </c>
      <c r="BR16" s="220">
        <f t="shared" si="57"/>
        <v>0</v>
      </c>
      <c r="BS16" s="220">
        <f t="shared" si="58"/>
        <v>0</v>
      </c>
      <c r="BT16" s="220">
        <f t="shared" si="59"/>
        <v>0</v>
      </c>
      <c r="BU16" s="220">
        <f t="shared" si="60"/>
        <v>0</v>
      </c>
      <c r="BV16" s="220">
        <f t="shared" si="61"/>
        <v>0</v>
      </c>
      <c r="BW16" s="220">
        <f t="shared" si="62"/>
        <v>0</v>
      </c>
      <c r="BX16" s="220">
        <f t="shared" si="63"/>
        <v>0</v>
      </c>
      <c r="BZ16" s="219"/>
      <c r="CA16" s="220">
        <f t="shared" si="75"/>
        <v>0</v>
      </c>
      <c r="CB16" s="220">
        <f t="shared" si="76"/>
        <v>0</v>
      </c>
      <c r="CC16" s="220">
        <f t="shared" si="77"/>
        <v>0</v>
      </c>
      <c r="CD16" s="220">
        <f t="shared" si="78"/>
        <v>0</v>
      </c>
      <c r="CE16" s="220">
        <f t="shared" si="79"/>
        <v>0</v>
      </c>
      <c r="CF16" s="220">
        <f t="shared" si="80"/>
        <v>0</v>
      </c>
      <c r="CG16" s="220">
        <f t="shared" si="81"/>
        <v>0</v>
      </c>
      <c r="CH16" s="220">
        <f t="shared" si="82"/>
        <v>0</v>
      </c>
      <c r="CI16" s="220">
        <f t="shared" si="83"/>
        <v>0</v>
      </c>
      <c r="CJ16" s="220">
        <f t="shared" si="84"/>
        <v>0</v>
      </c>
      <c r="CK16" s="220">
        <f t="shared" si="85"/>
        <v>0</v>
      </c>
      <c r="CL16" s="220">
        <f t="shared" si="65"/>
        <v>0</v>
      </c>
      <c r="CM16" s="220">
        <f t="shared" si="66"/>
        <v>0</v>
      </c>
      <c r="CN16" s="220">
        <f t="shared" si="67"/>
        <v>0</v>
      </c>
      <c r="CO16" s="220">
        <f t="shared" si="68"/>
        <v>0</v>
      </c>
      <c r="CP16" s="220">
        <f t="shared" si="69"/>
        <v>0</v>
      </c>
      <c r="CQ16" s="220">
        <f t="shared" si="70"/>
        <v>0</v>
      </c>
      <c r="CR16" s="220">
        <f t="shared" si="71"/>
        <v>0</v>
      </c>
      <c r="CS16" s="220">
        <f t="shared" si="72"/>
        <v>0</v>
      </c>
      <c r="CT16" s="220">
        <f t="shared" si="73"/>
        <v>0</v>
      </c>
      <c r="CU16" s="220">
        <f t="shared" si="74"/>
        <v>0</v>
      </c>
    </row>
    <row r="17" spans="1:99" x14ac:dyDescent="0.35">
      <c r="A17" s="233">
        <v>5121</v>
      </c>
      <c r="B17" s="233">
        <v>20000335</v>
      </c>
      <c r="C17" s="234" t="s">
        <v>105</v>
      </c>
      <c r="D17" s="234">
        <v>50036915</v>
      </c>
      <c r="E17" s="233">
        <v>46.6</v>
      </c>
      <c r="F17" s="233" t="s">
        <v>106</v>
      </c>
      <c r="G17" s="233" t="s">
        <v>113</v>
      </c>
      <c r="H17" s="233" t="s">
        <v>112</v>
      </c>
      <c r="I17" s="235">
        <v>0.2</v>
      </c>
      <c r="J17" s="218"/>
      <c r="K17" s="237">
        <v>0</v>
      </c>
      <c r="L17" s="237">
        <v>0</v>
      </c>
      <c r="M17" s="237">
        <v>0</v>
      </c>
      <c r="N17" s="237">
        <v>0</v>
      </c>
      <c r="O17" s="237">
        <v>0</v>
      </c>
      <c r="P17" s="237">
        <v>0</v>
      </c>
      <c r="Q17" s="237">
        <v>0</v>
      </c>
      <c r="R17" s="237">
        <v>0</v>
      </c>
      <c r="S17" s="238">
        <v>0</v>
      </c>
      <c r="T17" s="263">
        <v>0</v>
      </c>
      <c r="U17" s="262">
        <v>0</v>
      </c>
      <c r="V17" s="262">
        <v>0</v>
      </c>
      <c r="W17" s="262">
        <v>722</v>
      </c>
      <c r="X17" s="262">
        <v>0</v>
      </c>
      <c r="Y17" s="262">
        <v>2560.8959999999997</v>
      </c>
      <c r="Z17" s="262">
        <v>0</v>
      </c>
      <c r="AA17" s="262">
        <v>0</v>
      </c>
      <c r="AB17" s="262">
        <v>0</v>
      </c>
      <c r="AC17" s="262">
        <v>0</v>
      </c>
      <c r="AD17" s="262">
        <v>0</v>
      </c>
      <c r="AE17" s="262">
        <v>0</v>
      </c>
      <c r="AG17" s="220">
        <f t="shared" si="30"/>
        <v>0</v>
      </c>
      <c r="AH17" s="220">
        <f t="shared" si="31"/>
        <v>0</v>
      </c>
      <c r="AI17" s="220">
        <f t="shared" si="32"/>
        <v>0</v>
      </c>
      <c r="AJ17" s="220">
        <f t="shared" si="33"/>
        <v>0</v>
      </c>
      <c r="AK17" s="220">
        <f t="shared" si="34"/>
        <v>0</v>
      </c>
      <c r="AL17" s="220">
        <f t="shared" si="35"/>
        <v>0</v>
      </c>
      <c r="AM17" s="220">
        <f t="shared" si="36"/>
        <v>0</v>
      </c>
      <c r="AN17" s="220">
        <f t="shared" si="37"/>
        <v>0</v>
      </c>
      <c r="AO17" s="220">
        <f t="shared" si="38"/>
        <v>0</v>
      </c>
      <c r="AP17" s="220">
        <f t="shared" si="39"/>
        <v>0</v>
      </c>
      <c r="AQ17" s="220">
        <f t="shared" si="40"/>
        <v>0</v>
      </c>
      <c r="AR17" s="220">
        <f t="shared" si="41"/>
        <v>0</v>
      </c>
      <c r="AS17" s="220">
        <f t="shared" si="42"/>
        <v>26.916160000000005</v>
      </c>
      <c r="AT17" s="220">
        <f t="shared" si="43"/>
        <v>0</v>
      </c>
      <c r="AU17" s="220">
        <f t="shared" si="44"/>
        <v>95.470202880000002</v>
      </c>
      <c r="AV17" s="220">
        <f t="shared" si="45"/>
        <v>0</v>
      </c>
      <c r="AW17" s="220">
        <f t="shared" si="46"/>
        <v>0</v>
      </c>
      <c r="AX17" s="220">
        <f t="shared" si="47"/>
        <v>0</v>
      </c>
      <c r="AY17" s="220">
        <f t="shared" si="48"/>
        <v>0</v>
      </c>
      <c r="AZ17" s="220">
        <f t="shared" si="49"/>
        <v>0</v>
      </c>
      <c r="BA17" s="220">
        <f t="shared" si="50"/>
        <v>0</v>
      </c>
      <c r="BB17" s="219"/>
      <c r="BC17" s="219"/>
      <c r="BD17" s="220">
        <f t="shared" si="51"/>
        <v>0</v>
      </c>
      <c r="BE17" s="220">
        <f t="shared" si="52"/>
        <v>0</v>
      </c>
      <c r="BF17" s="220">
        <f t="shared" si="52"/>
        <v>0</v>
      </c>
      <c r="BG17" s="220">
        <f t="shared" si="52"/>
        <v>0</v>
      </c>
      <c r="BH17" s="220">
        <f t="shared" si="53"/>
        <v>0</v>
      </c>
      <c r="BI17" s="220">
        <f t="shared" si="53"/>
        <v>0</v>
      </c>
      <c r="BJ17" s="220">
        <f t="shared" si="53"/>
        <v>0</v>
      </c>
      <c r="BK17" s="220">
        <f t="shared" si="53"/>
        <v>0</v>
      </c>
      <c r="BL17" s="220">
        <f t="shared" si="53"/>
        <v>0</v>
      </c>
      <c r="BM17" s="220">
        <f t="shared" si="53"/>
        <v>0</v>
      </c>
      <c r="BN17" s="220">
        <f t="shared" si="53"/>
        <v>0</v>
      </c>
      <c r="BO17" s="220">
        <f t="shared" si="54"/>
        <v>0</v>
      </c>
      <c r="BP17" s="220">
        <f t="shared" si="55"/>
        <v>6.7290400000000012</v>
      </c>
      <c r="BQ17" s="220">
        <f t="shared" si="56"/>
        <v>0</v>
      </c>
      <c r="BR17" s="220">
        <f t="shared" si="57"/>
        <v>23.867550720000001</v>
      </c>
      <c r="BS17" s="220">
        <f t="shared" si="58"/>
        <v>0</v>
      </c>
      <c r="BT17" s="220">
        <f t="shared" si="59"/>
        <v>0</v>
      </c>
      <c r="BU17" s="220">
        <f t="shared" si="60"/>
        <v>0</v>
      </c>
      <c r="BV17" s="220">
        <f t="shared" si="61"/>
        <v>0</v>
      </c>
      <c r="BW17" s="220">
        <f t="shared" si="62"/>
        <v>0</v>
      </c>
      <c r="BX17" s="220">
        <f t="shared" si="63"/>
        <v>0</v>
      </c>
      <c r="BZ17" s="219"/>
      <c r="CA17" s="220">
        <f t="shared" si="75"/>
        <v>0</v>
      </c>
      <c r="CB17" s="220">
        <f t="shared" si="76"/>
        <v>0</v>
      </c>
      <c r="CC17" s="220">
        <f t="shared" si="77"/>
        <v>0</v>
      </c>
      <c r="CD17" s="220">
        <f t="shared" si="78"/>
        <v>0</v>
      </c>
      <c r="CE17" s="220">
        <f t="shared" si="79"/>
        <v>0</v>
      </c>
      <c r="CF17" s="220">
        <f t="shared" si="80"/>
        <v>0</v>
      </c>
      <c r="CG17" s="220">
        <f t="shared" si="81"/>
        <v>0</v>
      </c>
      <c r="CH17" s="220">
        <f t="shared" si="82"/>
        <v>0</v>
      </c>
      <c r="CI17" s="220">
        <f t="shared" si="83"/>
        <v>0</v>
      </c>
      <c r="CJ17" s="220">
        <f t="shared" si="84"/>
        <v>0</v>
      </c>
      <c r="CK17" s="220">
        <f t="shared" si="85"/>
        <v>0</v>
      </c>
      <c r="CL17" s="220">
        <f t="shared" si="65"/>
        <v>0</v>
      </c>
      <c r="CM17" s="220">
        <f t="shared" si="66"/>
        <v>0</v>
      </c>
      <c r="CN17" s="220">
        <f t="shared" si="67"/>
        <v>0</v>
      </c>
      <c r="CO17" s="220">
        <f t="shared" si="68"/>
        <v>0</v>
      </c>
      <c r="CP17" s="220">
        <f t="shared" si="69"/>
        <v>0</v>
      </c>
      <c r="CQ17" s="220">
        <f t="shared" si="70"/>
        <v>0</v>
      </c>
      <c r="CR17" s="220">
        <f t="shared" si="71"/>
        <v>0</v>
      </c>
      <c r="CS17" s="220">
        <f t="shared" si="72"/>
        <v>0</v>
      </c>
      <c r="CT17" s="220">
        <f t="shared" si="73"/>
        <v>0</v>
      </c>
      <c r="CU17" s="220">
        <f t="shared" si="74"/>
        <v>0</v>
      </c>
    </row>
    <row r="18" spans="1:99" x14ac:dyDescent="0.35">
      <c r="A18" s="233">
        <v>5121</v>
      </c>
      <c r="B18" s="233">
        <v>20000335</v>
      </c>
      <c r="C18" s="234" t="s">
        <v>105</v>
      </c>
      <c r="D18" s="234">
        <v>50037042</v>
      </c>
      <c r="E18" s="233">
        <v>46.6</v>
      </c>
      <c r="F18" s="233" t="s">
        <v>106</v>
      </c>
      <c r="G18" s="233" t="s">
        <v>114</v>
      </c>
      <c r="H18" s="233" t="s">
        <v>112</v>
      </c>
      <c r="I18" s="235">
        <v>0.2</v>
      </c>
      <c r="J18" s="218"/>
      <c r="K18" s="237">
        <v>1453</v>
      </c>
      <c r="L18" s="237">
        <v>1324.3062329162544</v>
      </c>
      <c r="M18" s="237">
        <v>0</v>
      </c>
      <c r="N18" s="237">
        <v>0</v>
      </c>
      <c r="O18" s="237">
        <v>0</v>
      </c>
      <c r="P18" s="237">
        <v>0</v>
      </c>
      <c r="Q18" s="237">
        <v>0</v>
      </c>
      <c r="R18" s="237">
        <v>0</v>
      </c>
      <c r="S18" s="238">
        <v>0</v>
      </c>
      <c r="T18" s="263">
        <v>0</v>
      </c>
      <c r="U18" s="262">
        <v>0</v>
      </c>
      <c r="V18" s="262">
        <v>0</v>
      </c>
      <c r="W18" s="262">
        <v>0</v>
      </c>
      <c r="X18" s="262">
        <v>0</v>
      </c>
      <c r="Y18" s="262">
        <v>0</v>
      </c>
      <c r="Z18" s="262">
        <v>0</v>
      </c>
      <c r="AA18" s="262">
        <v>0</v>
      </c>
      <c r="AB18" s="262">
        <v>0</v>
      </c>
      <c r="AC18" s="262">
        <v>0</v>
      </c>
      <c r="AD18" s="262">
        <v>0</v>
      </c>
      <c r="AE18" s="262">
        <v>0</v>
      </c>
      <c r="AG18" s="220">
        <f t="shared" si="30"/>
        <v>54.167840000000005</v>
      </c>
      <c r="AH18" s="220">
        <f t="shared" si="31"/>
        <v>49.370136363117972</v>
      </c>
      <c r="AI18" s="220">
        <f t="shared" si="32"/>
        <v>0</v>
      </c>
      <c r="AJ18" s="220">
        <f t="shared" si="33"/>
        <v>0</v>
      </c>
      <c r="AK18" s="220">
        <f t="shared" si="34"/>
        <v>0</v>
      </c>
      <c r="AL18" s="220">
        <f t="shared" si="35"/>
        <v>0</v>
      </c>
      <c r="AM18" s="220">
        <f t="shared" si="36"/>
        <v>0</v>
      </c>
      <c r="AN18" s="220">
        <f t="shared" si="37"/>
        <v>0</v>
      </c>
      <c r="AO18" s="220">
        <f t="shared" si="38"/>
        <v>0</v>
      </c>
      <c r="AP18" s="220">
        <f t="shared" si="39"/>
        <v>0</v>
      </c>
      <c r="AQ18" s="220">
        <f t="shared" si="40"/>
        <v>0</v>
      </c>
      <c r="AR18" s="220">
        <f t="shared" si="41"/>
        <v>0</v>
      </c>
      <c r="AS18" s="220">
        <f t="shared" si="42"/>
        <v>0</v>
      </c>
      <c r="AT18" s="220">
        <f t="shared" si="43"/>
        <v>0</v>
      </c>
      <c r="AU18" s="220">
        <f t="shared" si="44"/>
        <v>0</v>
      </c>
      <c r="AV18" s="220">
        <f t="shared" si="45"/>
        <v>0</v>
      </c>
      <c r="AW18" s="220">
        <f t="shared" si="46"/>
        <v>0</v>
      </c>
      <c r="AX18" s="220">
        <f t="shared" si="47"/>
        <v>0</v>
      </c>
      <c r="AY18" s="220">
        <f t="shared" si="48"/>
        <v>0</v>
      </c>
      <c r="AZ18" s="220">
        <f t="shared" si="49"/>
        <v>0</v>
      </c>
      <c r="BA18" s="220">
        <f t="shared" si="50"/>
        <v>0</v>
      </c>
      <c r="BB18" s="219"/>
      <c r="BC18" s="219"/>
      <c r="BD18" s="220">
        <f t="shared" si="51"/>
        <v>13.541960000000001</v>
      </c>
      <c r="BE18" s="220">
        <f t="shared" si="52"/>
        <v>12.342534090779493</v>
      </c>
      <c r="BF18" s="220">
        <f t="shared" si="52"/>
        <v>0</v>
      </c>
      <c r="BG18" s="220">
        <f t="shared" si="52"/>
        <v>0</v>
      </c>
      <c r="BH18" s="220">
        <f t="shared" si="53"/>
        <v>0</v>
      </c>
      <c r="BI18" s="220">
        <f t="shared" si="53"/>
        <v>0</v>
      </c>
      <c r="BJ18" s="220">
        <f t="shared" si="53"/>
        <v>0</v>
      </c>
      <c r="BK18" s="220">
        <f t="shared" si="53"/>
        <v>0</v>
      </c>
      <c r="BL18" s="220">
        <f t="shared" si="53"/>
        <v>0</v>
      </c>
      <c r="BM18" s="220">
        <f t="shared" si="53"/>
        <v>0</v>
      </c>
      <c r="BN18" s="220">
        <f t="shared" si="53"/>
        <v>0</v>
      </c>
      <c r="BO18" s="220">
        <f t="shared" si="54"/>
        <v>0</v>
      </c>
      <c r="BP18" s="220">
        <f t="shared" si="55"/>
        <v>0</v>
      </c>
      <c r="BQ18" s="220">
        <f t="shared" si="56"/>
        <v>0</v>
      </c>
      <c r="BR18" s="220">
        <f t="shared" si="57"/>
        <v>0</v>
      </c>
      <c r="BS18" s="220">
        <f t="shared" si="58"/>
        <v>0</v>
      </c>
      <c r="BT18" s="220">
        <f t="shared" si="59"/>
        <v>0</v>
      </c>
      <c r="BU18" s="220">
        <f t="shared" si="60"/>
        <v>0</v>
      </c>
      <c r="BV18" s="220">
        <f t="shared" si="61"/>
        <v>0</v>
      </c>
      <c r="BW18" s="220">
        <f t="shared" si="62"/>
        <v>0</v>
      </c>
      <c r="BX18" s="220">
        <f t="shared" si="63"/>
        <v>0</v>
      </c>
      <c r="BZ18" s="219"/>
      <c r="CA18" s="220">
        <f t="shared" si="75"/>
        <v>0</v>
      </c>
      <c r="CB18" s="220">
        <f t="shared" si="76"/>
        <v>0</v>
      </c>
      <c r="CC18" s="220">
        <f t="shared" si="77"/>
        <v>0</v>
      </c>
      <c r="CD18" s="220">
        <f t="shared" si="78"/>
        <v>0</v>
      </c>
      <c r="CE18" s="220">
        <f t="shared" si="79"/>
        <v>0</v>
      </c>
      <c r="CF18" s="220">
        <f t="shared" si="80"/>
        <v>0</v>
      </c>
      <c r="CG18" s="220">
        <f t="shared" si="81"/>
        <v>0</v>
      </c>
      <c r="CH18" s="220">
        <f t="shared" si="82"/>
        <v>0</v>
      </c>
      <c r="CI18" s="220">
        <f t="shared" si="83"/>
        <v>0</v>
      </c>
      <c r="CJ18" s="220">
        <f t="shared" si="84"/>
        <v>0</v>
      </c>
      <c r="CK18" s="220">
        <f t="shared" si="85"/>
        <v>0</v>
      </c>
      <c r="CL18" s="220">
        <f t="shared" si="65"/>
        <v>0</v>
      </c>
      <c r="CM18" s="220">
        <f t="shared" si="66"/>
        <v>0</v>
      </c>
      <c r="CN18" s="220">
        <f t="shared" si="67"/>
        <v>0</v>
      </c>
      <c r="CO18" s="220">
        <f t="shared" si="68"/>
        <v>0</v>
      </c>
      <c r="CP18" s="220">
        <f t="shared" si="69"/>
        <v>0</v>
      </c>
      <c r="CQ18" s="220">
        <f t="shared" si="70"/>
        <v>0</v>
      </c>
      <c r="CR18" s="220">
        <f t="shared" si="71"/>
        <v>0</v>
      </c>
      <c r="CS18" s="220">
        <f t="shared" si="72"/>
        <v>0</v>
      </c>
      <c r="CT18" s="220">
        <f t="shared" si="73"/>
        <v>0</v>
      </c>
      <c r="CU18" s="220">
        <f t="shared" si="74"/>
        <v>0</v>
      </c>
    </row>
    <row r="19" spans="1:99" x14ac:dyDescent="0.35">
      <c r="A19" s="233">
        <v>5121</v>
      </c>
      <c r="B19" s="233">
        <v>20000335</v>
      </c>
      <c r="C19" s="234" t="s">
        <v>105</v>
      </c>
      <c r="D19" s="234">
        <v>50025345</v>
      </c>
      <c r="E19" s="233">
        <v>46.6</v>
      </c>
      <c r="F19" s="233" t="s">
        <v>106</v>
      </c>
      <c r="G19" s="233" t="s">
        <v>115</v>
      </c>
      <c r="H19" s="233" t="s">
        <v>70</v>
      </c>
      <c r="I19" s="235">
        <v>0</v>
      </c>
      <c r="J19" s="218"/>
      <c r="K19" s="237">
        <v>0</v>
      </c>
      <c r="L19" s="237">
        <v>0</v>
      </c>
      <c r="M19" s="237">
        <v>0</v>
      </c>
      <c r="N19" s="237">
        <v>351</v>
      </c>
      <c r="O19" s="237">
        <v>333</v>
      </c>
      <c r="P19" s="237">
        <v>1031.1111111111099</v>
      </c>
      <c r="Q19" s="237">
        <v>746.66666666666697</v>
      </c>
      <c r="R19" s="237">
        <v>688.88888888888891</v>
      </c>
      <c r="S19" s="238">
        <v>960</v>
      </c>
      <c r="T19" s="263">
        <v>0</v>
      </c>
      <c r="U19" s="262">
        <v>0</v>
      </c>
      <c r="V19" s="262">
        <v>0</v>
      </c>
      <c r="W19" s="262">
        <v>2206</v>
      </c>
      <c r="X19" s="262">
        <v>3991.7919999999995</v>
      </c>
      <c r="Y19" s="262">
        <v>0</v>
      </c>
      <c r="Z19" s="262">
        <v>3546.6880000000001</v>
      </c>
      <c r="AA19" s="262">
        <v>4164.2241392592605</v>
      </c>
      <c r="AB19" s="262">
        <v>3500</v>
      </c>
      <c r="AC19" s="262">
        <v>3500</v>
      </c>
      <c r="AD19" s="262">
        <v>3500</v>
      </c>
      <c r="AE19" s="262">
        <v>3500</v>
      </c>
      <c r="AG19" s="220">
        <f t="shared" si="30"/>
        <v>0</v>
      </c>
      <c r="AH19" s="220">
        <f t="shared" si="31"/>
        <v>0</v>
      </c>
      <c r="AI19" s="220">
        <f t="shared" si="32"/>
        <v>0</v>
      </c>
      <c r="AJ19" s="220">
        <f t="shared" si="33"/>
        <v>16.3566</v>
      </c>
      <c r="AK19" s="220">
        <f t="shared" si="34"/>
        <v>15.517800000000001</v>
      </c>
      <c r="AL19" s="220">
        <f t="shared" si="35"/>
        <v>48.04977777777772</v>
      </c>
      <c r="AM19" s="220">
        <f t="shared" si="36"/>
        <v>34.794666666666679</v>
      </c>
      <c r="AN19" s="220">
        <f t="shared" si="37"/>
        <v>32.102222222222224</v>
      </c>
      <c r="AO19" s="220">
        <f t="shared" si="38"/>
        <v>44.735999999999997</v>
      </c>
      <c r="AP19" s="220">
        <f t="shared" si="39"/>
        <v>0</v>
      </c>
      <c r="AQ19" s="220">
        <f t="shared" si="40"/>
        <v>0</v>
      </c>
      <c r="AR19" s="220">
        <f t="shared" si="41"/>
        <v>0</v>
      </c>
      <c r="AS19" s="220">
        <f t="shared" si="42"/>
        <v>102.79960000000001</v>
      </c>
      <c r="AT19" s="220">
        <f t="shared" si="43"/>
        <v>186.01750719999998</v>
      </c>
      <c r="AU19" s="220">
        <f t="shared" si="44"/>
        <v>0</v>
      </c>
      <c r="AV19" s="220">
        <f t="shared" si="45"/>
        <v>165.27566080000003</v>
      </c>
      <c r="AW19" s="220">
        <f t="shared" si="46"/>
        <v>194.05284488948155</v>
      </c>
      <c r="AX19" s="220">
        <f t="shared" si="47"/>
        <v>163.1</v>
      </c>
      <c r="AY19" s="220">
        <f t="shared" si="48"/>
        <v>163.1</v>
      </c>
      <c r="AZ19" s="220">
        <f t="shared" si="49"/>
        <v>163.1</v>
      </c>
      <c r="BA19" s="220">
        <f t="shared" si="50"/>
        <v>163.1</v>
      </c>
      <c r="BB19" s="219"/>
      <c r="BC19" s="219"/>
      <c r="BD19" s="220">
        <f t="shared" si="51"/>
        <v>0</v>
      </c>
      <c r="BE19" s="220">
        <f t="shared" si="52"/>
        <v>0</v>
      </c>
      <c r="BF19" s="220">
        <f t="shared" si="52"/>
        <v>0</v>
      </c>
      <c r="BG19" s="220">
        <f t="shared" si="52"/>
        <v>0</v>
      </c>
      <c r="BH19" s="220">
        <f t="shared" si="53"/>
        <v>0</v>
      </c>
      <c r="BI19" s="220">
        <f t="shared" si="53"/>
        <v>0</v>
      </c>
      <c r="BJ19" s="220">
        <f t="shared" si="53"/>
        <v>0</v>
      </c>
      <c r="BK19" s="220">
        <f t="shared" si="53"/>
        <v>0</v>
      </c>
      <c r="BL19" s="220">
        <f t="shared" si="53"/>
        <v>0</v>
      </c>
      <c r="BM19" s="220">
        <f t="shared" si="53"/>
        <v>0</v>
      </c>
      <c r="BN19" s="220">
        <f t="shared" si="53"/>
        <v>0</v>
      </c>
      <c r="BO19" s="220">
        <f t="shared" si="54"/>
        <v>0</v>
      </c>
      <c r="BP19" s="220">
        <f t="shared" si="55"/>
        <v>0</v>
      </c>
      <c r="BQ19" s="220">
        <f t="shared" si="56"/>
        <v>0</v>
      </c>
      <c r="BR19" s="220">
        <f t="shared" si="57"/>
        <v>0</v>
      </c>
      <c r="BS19" s="220">
        <f t="shared" si="58"/>
        <v>0</v>
      </c>
      <c r="BT19" s="220">
        <f t="shared" si="59"/>
        <v>0</v>
      </c>
      <c r="BU19" s="220">
        <f t="shared" si="60"/>
        <v>0</v>
      </c>
      <c r="BV19" s="220">
        <f t="shared" si="61"/>
        <v>0</v>
      </c>
      <c r="BW19" s="220">
        <f t="shared" si="62"/>
        <v>0</v>
      </c>
      <c r="BX19" s="220">
        <f t="shared" si="63"/>
        <v>0</v>
      </c>
      <c r="BZ19" s="219"/>
      <c r="CA19" s="220">
        <f t="shared" si="75"/>
        <v>0</v>
      </c>
      <c r="CB19" s="220">
        <f t="shared" si="76"/>
        <v>0</v>
      </c>
      <c r="CC19" s="220">
        <f t="shared" si="77"/>
        <v>0</v>
      </c>
      <c r="CD19" s="220">
        <f t="shared" si="78"/>
        <v>0</v>
      </c>
      <c r="CE19" s="220">
        <f t="shared" si="79"/>
        <v>0</v>
      </c>
      <c r="CF19" s="220">
        <f t="shared" si="80"/>
        <v>0</v>
      </c>
      <c r="CG19" s="220">
        <f t="shared" si="81"/>
        <v>0</v>
      </c>
      <c r="CH19" s="220">
        <f t="shared" si="82"/>
        <v>0</v>
      </c>
      <c r="CI19" s="220">
        <f t="shared" si="83"/>
        <v>0</v>
      </c>
      <c r="CJ19" s="220">
        <f t="shared" si="84"/>
        <v>0</v>
      </c>
      <c r="CK19" s="220">
        <f t="shared" si="85"/>
        <v>0</v>
      </c>
      <c r="CL19" s="220">
        <f t="shared" si="65"/>
        <v>0</v>
      </c>
      <c r="CM19" s="220">
        <f t="shared" si="66"/>
        <v>0</v>
      </c>
      <c r="CN19" s="220">
        <f t="shared" si="67"/>
        <v>0</v>
      </c>
      <c r="CO19" s="220">
        <f t="shared" si="68"/>
        <v>0</v>
      </c>
      <c r="CP19" s="220">
        <f t="shared" si="69"/>
        <v>0</v>
      </c>
      <c r="CQ19" s="220">
        <f t="shared" si="70"/>
        <v>0</v>
      </c>
      <c r="CR19" s="220">
        <f t="shared" si="71"/>
        <v>0</v>
      </c>
      <c r="CS19" s="220">
        <f t="shared" si="72"/>
        <v>0</v>
      </c>
      <c r="CT19" s="220">
        <f t="shared" si="73"/>
        <v>0</v>
      </c>
      <c r="CU19" s="220">
        <f t="shared" si="74"/>
        <v>0</v>
      </c>
    </row>
    <row r="20" spans="1:99" x14ac:dyDescent="0.35">
      <c r="A20" s="233">
        <v>5121</v>
      </c>
      <c r="B20" s="233">
        <v>20000335</v>
      </c>
      <c r="C20" s="234" t="s">
        <v>105</v>
      </c>
      <c r="D20" s="234">
        <v>50021818</v>
      </c>
      <c r="E20" s="233">
        <v>46.6</v>
      </c>
      <c r="F20" s="233" t="s">
        <v>106</v>
      </c>
      <c r="G20" s="233" t="s">
        <v>115</v>
      </c>
      <c r="H20" s="233" t="s">
        <v>70</v>
      </c>
      <c r="I20" s="235">
        <v>0</v>
      </c>
      <c r="J20" s="218"/>
      <c r="K20" s="237">
        <v>0</v>
      </c>
      <c r="L20" s="237">
        <v>0</v>
      </c>
      <c r="M20" s="237">
        <v>0</v>
      </c>
      <c r="N20" s="237">
        <v>0</v>
      </c>
      <c r="O20" s="237">
        <v>466.66666666666703</v>
      </c>
      <c r="P20" s="238">
        <v>382.222222222222</v>
      </c>
      <c r="Q20" s="238">
        <v>223.94311111111099</v>
      </c>
      <c r="R20" s="238">
        <v>257.77777777777777</v>
      </c>
      <c r="S20" s="238">
        <v>0</v>
      </c>
      <c r="T20" s="263">
        <v>0</v>
      </c>
      <c r="U20" s="262">
        <v>0</v>
      </c>
      <c r="V20" s="262">
        <v>0</v>
      </c>
      <c r="W20" s="262">
        <v>0</v>
      </c>
      <c r="X20" s="262">
        <v>800</v>
      </c>
      <c r="Y20" s="262">
        <v>6402.24</v>
      </c>
      <c r="Z20" s="262">
        <v>4136.2928000000002</v>
      </c>
      <c r="AA20" s="262">
        <v>4287.7891199999995</v>
      </c>
      <c r="AB20" s="262">
        <v>3543.1359999999986</v>
      </c>
      <c r="AC20" s="262">
        <v>2902.24</v>
      </c>
      <c r="AD20" s="262">
        <v>2902.24</v>
      </c>
      <c r="AE20" s="262">
        <v>4609.5039999999999</v>
      </c>
      <c r="AG20" s="220">
        <f t="shared" si="30"/>
        <v>0</v>
      </c>
      <c r="AH20" s="220">
        <f t="shared" si="31"/>
        <v>0</v>
      </c>
      <c r="AI20" s="220">
        <f t="shared" si="32"/>
        <v>0</v>
      </c>
      <c r="AJ20" s="220">
        <f t="shared" si="33"/>
        <v>0</v>
      </c>
      <c r="AK20" s="220">
        <f t="shared" si="34"/>
        <v>21.746666666666684</v>
      </c>
      <c r="AL20" s="220">
        <f t="shared" si="35"/>
        <v>17.811555555555547</v>
      </c>
      <c r="AM20" s="220">
        <f t="shared" si="36"/>
        <v>10.435748977777772</v>
      </c>
      <c r="AN20" s="220">
        <f t="shared" si="37"/>
        <v>12.012444444444446</v>
      </c>
      <c r="AO20" s="220">
        <f t="shared" si="38"/>
        <v>0</v>
      </c>
      <c r="AP20" s="220">
        <f t="shared" si="39"/>
        <v>0</v>
      </c>
      <c r="AQ20" s="220">
        <f t="shared" si="40"/>
        <v>0</v>
      </c>
      <c r="AR20" s="220">
        <f t="shared" si="41"/>
        <v>0</v>
      </c>
      <c r="AS20" s="220">
        <f t="shared" si="42"/>
        <v>0</v>
      </c>
      <c r="AT20" s="220">
        <f t="shared" si="43"/>
        <v>37.28</v>
      </c>
      <c r="AU20" s="220">
        <f t="shared" si="44"/>
        <v>298.34438400000005</v>
      </c>
      <c r="AV20" s="220">
        <f t="shared" si="45"/>
        <v>192.75124448000003</v>
      </c>
      <c r="AW20" s="220">
        <f t="shared" si="46"/>
        <v>199.81097299199996</v>
      </c>
      <c r="AX20" s="220">
        <f t="shared" si="47"/>
        <v>165.11013759999992</v>
      </c>
      <c r="AY20" s="220">
        <f t="shared" si="48"/>
        <v>135.244384</v>
      </c>
      <c r="AZ20" s="220">
        <f t="shared" si="49"/>
        <v>135.244384</v>
      </c>
      <c r="BA20" s="220">
        <f t="shared" si="50"/>
        <v>214.80288639999998</v>
      </c>
      <c r="BB20" s="219"/>
      <c r="BC20" s="219"/>
      <c r="BD20" s="220">
        <f t="shared" si="51"/>
        <v>0</v>
      </c>
      <c r="BE20" s="220">
        <f t="shared" si="52"/>
        <v>0</v>
      </c>
      <c r="BF20" s="220">
        <f t="shared" si="52"/>
        <v>0</v>
      </c>
      <c r="BG20" s="220">
        <f t="shared" ref="BG20:BN27" si="86">+N20*$E20/1000*$I20</f>
        <v>0</v>
      </c>
      <c r="BH20" s="220">
        <f t="shared" si="53"/>
        <v>0</v>
      </c>
      <c r="BI20" s="220">
        <f t="shared" si="53"/>
        <v>0</v>
      </c>
      <c r="BJ20" s="220">
        <f t="shared" si="53"/>
        <v>0</v>
      </c>
      <c r="BK20" s="220">
        <f t="shared" si="53"/>
        <v>0</v>
      </c>
      <c r="BL20" s="220">
        <f t="shared" si="53"/>
        <v>0</v>
      </c>
      <c r="BM20" s="220">
        <f t="shared" si="53"/>
        <v>0</v>
      </c>
      <c r="BN20" s="220">
        <f t="shared" si="53"/>
        <v>0</v>
      </c>
      <c r="BO20" s="220">
        <f t="shared" si="54"/>
        <v>0</v>
      </c>
      <c r="BP20" s="220">
        <f t="shared" si="55"/>
        <v>0</v>
      </c>
      <c r="BQ20" s="220">
        <f t="shared" si="56"/>
        <v>0</v>
      </c>
      <c r="BR20" s="220">
        <f t="shared" si="57"/>
        <v>0</v>
      </c>
      <c r="BS20" s="220">
        <f t="shared" si="58"/>
        <v>0</v>
      </c>
      <c r="BT20" s="220">
        <f t="shared" si="59"/>
        <v>0</v>
      </c>
      <c r="BU20" s="220">
        <f t="shared" si="60"/>
        <v>0</v>
      </c>
      <c r="BV20" s="220">
        <f t="shared" si="61"/>
        <v>0</v>
      </c>
      <c r="BW20" s="220">
        <f t="shared" si="62"/>
        <v>0</v>
      </c>
      <c r="BX20" s="220">
        <f t="shared" si="63"/>
        <v>0</v>
      </c>
      <c r="BZ20" s="219"/>
      <c r="CA20" s="220">
        <f t="shared" si="75"/>
        <v>0</v>
      </c>
      <c r="CB20" s="220">
        <f t="shared" si="76"/>
        <v>0</v>
      </c>
      <c r="CC20" s="220">
        <f t="shared" si="77"/>
        <v>0</v>
      </c>
      <c r="CD20" s="220">
        <f t="shared" si="78"/>
        <v>0</v>
      </c>
      <c r="CE20" s="220">
        <f t="shared" si="79"/>
        <v>0</v>
      </c>
      <c r="CF20" s="220">
        <f t="shared" si="80"/>
        <v>0</v>
      </c>
      <c r="CG20" s="220">
        <f t="shared" si="81"/>
        <v>0</v>
      </c>
      <c r="CH20" s="220">
        <f t="shared" si="82"/>
        <v>0</v>
      </c>
      <c r="CI20" s="220">
        <f t="shared" si="83"/>
        <v>0</v>
      </c>
      <c r="CJ20" s="220">
        <f t="shared" si="84"/>
        <v>0</v>
      </c>
      <c r="CK20" s="220">
        <f t="shared" si="85"/>
        <v>0</v>
      </c>
      <c r="CL20" s="220">
        <f t="shared" si="65"/>
        <v>0</v>
      </c>
      <c r="CM20" s="220">
        <f t="shared" si="66"/>
        <v>0</v>
      </c>
      <c r="CN20" s="220">
        <f t="shared" si="67"/>
        <v>0</v>
      </c>
      <c r="CO20" s="220">
        <f t="shared" si="68"/>
        <v>0</v>
      </c>
      <c r="CP20" s="220">
        <f t="shared" si="69"/>
        <v>0</v>
      </c>
      <c r="CQ20" s="220">
        <f t="shared" si="70"/>
        <v>0</v>
      </c>
      <c r="CR20" s="220">
        <f t="shared" si="71"/>
        <v>0</v>
      </c>
      <c r="CS20" s="220">
        <f t="shared" si="72"/>
        <v>0</v>
      </c>
      <c r="CT20" s="220">
        <f t="shared" si="73"/>
        <v>0</v>
      </c>
      <c r="CU20" s="220">
        <f t="shared" si="74"/>
        <v>0</v>
      </c>
    </row>
    <row r="21" spans="1:99" x14ac:dyDescent="0.35">
      <c r="A21" s="233">
        <v>5121</v>
      </c>
      <c r="B21" s="233">
        <v>20000335</v>
      </c>
      <c r="C21" s="234" t="s">
        <v>105</v>
      </c>
      <c r="D21" s="234">
        <v>50035359</v>
      </c>
      <c r="E21" s="233">
        <v>46.6</v>
      </c>
      <c r="F21" s="233" t="s">
        <v>108</v>
      </c>
      <c r="G21" s="233" t="s">
        <v>107</v>
      </c>
      <c r="H21" s="233" t="s">
        <v>70</v>
      </c>
      <c r="I21" s="235">
        <v>0</v>
      </c>
      <c r="J21" s="218"/>
      <c r="K21" s="237">
        <v>600</v>
      </c>
      <c r="L21" s="237">
        <v>801.29287951003005</v>
      </c>
      <c r="M21" s="237">
        <v>838.33333333333326</v>
      </c>
      <c r="N21" s="237">
        <v>0</v>
      </c>
      <c r="O21" s="237">
        <v>0</v>
      </c>
      <c r="P21" s="237">
        <v>0</v>
      </c>
      <c r="Q21" s="237">
        <v>0</v>
      </c>
      <c r="R21" s="237">
        <v>0</v>
      </c>
      <c r="S21" s="238">
        <v>0</v>
      </c>
      <c r="T21" s="263">
        <v>0</v>
      </c>
      <c r="U21" s="262">
        <v>0</v>
      </c>
      <c r="V21" s="262">
        <v>0</v>
      </c>
      <c r="W21" s="262">
        <v>0</v>
      </c>
      <c r="X21" s="262">
        <v>0</v>
      </c>
      <c r="Y21" s="262">
        <v>0</v>
      </c>
      <c r="Z21" s="262">
        <v>0</v>
      </c>
      <c r="AA21" s="262">
        <v>0</v>
      </c>
      <c r="AB21" s="262">
        <v>0</v>
      </c>
      <c r="AC21" s="262">
        <v>0</v>
      </c>
      <c r="AD21" s="262">
        <v>0</v>
      </c>
      <c r="AE21" s="262">
        <v>0</v>
      </c>
      <c r="AF21" s="219"/>
      <c r="AG21" s="220">
        <f t="shared" si="30"/>
        <v>27.96</v>
      </c>
      <c r="AH21" s="220">
        <f t="shared" si="31"/>
        <v>37.340248185167404</v>
      </c>
      <c r="AI21" s="220">
        <f t="shared" si="32"/>
        <v>39.066333333333326</v>
      </c>
      <c r="AJ21" s="220">
        <f t="shared" si="33"/>
        <v>0</v>
      </c>
      <c r="AK21" s="220">
        <f t="shared" si="34"/>
        <v>0</v>
      </c>
      <c r="AL21" s="220">
        <f t="shared" si="35"/>
        <v>0</v>
      </c>
      <c r="AM21" s="220">
        <f t="shared" si="36"/>
        <v>0</v>
      </c>
      <c r="AN21" s="220">
        <f t="shared" si="37"/>
        <v>0</v>
      </c>
      <c r="AO21" s="220">
        <f t="shared" si="38"/>
        <v>0</v>
      </c>
      <c r="AP21" s="220">
        <f t="shared" si="39"/>
        <v>0</v>
      </c>
      <c r="AQ21" s="220">
        <f t="shared" si="40"/>
        <v>0</v>
      </c>
      <c r="AR21" s="220">
        <f t="shared" si="41"/>
        <v>0</v>
      </c>
      <c r="AS21" s="220">
        <f t="shared" si="42"/>
        <v>0</v>
      </c>
      <c r="AT21" s="220">
        <f t="shared" si="43"/>
        <v>0</v>
      </c>
      <c r="AU21" s="220">
        <f t="shared" si="44"/>
        <v>0</v>
      </c>
      <c r="AV21" s="220">
        <f t="shared" si="45"/>
        <v>0</v>
      </c>
      <c r="AW21" s="220">
        <f t="shared" si="46"/>
        <v>0</v>
      </c>
      <c r="AX21" s="220">
        <f t="shared" si="47"/>
        <v>0</v>
      </c>
      <c r="AY21" s="220">
        <f t="shared" si="48"/>
        <v>0</v>
      </c>
      <c r="AZ21" s="220">
        <f t="shared" si="49"/>
        <v>0</v>
      </c>
      <c r="BA21" s="220">
        <f t="shared" si="50"/>
        <v>0</v>
      </c>
      <c r="BB21" s="219"/>
      <c r="BC21" s="219"/>
      <c r="BD21" s="220">
        <f t="shared" si="51"/>
        <v>0</v>
      </c>
      <c r="BE21" s="220">
        <f t="shared" ref="BE21:BF27" si="87">+L21*$E21/1000*$I21</f>
        <v>0</v>
      </c>
      <c r="BF21" s="220">
        <f t="shared" si="87"/>
        <v>0</v>
      </c>
      <c r="BG21" s="220">
        <f t="shared" si="86"/>
        <v>0</v>
      </c>
      <c r="BH21" s="220">
        <f t="shared" si="86"/>
        <v>0</v>
      </c>
      <c r="BI21" s="220">
        <f t="shared" si="86"/>
        <v>0</v>
      </c>
      <c r="BJ21" s="220">
        <f t="shared" si="86"/>
        <v>0</v>
      </c>
      <c r="BK21" s="220">
        <f t="shared" si="86"/>
        <v>0</v>
      </c>
      <c r="BL21" s="220">
        <f t="shared" si="86"/>
        <v>0</v>
      </c>
      <c r="BM21" s="220">
        <f t="shared" si="86"/>
        <v>0</v>
      </c>
      <c r="BN21" s="220">
        <f t="shared" si="86"/>
        <v>0</v>
      </c>
      <c r="BO21" s="220">
        <f t="shared" si="54"/>
        <v>0</v>
      </c>
      <c r="BP21" s="220">
        <f t="shared" si="55"/>
        <v>0</v>
      </c>
      <c r="BQ21" s="220">
        <f t="shared" si="56"/>
        <v>0</v>
      </c>
      <c r="BR21" s="220">
        <f t="shared" si="57"/>
        <v>0</v>
      </c>
      <c r="BS21" s="220">
        <f t="shared" si="58"/>
        <v>0</v>
      </c>
      <c r="BT21" s="220">
        <f t="shared" si="59"/>
        <v>0</v>
      </c>
      <c r="BU21" s="220">
        <f t="shared" si="60"/>
        <v>0</v>
      </c>
      <c r="BV21" s="220">
        <f t="shared" si="61"/>
        <v>0</v>
      </c>
      <c r="BW21" s="220">
        <f t="shared" si="62"/>
        <v>0</v>
      </c>
      <c r="BX21" s="220">
        <f t="shared" si="63"/>
        <v>0</v>
      </c>
      <c r="CA21" s="220">
        <f t="shared" si="75"/>
        <v>0</v>
      </c>
      <c r="CB21" s="220">
        <f t="shared" si="76"/>
        <v>0</v>
      </c>
      <c r="CC21" s="220">
        <f t="shared" si="77"/>
        <v>0</v>
      </c>
      <c r="CD21" s="220">
        <f t="shared" si="78"/>
        <v>0</v>
      </c>
      <c r="CE21" s="220">
        <f t="shared" si="79"/>
        <v>0</v>
      </c>
      <c r="CF21" s="220">
        <f t="shared" si="80"/>
        <v>0</v>
      </c>
      <c r="CG21" s="220">
        <f t="shared" si="81"/>
        <v>0</v>
      </c>
      <c r="CH21" s="220">
        <f t="shared" si="82"/>
        <v>0</v>
      </c>
      <c r="CI21" s="220">
        <f t="shared" si="83"/>
        <v>0</v>
      </c>
      <c r="CJ21" s="220">
        <f t="shared" si="84"/>
        <v>0</v>
      </c>
      <c r="CK21" s="220">
        <f t="shared" si="85"/>
        <v>0</v>
      </c>
      <c r="CL21" s="220">
        <f t="shared" si="65"/>
        <v>0</v>
      </c>
      <c r="CM21" s="220">
        <f t="shared" si="66"/>
        <v>0</v>
      </c>
      <c r="CN21" s="220">
        <f t="shared" si="67"/>
        <v>0</v>
      </c>
      <c r="CO21" s="220">
        <f t="shared" si="68"/>
        <v>0</v>
      </c>
      <c r="CP21" s="220">
        <f t="shared" si="69"/>
        <v>0</v>
      </c>
      <c r="CQ21" s="220">
        <f t="shared" si="70"/>
        <v>0</v>
      </c>
      <c r="CR21" s="220">
        <f t="shared" si="71"/>
        <v>0</v>
      </c>
      <c r="CS21" s="220">
        <f t="shared" si="72"/>
        <v>0</v>
      </c>
      <c r="CT21" s="220">
        <f t="shared" si="73"/>
        <v>0</v>
      </c>
      <c r="CU21" s="220">
        <f t="shared" si="74"/>
        <v>0</v>
      </c>
    </row>
    <row r="22" spans="1:99" x14ac:dyDescent="0.35">
      <c r="A22" s="233">
        <v>5121</v>
      </c>
      <c r="B22" s="233">
        <v>20000335</v>
      </c>
      <c r="C22" s="234" t="s">
        <v>105</v>
      </c>
      <c r="D22" s="234">
        <v>50034617</v>
      </c>
      <c r="E22" s="233">
        <v>46.6</v>
      </c>
      <c r="F22" s="233" t="s">
        <v>108</v>
      </c>
      <c r="G22" s="233" t="s">
        <v>107</v>
      </c>
      <c r="H22" s="233" t="s">
        <v>70</v>
      </c>
      <c r="I22" s="235">
        <v>0</v>
      </c>
      <c r="J22" s="218"/>
      <c r="K22" s="237">
        <v>0</v>
      </c>
      <c r="L22" s="237">
        <v>0</v>
      </c>
      <c r="M22" s="237">
        <v>0</v>
      </c>
      <c r="N22" s="237">
        <v>0</v>
      </c>
      <c r="O22" s="237">
        <v>0</v>
      </c>
      <c r="P22" s="237">
        <v>0</v>
      </c>
      <c r="Q22" s="237">
        <v>0</v>
      </c>
      <c r="R22" s="237">
        <v>0</v>
      </c>
      <c r="S22" s="238">
        <v>0</v>
      </c>
      <c r="T22" s="263">
        <v>1133.3333333333333</v>
      </c>
      <c r="U22" s="262">
        <v>1493.3333333333335</v>
      </c>
      <c r="V22" s="262">
        <v>1218</v>
      </c>
      <c r="W22" s="262">
        <v>0</v>
      </c>
      <c r="X22" s="262">
        <v>0</v>
      </c>
      <c r="Y22" s="262">
        <v>0</v>
      </c>
      <c r="Z22" s="262">
        <v>0</v>
      </c>
      <c r="AA22" s="262">
        <v>0</v>
      </c>
      <c r="AB22" s="262">
        <v>0</v>
      </c>
      <c r="AC22" s="262">
        <v>0</v>
      </c>
      <c r="AD22" s="262">
        <v>0</v>
      </c>
      <c r="AE22" s="262">
        <v>0</v>
      </c>
      <c r="AF22" s="219"/>
      <c r="AG22" s="220">
        <f t="shared" si="30"/>
        <v>0</v>
      </c>
      <c r="AH22" s="220">
        <f t="shared" si="31"/>
        <v>0</v>
      </c>
      <c r="AI22" s="220">
        <f t="shared" si="32"/>
        <v>0</v>
      </c>
      <c r="AJ22" s="220">
        <f t="shared" si="33"/>
        <v>0</v>
      </c>
      <c r="AK22" s="220">
        <f t="shared" si="34"/>
        <v>0</v>
      </c>
      <c r="AL22" s="220">
        <f t="shared" si="35"/>
        <v>0</v>
      </c>
      <c r="AM22" s="220">
        <f t="shared" si="36"/>
        <v>0</v>
      </c>
      <c r="AN22" s="220">
        <f t="shared" si="37"/>
        <v>0</v>
      </c>
      <c r="AO22" s="220">
        <f t="shared" si="38"/>
        <v>0</v>
      </c>
      <c r="AP22" s="220">
        <f t="shared" si="39"/>
        <v>52.813333333333325</v>
      </c>
      <c r="AQ22" s="220">
        <f t="shared" si="40"/>
        <v>69.589333333333343</v>
      </c>
      <c r="AR22" s="220">
        <f t="shared" si="41"/>
        <v>56.758800000000001</v>
      </c>
      <c r="AS22" s="220">
        <f t="shared" si="42"/>
        <v>0</v>
      </c>
      <c r="AT22" s="220">
        <f t="shared" si="43"/>
        <v>0</v>
      </c>
      <c r="AU22" s="220">
        <f t="shared" si="44"/>
        <v>0</v>
      </c>
      <c r="AV22" s="220">
        <f t="shared" si="45"/>
        <v>0</v>
      </c>
      <c r="AW22" s="220">
        <f t="shared" si="46"/>
        <v>0</v>
      </c>
      <c r="AX22" s="220">
        <f t="shared" si="47"/>
        <v>0</v>
      </c>
      <c r="AY22" s="220">
        <f t="shared" si="48"/>
        <v>0</v>
      </c>
      <c r="AZ22" s="220">
        <f t="shared" si="49"/>
        <v>0</v>
      </c>
      <c r="BA22" s="220">
        <f t="shared" si="50"/>
        <v>0</v>
      </c>
      <c r="BB22" s="219"/>
      <c r="BC22" s="219"/>
      <c r="BD22" s="220">
        <f t="shared" si="51"/>
        <v>0</v>
      </c>
      <c r="BE22" s="220">
        <f t="shared" si="87"/>
        <v>0</v>
      </c>
      <c r="BF22" s="220">
        <f t="shared" si="87"/>
        <v>0</v>
      </c>
      <c r="BG22" s="220">
        <f t="shared" si="86"/>
        <v>0</v>
      </c>
      <c r="BH22" s="220">
        <f t="shared" si="86"/>
        <v>0</v>
      </c>
      <c r="BI22" s="220">
        <f t="shared" si="86"/>
        <v>0</v>
      </c>
      <c r="BJ22" s="220">
        <f t="shared" si="86"/>
        <v>0</v>
      </c>
      <c r="BK22" s="220">
        <f t="shared" si="86"/>
        <v>0</v>
      </c>
      <c r="BL22" s="220">
        <f t="shared" si="86"/>
        <v>0</v>
      </c>
      <c r="BM22" s="220">
        <f t="shared" si="86"/>
        <v>0</v>
      </c>
      <c r="BN22" s="220">
        <f t="shared" si="86"/>
        <v>0</v>
      </c>
      <c r="BO22" s="220">
        <f t="shared" si="54"/>
        <v>0</v>
      </c>
      <c r="BP22" s="220">
        <f t="shared" si="55"/>
        <v>0</v>
      </c>
      <c r="BQ22" s="220">
        <f t="shared" si="56"/>
        <v>0</v>
      </c>
      <c r="BR22" s="220">
        <f t="shared" si="57"/>
        <v>0</v>
      </c>
      <c r="BS22" s="220">
        <f t="shared" si="58"/>
        <v>0</v>
      </c>
      <c r="BT22" s="220">
        <f t="shared" si="59"/>
        <v>0</v>
      </c>
      <c r="BU22" s="220">
        <f t="shared" si="60"/>
        <v>0</v>
      </c>
      <c r="BV22" s="220">
        <f t="shared" si="61"/>
        <v>0</v>
      </c>
      <c r="BW22" s="220">
        <f t="shared" si="62"/>
        <v>0</v>
      </c>
      <c r="BX22" s="220">
        <f t="shared" si="63"/>
        <v>0</v>
      </c>
      <c r="CA22" s="220">
        <f t="shared" si="75"/>
        <v>0</v>
      </c>
      <c r="CB22" s="220">
        <f t="shared" si="76"/>
        <v>0</v>
      </c>
      <c r="CC22" s="220">
        <f t="shared" si="77"/>
        <v>0</v>
      </c>
      <c r="CD22" s="220">
        <f t="shared" si="78"/>
        <v>0</v>
      </c>
      <c r="CE22" s="220">
        <f t="shared" si="79"/>
        <v>0</v>
      </c>
      <c r="CF22" s="220">
        <f t="shared" si="80"/>
        <v>0</v>
      </c>
      <c r="CG22" s="220">
        <f t="shared" si="81"/>
        <v>0</v>
      </c>
      <c r="CH22" s="220">
        <f t="shared" si="82"/>
        <v>0</v>
      </c>
      <c r="CI22" s="220">
        <f t="shared" si="83"/>
        <v>0</v>
      </c>
      <c r="CJ22" s="220">
        <f t="shared" si="84"/>
        <v>0</v>
      </c>
      <c r="CK22" s="220">
        <f t="shared" si="85"/>
        <v>0</v>
      </c>
      <c r="CL22" s="220">
        <f t="shared" si="65"/>
        <v>0</v>
      </c>
      <c r="CM22" s="220">
        <f t="shared" si="66"/>
        <v>0</v>
      </c>
      <c r="CN22" s="220">
        <f t="shared" si="67"/>
        <v>0</v>
      </c>
      <c r="CO22" s="220">
        <f t="shared" si="68"/>
        <v>0</v>
      </c>
      <c r="CP22" s="220">
        <f t="shared" si="69"/>
        <v>0</v>
      </c>
      <c r="CQ22" s="220">
        <f t="shared" si="70"/>
        <v>0</v>
      </c>
      <c r="CR22" s="220">
        <f t="shared" si="71"/>
        <v>0</v>
      </c>
      <c r="CS22" s="220">
        <f t="shared" si="72"/>
        <v>0</v>
      </c>
      <c r="CT22" s="220">
        <f t="shared" si="73"/>
        <v>0</v>
      </c>
      <c r="CU22" s="220">
        <f t="shared" si="74"/>
        <v>0</v>
      </c>
    </row>
    <row r="23" spans="1:99" x14ac:dyDescent="0.35">
      <c r="A23" s="233">
        <v>5121</v>
      </c>
      <c r="B23" s="233">
        <v>20000335</v>
      </c>
      <c r="C23" s="234" t="s">
        <v>105</v>
      </c>
      <c r="D23" s="234">
        <v>50035308</v>
      </c>
      <c r="E23" s="233">
        <v>46.6</v>
      </c>
      <c r="F23" s="233" t="s">
        <v>109</v>
      </c>
      <c r="G23" s="233" t="s">
        <v>107</v>
      </c>
      <c r="H23" s="233" t="s">
        <v>70</v>
      </c>
      <c r="I23" s="235">
        <v>0</v>
      </c>
      <c r="J23" s="218"/>
      <c r="K23" s="237">
        <v>0</v>
      </c>
      <c r="L23" s="237">
        <v>0</v>
      </c>
      <c r="M23" s="237">
        <v>0</v>
      </c>
      <c r="N23" s="237">
        <v>0</v>
      </c>
      <c r="O23" s="237">
        <v>0</v>
      </c>
      <c r="P23" s="237">
        <v>0</v>
      </c>
      <c r="Q23" s="237">
        <v>0</v>
      </c>
      <c r="R23" s="237">
        <v>0</v>
      </c>
      <c r="S23" s="238">
        <v>0</v>
      </c>
      <c r="T23" s="263">
        <v>0</v>
      </c>
      <c r="U23" s="262">
        <v>0</v>
      </c>
      <c r="V23" s="262">
        <v>0</v>
      </c>
      <c r="W23" s="262">
        <v>0</v>
      </c>
      <c r="X23" s="262">
        <v>0</v>
      </c>
      <c r="Y23" s="262">
        <v>0</v>
      </c>
      <c r="Z23" s="262">
        <v>0</v>
      </c>
      <c r="AA23" s="262">
        <v>0</v>
      </c>
      <c r="AB23" s="262">
        <v>0</v>
      </c>
      <c r="AC23" s="262">
        <v>0</v>
      </c>
      <c r="AD23" s="262">
        <v>0</v>
      </c>
      <c r="AE23" s="262">
        <v>0</v>
      </c>
      <c r="AF23" s="219"/>
      <c r="AG23" s="220">
        <f t="shared" si="30"/>
        <v>0</v>
      </c>
      <c r="AH23" s="220">
        <f t="shared" si="31"/>
        <v>0</v>
      </c>
      <c r="AI23" s="220">
        <f t="shared" si="32"/>
        <v>0</v>
      </c>
      <c r="AJ23" s="220">
        <f t="shared" si="33"/>
        <v>0</v>
      </c>
      <c r="AK23" s="220">
        <f t="shared" si="34"/>
        <v>0</v>
      </c>
      <c r="AL23" s="220">
        <f t="shared" si="35"/>
        <v>0</v>
      </c>
      <c r="AM23" s="220">
        <f t="shared" si="36"/>
        <v>0</v>
      </c>
      <c r="AN23" s="220">
        <f t="shared" si="37"/>
        <v>0</v>
      </c>
      <c r="AO23" s="220">
        <f t="shared" si="38"/>
        <v>0</v>
      </c>
      <c r="AP23" s="220">
        <f t="shared" si="39"/>
        <v>0</v>
      </c>
      <c r="AQ23" s="220">
        <f t="shared" si="40"/>
        <v>0</v>
      </c>
      <c r="AR23" s="220">
        <f t="shared" si="41"/>
        <v>0</v>
      </c>
      <c r="AS23" s="220">
        <f t="shared" si="42"/>
        <v>0</v>
      </c>
      <c r="AT23" s="220">
        <f t="shared" si="43"/>
        <v>0</v>
      </c>
      <c r="AU23" s="220">
        <f t="shared" si="44"/>
        <v>0</v>
      </c>
      <c r="AV23" s="220">
        <f t="shared" si="45"/>
        <v>0</v>
      </c>
      <c r="AW23" s="220">
        <f t="shared" si="46"/>
        <v>0</v>
      </c>
      <c r="AX23" s="220">
        <f t="shared" si="47"/>
        <v>0</v>
      </c>
      <c r="AY23" s="220">
        <f t="shared" si="48"/>
        <v>0</v>
      </c>
      <c r="AZ23" s="220">
        <f t="shared" si="49"/>
        <v>0</v>
      </c>
      <c r="BA23" s="220">
        <f t="shared" si="50"/>
        <v>0</v>
      </c>
      <c r="BB23" s="219"/>
      <c r="BC23" s="219"/>
      <c r="BD23" s="220">
        <f t="shared" si="51"/>
        <v>0</v>
      </c>
      <c r="BE23" s="220">
        <f t="shared" si="87"/>
        <v>0</v>
      </c>
      <c r="BF23" s="220">
        <f t="shared" si="87"/>
        <v>0</v>
      </c>
      <c r="BG23" s="220">
        <f t="shared" si="86"/>
        <v>0</v>
      </c>
      <c r="BH23" s="220">
        <f t="shared" si="86"/>
        <v>0</v>
      </c>
      <c r="BI23" s="220">
        <f t="shared" si="86"/>
        <v>0</v>
      </c>
      <c r="BJ23" s="220">
        <f t="shared" si="86"/>
        <v>0</v>
      </c>
      <c r="BK23" s="220">
        <f t="shared" si="86"/>
        <v>0</v>
      </c>
      <c r="BL23" s="220">
        <f t="shared" si="86"/>
        <v>0</v>
      </c>
      <c r="BM23" s="220">
        <f t="shared" si="86"/>
        <v>0</v>
      </c>
      <c r="BN23" s="220">
        <f t="shared" si="86"/>
        <v>0</v>
      </c>
      <c r="BO23" s="220">
        <f t="shared" si="54"/>
        <v>0</v>
      </c>
      <c r="BP23" s="220">
        <f t="shared" si="55"/>
        <v>0</v>
      </c>
      <c r="BQ23" s="220">
        <f t="shared" si="56"/>
        <v>0</v>
      </c>
      <c r="BR23" s="220">
        <f t="shared" si="57"/>
        <v>0</v>
      </c>
      <c r="BS23" s="220">
        <f t="shared" si="58"/>
        <v>0</v>
      </c>
      <c r="BT23" s="220">
        <f t="shared" si="59"/>
        <v>0</v>
      </c>
      <c r="BU23" s="220">
        <f t="shared" si="60"/>
        <v>0</v>
      </c>
      <c r="BV23" s="220">
        <f t="shared" si="61"/>
        <v>0</v>
      </c>
      <c r="BW23" s="220">
        <f t="shared" si="62"/>
        <v>0</v>
      </c>
      <c r="BX23" s="220">
        <f t="shared" si="63"/>
        <v>0</v>
      </c>
      <c r="CA23" s="220">
        <f t="shared" si="75"/>
        <v>0</v>
      </c>
      <c r="CB23" s="220">
        <f t="shared" si="76"/>
        <v>0</v>
      </c>
      <c r="CC23" s="220">
        <f t="shared" si="77"/>
        <v>0</v>
      </c>
      <c r="CD23" s="220">
        <f t="shared" si="78"/>
        <v>0</v>
      </c>
      <c r="CE23" s="220">
        <f t="shared" si="79"/>
        <v>0</v>
      </c>
      <c r="CF23" s="220">
        <f t="shared" si="80"/>
        <v>0</v>
      </c>
      <c r="CG23" s="220">
        <f t="shared" si="81"/>
        <v>0</v>
      </c>
      <c r="CH23" s="220">
        <f t="shared" si="82"/>
        <v>0</v>
      </c>
      <c r="CI23" s="220">
        <f t="shared" si="83"/>
        <v>0</v>
      </c>
      <c r="CJ23" s="220">
        <f t="shared" si="84"/>
        <v>0</v>
      </c>
      <c r="CK23" s="220">
        <f t="shared" si="85"/>
        <v>0</v>
      </c>
      <c r="CL23" s="220">
        <f t="shared" si="65"/>
        <v>0</v>
      </c>
      <c r="CM23" s="220">
        <f t="shared" si="66"/>
        <v>0</v>
      </c>
      <c r="CN23" s="220">
        <f t="shared" si="67"/>
        <v>0</v>
      </c>
      <c r="CO23" s="220">
        <f t="shared" si="68"/>
        <v>0</v>
      </c>
      <c r="CP23" s="220">
        <f t="shared" si="69"/>
        <v>0</v>
      </c>
      <c r="CQ23" s="220">
        <f t="shared" si="70"/>
        <v>0</v>
      </c>
      <c r="CR23" s="220">
        <f t="shared" si="71"/>
        <v>0</v>
      </c>
      <c r="CS23" s="220">
        <f t="shared" si="72"/>
        <v>0</v>
      </c>
      <c r="CT23" s="220">
        <f t="shared" si="73"/>
        <v>0</v>
      </c>
      <c r="CU23" s="220">
        <f t="shared" si="74"/>
        <v>0</v>
      </c>
    </row>
    <row r="24" spans="1:99" x14ac:dyDescent="0.35">
      <c r="A24" s="233">
        <v>5121</v>
      </c>
      <c r="B24" s="233">
        <v>20000335</v>
      </c>
      <c r="C24" s="234" t="s">
        <v>105</v>
      </c>
      <c r="D24" s="234">
        <v>50034612</v>
      </c>
      <c r="E24" s="233">
        <v>46.6</v>
      </c>
      <c r="F24" s="233" t="s">
        <v>109</v>
      </c>
      <c r="G24" s="233" t="s">
        <v>107</v>
      </c>
      <c r="H24" s="233" t="s">
        <v>70</v>
      </c>
      <c r="I24" s="235">
        <v>0</v>
      </c>
      <c r="J24" s="218"/>
      <c r="K24" s="237">
        <v>7000</v>
      </c>
      <c r="L24" s="237">
        <v>5968.6389308708094</v>
      </c>
      <c r="M24" s="237">
        <v>4204.4399999999996</v>
      </c>
      <c r="N24" s="237">
        <v>0</v>
      </c>
      <c r="O24" s="237">
        <v>4246</v>
      </c>
      <c r="P24" s="237">
        <v>1564</v>
      </c>
      <c r="Q24" s="237">
        <v>1959</v>
      </c>
      <c r="R24" s="237">
        <v>1500</v>
      </c>
      <c r="S24" s="238">
        <v>0</v>
      </c>
      <c r="T24" s="263">
        <v>845</v>
      </c>
      <c r="U24" s="262">
        <v>0</v>
      </c>
      <c r="V24" s="262">
        <v>569</v>
      </c>
      <c r="W24" s="262">
        <v>0</v>
      </c>
      <c r="X24" s="262">
        <v>0</v>
      </c>
      <c r="Y24" s="262">
        <v>0</v>
      </c>
      <c r="Z24" s="262">
        <v>0</v>
      </c>
      <c r="AA24" s="262">
        <v>0</v>
      </c>
      <c r="AB24" s="262">
        <v>0</v>
      </c>
      <c r="AC24" s="262">
        <v>0</v>
      </c>
      <c r="AD24" s="262">
        <v>0</v>
      </c>
      <c r="AE24" s="262">
        <v>0</v>
      </c>
      <c r="AF24" s="219"/>
      <c r="AG24" s="220">
        <f t="shared" si="30"/>
        <v>326.2</v>
      </c>
      <c r="AH24" s="220">
        <f t="shared" si="31"/>
        <v>278.13857417857974</v>
      </c>
      <c r="AI24" s="220">
        <f t="shared" si="32"/>
        <v>195.92690399999998</v>
      </c>
      <c r="AJ24" s="220">
        <f t="shared" si="33"/>
        <v>0</v>
      </c>
      <c r="AK24" s="220">
        <f t="shared" si="34"/>
        <v>197.86360000000002</v>
      </c>
      <c r="AL24" s="220">
        <f t="shared" si="35"/>
        <v>72.882400000000004</v>
      </c>
      <c r="AM24" s="220">
        <f t="shared" si="36"/>
        <v>91.289400000000015</v>
      </c>
      <c r="AN24" s="220">
        <f t="shared" si="37"/>
        <v>69.900000000000006</v>
      </c>
      <c r="AO24" s="220">
        <f t="shared" si="38"/>
        <v>0</v>
      </c>
      <c r="AP24" s="220">
        <f t="shared" si="39"/>
        <v>39.377000000000002</v>
      </c>
      <c r="AQ24" s="220">
        <f t="shared" si="40"/>
        <v>0</v>
      </c>
      <c r="AR24" s="220">
        <f t="shared" si="41"/>
        <v>26.515400000000003</v>
      </c>
      <c r="AS24" s="220">
        <f t="shared" si="42"/>
        <v>0</v>
      </c>
      <c r="AT24" s="220">
        <f t="shared" si="43"/>
        <v>0</v>
      </c>
      <c r="AU24" s="220">
        <f t="shared" si="44"/>
        <v>0</v>
      </c>
      <c r="AV24" s="220">
        <f t="shared" si="45"/>
        <v>0</v>
      </c>
      <c r="AW24" s="220">
        <f t="shared" si="46"/>
        <v>0</v>
      </c>
      <c r="AX24" s="220">
        <f t="shared" si="47"/>
        <v>0</v>
      </c>
      <c r="AY24" s="220">
        <f t="shared" si="48"/>
        <v>0</v>
      </c>
      <c r="AZ24" s="220">
        <f t="shared" si="49"/>
        <v>0</v>
      </c>
      <c r="BA24" s="220">
        <f t="shared" si="50"/>
        <v>0</v>
      </c>
      <c r="BB24" s="219"/>
      <c r="BC24" s="219"/>
      <c r="BD24" s="220">
        <f t="shared" si="51"/>
        <v>0</v>
      </c>
      <c r="BE24" s="220">
        <f t="shared" si="87"/>
        <v>0</v>
      </c>
      <c r="BF24" s="220">
        <f t="shared" si="87"/>
        <v>0</v>
      </c>
      <c r="BG24" s="220">
        <f t="shared" si="86"/>
        <v>0</v>
      </c>
      <c r="BH24" s="220">
        <f t="shared" si="86"/>
        <v>0</v>
      </c>
      <c r="BI24" s="220">
        <f t="shared" si="86"/>
        <v>0</v>
      </c>
      <c r="BJ24" s="220">
        <f t="shared" si="86"/>
        <v>0</v>
      </c>
      <c r="BK24" s="220">
        <f t="shared" si="86"/>
        <v>0</v>
      </c>
      <c r="BL24" s="220">
        <f t="shared" si="86"/>
        <v>0</v>
      </c>
      <c r="BM24" s="220">
        <f t="shared" si="86"/>
        <v>0</v>
      </c>
      <c r="BN24" s="220">
        <f t="shared" si="86"/>
        <v>0</v>
      </c>
      <c r="BO24" s="220">
        <f t="shared" si="54"/>
        <v>0</v>
      </c>
      <c r="BP24" s="220">
        <f t="shared" si="55"/>
        <v>0</v>
      </c>
      <c r="BQ24" s="220">
        <f t="shared" si="56"/>
        <v>0</v>
      </c>
      <c r="BR24" s="220">
        <f t="shared" si="57"/>
        <v>0</v>
      </c>
      <c r="BS24" s="220">
        <f t="shared" si="58"/>
        <v>0</v>
      </c>
      <c r="BT24" s="220">
        <f t="shared" si="59"/>
        <v>0</v>
      </c>
      <c r="BU24" s="220">
        <f t="shared" si="60"/>
        <v>0</v>
      </c>
      <c r="BV24" s="220">
        <f t="shared" si="61"/>
        <v>0</v>
      </c>
      <c r="BW24" s="220">
        <f t="shared" si="62"/>
        <v>0</v>
      </c>
      <c r="BX24" s="220">
        <f t="shared" si="63"/>
        <v>0</v>
      </c>
      <c r="CA24" s="220">
        <f t="shared" si="75"/>
        <v>0</v>
      </c>
      <c r="CB24" s="220">
        <f t="shared" si="76"/>
        <v>0</v>
      </c>
      <c r="CC24" s="220">
        <f t="shared" si="77"/>
        <v>0</v>
      </c>
      <c r="CD24" s="220">
        <f t="shared" si="78"/>
        <v>0</v>
      </c>
      <c r="CE24" s="220">
        <f t="shared" si="79"/>
        <v>0</v>
      </c>
      <c r="CF24" s="220">
        <f t="shared" si="80"/>
        <v>0</v>
      </c>
      <c r="CG24" s="220">
        <f t="shared" si="81"/>
        <v>0</v>
      </c>
      <c r="CH24" s="220">
        <f t="shared" si="82"/>
        <v>0</v>
      </c>
      <c r="CI24" s="220">
        <f t="shared" si="83"/>
        <v>0</v>
      </c>
      <c r="CJ24" s="220">
        <f t="shared" si="84"/>
        <v>0</v>
      </c>
      <c r="CK24" s="220">
        <f t="shared" si="85"/>
        <v>0</v>
      </c>
      <c r="CL24" s="220">
        <f t="shared" si="65"/>
        <v>0</v>
      </c>
      <c r="CM24" s="220">
        <f t="shared" si="66"/>
        <v>0</v>
      </c>
      <c r="CN24" s="220">
        <f t="shared" si="67"/>
        <v>0</v>
      </c>
      <c r="CO24" s="220">
        <f t="shared" si="68"/>
        <v>0</v>
      </c>
      <c r="CP24" s="220">
        <f t="shared" si="69"/>
        <v>0</v>
      </c>
      <c r="CQ24" s="220">
        <f t="shared" si="70"/>
        <v>0</v>
      </c>
      <c r="CR24" s="220">
        <f t="shared" si="71"/>
        <v>0</v>
      </c>
      <c r="CS24" s="220">
        <f t="shared" si="72"/>
        <v>0</v>
      </c>
      <c r="CT24" s="220">
        <f t="shared" si="73"/>
        <v>0</v>
      </c>
      <c r="CU24" s="220">
        <f t="shared" si="74"/>
        <v>0</v>
      </c>
    </row>
    <row r="25" spans="1:99" x14ac:dyDescent="0.35">
      <c r="A25" s="233">
        <v>5121</v>
      </c>
      <c r="B25" s="233">
        <v>20000335</v>
      </c>
      <c r="C25" s="234" t="s">
        <v>105</v>
      </c>
      <c r="D25" s="234">
        <v>50033718</v>
      </c>
      <c r="E25" s="233">
        <v>46.6</v>
      </c>
      <c r="F25" s="233" t="s">
        <v>109</v>
      </c>
      <c r="G25" s="233" t="s">
        <v>114</v>
      </c>
      <c r="H25" s="233" t="s">
        <v>112</v>
      </c>
      <c r="I25" s="235">
        <v>0.2</v>
      </c>
      <c r="J25" s="218"/>
      <c r="K25" s="237">
        <v>0</v>
      </c>
      <c r="L25" s="237">
        <v>0</v>
      </c>
      <c r="M25" s="237">
        <v>2000</v>
      </c>
      <c r="N25" s="237">
        <v>4082</v>
      </c>
      <c r="O25" s="237">
        <v>3411.7777777777801</v>
      </c>
      <c r="P25" s="237">
        <v>4711.5555555555502</v>
      </c>
      <c r="Q25" s="237">
        <v>2127.6666666666702</v>
      </c>
      <c r="R25" s="237">
        <v>1299.61677777778</v>
      </c>
      <c r="S25" s="238">
        <v>4915.5555555555547</v>
      </c>
      <c r="T25" s="263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Z25" s="262">
        <v>0</v>
      </c>
      <c r="AA25" s="262">
        <v>0</v>
      </c>
      <c r="AB25" s="262">
        <v>0</v>
      </c>
      <c r="AC25" s="262">
        <v>0</v>
      </c>
      <c r="AD25" s="262">
        <v>0</v>
      </c>
      <c r="AE25" s="262">
        <v>0</v>
      </c>
      <c r="AG25" s="220">
        <f t="shared" si="30"/>
        <v>0</v>
      </c>
      <c r="AH25" s="220">
        <f t="shared" si="31"/>
        <v>0</v>
      </c>
      <c r="AI25" s="220">
        <f t="shared" si="32"/>
        <v>74.56</v>
      </c>
      <c r="AJ25" s="220">
        <f t="shared" si="33"/>
        <v>152.17696000000001</v>
      </c>
      <c r="AK25" s="220">
        <f t="shared" si="34"/>
        <v>127.19107555555564</v>
      </c>
      <c r="AL25" s="220">
        <f t="shared" si="35"/>
        <v>175.64679111111093</v>
      </c>
      <c r="AM25" s="220">
        <f t="shared" si="36"/>
        <v>79.319413333333472</v>
      </c>
      <c r="AN25" s="220">
        <f t="shared" si="37"/>
        <v>48.449713475555647</v>
      </c>
      <c r="AO25" s="220">
        <f t="shared" si="38"/>
        <v>183.2519111111111</v>
      </c>
      <c r="AP25" s="220">
        <f t="shared" si="39"/>
        <v>0</v>
      </c>
      <c r="AQ25" s="220">
        <f t="shared" si="40"/>
        <v>0</v>
      </c>
      <c r="AR25" s="220">
        <f t="shared" si="41"/>
        <v>0</v>
      </c>
      <c r="AS25" s="220">
        <f t="shared" si="42"/>
        <v>0</v>
      </c>
      <c r="AT25" s="220">
        <f t="shared" si="43"/>
        <v>0</v>
      </c>
      <c r="AU25" s="220">
        <f t="shared" si="44"/>
        <v>0</v>
      </c>
      <c r="AV25" s="220">
        <f t="shared" si="45"/>
        <v>0</v>
      </c>
      <c r="AW25" s="220">
        <f t="shared" si="46"/>
        <v>0</v>
      </c>
      <c r="AX25" s="220">
        <f t="shared" si="47"/>
        <v>0</v>
      </c>
      <c r="AY25" s="220">
        <f t="shared" si="48"/>
        <v>0</v>
      </c>
      <c r="AZ25" s="220">
        <f t="shared" si="49"/>
        <v>0</v>
      </c>
      <c r="BA25" s="220">
        <f t="shared" si="50"/>
        <v>0</v>
      </c>
      <c r="BB25" s="219"/>
      <c r="BC25" s="219"/>
      <c r="BD25" s="220">
        <f t="shared" si="51"/>
        <v>0</v>
      </c>
      <c r="BE25" s="220">
        <f t="shared" si="87"/>
        <v>0</v>
      </c>
      <c r="BF25" s="220">
        <f t="shared" si="87"/>
        <v>18.64</v>
      </c>
      <c r="BG25" s="220">
        <f t="shared" si="86"/>
        <v>38.044240000000002</v>
      </c>
      <c r="BH25" s="220">
        <f t="shared" si="86"/>
        <v>31.797768888888911</v>
      </c>
      <c r="BI25" s="220">
        <f t="shared" si="86"/>
        <v>43.911697777777732</v>
      </c>
      <c r="BJ25" s="220">
        <f t="shared" si="86"/>
        <v>19.829853333333368</v>
      </c>
      <c r="BK25" s="220">
        <f t="shared" si="86"/>
        <v>12.112428368888912</v>
      </c>
      <c r="BL25" s="220">
        <f t="shared" si="86"/>
        <v>45.812977777777775</v>
      </c>
      <c r="BM25" s="220">
        <f t="shared" si="86"/>
        <v>0</v>
      </c>
      <c r="BN25" s="220">
        <f t="shared" si="86"/>
        <v>0</v>
      </c>
      <c r="BO25" s="220">
        <f t="shared" si="54"/>
        <v>0</v>
      </c>
      <c r="BP25" s="220">
        <f t="shared" si="55"/>
        <v>0</v>
      </c>
      <c r="BQ25" s="220">
        <f t="shared" si="56"/>
        <v>0</v>
      </c>
      <c r="BR25" s="220">
        <f t="shared" si="57"/>
        <v>0</v>
      </c>
      <c r="BS25" s="220">
        <f t="shared" si="58"/>
        <v>0</v>
      </c>
      <c r="BT25" s="220">
        <f t="shared" si="59"/>
        <v>0</v>
      </c>
      <c r="BU25" s="220">
        <f t="shared" si="60"/>
        <v>0</v>
      </c>
      <c r="BV25" s="220">
        <f t="shared" si="61"/>
        <v>0</v>
      </c>
      <c r="BW25" s="220">
        <f t="shared" si="62"/>
        <v>0</v>
      </c>
      <c r="BX25" s="220">
        <f t="shared" si="63"/>
        <v>0</v>
      </c>
      <c r="CA25" s="220">
        <f t="shared" si="75"/>
        <v>0</v>
      </c>
      <c r="CB25" s="220">
        <f t="shared" si="76"/>
        <v>0</v>
      </c>
      <c r="CC25" s="220">
        <f t="shared" si="77"/>
        <v>0</v>
      </c>
      <c r="CD25" s="220">
        <f t="shared" si="78"/>
        <v>0</v>
      </c>
      <c r="CE25" s="220">
        <f t="shared" si="79"/>
        <v>0</v>
      </c>
      <c r="CF25" s="220">
        <f t="shared" si="80"/>
        <v>0</v>
      </c>
      <c r="CG25" s="220">
        <f t="shared" si="81"/>
        <v>0</v>
      </c>
      <c r="CH25" s="220">
        <f t="shared" si="82"/>
        <v>0</v>
      </c>
      <c r="CI25" s="220">
        <f t="shared" si="83"/>
        <v>0</v>
      </c>
      <c r="CJ25" s="220">
        <f t="shared" si="84"/>
        <v>0</v>
      </c>
      <c r="CK25" s="220">
        <f t="shared" si="85"/>
        <v>0</v>
      </c>
      <c r="CL25" s="220">
        <f t="shared" si="65"/>
        <v>0</v>
      </c>
      <c r="CM25" s="220">
        <f t="shared" si="66"/>
        <v>0</v>
      </c>
      <c r="CN25" s="220">
        <f t="shared" si="67"/>
        <v>0</v>
      </c>
      <c r="CO25" s="220">
        <f t="shared" si="68"/>
        <v>0</v>
      </c>
      <c r="CP25" s="220">
        <f t="shared" si="69"/>
        <v>0</v>
      </c>
      <c r="CQ25" s="220">
        <f t="shared" si="70"/>
        <v>0</v>
      </c>
      <c r="CR25" s="220">
        <f t="shared" si="71"/>
        <v>0</v>
      </c>
      <c r="CS25" s="220">
        <f t="shared" si="72"/>
        <v>0</v>
      </c>
      <c r="CT25" s="220">
        <f t="shared" si="73"/>
        <v>0</v>
      </c>
      <c r="CU25" s="220">
        <f t="shared" si="74"/>
        <v>0</v>
      </c>
    </row>
    <row r="26" spans="1:99" x14ac:dyDescent="0.35">
      <c r="A26" s="233">
        <v>5121</v>
      </c>
      <c r="B26" s="233">
        <v>20000335</v>
      </c>
      <c r="C26" s="234" t="s">
        <v>105</v>
      </c>
      <c r="D26" s="234">
        <v>50032583</v>
      </c>
      <c r="E26" s="233">
        <v>54.7</v>
      </c>
      <c r="F26" s="233" t="s">
        <v>106</v>
      </c>
      <c r="G26" s="233" t="s">
        <v>107</v>
      </c>
      <c r="H26" s="233" t="s">
        <v>70</v>
      </c>
      <c r="I26" s="235">
        <v>0</v>
      </c>
      <c r="J26" s="218"/>
      <c r="K26" s="237">
        <v>0</v>
      </c>
      <c r="L26" s="237">
        <v>0</v>
      </c>
      <c r="M26" s="237">
        <v>1431.1111111111111</v>
      </c>
      <c r="N26" s="237">
        <v>1729</v>
      </c>
      <c r="O26" s="237">
        <v>1106.6666666666699</v>
      </c>
      <c r="P26" s="237">
        <v>1013.33333333333</v>
      </c>
      <c r="Q26" s="237">
        <v>524.47488888888904</v>
      </c>
      <c r="R26" s="237">
        <v>502.22222222222223</v>
      </c>
      <c r="S26" s="238">
        <v>707.33055555555552</v>
      </c>
      <c r="T26" s="263">
        <v>0</v>
      </c>
      <c r="U26" s="262">
        <v>0</v>
      </c>
      <c r="V26" s="262">
        <v>0</v>
      </c>
      <c r="W26" s="262">
        <v>1055.808</v>
      </c>
      <c r="X26" s="262">
        <v>0</v>
      </c>
      <c r="Y26" s="262">
        <v>0</v>
      </c>
      <c r="Z26" s="262">
        <v>0</v>
      </c>
      <c r="AA26" s="262">
        <v>150.85333333333358</v>
      </c>
      <c r="AB26" s="262">
        <v>0</v>
      </c>
      <c r="AC26" s="262">
        <v>0</v>
      </c>
      <c r="AD26" s="262">
        <v>0</v>
      </c>
      <c r="AE26" s="262">
        <v>0</v>
      </c>
      <c r="AG26" s="220">
        <f t="shared" si="30"/>
        <v>0</v>
      </c>
      <c r="AH26" s="220">
        <f t="shared" si="31"/>
        <v>0</v>
      </c>
      <c r="AI26" s="220">
        <f t="shared" si="32"/>
        <v>78.281777777777776</v>
      </c>
      <c r="AJ26" s="220">
        <f t="shared" si="33"/>
        <v>94.576300000000003</v>
      </c>
      <c r="AK26" s="220">
        <f t="shared" si="34"/>
        <v>60.534666666666844</v>
      </c>
      <c r="AL26" s="220">
        <f t="shared" si="35"/>
        <v>55.429333333333155</v>
      </c>
      <c r="AM26" s="220">
        <f t="shared" si="36"/>
        <v>28.688776422222233</v>
      </c>
      <c r="AN26" s="220">
        <f t="shared" si="37"/>
        <v>27.471555555555558</v>
      </c>
      <c r="AO26" s="220">
        <f t="shared" si="38"/>
        <v>38.690981388888886</v>
      </c>
      <c r="AP26" s="220">
        <f t="shared" si="39"/>
        <v>0</v>
      </c>
      <c r="AQ26" s="220">
        <f t="shared" si="40"/>
        <v>0</v>
      </c>
      <c r="AR26" s="220">
        <f t="shared" si="41"/>
        <v>0</v>
      </c>
      <c r="AS26" s="220">
        <f t="shared" si="42"/>
        <v>57.752697599999998</v>
      </c>
      <c r="AT26" s="220">
        <f t="shared" si="43"/>
        <v>0</v>
      </c>
      <c r="AU26" s="220">
        <f t="shared" si="44"/>
        <v>0</v>
      </c>
      <c r="AV26" s="220">
        <f t="shared" si="45"/>
        <v>0</v>
      </c>
      <c r="AW26" s="220">
        <f t="shared" si="46"/>
        <v>8.2516773333333475</v>
      </c>
      <c r="AX26" s="220">
        <f t="shared" si="47"/>
        <v>0</v>
      </c>
      <c r="AY26" s="220">
        <f t="shared" si="48"/>
        <v>0</v>
      </c>
      <c r="AZ26" s="220">
        <f t="shared" si="49"/>
        <v>0</v>
      </c>
      <c r="BA26" s="220">
        <f t="shared" si="50"/>
        <v>0</v>
      </c>
      <c r="BB26" s="219"/>
      <c r="BC26" s="219"/>
      <c r="BD26" s="220">
        <f t="shared" si="51"/>
        <v>0</v>
      </c>
      <c r="BE26" s="220">
        <f t="shared" si="87"/>
        <v>0</v>
      </c>
      <c r="BF26" s="220">
        <f t="shared" si="87"/>
        <v>0</v>
      </c>
      <c r="BG26" s="220">
        <f t="shared" si="86"/>
        <v>0</v>
      </c>
      <c r="BH26" s="220">
        <f t="shared" si="86"/>
        <v>0</v>
      </c>
      <c r="BI26" s="220">
        <f t="shared" si="86"/>
        <v>0</v>
      </c>
      <c r="BJ26" s="220">
        <f t="shared" si="86"/>
        <v>0</v>
      </c>
      <c r="BK26" s="220">
        <f t="shared" si="86"/>
        <v>0</v>
      </c>
      <c r="BL26" s="220">
        <f t="shared" si="86"/>
        <v>0</v>
      </c>
      <c r="BM26" s="220">
        <f t="shared" si="86"/>
        <v>0</v>
      </c>
      <c r="BN26" s="220">
        <f t="shared" si="86"/>
        <v>0</v>
      </c>
      <c r="BO26" s="220">
        <f t="shared" si="54"/>
        <v>0</v>
      </c>
      <c r="BP26" s="220">
        <f t="shared" si="55"/>
        <v>0</v>
      </c>
      <c r="BQ26" s="220">
        <f t="shared" si="56"/>
        <v>0</v>
      </c>
      <c r="BR26" s="220">
        <f t="shared" si="57"/>
        <v>0</v>
      </c>
      <c r="BS26" s="220">
        <f t="shared" si="58"/>
        <v>0</v>
      </c>
      <c r="BT26" s="220">
        <f t="shared" si="59"/>
        <v>0</v>
      </c>
      <c r="BU26" s="220">
        <f t="shared" si="60"/>
        <v>0</v>
      </c>
      <c r="BV26" s="220">
        <f t="shared" si="61"/>
        <v>0</v>
      </c>
      <c r="BW26" s="220">
        <f t="shared" si="62"/>
        <v>0</v>
      </c>
      <c r="BX26" s="220">
        <f t="shared" si="63"/>
        <v>0</v>
      </c>
      <c r="CA26" s="220">
        <f t="shared" si="75"/>
        <v>0</v>
      </c>
      <c r="CB26" s="220">
        <f t="shared" si="76"/>
        <v>0</v>
      </c>
      <c r="CC26" s="220">
        <f t="shared" si="77"/>
        <v>0</v>
      </c>
      <c r="CD26" s="220">
        <f t="shared" si="78"/>
        <v>0</v>
      </c>
      <c r="CE26" s="220">
        <f t="shared" si="79"/>
        <v>0</v>
      </c>
      <c r="CF26" s="220">
        <f t="shared" si="80"/>
        <v>0</v>
      </c>
      <c r="CG26" s="220">
        <f t="shared" si="81"/>
        <v>0</v>
      </c>
      <c r="CH26" s="220">
        <f t="shared" si="82"/>
        <v>0</v>
      </c>
      <c r="CI26" s="220">
        <f t="shared" si="83"/>
        <v>0</v>
      </c>
      <c r="CJ26" s="220">
        <f t="shared" si="84"/>
        <v>0</v>
      </c>
      <c r="CK26" s="220">
        <f t="shared" si="85"/>
        <v>0</v>
      </c>
      <c r="CL26" s="220">
        <f t="shared" si="65"/>
        <v>0</v>
      </c>
      <c r="CM26" s="220">
        <f t="shared" si="66"/>
        <v>0</v>
      </c>
      <c r="CN26" s="220">
        <f t="shared" si="67"/>
        <v>0</v>
      </c>
      <c r="CO26" s="220">
        <f t="shared" si="68"/>
        <v>0</v>
      </c>
      <c r="CP26" s="220">
        <f t="shared" si="69"/>
        <v>0</v>
      </c>
      <c r="CQ26" s="220">
        <f t="shared" si="70"/>
        <v>0</v>
      </c>
      <c r="CR26" s="220">
        <f t="shared" si="71"/>
        <v>0</v>
      </c>
      <c r="CS26" s="220">
        <f t="shared" si="72"/>
        <v>0</v>
      </c>
      <c r="CT26" s="220">
        <f t="shared" si="73"/>
        <v>0</v>
      </c>
      <c r="CU26" s="220">
        <f t="shared" si="74"/>
        <v>0</v>
      </c>
    </row>
    <row r="27" spans="1:99" x14ac:dyDescent="0.35">
      <c r="A27" s="233">
        <v>5121</v>
      </c>
      <c r="B27" s="233">
        <v>20000335</v>
      </c>
      <c r="C27" s="234" t="s">
        <v>105</v>
      </c>
      <c r="D27" s="234">
        <v>50024497</v>
      </c>
      <c r="E27" s="233">
        <v>54.7</v>
      </c>
      <c r="F27" s="233" t="s">
        <v>106</v>
      </c>
      <c r="G27" s="233" t="s">
        <v>115</v>
      </c>
      <c r="H27" s="233" t="s">
        <v>70</v>
      </c>
      <c r="I27" s="235">
        <v>0</v>
      </c>
      <c r="K27" s="237">
        <v>0</v>
      </c>
      <c r="L27" s="237">
        <v>0</v>
      </c>
      <c r="M27" s="237">
        <v>0</v>
      </c>
      <c r="N27" s="237">
        <v>0</v>
      </c>
      <c r="O27" s="237">
        <v>0</v>
      </c>
      <c r="P27" s="237">
        <v>0</v>
      </c>
      <c r="Q27" s="237">
        <v>0</v>
      </c>
      <c r="R27" s="237">
        <v>0</v>
      </c>
      <c r="S27" s="238">
        <v>0</v>
      </c>
      <c r="T27" s="263">
        <v>35.129888888888892</v>
      </c>
      <c r="U27" s="262">
        <v>168.88888888888889</v>
      </c>
      <c r="V27" s="262">
        <v>532</v>
      </c>
      <c r="W27" s="262">
        <v>0</v>
      </c>
      <c r="X27" s="262">
        <v>703.87199999999996</v>
      </c>
      <c r="Y27" s="262">
        <v>1055.808</v>
      </c>
      <c r="Z27" s="262">
        <v>703.87199999999996</v>
      </c>
      <c r="AA27" s="262">
        <v>0</v>
      </c>
      <c r="AB27" s="262">
        <v>703.93599999999992</v>
      </c>
      <c r="AC27" s="262">
        <v>352</v>
      </c>
      <c r="AD27" s="262">
        <v>352</v>
      </c>
      <c r="AE27" s="262">
        <v>351.93599999999998</v>
      </c>
      <c r="AG27" s="220">
        <f t="shared" si="30"/>
        <v>0</v>
      </c>
      <c r="AH27" s="220">
        <f t="shared" si="31"/>
        <v>0</v>
      </c>
      <c r="AI27" s="220">
        <f t="shared" si="32"/>
        <v>0</v>
      </c>
      <c r="AJ27" s="220">
        <f t="shared" si="33"/>
        <v>0</v>
      </c>
      <c r="AK27" s="220">
        <f t="shared" si="34"/>
        <v>0</v>
      </c>
      <c r="AL27" s="220">
        <f t="shared" si="35"/>
        <v>0</v>
      </c>
      <c r="AM27" s="220">
        <f t="shared" si="36"/>
        <v>0</v>
      </c>
      <c r="AN27" s="220">
        <f t="shared" si="37"/>
        <v>0</v>
      </c>
      <c r="AO27" s="220">
        <f t="shared" si="38"/>
        <v>0</v>
      </c>
      <c r="AP27" s="220">
        <f t="shared" si="39"/>
        <v>1.9216049222222225</v>
      </c>
      <c r="AQ27" s="220">
        <f t="shared" si="40"/>
        <v>9.2382222222222232</v>
      </c>
      <c r="AR27" s="220">
        <f t="shared" si="41"/>
        <v>29.1004</v>
      </c>
      <c r="AS27" s="220">
        <f t="shared" si="42"/>
        <v>0</v>
      </c>
      <c r="AT27" s="220">
        <f t="shared" si="43"/>
        <v>38.501798399999998</v>
      </c>
      <c r="AU27" s="220">
        <f t="shared" si="44"/>
        <v>57.752697599999998</v>
      </c>
      <c r="AV27" s="220">
        <f t="shared" si="45"/>
        <v>38.501798399999998</v>
      </c>
      <c r="AW27" s="220">
        <f t="shared" si="46"/>
        <v>0</v>
      </c>
      <c r="AX27" s="220">
        <f t="shared" si="47"/>
        <v>38.505299200000003</v>
      </c>
      <c r="AY27" s="220">
        <f t="shared" si="48"/>
        <v>19.2544</v>
      </c>
      <c r="AZ27" s="220">
        <f t="shared" si="49"/>
        <v>19.2544</v>
      </c>
      <c r="BA27" s="220">
        <f t="shared" si="50"/>
        <v>19.250899199999999</v>
      </c>
      <c r="BB27" s="219"/>
      <c r="BC27" s="219"/>
      <c r="BD27" s="220">
        <f t="shared" si="51"/>
        <v>0</v>
      </c>
      <c r="BE27" s="220">
        <f t="shared" si="87"/>
        <v>0</v>
      </c>
      <c r="BF27" s="220">
        <f t="shared" si="87"/>
        <v>0</v>
      </c>
      <c r="BG27" s="220">
        <f t="shared" si="86"/>
        <v>0</v>
      </c>
      <c r="BH27" s="220">
        <f t="shared" si="86"/>
        <v>0</v>
      </c>
      <c r="BI27" s="220">
        <f t="shared" si="86"/>
        <v>0</v>
      </c>
      <c r="BJ27" s="220">
        <f t="shared" si="86"/>
        <v>0</v>
      </c>
      <c r="BK27" s="220">
        <f t="shared" si="86"/>
        <v>0</v>
      </c>
      <c r="BL27" s="220">
        <f t="shared" si="86"/>
        <v>0</v>
      </c>
      <c r="BM27" s="220">
        <f t="shared" si="86"/>
        <v>0</v>
      </c>
      <c r="BN27" s="220">
        <f t="shared" si="86"/>
        <v>0</v>
      </c>
      <c r="BO27" s="220">
        <f t="shared" si="54"/>
        <v>0</v>
      </c>
      <c r="BP27" s="220">
        <f t="shared" si="55"/>
        <v>0</v>
      </c>
      <c r="BQ27" s="220">
        <f t="shared" si="56"/>
        <v>0</v>
      </c>
      <c r="BR27" s="220">
        <f t="shared" si="57"/>
        <v>0</v>
      </c>
      <c r="BS27" s="220">
        <f t="shared" si="58"/>
        <v>0</v>
      </c>
      <c r="BT27" s="220">
        <f t="shared" si="59"/>
        <v>0</v>
      </c>
      <c r="BU27" s="220">
        <f t="shared" si="60"/>
        <v>0</v>
      </c>
      <c r="BV27" s="220">
        <f t="shared" si="61"/>
        <v>0</v>
      </c>
      <c r="BW27" s="220">
        <f t="shared" si="62"/>
        <v>0</v>
      </c>
      <c r="BX27" s="220">
        <f t="shared" si="63"/>
        <v>0</v>
      </c>
      <c r="CA27" s="220">
        <f t="shared" si="75"/>
        <v>0</v>
      </c>
      <c r="CB27" s="220">
        <f t="shared" si="76"/>
        <v>0</v>
      </c>
      <c r="CC27" s="220">
        <f t="shared" si="77"/>
        <v>0</v>
      </c>
      <c r="CD27" s="220">
        <f t="shared" si="78"/>
        <v>0</v>
      </c>
      <c r="CE27" s="220">
        <f t="shared" si="79"/>
        <v>0</v>
      </c>
      <c r="CF27" s="220">
        <f t="shared" si="80"/>
        <v>0</v>
      </c>
      <c r="CG27" s="220">
        <f t="shared" si="81"/>
        <v>0</v>
      </c>
      <c r="CH27" s="220">
        <f t="shared" si="82"/>
        <v>0</v>
      </c>
      <c r="CI27" s="220">
        <f t="shared" si="83"/>
        <v>0</v>
      </c>
      <c r="CJ27" s="220">
        <f t="shared" si="84"/>
        <v>0</v>
      </c>
      <c r="CK27" s="220">
        <f t="shared" si="85"/>
        <v>0</v>
      </c>
      <c r="CL27" s="220">
        <f t="shared" si="65"/>
        <v>0</v>
      </c>
      <c r="CM27" s="220">
        <f t="shared" si="66"/>
        <v>0</v>
      </c>
      <c r="CN27" s="220">
        <f t="shared" si="67"/>
        <v>0</v>
      </c>
      <c r="CO27" s="220">
        <f t="shared" si="68"/>
        <v>0</v>
      </c>
      <c r="CP27" s="220">
        <f t="shared" si="69"/>
        <v>0</v>
      </c>
      <c r="CQ27" s="220">
        <f t="shared" si="70"/>
        <v>0</v>
      </c>
      <c r="CR27" s="220">
        <f t="shared" si="71"/>
        <v>0</v>
      </c>
      <c r="CS27" s="220">
        <f t="shared" si="72"/>
        <v>0</v>
      </c>
      <c r="CT27" s="220">
        <f t="shared" si="73"/>
        <v>0</v>
      </c>
      <c r="CU27" s="220">
        <f t="shared" si="74"/>
        <v>0</v>
      </c>
    </row>
    <row r="28" spans="1:99" x14ac:dyDescent="0.35">
      <c r="A28" s="233">
        <v>5121</v>
      </c>
      <c r="B28" s="233">
        <v>20000335</v>
      </c>
      <c r="C28" s="234" t="s">
        <v>105</v>
      </c>
      <c r="D28" s="234">
        <v>50032584</v>
      </c>
      <c r="E28" s="233">
        <v>54.7</v>
      </c>
      <c r="F28" s="233" t="s">
        <v>109</v>
      </c>
      <c r="G28" s="233" t="s">
        <v>107</v>
      </c>
      <c r="H28" s="233" t="s">
        <v>70</v>
      </c>
      <c r="I28" s="235">
        <v>0</v>
      </c>
      <c r="J28" s="218"/>
      <c r="K28" s="238">
        <v>142</v>
      </c>
      <c r="L28" s="238">
        <v>0</v>
      </c>
      <c r="M28" s="238">
        <v>0</v>
      </c>
      <c r="N28" s="238">
        <v>0</v>
      </c>
      <c r="O28" s="237">
        <v>0</v>
      </c>
      <c r="P28" s="237">
        <v>0</v>
      </c>
      <c r="Q28" s="237">
        <v>0</v>
      </c>
      <c r="R28" s="237">
        <v>0</v>
      </c>
      <c r="S28" s="238">
        <v>0</v>
      </c>
      <c r="T28" s="263">
        <v>0</v>
      </c>
      <c r="U28" s="262">
        <v>0</v>
      </c>
      <c r="V28" s="262">
        <v>0</v>
      </c>
      <c r="W28" s="262">
        <v>0</v>
      </c>
      <c r="X28" s="262">
        <v>0</v>
      </c>
      <c r="Y28" s="262">
        <v>0</v>
      </c>
      <c r="Z28" s="262">
        <v>0</v>
      </c>
      <c r="AA28" s="262">
        <v>0</v>
      </c>
      <c r="AB28" s="262">
        <v>0</v>
      </c>
      <c r="AC28" s="262">
        <v>0</v>
      </c>
      <c r="AD28" s="262">
        <v>0</v>
      </c>
      <c r="AE28" s="262">
        <v>0</v>
      </c>
      <c r="AG28" s="220">
        <f t="shared" si="30"/>
        <v>7.7674000000000003</v>
      </c>
      <c r="AH28" s="220">
        <f t="shared" si="31"/>
        <v>0</v>
      </c>
      <c r="AI28" s="220">
        <f t="shared" si="32"/>
        <v>0</v>
      </c>
      <c r="AJ28" s="220">
        <f t="shared" si="33"/>
        <v>0</v>
      </c>
      <c r="AK28" s="220">
        <f t="shared" si="34"/>
        <v>0</v>
      </c>
      <c r="AL28" s="220">
        <f t="shared" si="35"/>
        <v>0</v>
      </c>
      <c r="AM28" s="220">
        <f t="shared" si="36"/>
        <v>0</v>
      </c>
      <c r="AN28" s="220">
        <f t="shared" si="37"/>
        <v>0</v>
      </c>
      <c r="AO28" s="220">
        <f t="shared" si="38"/>
        <v>0</v>
      </c>
      <c r="AP28" s="220">
        <f t="shared" si="39"/>
        <v>0</v>
      </c>
      <c r="AQ28" s="220">
        <f t="shared" si="40"/>
        <v>0</v>
      </c>
      <c r="AR28" s="220">
        <f t="shared" si="41"/>
        <v>0</v>
      </c>
      <c r="AS28" s="220">
        <f t="shared" si="42"/>
        <v>0</v>
      </c>
      <c r="AT28" s="220">
        <f t="shared" si="43"/>
        <v>0</v>
      </c>
      <c r="AU28" s="220">
        <f t="shared" si="44"/>
        <v>0</v>
      </c>
      <c r="AV28" s="220">
        <f t="shared" si="45"/>
        <v>0</v>
      </c>
      <c r="AW28" s="220">
        <f t="shared" si="46"/>
        <v>0</v>
      </c>
      <c r="AX28" s="220">
        <f t="shared" si="47"/>
        <v>0</v>
      </c>
      <c r="AY28" s="220">
        <f t="shared" si="48"/>
        <v>0</v>
      </c>
      <c r="AZ28" s="220">
        <f t="shared" si="49"/>
        <v>0</v>
      </c>
      <c r="BA28" s="220">
        <f t="shared" si="50"/>
        <v>0</v>
      </c>
      <c r="BB28" s="219"/>
      <c r="BC28" s="219"/>
      <c r="BD28" s="220">
        <f t="shared" ref="BD28:BD79" si="88">+K28*$E28/1000*$I28</f>
        <v>0</v>
      </c>
      <c r="BE28" s="220">
        <f t="shared" ref="BE28:BE79" si="89">+L28*$E28/1000*$I28</f>
        <v>0</v>
      </c>
      <c r="BF28" s="220">
        <f t="shared" ref="BF28:BF79" si="90">+M28*$E28/1000*$I28</f>
        <v>0</v>
      </c>
      <c r="BG28" s="220">
        <f t="shared" ref="BG28:BG79" si="91">+N28*$E28/1000*$I28</f>
        <v>0</v>
      </c>
      <c r="BH28" s="220">
        <f t="shared" ref="BH28:BH79" si="92">+O28*$E28/1000*$I28</f>
        <v>0</v>
      </c>
      <c r="BI28" s="220">
        <f t="shared" ref="BI28:BI79" si="93">+P28*$E28/1000*$I28</f>
        <v>0</v>
      </c>
      <c r="BJ28" s="220">
        <f t="shared" ref="BJ28:BJ79" si="94">+Q28*$E28/1000*$I28</f>
        <v>0</v>
      </c>
      <c r="BK28" s="220">
        <f t="shared" ref="BK28:BK79" si="95">+R28*$E28/1000*$I28</f>
        <v>0</v>
      </c>
      <c r="BL28" s="220">
        <f t="shared" ref="BL28:BL79" si="96">+S28*$E28/1000*$I28</f>
        <v>0</v>
      </c>
      <c r="BM28" s="220">
        <f t="shared" ref="BM28:BM79" si="97">+T28*$E28/1000*$I28</f>
        <v>0</v>
      </c>
      <c r="BN28" s="220">
        <f t="shared" ref="BN28:BN79" si="98">+U28*$E28/1000*$I28</f>
        <v>0</v>
      </c>
      <c r="BO28" s="220">
        <f t="shared" si="54"/>
        <v>0</v>
      </c>
      <c r="BP28" s="220">
        <f t="shared" si="55"/>
        <v>0</v>
      </c>
      <c r="BQ28" s="220">
        <f t="shared" si="56"/>
        <v>0</v>
      </c>
      <c r="BR28" s="220">
        <f t="shared" si="57"/>
        <v>0</v>
      </c>
      <c r="BS28" s="220">
        <f t="shared" si="58"/>
        <v>0</v>
      </c>
      <c r="BT28" s="220">
        <f t="shared" si="59"/>
        <v>0</v>
      </c>
      <c r="BU28" s="220">
        <f t="shared" si="60"/>
        <v>0</v>
      </c>
      <c r="BV28" s="220">
        <f t="shared" si="61"/>
        <v>0</v>
      </c>
      <c r="BW28" s="220">
        <f t="shared" si="62"/>
        <v>0</v>
      </c>
      <c r="BX28" s="220">
        <f t="shared" si="63"/>
        <v>0</v>
      </c>
      <c r="CA28" s="220">
        <f t="shared" si="75"/>
        <v>0</v>
      </c>
      <c r="CB28" s="220">
        <f t="shared" si="76"/>
        <v>0</v>
      </c>
      <c r="CC28" s="220">
        <f t="shared" si="77"/>
        <v>0</v>
      </c>
      <c r="CD28" s="220">
        <f t="shared" si="78"/>
        <v>0</v>
      </c>
      <c r="CE28" s="220">
        <f t="shared" si="79"/>
        <v>0</v>
      </c>
      <c r="CF28" s="220">
        <f t="shared" si="80"/>
        <v>0</v>
      </c>
      <c r="CG28" s="220">
        <f t="shared" si="81"/>
        <v>0</v>
      </c>
      <c r="CH28" s="220">
        <f t="shared" si="82"/>
        <v>0</v>
      </c>
      <c r="CI28" s="220">
        <f t="shared" si="83"/>
        <v>0</v>
      </c>
      <c r="CJ28" s="220">
        <f t="shared" si="84"/>
        <v>0</v>
      </c>
      <c r="CK28" s="220">
        <f t="shared" si="85"/>
        <v>0</v>
      </c>
      <c r="CL28" s="220">
        <f t="shared" si="65"/>
        <v>0</v>
      </c>
      <c r="CM28" s="220">
        <f t="shared" si="66"/>
        <v>0</v>
      </c>
      <c r="CN28" s="220">
        <f t="shared" si="67"/>
        <v>0</v>
      </c>
      <c r="CO28" s="220">
        <f t="shared" si="68"/>
        <v>0</v>
      </c>
      <c r="CP28" s="220">
        <f t="shared" si="69"/>
        <v>0</v>
      </c>
      <c r="CQ28" s="220">
        <f t="shared" si="70"/>
        <v>0</v>
      </c>
      <c r="CR28" s="220">
        <f t="shared" si="71"/>
        <v>0</v>
      </c>
      <c r="CS28" s="220">
        <f t="shared" si="72"/>
        <v>0</v>
      </c>
      <c r="CT28" s="220">
        <f t="shared" si="73"/>
        <v>0</v>
      </c>
      <c r="CU28" s="220">
        <f t="shared" si="74"/>
        <v>0</v>
      </c>
    </row>
    <row r="29" spans="1:99" x14ac:dyDescent="0.35">
      <c r="A29" s="233">
        <v>5121</v>
      </c>
      <c r="B29" s="233">
        <v>20000336</v>
      </c>
      <c r="C29" s="234" t="s">
        <v>105</v>
      </c>
      <c r="D29" s="234">
        <v>50032573</v>
      </c>
      <c r="E29" s="233">
        <v>37.200000000000003</v>
      </c>
      <c r="F29" s="233" t="s">
        <v>106</v>
      </c>
      <c r="G29" s="233" t="s">
        <v>107</v>
      </c>
      <c r="H29" s="233" t="s">
        <v>70</v>
      </c>
      <c r="I29" s="235">
        <v>0</v>
      </c>
      <c r="K29" s="237">
        <v>0</v>
      </c>
      <c r="L29" s="237">
        <v>0</v>
      </c>
      <c r="M29" s="237">
        <v>0</v>
      </c>
      <c r="N29" s="237">
        <v>0</v>
      </c>
      <c r="O29" s="237">
        <v>0</v>
      </c>
      <c r="P29" s="237">
        <v>0</v>
      </c>
      <c r="Q29" s="237">
        <v>0</v>
      </c>
      <c r="R29" s="237">
        <v>0</v>
      </c>
      <c r="S29" s="238">
        <v>0</v>
      </c>
      <c r="T29" s="263">
        <v>5232.7777777777801</v>
      </c>
      <c r="U29" s="262">
        <v>5680</v>
      </c>
      <c r="V29" s="262">
        <v>4747.4800000000005</v>
      </c>
      <c r="W29" s="262">
        <v>0</v>
      </c>
      <c r="X29" s="262">
        <v>0</v>
      </c>
      <c r="Y29" s="262">
        <v>0</v>
      </c>
      <c r="Z29" s="262">
        <v>0</v>
      </c>
      <c r="AA29" s="262">
        <v>0</v>
      </c>
      <c r="AB29" s="262">
        <v>0</v>
      </c>
      <c r="AC29" s="262">
        <v>0</v>
      </c>
      <c r="AD29" s="262">
        <v>0</v>
      </c>
      <c r="AE29" s="262">
        <v>0</v>
      </c>
      <c r="AG29" s="220">
        <f t="shared" si="30"/>
        <v>0</v>
      </c>
      <c r="AH29" s="220">
        <f t="shared" si="31"/>
        <v>0</v>
      </c>
      <c r="AI29" s="220">
        <f t="shared" si="32"/>
        <v>0</v>
      </c>
      <c r="AJ29" s="220">
        <f t="shared" si="33"/>
        <v>0</v>
      </c>
      <c r="AK29" s="220">
        <f t="shared" si="34"/>
        <v>0</v>
      </c>
      <c r="AL29" s="220">
        <f t="shared" si="35"/>
        <v>0</v>
      </c>
      <c r="AM29" s="220">
        <f t="shared" si="36"/>
        <v>0</v>
      </c>
      <c r="AN29" s="220">
        <f t="shared" si="37"/>
        <v>0</v>
      </c>
      <c r="AO29" s="220">
        <f t="shared" si="38"/>
        <v>0</v>
      </c>
      <c r="AP29" s="220">
        <f t="shared" si="39"/>
        <v>194.65933333333342</v>
      </c>
      <c r="AQ29" s="220">
        <f t="shared" si="40"/>
        <v>211.29600000000002</v>
      </c>
      <c r="AR29" s="220">
        <f t="shared" si="41"/>
        <v>176.60625600000003</v>
      </c>
      <c r="AS29" s="220">
        <f t="shared" si="42"/>
        <v>0</v>
      </c>
      <c r="AT29" s="220">
        <f t="shared" si="43"/>
        <v>0</v>
      </c>
      <c r="AU29" s="220">
        <f t="shared" si="44"/>
        <v>0</v>
      </c>
      <c r="AV29" s="220">
        <f t="shared" si="45"/>
        <v>0</v>
      </c>
      <c r="AW29" s="220">
        <f t="shared" si="46"/>
        <v>0</v>
      </c>
      <c r="AX29" s="220">
        <f t="shared" si="47"/>
        <v>0</v>
      </c>
      <c r="AY29" s="220">
        <f t="shared" si="48"/>
        <v>0</v>
      </c>
      <c r="AZ29" s="220">
        <f t="shared" si="49"/>
        <v>0</v>
      </c>
      <c r="BA29" s="220">
        <f t="shared" si="50"/>
        <v>0</v>
      </c>
      <c r="BB29" s="219"/>
      <c r="BC29" s="219"/>
      <c r="BD29" s="220">
        <f t="shared" si="88"/>
        <v>0</v>
      </c>
      <c r="BE29" s="220">
        <f t="shared" si="89"/>
        <v>0</v>
      </c>
      <c r="BF29" s="220">
        <f t="shared" si="90"/>
        <v>0</v>
      </c>
      <c r="BG29" s="220">
        <f t="shared" si="91"/>
        <v>0</v>
      </c>
      <c r="BH29" s="220">
        <f t="shared" si="92"/>
        <v>0</v>
      </c>
      <c r="BI29" s="220">
        <f t="shared" si="93"/>
        <v>0</v>
      </c>
      <c r="BJ29" s="220">
        <f t="shared" si="94"/>
        <v>0</v>
      </c>
      <c r="BK29" s="220">
        <f t="shared" si="95"/>
        <v>0</v>
      </c>
      <c r="BL29" s="220">
        <f t="shared" si="96"/>
        <v>0</v>
      </c>
      <c r="BM29" s="220">
        <f t="shared" si="97"/>
        <v>0</v>
      </c>
      <c r="BN29" s="220">
        <f t="shared" si="98"/>
        <v>0</v>
      </c>
      <c r="BO29" s="220">
        <f t="shared" si="54"/>
        <v>0</v>
      </c>
      <c r="BP29" s="220">
        <f t="shared" si="55"/>
        <v>0</v>
      </c>
      <c r="BQ29" s="220">
        <f t="shared" si="56"/>
        <v>0</v>
      </c>
      <c r="BR29" s="220">
        <f t="shared" si="57"/>
        <v>0</v>
      </c>
      <c r="BS29" s="220">
        <f t="shared" si="58"/>
        <v>0</v>
      </c>
      <c r="BT29" s="220">
        <f t="shared" si="59"/>
        <v>0</v>
      </c>
      <c r="BU29" s="220">
        <f t="shared" si="60"/>
        <v>0</v>
      </c>
      <c r="BV29" s="220">
        <f t="shared" si="61"/>
        <v>0</v>
      </c>
      <c r="BW29" s="220">
        <f t="shared" si="62"/>
        <v>0</v>
      </c>
      <c r="BX29" s="220">
        <f t="shared" si="63"/>
        <v>0</v>
      </c>
      <c r="CA29" s="220">
        <f t="shared" si="75"/>
        <v>0</v>
      </c>
      <c r="CB29" s="220">
        <f t="shared" si="76"/>
        <v>0</v>
      </c>
      <c r="CC29" s="220">
        <f t="shared" si="77"/>
        <v>0</v>
      </c>
      <c r="CD29" s="220">
        <f t="shared" si="78"/>
        <v>0</v>
      </c>
      <c r="CE29" s="220">
        <f t="shared" si="79"/>
        <v>0</v>
      </c>
      <c r="CF29" s="220">
        <f t="shared" si="80"/>
        <v>0</v>
      </c>
      <c r="CG29" s="220">
        <f t="shared" si="81"/>
        <v>0</v>
      </c>
      <c r="CH29" s="220">
        <f t="shared" si="82"/>
        <v>0</v>
      </c>
      <c r="CI29" s="220">
        <f t="shared" si="83"/>
        <v>0</v>
      </c>
      <c r="CJ29" s="220">
        <f t="shared" si="84"/>
        <v>0</v>
      </c>
      <c r="CK29" s="220">
        <f t="shared" si="85"/>
        <v>0</v>
      </c>
      <c r="CL29" s="220">
        <f t="shared" si="65"/>
        <v>0</v>
      </c>
      <c r="CM29" s="220">
        <f t="shared" si="66"/>
        <v>0</v>
      </c>
      <c r="CN29" s="220">
        <f t="shared" si="67"/>
        <v>0</v>
      </c>
      <c r="CO29" s="220">
        <f t="shared" si="68"/>
        <v>0</v>
      </c>
      <c r="CP29" s="220">
        <f t="shared" si="69"/>
        <v>0</v>
      </c>
      <c r="CQ29" s="220">
        <f t="shared" si="70"/>
        <v>0</v>
      </c>
      <c r="CR29" s="220">
        <f t="shared" si="71"/>
        <v>0</v>
      </c>
      <c r="CS29" s="220">
        <f t="shared" si="72"/>
        <v>0</v>
      </c>
      <c r="CT29" s="220">
        <f t="shared" si="73"/>
        <v>0</v>
      </c>
      <c r="CU29" s="220">
        <f t="shared" si="74"/>
        <v>0</v>
      </c>
    </row>
    <row r="30" spans="1:99" x14ac:dyDescent="0.35">
      <c r="A30" s="233">
        <v>5121</v>
      </c>
      <c r="B30" s="233">
        <v>20000336</v>
      </c>
      <c r="C30" s="234" t="s">
        <v>105</v>
      </c>
      <c r="D30" s="234">
        <v>50037887</v>
      </c>
      <c r="E30" s="233">
        <v>37.200000000000003</v>
      </c>
      <c r="F30" s="233" t="s">
        <v>106</v>
      </c>
      <c r="G30" s="233" t="s">
        <v>110</v>
      </c>
      <c r="H30" s="233" t="s">
        <v>70</v>
      </c>
      <c r="I30" s="235">
        <v>0</v>
      </c>
      <c r="K30" s="237">
        <v>0</v>
      </c>
      <c r="L30" s="237">
        <v>0</v>
      </c>
      <c r="M30" s="238">
        <v>0</v>
      </c>
      <c r="N30" s="238">
        <v>0</v>
      </c>
      <c r="O30" s="238">
        <v>0</v>
      </c>
      <c r="P30" s="238">
        <v>0</v>
      </c>
      <c r="Q30" s="238">
        <v>0</v>
      </c>
      <c r="R30" s="237">
        <v>0</v>
      </c>
      <c r="S30" s="238">
        <v>0</v>
      </c>
      <c r="T30" s="263">
        <v>301.444444444444</v>
      </c>
      <c r="U30" s="262">
        <v>1053.3333333333335</v>
      </c>
      <c r="V30" s="262">
        <v>1020</v>
      </c>
      <c r="W30" s="262">
        <v>1220</v>
      </c>
      <c r="X30" s="262">
        <v>1304.192</v>
      </c>
      <c r="Y30" s="262">
        <v>1073.52</v>
      </c>
      <c r="Z30" s="262">
        <v>981.50400000000002</v>
      </c>
      <c r="AA30" s="262">
        <v>897.77777777777783</v>
      </c>
      <c r="AB30" s="262">
        <v>807.69600000000003</v>
      </c>
      <c r="AC30" s="262">
        <v>971.28</v>
      </c>
      <c r="AD30" s="262">
        <v>961.05600000000004</v>
      </c>
      <c r="AE30" s="262">
        <v>1012.176</v>
      </c>
      <c r="AG30" s="220">
        <f t="shared" si="30"/>
        <v>0</v>
      </c>
      <c r="AH30" s="220">
        <f t="shared" si="31"/>
        <v>0</v>
      </c>
      <c r="AI30" s="220">
        <f t="shared" si="32"/>
        <v>0</v>
      </c>
      <c r="AJ30" s="220">
        <f t="shared" si="33"/>
        <v>0</v>
      </c>
      <c r="AK30" s="220">
        <f t="shared" si="34"/>
        <v>0</v>
      </c>
      <c r="AL30" s="220">
        <f t="shared" si="35"/>
        <v>0</v>
      </c>
      <c r="AM30" s="220">
        <f t="shared" si="36"/>
        <v>0</v>
      </c>
      <c r="AN30" s="220">
        <f t="shared" si="37"/>
        <v>0</v>
      </c>
      <c r="AO30" s="220">
        <f t="shared" si="38"/>
        <v>0</v>
      </c>
      <c r="AP30" s="220">
        <f t="shared" si="39"/>
        <v>11.213733333333318</v>
      </c>
      <c r="AQ30" s="220">
        <f t="shared" si="40"/>
        <v>39.184000000000005</v>
      </c>
      <c r="AR30" s="220">
        <f t="shared" si="41"/>
        <v>37.944000000000003</v>
      </c>
      <c r="AS30" s="220">
        <f t="shared" si="42"/>
        <v>45.384</v>
      </c>
      <c r="AT30" s="220">
        <f t="shared" si="43"/>
        <v>48.515942400000007</v>
      </c>
      <c r="AU30" s="220">
        <f t="shared" si="44"/>
        <v>39.934944000000002</v>
      </c>
      <c r="AV30" s="220">
        <f t="shared" si="45"/>
        <v>36.511948800000006</v>
      </c>
      <c r="AW30" s="220">
        <f t="shared" si="46"/>
        <v>33.397333333333336</v>
      </c>
      <c r="AX30" s="220">
        <f t="shared" si="47"/>
        <v>30.046291200000002</v>
      </c>
      <c r="AY30" s="220">
        <f t="shared" si="48"/>
        <v>36.131616000000001</v>
      </c>
      <c r="AZ30" s="220">
        <f t="shared" si="49"/>
        <v>35.751283200000003</v>
      </c>
      <c r="BA30" s="220">
        <f t="shared" si="50"/>
        <v>37.6529472</v>
      </c>
      <c r="BB30" s="219"/>
      <c r="BC30" s="219"/>
      <c r="BD30" s="220">
        <f t="shared" si="88"/>
        <v>0</v>
      </c>
      <c r="BE30" s="220">
        <f t="shared" si="89"/>
        <v>0</v>
      </c>
      <c r="BF30" s="220">
        <f t="shared" si="90"/>
        <v>0</v>
      </c>
      <c r="BG30" s="220">
        <f t="shared" si="91"/>
        <v>0</v>
      </c>
      <c r="BH30" s="220">
        <f t="shared" si="92"/>
        <v>0</v>
      </c>
      <c r="BI30" s="220">
        <f t="shared" si="93"/>
        <v>0</v>
      </c>
      <c r="BJ30" s="220">
        <f t="shared" si="94"/>
        <v>0</v>
      </c>
      <c r="BK30" s="220">
        <f t="shared" si="95"/>
        <v>0</v>
      </c>
      <c r="BL30" s="220">
        <f t="shared" si="96"/>
        <v>0</v>
      </c>
      <c r="BM30" s="220">
        <f t="shared" si="97"/>
        <v>0</v>
      </c>
      <c r="BN30" s="220">
        <f t="shared" si="98"/>
        <v>0</v>
      </c>
      <c r="BO30" s="220">
        <f t="shared" si="54"/>
        <v>0</v>
      </c>
      <c r="BP30" s="220">
        <f t="shared" si="55"/>
        <v>0</v>
      </c>
      <c r="BQ30" s="220">
        <f t="shared" si="56"/>
        <v>0</v>
      </c>
      <c r="BR30" s="220">
        <f t="shared" si="57"/>
        <v>0</v>
      </c>
      <c r="BS30" s="220">
        <f t="shared" si="58"/>
        <v>0</v>
      </c>
      <c r="BT30" s="220">
        <f t="shared" si="59"/>
        <v>0</v>
      </c>
      <c r="BU30" s="220">
        <f t="shared" si="60"/>
        <v>0</v>
      </c>
      <c r="BV30" s="220">
        <f t="shared" si="61"/>
        <v>0</v>
      </c>
      <c r="BW30" s="220">
        <f t="shared" si="62"/>
        <v>0</v>
      </c>
      <c r="BX30" s="220">
        <f t="shared" si="63"/>
        <v>0</v>
      </c>
      <c r="CA30" s="220">
        <f t="shared" si="75"/>
        <v>0</v>
      </c>
      <c r="CB30" s="220">
        <f t="shared" si="76"/>
        <v>0</v>
      </c>
      <c r="CC30" s="220">
        <f t="shared" si="77"/>
        <v>0</v>
      </c>
      <c r="CD30" s="220">
        <f t="shared" si="78"/>
        <v>0</v>
      </c>
      <c r="CE30" s="220">
        <f t="shared" si="79"/>
        <v>0</v>
      </c>
      <c r="CF30" s="220">
        <f t="shared" si="80"/>
        <v>0</v>
      </c>
      <c r="CG30" s="220">
        <f t="shared" si="81"/>
        <v>0</v>
      </c>
      <c r="CH30" s="220">
        <f t="shared" si="82"/>
        <v>0</v>
      </c>
      <c r="CI30" s="220">
        <f t="shared" si="83"/>
        <v>0</v>
      </c>
      <c r="CJ30" s="220">
        <f t="shared" si="84"/>
        <v>0</v>
      </c>
      <c r="CK30" s="220">
        <f t="shared" si="85"/>
        <v>0</v>
      </c>
      <c r="CL30" s="220">
        <f t="shared" si="65"/>
        <v>0</v>
      </c>
      <c r="CM30" s="220">
        <f t="shared" si="66"/>
        <v>0</v>
      </c>
      <c r="CN30" s="220">
        <f t="shared" si="67"/>
        <v>0</v>
      </c>
      <c r="CO30" s="220">
        <f t="shared" si="68"/>
        <v>0</v>
      </c>
      <c r="CP30" s="220">
        <f t="shared" si="69"/>
        <v>0</v>
      </c>
      <c r="CQ30" s="220">
        <f t="shared" si="70"/>
        <v>0</v>
      </c>
      <c r="CR30" s="220">
        <f t="shared" si="71"/>
        <v>0</v>
      </c>
      <c r="CS30" s="220">
        <f t="shared" si="72"/>
        <v>0</v>
      </c>
      <c r="CT30" s="220">
        <f t="shared" si="73"/>
        <v>0</v>
      </c>
      <c r="CU30" s="220">
        <f t="shared" si="74"/>
        <v>0</v>
      </c>
    </row>
    <row r="31" spans="1:99" x14ac:dyDescent="0.35">
      <c r="A31" s="233">
        <v>5121</v>
      </c>
      <c r="B31" s="233">
        <v>20000336</v>
      </c>
      <c r="C31" s="234" t="s">
        <v>105</v>
      </c>
      <c r="D31" s="234">
        <v>50034616</v>
      </c>
      <c r="E31" s="233">
        <v>46.6</v>
      </c>
      <c r="F31" s="233" t="s">
        <v>106</v>
      </c>
      <c r="G31" s="233" t="s">
        <v>107</v>
      </c>
      <c r="H31" s="233" t="s">
        <v>70</v>
      </c>
      <c r="I31" s="235">
        <v>0</v>
      </c>
      <c r="K31" s="238">
        <v>0</v>
      </c>
      <c r="L31" s="237">
        <v>0</v>
      </c>
      <c r="M31" s="238">
        <v>0</v>
      </c>
      <c r="N31" s="238">
        <v>0</v>
      </c>
      <c r="O31" s="238">
        <v>0</v>
      </c>
      <c r="P31" s="238">
        <v>0</v>
      </c>
      <c r="Q31" s="238">
        <v>0</v>
      </c>
      <c r="R31" s="237">
        <v>0</v>
      </c>
      <c r="S31" s="238">
        <v>0</v>
      </c>
      <c r="T31" s="263">
        <v>0</v>
      </c>
      <c r="U31" s="262">
        <v>0</v>
      </c>
      <c r="V31" s="262">
        <v>0</v>
      </c>
      <c r="W31" s="262">
        <v>389.61599999999999</v>
      </c>
      <c r="X31" s="262">
        <v>0</v>
      </c>
      <c r="Y31" s="262">
        <v>0</v>
      </c>
      <c r="Z31" s="262">
        <v>0</v>
      </c>
      <c r="AA31" s="262">
        <v>0</v>
      </c>
      <c r="AB31" s="262">
        <v>0</v>
      </c>
      <c r="AC31" s="262">
        <v>0</v>
      </c>
      <c r="AD31" s="262">
        <v>0</v>
      </c>
      <c r="AE31" s="262">
        <v>0</v>
      </c>
      <c r="AG31" s="220">
        <f t="shared" si="30"/>
        <v>0</v>
      </c>
      <c r="AH31" s="220">
        <f t="shared" si="31"/>
        <v>0</v>
      </c>
      <c r="AI31" s="220">
        <f t="shared" si="32"/>
        <v>0</v>
      </c>
      <c r="AJ31" s="220">
        <f t="shared" si="33"/>
        <v>0</v>
      </c>
      <c r="AK31" s="220">
        <f t="shared" si="34"/>
        <v>0</v>
      </c>
      <c r="AL31" s="220">
        <f t="shared" si="35"/>
        <v>0</v>
      </c>
      <c r="AM31" s="220">
        <f t="shared" si="36"/>
        <v>0</v>
      </c>
      <c r="AN31" s="220">
        <f t="shared" si="37"/>
        <v>0</v>
      </c>
      <c r="AO31" s="220">
        <f t="shared" si="38"/>
        <v>0</v>
      </c>
      <c r="AP31" s="220">
        <f t="shared" si="39"/>
        <v>0</v>
      </c>
      <c r="AQ31" s="220">
        <f t="shared" si="40"/>
        <v>0</v>
      </c>
      <c r="AR31" s="220">
        <f t="shared" si="41"/>
        <v>0</v>
      </c>
      <c r="AS31" s="220">
        <f t="shared" si="42"/>
        <v>18.1561056</v>
      </c>
      <c r="AT31" s="220">
        <f t="shared" si="43"/>
        <v>0</v>
      </c>
      <c r="AU31" s="220">
        <f t="shared" si="44"/>
        <v>0</v>
      </c>
      <c r="AV31" s="220">
        <f t="shared" si="45"/>
        <v>0</v>
      </c>
      <c r="AW31" s="220">
        <f t="shared" si="46"/>
        <v>0</v>
      </c>
      <c r="AX31" s="220">
        <f t="shared" si="47"/>
        <v>0</v>
      </c>
      <c r="AY31" s="220">
        <f t="shared" si="48"/>
        <v>0</v>
      </c>
      <c r="AZ31" s="220">
        <f t="shared" si="49"/>
        <v>0</v>
      </c>
      <c r="BA31" s="220">
        <f t="shared" si="50"/>
        <v>0</v>
      </c>
      <c r="BB31" s="219"/>
      <c r="BC31" s="219"/>
      <c r="BD31" s="220">
        <f t="shared" si="88"/>
        <v>0</v>
      </c>
      <c r="BE31" s="220">
        <f t="shared" si="89"/>
        <v>0</v>
      </c>
      <c r="BF31" s="220">
        <f t="shared" si="90"/>
        <v>0</v>
      </c>
      <c r="BG31" s="220">
        <f t="shared" si="91"/>
        <v>0</v>
      </c>
      <c r="BH31" s="220">
        <f t="shared" si="92"/>
        <v>0</v>
      </c>
      <c r="BI31" s="220">
        <f t="shared" si="93"/>
        <v>0</v>
      </c>
      <c r="BJ31" s="220">
        <f t="shared" si="94"/>
        <v>0</v>
      </c>
      <c r="BK31" s="220">
        <f t="shared" si="95"/>
        <v>0</v>
      </c>
      <c r="BL31" s="220">
        <f t="shared" si="96"/>
        <v>0</v>
      </c>
      <c r="BM31" s="220">
        <f t="shared" si="97"/>
        <v>0</v>
      </c>
      <c r="BN31" s="220">
        <f t="shared" si="98"/>
        <v>0</v>
      </c>
      <c r="BO31" s="220">
        <f t="shared" si="54"/>
        <v>0</v>
      </c>
      <c r="BP31" s="220">
        <f t="shared" si="55"/>
        <v>0</v>
      </c>
      <c r="BQ31" s="220">
        <f t="shared" si="56"/>
        <v>0</v>
      </c>
      <c r="BR31" s="220">
        <f t="shared" si="57"/>
        <v>0</v>
      </c>
      <c r="BS31" s="220">
        <f t="shared" si="58"/>
        <v>0</v>
      </c>
      <c r="BT31" s="220">
        <f t="shared" si="59"/>
        <v>0</v>
      </c>
      <c r="BU31" s="220">
        <f t="shared" si="60"/>
        <v>0</v>
      </c>
      <c r="BV31" s="220">
        <f t="shared" si="61"/>
        <v>0</v>
      </c>
      <c r="BW31" s="220">
        <f t="shared" si="62"/>
        <v>0</v>
      </c>
      <c r="BX31" s="220">
        <f t="shared" si="63"/>
        <v>0</v>
      </c>
      <c r="CA31" s="220">
        <f t="shared" si="75"/>
        <v>0</v>
      </c>
      <c r="CB31" s="220">
        <f t="shared" si="76"/>
        <v>0</v>
      </c>
      <c r="CC31" s="220">
        <f t="shared" si="77"/>
        <v>0</v>
      </c>
      <c r="CD31" s="220">
        <f t="shared" si="78"/>
        <v>0</v>
      </c>
      <c r="CE31" s="220">
        <f t="shared" si="79"/>
        <v>0</v>
      </c>
      <c r="CF31" s="220">
        <f t="shared" si="80"/>
        <v>0</v>
      </c>
      <c r="CG31" s="220">
        <f t="shared" si="81"/>
        <v>0</v>
      </c>
      <c r="CH31" s="220">
        <f t="shared" si="82"/>
        <v>0</v>
      </c>
      <c r="CI31" s="220">
        <f t="shared" si="83"/>
        <v>0</v>
      </c>
      <c r="CJ31" s="220">
        <f t="shared" si="84"/>
        <v>0</v>
      </c>
      <c r="CK31" s="220">
        <f t="shared" si="85"/>
        <v>0</v>
      </c>
      <c r="CL31" s="220">
        <f t="shared" si="65"/>
        <v>0</v>
      </c>
      <c r="CM31" s="220">
        <f t="shared" si="66"/>
        <v>0</v>
      </c>
      <c r="CN31" s="220">
        <f t="shared" si="67"/>
        <v>0</v>
      </c>
      <c r="CO31" s="220">
        <f t="shared" si="68"/>
        <v>0</v>
      </c>
      <c r="CP31" s="220">
        <f t="shared" si="69"/>
        <v>0</v>
      </c>
      <c r="CQ31" s="220">
        <f t="shared" si="70"/>
        <v>0</v>
      </c>
      <c r="CR31" s="220">
        <f t="shared" si="71"/>
        <v>0</v>
      </c>
      <c r="CS31" s="220">
        <f t="shared" si="72"/>
        <v>0</v>
      </c>
      <c r="CT31" s="220">
        <f t="shared" si="73"/>
        <v>0</v>
      </c>
      <c r="CU31" s="220">
        <f t="shared" si="74"/>
        <v>0</v>
      </c>
    </row>
    <row r="32" spans="1:99" x14ac:dyDescent="0.35">
      <c r="A32" s="233">
        <v>5121</v>
      </c>
      <c r="B32" s="233">
        <v>20000336</v>
      </c>
      <c r="C32" s="234" t="s">
        <v>105</v>
      </c>
      <c r="D32" s="234">
        <v>50035183</v>
      </c>
      <c r="E32" s="233">
        <v>46.6</v>
      </c>
      <c r="F32" s="233" t="s">
        <v>106</v>
      </c>
      <c r="G32" s="233" t="s">
        <v>107</v>
      </c>
      <c r="H32" s="233" t="s">
        <v>70</v>
      </c>
      <c r="I32" s="235">
        <v>0</v>
      </c>
      <c r="K32" s="238">
        <v>931</v>
      </c>
      <c r="L32" s="237">
        <v>1023.0960215484138</v>
      </c>
      <c r="M32" s="238">
        <v>1454.3011111111109</v>
      </c>
      <c r="N32" s="238">
        <v>1084</v>
      </c>
      <c r="O32" s="238">
        <v>791</v>
      </c>
      <c r="P32" s="238">
        <v>0</v>
      </c>
      <c r="Q32" s="238">
        <v>0</v>
      </c>
      <c r="R32" s="237">
        <v>0</v>
      </c>
      <c r="S32" s="238">
        <v>0</v>
      </c>
      <c r="T32" s="263">
        <v>480</v>
      </c>
      <c r="U32" s="262">
        <v>0</v>
      </c>
      <c r="V32" s="262">
        <v>0</v>
      </c>
      <c r="W32" s="262">
        <v>0</v>
      </c>
      <c r="X32" s="262">
        <v>0</v>
      </c>
      <c r="Y32" s="262">
        <v>0</v>
      </c>
      <c r="Z32" s="262">
        <v>0</v>
      </c>
      <c r="AA32" s="262">
        <v>0</v>
      </c>
      <c r="AB32" s="262">
        <v>0</v>
      </c>
      <c r="AC32" s="262">
        <v>0</v>
      </c>
      <c r="AD32" s="262">
        <v>0</v>
      </c>
      <c r="AE32" s="262">
        <v>0</v>
      </c>
      <c r="AG32" s="220">
        <f t="shared" si="30"/>
        <v>43.384599999999999</v>
      </c>
      <c r="AH32" s="220">
        <f t="shared" si="31"/>
        <v>47.676274604156085</v>
      </c>
      <c r="AI32" s="220">
        <f t="shared" si="32"/>
        <v>67.770431777777773</v>
      </c>
      <c r="AJ32" s="220">
        <f t="shared" si="33"/>
        <v>50.514400000000002</v>
      </c>
      <c r="AK32" s="220">
        <f t="shared" si="34"/>
        <v>36.860599999999998</v>
      </c>
      <c r="AL32" s="220">
        <f t="shared" si="35"/>
        <v>0</v>
      </c>
      <c r="AM32" s="220">
        <f t="shared" si="36"/>
        <v>0</v>
      </c>
      <c r="AN32" s="220">
        <f t="shared" si="37"/>
        <v>0</v>
      </c>
      <c r="AO32" s="220">
        <f t="shared" si="38"/>
        <v>0</v>
      </c>
      <c r="AP32" s="220">
        <f t="shared" si="39"/>
        <v>22.367999999999999</v>
      </c>
      <c r="AQ32" s="220">
        <f t="shared" si="40"/>
        <v>0</v>
      </c>
      <c r="AR32" s="220">
        <f t="shared" si="41"/>
        <v>0</v>
      </c>
      <c r="AS32" s="220">
        <f t="shared" si="42"/>
        <v>0</v>
      </c>
      <c r="AT32" s="220">
        <f t="shared" si="43"/>
        <v>0</v>
      </c>
      <c r="AU32" s="220">
        <f t="shared" si="44"/>
        <v>0</v>
      </c>
      <c r="AV32" s="220">
        <f t="shared" si="45"/>
        <v>0</v>
      </c>
      <c r="AW32" s="220">
        <f t="shared" si="46"/>
        <v>0</v>
      </c>
      <c r="AX32" s="220">
        <f t="shared" si="47"/>
        <v>0</v>
      </c>
      <c r="AY32" s="220">
        <f t="shared" si="48"/>
        <v>0</v>
      </c>
      <c r="AZ32" s="220">
        <f t="shared" si="49"/>
        <v>0</v>
      </c>
      <c r="BA32" s="220">
        <f t="shared" si="50"/>
        <v>0</v>
      </c>
      <c r="BB32" s="219"/>
      <c r="BC32" s="219"/>
      <c r="BD32" s="220">
        <f t="shared" si="88"/>
        <v>0</v>
      </c>
      <c r="BE32" s="220">
        <f t="shared" si="89"/>
        <v>0</v>
      </c>
      <c r="BF32" s="220">
        <f t="shared" si="90"/>
        <v>0</v>
      </c>
      <c r="BG32" s="220">
        <f t="shared" si="91"/>
        <v>0</v>
      </c>
      <c r="BH32" s="220">
        <f t="shared" si="92"/>
        <v>0</v>
      </c>
      <c r="BI32" s="220">
        <f t="shared" si="93"/>
        <v>0</v>
      </c>
      <c r="BJ32" s="220">
        <f t="shared" si="94"/>
        <v>0</v>
      </c>
      <c r="BK32" s="220">
        <f t="shared" si="95"/>
        <v>0</v>
      </c>
      <c r="BL32" s="220">
        <f t="shared" si="96"/>
        <v>0</v>
      </c>
      <c r="BM32" s="220">
        <f t="shared" si="97"/>
        <v>0</v>
      </c>
      <c r="BN32" s="220">
        <f t="shared" si="98"/>
        <v>0</v>
      </c>
      <c r="BO32" s="220">
        <f t="shared" si="54"/>
        <v>0</v>
      </c>
      <c r="BP32" s="220">
        <f t="shared" si="55"/>
        <v>0</v>
      </c>
      <c r="BQ32" s="220">
        <f t="shared" si="56"/>
        <v>0</v>
      </c>
      <c r="BR32" s="220">
        <f t="shared" ref="BR32:BR55" si="99">+Y32*$E32/1000*$I32</f>
        <v>0</v>
      </c>
      <c r="BS32" s="220">
        <f t="shared" si="58"/>
        <v>0</v>
      </c>
      <c r="BT32" s="220">
        <f t="shared" si="59"/>
        <v>0</v>
      </c>
      <c r="BU32" s="220">
        <f t="shared" si="60"/>
        <v>0</v>
      </c>
      <c r="BV32" s="220">
        <f t="shared" si="61"/>
        <v>0</v>
      </c>
      <c r="BW32" s="220">
        <f t="shared" si="62"/>
        <v>0</v>
      </c>
      <c r="BX32" s="220">
        <f t="shared" si="63"/>
        <v>0</v>
      </c>
      <c r="CA32" s="220">
        <f t="shared" si="75"/>
        <v>0</v>
      </c>
      <c r="CB32" s="220">
        <f t="shared" si="76"/>
        <v>0</v>
      </c>
      <c r="CC32" s="220">
        <f t="shared" si="77"/>
        <v>0</v>
      </c>
      <c r="CD32" s="220">
        <f t="shared" si="78"/>
        <v>0</v>
      </c>
      <c r="CE32" s="220">
        <f t="shared" si="79"/>
        <v>0</v>
      </c>
      <c r="CF32" s="220">
        <f t="shared" si="80"/>
        <v>0</v>
      </c>
      <c r="CG32" s="220">
        <f t="shared" si="81"/>
        <v>0</v>
      </c>
      <c r="CH32" s="220">
        <f t="shared" si="82"/>
        <v>0</v>
      </c>
      <c r="CI32" s="220">
        <f t="shared" si="83"/>
        <v>0</v>
      </c>
      <c r="CJ32" s="220">
        <f t="shared" si="84"/>
        <v>0</v>
      </c>
      <c r="CK32" s="220">
        <f t="shared" si="85"/>
        <v>0</v>
      </c>
      <c r="CL32" s="220">
        <f t="shared" si="65"/>
        <v>0</v>
      </c>
      <c r="CM32" s="220">
        <f t="shared" si="66"/>
        <v>0</v>
      </c>
      <c r="CN32" s="220">
        <f t="shared" si="67"/>
        <v>0</v>
      </c>
      <c r="CO32" s="220">
        <f t="shared" ref="CO32:CO55" si="100">IF($C32="CERVECERIA Y MALTERIA.",Y32*$E32/1000*(1-$I32),0)</f>
        <v>0</v>
      </c>
      <c r="CP32" s="220">
        <f t="shared" si="69"/>
        <v>0</v>
      </c>
      <c r="CQ32" s="220">
        <f t="shared" si="70"/>
        <v>0</v>
      </c>
      <c r="CR32" s="220">
        <f t="shared" si="71"/>
        <v>0</v>
      </c>
      <c r="CS32" s="220">
        <f t="shared" si="72"/>
        <v>0</v>
      </c>
      <c r="CT32" s="220">
        <f t="shared" si="73"/>
        <v>0</v>
      </c>
      <c r="CU32" s="220">
        <f t="shared" si="74"/>
        <v>0</v>
      </c>
    </row>
    <row r="33" spans="1:99" x14ac:dyDescent="0.35">
      <c r="A33" s="233">
        <v>5121</v>
      </c>
      <c r="B33" s="233">
        <v>20000336</v>
      </c>
      <c r="C33" s="234" t="s">
        <v>105</v>
      </c>
      <c r="D33" s="234">
        <v>50035135</v>
      </c>
      <c r="E33" s="233">
        <v>46.6</v>
      </c>
      <c r="F33" s="233" t="s">
        <v>106</v>
      </c>
      <c r="G33" s="233" t="s">
        <v>107</v>
      </c>
      <c r="H33" s="233" t="s">
        <v>70</v>
      </c>
      <c r="I33" s="235">
        <v>0</v>
      </c>
      <c r="K33" s="237">
        <v>44</v>
      </c>
      <c r="L33" s="237">
        <v>0</v>
      </c>
      <c r="M33" s="237">
        <v>0</v>
      </c>
      <c r="N33" s="237">
        <v>0</v>
      </c>
      <c r="O33" s="237">
        <v>0</v>
      </c>
      <c r="P33" s="237">
        <v>0</v>
      </c>
      <c r="Q33" s="237">
        <v>0</v>
      </c>
      <c r="R33" s="237">
        <v>0</v>
      </c>
      <c r="S33" s="238">
        <v>0</v>
      </c>
      <c r="T33" s="263">
        <v>0</v>
      </c>
      <c r="U33" s="262">
        <v>0</v>
      </c>
      <c r="V33" s="262">
        <v>0</v>
      </c>
      <c r="W33" s="262">
        <v>0</v>
      </c>
      <c r="X33" s="262">
        <v>0</v>
      </c>
      <c r="Y33" s="262">
        <v>0</v>
      </c>
      <c r="Z33" s="262">
        <v>0</v>
      </c>
      <c r="AA33" s="262">
        <v>0</v>
      </c>
      <c r="AB33" s="262">
        <v>0</v>
      </c>
      <c r="AC33" s="262">
        <v>0</v>
      </c>
      <c r="AD33" s="262">
        <v>0</v>
      </c>
      <c r="AE33" s="262">
        <v>0</v>
      </c>
      <c r="AG33" s="220">
        <f t="shared" si="30"/>
        <v>2.0504000000000002</v>
      </c>
      <c r="AH33" s="220">
        <f t="shared" si="31"/>
        <v>0</v>
      </c>
      <c r="AI33" s="220">
        <f t="shared" si="32"/>
        <v>0</v>
      </c>
      <c r="AJ33" s="220">
        <f t="shared" si="33"/>
        <v>0</v>
      </c>
      <c r="AK33" s="220">
        <f t="shared" si="34"/>
        <v>0</v>
      </c>
      <c r="AL33" s="220">
        <f t="shared" si="35"/>
        <v>0</v>
      </c>
      <c r="AM33" s="220">
        <f t="shared" si="36"/>
        <v>0</v>
      </c>
      <c r="AN33" s="220">
        <f t="shared" si="37"/>
        <v>0</v>
      </c>
      <c r="AO33" s="220">
        <f t="shared" si="38"/>
        <v>0</v>
      </c>
      <c r="AP33" s="220">
        <f t="shared" si="39"/>
        <v>0</v>
      </c>
      <c r="AQ33" s="220">
        <f t="shared" si="40"/>
        <v>0</v>
      </c>
      <c r="AR33" s="220">
        <f t="shared" si="41"/>
        <v>0</v>
      </c>
      <c r="AS33" s="220">
        <f t="shared" si="42"/>
        <v>0</v>
      </c>
      <c r="AT33" s="220">
        <f t="shared" si="43"/>
        <v>0</v>
      </c>
      <c r="AU33" s="220">
        <f t="shared" si="44"/>
        <v>0</v>
      </c>
      <c r="AV33" s="220">
        <f t="shared" si="45"/>
        <v>0</v>
      </c>
      <c r="AW33" s="220">
        <f t="shared" si="46"/>
        <v>0</v>
      </c>
      <c r="AX33" s="220">
        <f t="shared" si="47"/>
        <v>0</v>
      </c>
      <c r="AY33" s="220">
        <f t="shared" si="48"/>
        <v>0</v>
      </c>
      <c r="AZ33" s="220">
        <f t="shared" si="49"/>
        <v>0</v>
      </c>
      <c r="BA33" s="220">
        <f t="shared" si="50"/>
        <v>0</v>
      </c>
      <c r="BB33" s="219"/>
      <c r="BC33" s="219"/>
      <c r="BD33" s="220">
        <f t="shared" si="88"/>
        <v>0</v>
      </c>
      <c r="BE33" s="220">
        <f t="shared" si="89"/>
        <v>0</v>
      </c>
      <c r="BF33" s="220">
        <f t="shared" si="90"/>
        <v>0</v>
      </c>
      <c r="BG33" s="220">
        <f t="shared" si="91"/>
        <v>0</v>
      </c>
      <c r="BH33" s="220">
        <f t="shared" si="92"/>
        <v>0</v>
      </c>
      <c r="BI33" s="220">
        <f t="shared" si="93"/>
        <v>0</v>
      </c>
      <c r="BJ33" s="220">
        <f t="shared" si="94"/>
        <v>0</v>
      </c>
      <c r="BK33" s="220">
        <f t="shared" si="95"/>
        <v>0</v>
      </c>
      <c r="BL33" s="220">
        <f t="shared" si="96"/>
        <v>0</v>
      </c>
      <c r="BM33" s="220">
        <f t="shared" si="97"/>
        <v>0</v>
      </c>
      <c r="BN33" s="220">
        <f t="shared" si="98"/>
        <v>0</v>
      </c>
      <c r="BO33" s="220">
        <f t="shared" si="54"/>
        <v>0</v>
      </c>
      <c r="BP33" s="220">
        <f t="shared" si="55"/>
        <v>0</v>
      </c>
      <c r="BQ33" s="220">
        <f t="shared" si="56"/>
        <v>0</v>
      </c>
      <c r="BR33" s="220">
        <f t="shared" si="99"/>
        <v>0</v>
      </c>
      <c r="BS33" s="220">
        <f t="shared" si="58"/>
        <v>0</v>
      </c>
      <c r="BT33" s="220">
        <f t="shared" si="59"/>
        <v>0</v>
      </c>
      <c r="BU33" s="220">
        <f t="shared" si="60"/>
        <v>0</v>
      </c>
      <c r="BV33" s="220">
        <f t="shared" si="61"/>
        <v>0</v>
      </c>
      <c r="BW33" s="220">
        <f t="shared" si="62"/>
        <v>0</v>
      </c>
      <c r="BX33" s="220">
        <f t="shared" si="63"/>
        <v>0</v>
      </c>
      <c r="CA33" s="220">
        <f t="shared" si="75"/>
        <v>0</v>
      </c>
      <c r="CB33" s="220">
        <f t="shared" si="76"/>
        <v>0</v>
      </c>
      <c r="CC33" s="220">
        <f t="shared" si="77"/>
        <v>0</v>
      </c>
      <c r="CD33" s="220">
        <f t="shared" si="78"/>
        <v>0</v>
      </c>
      <c r="CE33" s="220">
        <f t="shared" si="79"/>
        <v>0</v>
      </c>
      <c r="CF33" s="220">
        <f t="shared" si="80"/>
        <v>0</v>
      </c>
      <c r="CG33" s="220">
        <f t="shared" si="81"/>
        <v>0</v>
      </c>
      <c r="CH33" s="220">
        <f t="shared" si="82"/>
        <v>0</v>
      </c>
      <c r="CI33" s="220">
        <f t="shared" si="83"/>
        <v>0</v>
      </c>
      <c r="CJ33" s="220">
        <f t="shared" si="84"/>
        <v>0</v>
      </c>
      <c r="CK33" s="220">
        <f t="shared" si="85"/>
        <v>0</v>
      </c>
      <c r="CL33" s="220">
        <f t="shared" si="65"/>
        <v>0</v>
      </c>
      <c r="CM33" s="220">
        <f t="shared" si="66"/>
        <v>0</v>
      </c>
      <c r="CN33" s="220">
        <f t="shared" si="67"/>
        <v>0</v>
      </c>
      <c r="CO33" s="220">
        <f t="shared" si="100"/>
        <v>0</v>
      </c>
      <c r="CP33" s="220">
        <f t="shared" si="69"/>
        <v>0</v>
      </c>
      <c r="CQ33" s="220">
        <f t="shared" si="70"/>
        <v>0</v>
      </c>
      <c r="CR33" s="220">
        <f t="shared" si="71"/>
        <v>0</v>
      </c>
      <c r="CS33" s="220">
        <f t="shared" si="72"/>
        <v>0</v>
      </c>
      <c r="CT33" s="220">
        <f t="shared" si="73"/>
        <v>0</v>
      </c>
      <c r="CU33" s="220">
        <f t="shared" si="74"/>
        <v>0</v>
      </c>
    </row>
    <row r="34" spans="1:99" x14ac:dyDescent="0.35">
      <c r="A34" s="233">
        <v>5121</v>
      </c>
      <c r="B34" s="233">
        <v>20000336</v>
      </c>
      <c r="C34" s="234" t="s">
        <v>105</v>
      </c>
      <c r="D34" s="234">
        <v>50037042</v>
      </c>
      <c r="E34" s="233">
        <v>46.6</v>
      </c>
      <c r="F34" s="233" t="s">
        <v>106</v>
      </c>
      <c r="G34" s="233" t="s">
        <v>114</v>
      </c>
      <c r="H34" s="233" t="s">
        <v>112</v>
      </c>
      <c r="I34" s="235">
        <v>0.2</v>
      </c>
      <c r="K34" s="237">
        <v>0</v>
      </c>
      <c r="L34" s="237">
        <v>0</v>
      </c>
      <c r="M34" s="238">
        <v>0</v>
      </c>
      <c r="N34" s="238">
        <v>0</v>
      </c>
      <c r="O34" s="238">
        <v>0</v>
      </c>
      <c r="P34" s="238">
        <v>0</v>
      </c>
      <c r="Q34" s="238">
        <v>0</v>
      </c>
      <c r="R34" s="237">
        <v>0</v>
      </c>
      <c r="S34" s="238">
        <v>0</v>
      </c>
      <c r="T34" s="263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Z34" s="262">
        <v>0</v>
      </c>
      <c r="AA34" s="262">
        <v>0</v>
      </c>
      <c r="AB34" s="262">
        <v>0</v>
      </c>
      <c r="AC34" s="262">
        <v>0</v>
      </c>
      <c r="AD34" s="262">
        <v>0</v>
      </c>
      <c r="AE34" s="262">
        <v>0</v>
      </c>
      <c r="AG34" s="220">
        <f t="shared" si="30"/>
        <v>0</v>
      </c>
      <c r="AH34" s="220">
        <f t="shared" si="31"/>
        <v>0</v>
      </c>
      <c r="AI34" s="220">
        <f t="shared" si="32"/>
        <v>0</v>
      </c>
      <c r="AJ34" s="220">
        <f t="shared" si="33"/>
        <v>0</v>
      </c>
      <c r="AK34" s="220">
        <f t="shared" si="34"/>
        <v>0</v>
      </c>
      <c r="AL34" s="220">
        <f t="shared" si="35"/>
        <v>0</v>
      </c>
      <c r="AM34" s="220">
        <f t="shared" si="36"/>
        <v>0</v>
      </c>
      <c r="AN34" s="220">
        <f t="shared" si="37"/>
        <v>0</v>
      </c>
      <c r="AO34" s="220">
        <f t="shared" si="38"/>
        <v>0</v>
      </c>
      <c r="AP34" s="220">
        <f t="shared" si="39"/>
        <v>0</v>
      </c>
      <c r="AQ34" s="220">
        <f t="shared" si="40"/>
        <v>0</v>
      </c>
      <c r="AR34" s="220">
        <f t="shared" si="41"/>
        <v>0</v>
      </c>
      <c r="AS34" s="220">
        <f t="shared" si="42"/>
        <v>0</v>
      </c>
      <c r="AT34" s="220">
        <f t="shared" si="43"/>
        <v>0</v>
      </c>
      <c r="AU34" s="220">
        <f t="shared" si="44"/>
        <v>0</v>
      </c>
      <c r="AV34" s="220">
        <f t="shared" si="45"/>
        <v>0</v>
      </c>
      <c r="AW34" s="220">
        <f t="shared" si="46"/>
        <v>0</v>
      </c>
      <c r="AX34" s="220">
        <f t="shared" si="47"/>
        <v>0</v>
      </c>
      <c r="AY34" s="220">
        <f t="shared" si="48"/>
        <v>0</v>
      </c>
      <c r="AZ34" s="220">
        <f t="shared" si="49"/>
        <v>0</v>
      </c>
      <c r="BA34" s="220">
        <f t="shared" si="50"/>
        <v>0</v>
      </c>
      <c r="BB34" s="219"/>
      <c r="BC34" s="219"/>
      <c r="BD34" s="220">
        <f t="shared" si="88"/>
        <v>0</v>
      </c>
      <c r="BE34" s="220">
        <f t="shared" si="89"/>
        <v>0</v>
      </c>
      <c r="BF34" s="220">
        <f t="shared" si="90"/>
        <v>0</v>
      </c>
      <c r="BG34" s="220">
        <f t="shared" si="91"/>
        <v>0</v>
      </c>
      <c r="BH34" s="220">
        <f t="shared" si="92"/>
        <v>0</v>
      </c>
      <c r="BI34" s="220">
        <f t="shared" si="93"/>
        <v>0</v>
      </c>
      <c r="BJ34" s="220">
        <f t="shared" si="94"/>
        <v>0</v>
      </c>
      <c r="BK34" s="220">
        <f t="shared" si="95"/>
        <v>0</v>
      </c>
      <c r="BL34" s="220">
        <f t="shared" si="96"/>
        <v>0</v>
      </c>
      <c r="BM34" s="220">
        <f t="shared" si="97"/>
        <v>0</v>
      </c>
      <c r="BN34" s="220">
        <f t="shared" si="98"/>
        <v>0</v>
      </c>
      <c r="BO34" s="220">
        <f t="shared" si="54"/>
        <v>0</v>
      </c>
      <c r="BP34" s="220">
        <f t="shared" si="55"/>
        <v>0</v>
      </c>
      <c r="BQ34" s="220">
        <f t="shared" si="56"/>
        <v>0</v>
      </c>
      <c r="BR34" s="220">
        <f t="shared" si="99"/>
        <v>0</v>
      </c>
      <c r="BS34" s="220">
        <f t="shared" si="58"/>
        <v>0</v>
      </c>
      <c r="BT34" s="220">
        <f t="shared" si="59"/>
        <v>0</v>
      </c>
      <c r="BU34" s="220">
        <f t="shared" si="60"/>
        <v>0</v>
      </c>
      <c r="BV34" s="220">
        <f t="shared" si="61"/>
        <v>0</v>
      </c>
      <c r="BW34" s="220">
        <f t="shared" si="62"/>
        <v>0</v>
      </c>
      <c r="BX34" s="220">
        <f t="shared" si="63"/>
        <v>0</v>
      </c>
      <c r="CA34" s="220">
        <f t="shared" si="75"/>
        <v>0</v>
      </c>
      <c r="CB34" s="220">
        <f t="shared" si="76"/>
        <v>0</v>
      </c>
      <c r="CC34" s="220">
        <f t="shared" si="77"/>
        <v>0</v>
      </c>
      <c r="CD34" s="220">
        <f t="shared" si="78"/>
        <v>0</v>
      </c>
      <c r="CE34" s="220">
        <f t="shared" si="79"/>
        <v>0</v>
      </c>
      <c r="CF34" s="220">
        <f t="shared" si="80"/>
        <v>0</v>
      </c>
      <c r="CG34" s="220">
        <f t="shared" si="81"/>
        <v>0</v>
      </c>
      <c r="CH34" s="220">
        <f t="shared" si="82"/>
        <v>0</v>
      </c>
      <c r="CI34" s="220">
        <f t="shared" si="83"/>
        <v>0</v>
      </c>
      <c r="CJ34" s="220">
        <f t="shared" si="84"/>
        <v>0</v>
      </c>
      <c r="CK34" s="220">
        <f t="shared" si="85"/>
        <v>0</v>
      </c>
      <c r="CL34" s="220">
        <f t="shared" si="65"/>
        <v>0</v>
      </c>
      <c r="CM34" s="220">
        <f t="shared" si="66"/>
        <v>0</v>
      </c>
      <c r="CN34" s="220">
        <f t="shared" si="67"/>
        <v>0</v>
      </c>
      <c r="CO34" s="220">
        <f t="shared" si="100"/>
        <v>0</v>
      </c>
      <c r="CP34" s="220">
        <f t="shared" si="69"/>
        <v>0</v>
      </c>
      <c r="CQ34" s="220">
        <f t="shared" si="70"/>
        <v>0</v>
      </c>
      <c r="CR34" s="220">
        <f t="shared" si="71"/>
        <v>0</v>
      </c>
      <c r="CS34" s="220">
        <f t="shared" si="72"/>
        <v>0</v>
      </c>
      <c r="CT34" s="220">
        <f t="shared" si="73"/>
        <v>0</v>
      </c>
      <c r="CU34" s="220">
        <f t="shared" si="74"/>
        <v>0</v>
      </c>
    </row>
    <row r="35" spans="1:99" x14ac:dyDescent="0.35">
      <c r="A35" s="233">
        <v>5121</v>
      </c>
      <c r="B35" s="233">
        <v>20000336</v>
      </c>
      <c r="C35" s="234" t="s">
        <v>105</v>
      </c>
      <c r="D35" s="234">
        <v>50030381</v>
      </c>
      <c r="E35" s="233">
        <v>46.6</v>
      </c>
      <c r="F35" s="233" t="s">
        <v>106</v>
      </c>
      <c r="G35" s="233" t="s">
        <v>115</v>
      </c>
      <c r="H35" s="233" t="s">
        <v>70</v>
      </c>
      <c r="I35" s="235">
        <v>0</v>
      </c>
      <c r="K35" s="237">
        <v>345</v>
      </c>
      <c r="L35" s="237">
        <v>611.21826134596347</v>
      </c>
      <c r="M35" s="238">
        <v>684.44444444444457</v>
      </c>
      <c r="N35" s="238">
        <v>822</v>
      </c>
      <c r="O35" s="238">
        <v>684</v>
      </c>
      <c r="P35" s="238">
        <v>471.11111111111097</v>
      </c>
      <c r="Q35" s="238">
        <v>213.633444444444</v>
      </c>
      <c r="R35" s="237">
        <v>302.22222222222223</v>
      </c>
      <c r="S35" s="238">
        <v>426.66666666666674</v>
      </c>
      <c r="T35" s="263">
        <v>0</v>
      </c>
      <c r="U35" s="262">
        <v>0</v>
      </c>
      <c r="V35" s="262">
        <v>0</v>
      </c>
      <c r="W35" s="262">
        <v>0</v>
      </c>
      <c r="X35" s="262">
        <v>2434.08</v>
      </c>
      <c r="Y35" s="262">
        <v>2134.08</v>
      </c>
      <c r="Z35" s="262">
        <v>1707.2639999999999</v>
      </c>
      <c r="AA35" s="262">
        <v>1620.0000000000002</v>
      </c>
      <c r="AB35" s="262">
        <v>853.63199999999995</v>
      </c>
      <c r="AC35" s="262">
        <v>853.63199999999995</v>
      </c>
      <c r="AD35" s="262">
        <v>426.81599999999997</v>
      </c>
      <c r="AE35" s="262">
        <v>853.63199999999995</v>
      </c>
      <c r="AG35" s="220">
        <f t="shared" si="30"/>
        <v>16.077000000000002</v>
      </c>
      <c r="AH35" s="220">
        <f t="shared" si="31"/>
        <v>28.482770978721899</v>
      </c>
      <c r="AI35" s="220">
        <f t="shared" si="32"/>
        <v>31.895111111111117</v>
      </c>
      <c r="AJ35" s="220">
        <f t="shared" si="33"/>
        <v>38.305200000000006</v>
      </c>
      <c r="AK35" s="220">
        <f t="shared" si="34"/>
        <v>31.874400000000001</v>
      </c>
      <c r="AL35" s="220">
        <f t="shared" si="35"/>
        <v>21.953777777777773</v>
      </c>
      <c r="AM35" s="220">
        <f t="shared" si="36"/>
        <v>9.9553185111110913</v>
      </c>
      <c r="AN35" s="220">
        <f t="shared" si="37"/>
        <v>14.083555555555556</v>
      </c>
      <c r="AO35" s="220">
        <f t="shared" si="38"/>
        <v>19.882666666666672</v>
      </c>
      <c r="AP35" s="220">
        <f t="shared" si="39"/>
        <v>0</v>
      </c>
      <c r="AQ35" s="220">
        <f t="shared" si="40"/>
        <v>0</v>
      </c>
      <c r="AR35" s="220">
        <f t="shared" si="41"/>
        <v>0</v>
      </c>
      <c r="AS35" s="220">
        <f t="shared" si="42"/>
        <v>0</v>
      </c>
      <c r="AT35" s="220">
        <f t="shared" si="43"/>
        <v>113.428128</v>
      </c>
      <c r="AU35" s="220">
        <f t="shared" si="44"/>
        <v>99.448127999999997</v>
      </c>
      <c r="AV35" s="220">
        <f t="shared" si="45"/>
        <v>79.558502399999995</v>
      </c>
      <c r="AW35" s="220">
        <f t="shared" si="46"/>
        <v>75.492000000000019</v>
      </c>
      <c r="AX35" s="220">
        <f t="shared" si="47"/>
        <v>39.779251199999997</v>
      </c>
      <c r="AY35" s="220">
        <f t="shared" si="48"/>
        <v>39.779251199999997</v>
      </c>
      <c r="AZ35" s="220">
        <f t="shared" si="49"/>
        <v>19.889625599999999</v>
      </c>
      <c r="BA35" s="220">
        <f t="shared" si="50"/>
        <v>39.779251199999997</v>
      </c>
      <c r="BB35" s="219"/>
      <c r="BC35" s="219"/>
      <c r="BD35" s="220">
        <f t="shared" si="88"/>
        <v>0</v>
      </c>
      <c r="BE35" s="220">
        <f t="shared" si="89"/>
        <v>0</v>
      </c>
      <c r="BF35" s="220">
        <f t="shared" si="90"/>
        <v>0</v>
      </c>
      <c r="BG35" s="220">
        <f t="shared" si="91"/>
        <v>0</v>
      </c>
      <c r="BH35" s="220">
        <f t="shared" si="92"/>
        <v>0</v>
      </c>
      <c r="BI35" s="220">
        <f t="shared" si="93"/>
        <v>0</v>
      </c>
      <c r="BJ35" s="220">
        <f t="shared" si="94"/>
        <v>0</v>
      </c>
      <c r="BK35" s="220">
        <f t="shared" si="95"/>
        <v>0</v>
      </c>
      <c r="BL35" s="220">
        <f t="shared" si="96"/>
        <v>0</v>
      </c>
      <c r="BM35" s="220">
        <f t="shared" si="97"/>
        <v>0</v>
      </c>
      <c r="BN35" s="220">
        <f t="shared" si="98"/>
        <v>0</v>
      </c>
      <c r="BO35" s="220">
        <f t="shared" si="54"/>
        <v>0</v>
      </c>
      <c r="BP35" s="220">
        <f t="shared" si="55"/>
        <v>0</v>
      </c>
      <c r="BQ35" s="220">
        <f t="shared" si="56"/>
        <v>0</v>
      </c>
      <c r="BR35" s="220">
        <f t="shared" si="99"/>
        <v>0</v>
      </c>
      <c r="BS35" s="220">
        <f t="shared" si="58"/>
        <v>0</v>
      </c>
      <c r="BT35" s="220">
        <f t="shared" si="59"/>
        <v>0</v>
      </c>
      <c r="BU35" s="220">
        <f t="shared" si="60"/>
        <v>0</v>
      </c>
      <c r="BV35" s="220">
        <f t="shared" si="61"/>
        <v>0</v>
      </c>
      <c r="BW35" s="220">
        <f t="shared" si="62"/>
        <v>0</v>
      </c>
      <c r="BX35" s="220">
        <f t="shared" si="63"/>
        <v>0</v>
      </c>
      <c r="CA35" s="220">
        <f t="shared" si="75"/>
        <v>0</v>
      </c>
      <c r="CB35" s="220">
        <f t="shared" si="76"/>
        <v>0</v>
      </c>
      <c r="CC35" s="220">
        <f t="shared" si="77"/>
        <v>0</v>
      </c>
      <c r="CD35" s="220">
        <f t="shared" si="78"/>
        <v>0</v>
      </c>
      <c r="CE35" s="220">
        <f t="shared" si="79"/>
        <v>0</v>
      </c>
      <c r="CF35" s="220">
        <f t="shared" si="80"/>
        <v>0</v>
      </c>
      <c r="CG35" s="220">
        <f t="shared" si="81"/>
        <v>0</v>
      </c>
      <c r="CH35" s="220">
        <f t="shared" si="82"/>
        <v>0</v>
      </c>
      <c r="CI35" s="220">
        <f t="shared" si="83"/>
        <v>0</v>
      </c>
      <c r="CJ35" s="220">
        <f t="shared" si="84"/>
        <v>0</v>
      </c>
      <c r="CK35" s="220">
        <f t="shared" si="85"/>
        <v>0</v>
      </c>
      <c r="CL35" s="220">
        <f t="shared" si="65"/>
        <v>0</v>
      </c>
      <c r="CM35" s="220">
        <f t="shared" si="66"/>
        <v>0</v>
      </c>
      <c r="CN35" s="220">
        <f t="shared" si="67"/>
        <v>0</v>
      </c>
      <c r="CO35" s="220">
        <f t="shared" si="100"/>
        <v>0</v>
      </c>
      <c r="CP35" s="220">
        <f t="shared" si="69"/>
        <v>0</v>
      </c>
      <c r="CQ35" s="220">
        <f t="shared" si="70"/>
        <v>0</v>
      </c>
      <c r="CR35" s="220">
        <f t="shared" si="71"/>
        <v>0</v>
      </c>
      <c r="CS35" s="220">
        <f t="shared" si="72"/>
        <v>0</v>
      </c>
      <c r="CT35" s="220">
        <f t="shared" si="73"/>
        <v>0</v>
      </c>
      <c r="CU35" s="220">
        <f t="shared" si="74"/>
        <v>0</v>
      </c>
    </row>
    <row r="36" spans="1:99" x14ac:dyDescent="0.35">
      <c r="A36" s="233">
        <v>5121</v>
      </c>
      <c r="B36" s="233">
        <v>20000336</v>
      </c>
      <c r="C36" s="234" t="s">
        <v>105</v>
      </c>
      <c r="D36" s="234">
        <v>50021818</v>
      </c>
      <c r="E36" s="233">
        <v>46.6</v>
      </c>
      <c r="F36" s="233" t="s">
        <v>106</v>
      </c>
      <c r="G36" s="233" t="s">
        <v>115</v>
      </c>
      <c r="H36" s="233" t="s">
        <v>70</v>
      </c>
      <c r="I36" s="235">
        <v>0</v>
      </c>
      <c r="K36" s="237">
        <v>17.777777777777779</v>
      </c>
      <c r="L36" s="237">
        <v>0</v>
      </c>
      <c r="M36" s="237">
        <v>0</v>
      </c>
      <c r="N36" s="237">
        <v>0</v>
      </c>
      <c r="O36" s="237">
        <v>0</v>
      </c>
      <c r="P36" s="237">
        <v>0</v>
      </c>
      <c r="Q36" s="237">
        <v>0</v>
      </c>
      <c r="R36" s="237">
        <v>0</v>
      </c>
      <c r="S36" s="238">
        <v>0</v>
      </c>
      <c r="T36" s="263">
        <v>0</v>
      </c>
      <c r="U36" s="262">
        <v>0</v>
      </c>
      <c r="V36" s="262">
        <v>0</v>
      </c>
      <c r="W36" s="262">
        <v>1317.6480000000001</v>
      </c>
      <c r="X36" s="262">
        <v>0</v>
      </c>
      <c r="Y36" s="262">
        <v>0</v>
      </c>
      <c r="Z36" s="262">
        <v>0</v>
      </c>
      <c r="AA36" s="262">
        <v>0</v>
      </c>
      <c r="AB36" s="262">
        <v>0</v>
      </c>
      <c r="AC36" s="262">
        <v>0</v>
      </c>
      <c r="AD36" s="262">
        <v>0</v>
      </c>
      <c r="AE36" s="262">
        <v>0</v>
      </c>
      <c r="AG36" s="220">
        <f t="shared" si="30"/>
        <v>0.82844444444444443</v>
      </c>
      <c r="AH36" s="220">
        <f t="shared" si="31"/>
        <v>0</v>
      </c>
      <c r="AI36" s="220">
        <f t="shared" si="32"/>
        <v>0</v>
      </c>
      <c r="AJ36" s="220">
        <f t="shared" si="33"/>
        <v>0</v>
      </c>
      <c r="AK36" s="220">
        <f t="shared" si="34"/>
        <v>0</v>
      </c>
      <c r="AL36" s="220">
        <f t="shared" si="35"/>
        <v>0</v>
      </c>
      <c r="AM36" s="220">
        <f t="shared" si="36"/>
        <v>0</v>
      </c>
      <c r="AN36" s="220">
        <f t="shared" si="37"/>
        <v>0</v>
      </c>
      <c r="AO36" s="220">
        <f t="shared" si="38"/>
        <v>0</v>
      </c>
      <c r="AP36" s="220">
        <f t="shared" si="39"/>
        <v>0</v>
      </c>
      <c r="AQ36" s="220">
        <f t="shared" si="40"/>
        <v>0</v>
      </c>
      <c r="AR36" s="220">
        <f t="shared" si="41"/>
        <v>0</v>
      </c>
      <c r="AS36" s="220">
        <f t="shared" si="42"/>
        <v>61.402396800000012</v>
      </c>
      <c r="AT36" s="220">
        <f t="shared" si="43"/>
        <v>0</v>
      </c>
      <c r="AU36" s="220">
        <f t="shared" si="44"/>
        <v>0</v>
      </c>
      <c r="AV36" s="220">
        <f t="shared" si="45"/>
        <v>0</v>
      </c>
      <c r="AW36" s="220">
        <f t="shared" si="46"/>
        <v>0</v>
      </c>
      <c r="AX36" s="220">
        <f t="shared" si="47"/>
        <v>0</v>
      </c>
      <c r="AY36" s="220">
        <f t="shared" si="48"/>
        <v>0</v>
      </c>
      <c r="AZ36" s="220">
        <f t="shared" si="49"/>
        <v>0</v>
      </c>
      <c r="BA36" s="220">
        <f t="shared" si="50"/>
        <v>0</v>
      </c>
      <c r="BB36" s="219"/>
      <c r="BC36" s="219"/>
      <c r="BD36" s="220">
        <f t="shared" si="88"/>
        <v>0</v>
      </c>
      <c r="BE36" s="220">
        <f t="shared" si="89"/>
        <v>0</v>
      </c>
      <c r="BF36" s="220">
        <f t="shared" si="90"/>
        <v>0</v>
      </c>
      <c r="BG36" s="220">
        <f t="shared" si="91"/>
        <v>0</v>
      </c>
      <c r="BH36" s="220">
        <f t="shared" si="92"/>
        <v>0</v>
      </c>
      <c r="BI36" s="220">
        <f t="shared" si="93"/>
        <v>0</v>
      </c>
      <c r="BJ36" s="220">
        <f t="shared" si="94"/>
        <v>0</v>
      </c>
      <c r="BK36" s="220">
        <f t="shared" si="95"/>
        <v>0</v>
      </c>
      <c r="BL36" s="220">
        <f t="shared" si="96"/>
        <v>0</v>
      </c>
      <c r="BM36" s="220">
        <f t="shared" si="97"/>
        <v>0</v>
      </c>
      <c r="BN36" s="220">
        <f t="shared" si="98"/>
        <v>0</v>
      </c>
      <c r="BO36" s="220">
        <f t="shared" si="54"/>
        <v>0</v>
      </c>
      <c r="BP36" s="220">
        <f t="shared" si="55"/>
        <v>0</v>
      </c>
      <c r="BQ36" s="220">
        <f t="shared" si="56"/>
        <v>0</v>
      </c>
      <c r="BR36" s="220">
        <f t="shared" si="99"/>
        <v>0</v>
      </c>
      <c r="BS36" s="220">
        <f t="shared" si="58"/>
        <v>0</v>
      </c>
      <c r="BT36" s="220">
        <f t="shared" si="59"/>
        <v>0</v>
      </c>
      <c r="BU36" s="220">
        <f t="shared" si="60"/>
        <v>0</v>
      </c>
      <c r="BV36" s="220">
        <f t="shared" si="61"/>
        <v>0</v>
      </c>
      <c r="BW36" s="220">
        <f t="shared" si="62"/>
        <v>0</v>
      </c>
      <c r="BX36" s="220">
        <f t="shared" si="63"/>
        <v>0</v>
      </c>
      <c r="CA36" s="220">
        <f t="shared" si="75"/>
        <v>0</v>
      </c>
      <c r="CB36" s="220">
        <f t="shared" si="76"/>
        <v>0</v>
      </c>
      <c r="CC36" s="220">
        <f t="shared" si="77"/>
        <v>0</v>
      </c>
      <c r="CD36" s="220">
        <f t="shared" si="78"/>
        <v>0</v>
      </c>
      <c r="CE36" s="220">
        <f t="shared" si="79"/>
        <v>0</v>
      </c>
      <c r="CF36" s="220">
        <f t="shared" si="80"/>
        <v>0</v>
      </c>
      <c r="CG36" s="220">
        <f t="shared" si="81"/>
        <v>0</v>
      </c>
      <c r="CH36" s="220">
        <f t="shared" si="82"/>
        <v>0</v>
      </c>
      <c r="CI36" s="220">
        <f t="shared" si="83"/>
        <v>0</v>
      </c>
      <c r="CJ36" s="220">
        <f t="shared" si="84"/>
        <v>0</v>
      </c>
      <c r="CK36" s="220">
        <f t="shared" si="85"/>
        <v>0</v>
      </c>
      <c r="CL36" s="220">
        <f t="shared" si="65"/>
        <v>0</v>
      </c>
      <c r="CM36" s="220">
        <f t="shared" si="66"/>
        <v>0</v>
      </c>
      <c r="CN36" s="220">
        <f t="shared" si="67"/>
        <v>0</v>
      </c>
      <c r="CO36" s="220">
        <f t="shared" si="100"/>
        <v>0</v>
      </c>
      <c r="CP36" s="220">
        <f t="shared" si="69"/>
        <v>0</v>
      </c>
      <c r="CQ36" s="220">
        <f t="shared" si="70"/>
        <v>0</v>
      </c>
      <c r="CR36" s="220">
        <f t="shared" si="71"/>
        <v>0</v>
      </c>
      <c r="CS36" s="220">
        <f t="shared" si="72"/>
        <v>0</v>
      </c>
      <c r="CT36" s="220">
        <f t="shared" si="73"/>
        <v>0</v>
      </c>
      <c r="CU36" s="220">
        <f t="shared" si="74"/>
        <v>0</v>
      </c>
    </row>
    <row r="37" spans="1:99" x14ac:dyDescent="0.35">
      <c r="A37" s="233">
        <v>5121</v>
      </c>
      <c r="B37" s="233">
        <v>20000336</v>
      </c>
      <c r="C37" s="234" t="s">
        <v>105</v>
      </c>
      <c r="D37" s="234">
        <v>50025345</v>
      </c>
      <c r="E37" s="233">
        <v>46.6</v>
      </c>
      <c r="F37" s="233" t="s">
        <v>106</v>
      </c>
      <c r="G37" s="233" t="s">
        <v>115</v>
      </c>
      <c r="H37" s="233" t="s">
        <v>70</v>
      </c>
      <c r="I37" s="235">
        <v>0</v>
      </c>
      <c r="K37" s="237">
        <v>0</v>
      </c>
      <c r="L37" s="237">
        <v>0</v>
      </c>
      <c r="M37" s="237">
        <v>0</v>
      </c>
      <c r="N37" s="237">
        <v>0</v>
      </c>
      <c r="O37" s="237">
        <v>0</v>
      </c>
      <c r="P37" s="237">
        <v>0</v>
      </c>
      <c r="Q37" s="238">
        <v>0</v>
      </c>
      <c r="R37" s="237">
        <v>0</v>
      </c>
      <c r="S37" s="264">
        <v>0</v>
      </c>
      <c r="T37" s="263">
        <v>0</v>
      </c>
      <c r="U37" s="262">
        <v>577.77777777777783</v>
      </c>
      <c r="V37" s="262">
        <v>0</v>
      </c>
      <c r="W37" s="262">
        <v>0</v>
      </c>
      <c r="X37" s="262">
        <v>0</v>
      </c>
      <c r="Y37" s="262">
        <v>0</v>
      </c>
      <c r="Z37" s="262">
        <v>0</v>
      </c>
      <c r="AA37" s="262">
        <v>0</v>
      </c>
      <c r="AB37" s="262">
        <v>0</v>
      </c>
      <c r="AC37" s="262">
        <v>0</v>
      </c>
      <c r="AD37" s="262">
        <v>0</v>
      </c>
      <c r="AE37" s="262">
        <v>0</v>
      </c>
      <c r="AG37" s="220">
        <f t="shared" ref="AG37:AG68" si="101">IF($C37="CERVECERIA Y MALTERIA",K37*$E37/1000*(1-$I37),0)</f>
        <v>0</v>
      </c>
      <c r="AH37" s="220">
        <f t="shared" ref="AH37:AH68" si="102">IF($C37="CERVECERIA Y MALTERIA",L37*$E37/1000*(1-$I37),0)</f>
        <v>0</v>
      </c>
      <c r="AI37" s="220">
        <f t="shared" ref="AI37:AI68" si="103">IF($C37="CERVECERIA Y MALTERIA",M37*$E37/1000*(1-$I37),0)</f>
        <v>0</v>
      </c>
      <c r="AJ37" s="220">
        <f t="shared" ref="AJ37:AJ68" si="104">IF($C37="CERVECERIA Y MALTERIA",N37*$E37/1000*(1-$I37),0)</f>
        <v>0</v>
      </c>
      <c r="AK37" s="220">
        <f t="shared" ref="AK37:AK68" si="105">IF($C37="CERVECERIA Y MALTERIA",O37*$E37/1000*(1-$I37),0)</f>
        <v>0</v>
      </c>
      <c r="AL37" s="220">
        <f t="shared" ref="AL37:AL68" si="106">IF($C37="CERVECERIA Y MALTERIA",P37*$E37/1000*(1-$I37),0)</f>
        <v>0</v>
      </c>
      <c r="AM37" s="220">
        <f t="shared" ref="AM37:AM68" si="107">IF($C37="CERVECERIA Y MALTERIA",Q37*$E37/1000*(1-$I37),0)</f>
        <v>0</v>
      </c>
      <c r="AN37" s="220">
        <f t="shared" ref="AN37:AN68" si="108">IF($C37="CERVECERIA Y MALTERIA",R37*$E37/1000*(1-$I37),0)</f>
        <v>0</v>
      </c>
      <c r="AO37" s="220">
        <f t="shared" ref="AO37:AO68" si="109">IF($C37="CERVECERIA Y MALTERIA",S37*$E37/1000*(1-$I37),0)</f>
        <v>0</v>
      </c>
      <c r="AP37" s="220">
        <f t="shared" ref="AP37:AP68" si="110">IF($C37="CERVECERIA Y MALTERIA",T37*$E37/1000*(1-$I37),0)</f>
        <v>0</v>
      </c>
      <c r="AQ37" s="220">
        <f t="shared" ref="AQ37:AQ68" si="111">IF($C37="CERVECERIA Y MALTERIA",U37*$E37/1000*(1-$I37),0)</f>
        <v>26.92444444444445</v>
      </c>
      <c r="AR37" s="220">
        <f t="shared" ref="AR37:AR68" si="112">IF($C37="CERVECERIA Y MALTERIA",V37*$E37/1000*(1-$I37),0)</f>
        <v>0</v>
      </c>
      <c r="AS37" s="220">
        <f t="shared" ref="AS37:AS68" si="113">IF($C37="CERVECERIA Y MALTERIA",W37*$E37/1000*(1-$I37),0)</f>
        <v>0</v>
      </c>
      <c r="AT37" s="220">
        <f t="shared" ref="AT37:AT68" si="114">IF($C37="CERVECERIA Y MALTERIA",X37*$E37/1000*(1-$I37),0)</f>
        <v>0</v>
      </c>
      <c r="AU37" s="220">
        <f t="shared" ref="AU37:AU68" si="115">IF($C37="CERVECERIA Y MALTERIA",Y37*$E37/1000*(1-$I37),0)</f>
        <v>0</v>
      </c>
      <c r="AV37" s="220">
        <f t="shared" ref="AV37:AV68" si="116">IF($C37="CERVECERIA Y MALTERIA",Z37*$E37/1000*(1-$I37),0)</f>
        <v>0</v>
      </c>
      <c r="AW37" s="220">
        <f t="shared" ref="AW37:AW68" si="117">IF($C37="CERVECERIA Y MALTERIA",AA37*$E37/1000*(1-$I37),0)</f>
        <v>0</v>
      </c>
      <c r="AX37" s="220">
        <f t="shared" ref="AX37:AX68" si="118">IF($C37="CERVECERIA Y MALTERIA",AB37*$E37/1000*(1-$I37),0)</f>
        <v>0</v>
      </c>
      <c r="AY37" s="220">
        <f t="shared" ref="AY37:AY68" si="119">IF($C37="CERVECERIA Y MALTERIA",AC37*$E37/1000*(1-$I37),0)</f>
        <v>0</v>
      </c>
      <c r="AZ37" s="220">
        <f t="shared" ref="AZ37:AZ68" si="120">IF($C37="CERVECERIA Y MALTERIA",AD37*$E37/1000*(1-$I37),0)</f>
        <v>0</v>
      </c>
      <c r="BA37" s="220">
        <f t="shared" ref="BA37:BA68" si="121">IF($C37="CERVECERIA Y MALTERIA",AE37*$E37/1000*(1-$I37),0)</f>
        <v>0</v>
      </c>
      <c r="BB37" s="219"/>
      <c r="BC37" s="219"/>
      <c r="BD37" s="220">
        <f t="shared" si="88"/>
        <v>0</v>
      </c>
      <c r="BE37" s="220">
        <f t="shared" si="89"/>
        <v>0</v>
      </c>
      <c r="BF37" s="220">
        <f t="shared" si="90"/>
        <v>0</v>
      </c>
      <c r="BG37" s="220">
        <f t="shared" si="91"/>
        <v>0</v>
      </c>
      <c r="BH37" s="220">
        <f t="shared" si="92"/>
        <v>0</v>
      </c>
      <c r="BI37" s="220">
        <f t="shared" si="93"/>
        <v>0</v>
      </c>
      <c r="BJ37" s="220">
        <f t="shared" si="94"/>
        <v>0</v>
      </c>
      <c r="BK37" s="220">
        <f t="shared" si="95"/>
        <v>0</v>
      </c>
      <c r="BL37" s="220">
        <f t="shared" si="96"/>
        <v>0</v>
      </c>
      <c r="BM37" s="220">
        <f t="shared" si="97"/>
        <v>0</v>
      </c>
      <c r="BN37" s="220">
        <f t="shared" si="98"/>
        <v>0</v>
      </c>
      <c r="BO37" s="220">
        <f t="shared" si="54"/>
        <v>0</v>
      </c>
      <c r="BP37" s="220">
        <f t="shared" si="55"/>
        <v>0</v>
      </c>
      <c r="BQ37" s="220">
        <f t="shared" si="56"/>
        <v>0</v>
      </c>
      <c r="BR37" s="220">
        <f t="shared" si="99"/>
        <v>0</v>
      </c>
      <c r="BS37" s="220">
        <f t="shared" si="58"/>
        <v>0</v>
      </c>
      <c r="BT37" s="220">
        <f t="shared" si="59"/>
        <v>0</v>
      </c>
      <c r="BU37" s="220">
        <f t="shared" si="60"/>
        <v>0</v>
      </c>
      <c r="BV37" s="220">
        <f t="shared" si="61"/>
        <v>0</v>
      </c>
      <c r="BW37" s="220">
        <f t="shared" si="62"/>
        <v>0</v>
      </c>
      <c r="BX37" s="220">
        <f t="shared" si="63"/>
        <v>0</v>
      </c>
      <c r="CA37" s="220">
        <f t="shared" si="75"/>
        <v>0</v>
      </c>
      <c r="CB37" s="220">
        <f t="shared" si="76"/>
        <v>0</v>
      </c>
      <c r="CC37" s="220">
        <f t="shared" si="77"/>
        <v>0</v>
      </c>
      <c r="CD37" s="220">
        <f t="shared" si="78"/>
        <v>0</v>
      </c>
      <c r="CE37" s="220">
        <f t="shared" si="79"/>
        <v>0</v>
      </c>
      <c r="CF37" s="220">
        <f t="shared" si="80"/>
        <v>0</v>
      </c>
      <c r="CG37" s="220">
        <f t="shared" si="81"/>
        <v>0</v>
      </c>
      <c r="CH37" s="220">
        <f t="shared" si="82"/>
        <v>0</v>
      </c>
      <c r="CI37" s="220">
        <f t="shared" si="83"/>
        <v>0</v>
      </c>
      <c r="CJ37" s="220">
        <f t="shared" si="84"/>
        <v>0</v>
      </c>
      <c r="CK37" s="220">
        <f t="shared" si="85"/>
        <v>0</v>
      </c>
      <c r="CL37" s="220">
        <f t="shared" si="65"/>
        <v>0</v>
      </c>
      <c r="CM37" s="220">
        <f t="shared" si="66"/>
        <v>0</v>
      </c>
      <c r="CN37" s="220">
        <f t="shared" si="67"/>
        <v>0</v>
      </c>
      <c r="CO37" s="220">
        <f t="shared" si="100"/>
        <v>0</v>
      </c>
      <c r="CP37" s="220">
        <f t="shared" si="69"/>
        <v>0</v>
      </c>
      <c r="CQ37" s="220">
        <f t="shared" si="70"/>
        <v>0</v>
      </c>
      <c r="CR37" s="220">
        <f t="shared" si="71"/>
        <v>0</v>
      </c>
      <c r="CS37" s="220">
        <f t="shared" si="72"/>
        <v>0</v>
      </c>
      <c r="CT37" s="220">
        <f t="shared" si="73"/>
        <v>0</v>
      </c>
      <c r="CU37" s="220">
        <f t="shared" si="74"/>
        <v>0</v>
      </c>
    </row>
    <row r="38" spans="1:99" x14ac:dyDescent="0.35">
      <c r="A38" s="233">
        <v>5121</v>
      </c>
      <c r="B38" s="233">
        <v>20000336</v>
      </c>
      <c r="C38" s="234" t="s">
        <v>105</v>
      </c>
      <c r="D38" s="234">
        <v>50032583</v>
      </c>
      <c r="E38" s="233">
        <v>54.7</v>
      </c>
      <c r="F38" s="233" t="s">
        <v>106</v>
      </c>
      <c r="G38" s="233" t="s">
        <v>107</v>
      </c>
      <c r="H38" s="233" t="s">
        <v>70</v>
      </c>
      <c r="I38" s="235">
        <v>0</v>
      </c>
      <c r="K38" s="237">
        <v>0</v>
      </c>
      <c r="L38" s="237">
        <v>0</v>
      </c>
      <c r="M38" s="237">
        <v>0</v>
      </c>
      <c r="N38" s="237">
        <v>496</v>
      </c>
      <c r="O38" s="237">
        <v>295.55500000000001</v>
      </c>
      <c r="P38" s="237">
        <v>998.51851851851904</v>
      </c>
      <c r="Q38" s="237">
        <v>1067.4074074074099</v>
      </c>
      <c r="R38" s="237">
        <v>0</v>
      </c>
      <c r="S38" s="238">
        <v>965.92592592592609</v>
      </c>
      <c r="T38" s="263">
        <v>0</v>
      </c>
      <c r="U38" s="262">
        <v>0</v>
      </c>
      <c r="V38" s="262">
        <v>0</v>
      </c>
      <c r="W38" s="262">
        <v>704</v>
      </c>
      <c r="X38" s="262">
        <v>0</v>
      </c>
      <c r="Y38" s="262">
        <v>0</v>
      </c>
      <c r="Z38" s="262">
        <v>0</v>
      </c>
      <c r="AA38" s="262">
        <v>0</v>
      </c>
      <c r="AB38" s="262">
        <v>0</v>
      </c>
      <c r="AC38" s="262">
        <v>0</v>
      </c>
      <c r="AD38" s="262">
        <v>0</v>
      </c>
      <c r="AE38" s="262">
        <v>0</v>
      </c>
      <c r="AG38" s="220">
        <f t="shared" si="101"/>
        <v>0</v>
      </c>
      <c r="AH38" s="220">
        <f t="shared" si="102"/>
        <v>0</v>
      </c>
      <c r="AI38" s="220">
        <f t="shared" si="103"/>
        <v>0</v>
      </c>
      <c r="AJ38" s="220">
        <f t="shared" si="104"/>
        <v>27.1312</v>
      </c>
      <c r="AK38" s="220">
        <f t="shared" si="105"/>
        <v>16.166858500000004</v>
      </c>
      <c r="AL38" s="220">
        <f t="shared" si="106"/>
        <v>54.618962962962989</v>
      </c>
      <c r="AM38" s="220">
        <f t="shared" si="107"/>
        <v>58.387185185185324</v>
      </c>
      <c r="AN38" s="220">
        <f t="shared" si="108"/>
        <v>0</v>
      </c>
      <c r="AO38" s="220">
        <f t="shared" si="109"/>
        <v>52.836148148148162</v>
      </c>
      <c r="AP38" s="220">
        <f t="shared" si="110"/>
        <v>0</v>
      </c>
      <c r="AQ38" s="220">
        <f t="shared" si="111"/>
        <v>0</v>
      </c>
      <c r="AR38" s="220">
        <f t="shared" si="112"/>
        <v>0</v>
      </c>
      <c r="AS38" s="220">
        <f t="shared" si="113"/>
        <v>38.508800000000001</v>
      </c>
      <c r="AT38" s="220">
        <f t="shared" si="114"/>
        <v>0</v>
      </c>
      <c r="AU38" s="220">
        <f t="shared" si="115"/>
        <v>0</v>
      </c>
      <c r="AV38" s="220">
        <f t="shared" si="116"/>
        <v>0</v>
      </c>
      <c r="AW38" s="220">
        <f t="shared" si="117"/>
        <v>0</v>
      </c>
      <c r="AX38" s="220">
        <f t="shared" si="118"/>
        <v>0</v>
      </c>
      <c r="AY38" s="220">
        <f t="shared" si="119"/>
        <v>0</v>
      </c>
      <c r="AZ38" s="220">
        <f t="shared" si="120"/>
        <v>0</v>
      </c>
      <c r="BA38" s="220">
        <f t="shared" si="121"/>
        <v>0</v>
      </c>
      <c r="BB38" s="219"/>
      <c r="BC38" s="219"/>
      <c r="BD38" s="220">
        <f t="shared" si="88"/>
        <v>0</v>
      </c>
      <c r="BE38" s="220">
        <f t="shared" si="89"/>
        <v>0</v>
      </c>
      <c r="BF38" s="220">
        <f t="shared" si="90"/>
        <v>0</v>
      </c>
      <c r="BG38" s="220">
        <f t="shared" si="91"/>
        <v>0</v>
      </c>
      <c r="BH38" s="220">
        <f t="shared" si="92"/>
        <v>0</v>
      </c>
      <c r="BI38" s="220">
        <f t="shared" si="93"/>
        <v>0</v>
      </c>
      <c r="BJ38" s="220">
        <f t="shared" si="94"/>
        <v>0</v>
      </c>
      <c r="BK38" s="220">
        <f t="shared" si="95"/>
        <v>0</v>
      </c>
      <c r="BL38" s="220">
        <f t="shared" si="96"/>
        <v>0</v>
      </c>
      <c r="BM38" s="220">
        <f t="shared" si="97"/>
        <v>0</v>
      </c>
      <c r="BN38" s="220">
        <f t="shared" si="98"/>
        <v>0</v>
      </c>
      <c r="BO38" s="220">
        <f t="shared" si="54"/>
        <v>0</v>
      </c>
      <c r="BP38" s="220">
        <f t="shared" si="55"/>
        <v>0</v>
      </c>
      <c r="BQ38" s="220">
        <f t="shared" si="56"/>
        <v>0</v>
      </c>
      <c r="BR38" s="220">
        <f t="shared" si="99"/>
        <v>0</v>
      </c>
      <c r="BS38" s="220">
        <f t="shared" si="58"/>
        <v>0</v>
      </c>
      <c r="BT38" s="220">
        <f t="shared" si="59"/>
        <v>0</v>
      </c>
      <c r="BU38" s="220">
        <f t="shared" si="60"/>
        <v>0</v>
      </c>
      <c r="BV38" s="220">
        <f t="shared" si="61"/>
        <v>0</v>
      </c>
      <c r="BW38" s="220">
        <f t="shared" si="62"/>
        <v>0</v>
      </c>
      <c r="BX38" s="220">
        <f t="shared" si="63"/>
        <v>0</v>
      </c>
      <c r="CA38" s="220">
        <f t="shared" si="75"/>
        <v>0</v>
      </c>
      <c r="CB38" s="220">
        <f t="shared" si="76"/>
        <v>0</v>
      </c>
      <c r="CC38" s="220">
        <f t="shared" si="77"/>
        <v>0</v>
      </c>
      <c r="CD38" s="220">
        <f t="shared" si="78"/>
        <v>0</v>
      </c>
      <c r="CE38" s="220">
        <f t="shared" si="79"/>
        <v>0</v>
      </c>
      <c r="CF38" s="220">
        <f t="shared" si="80"/>
        <v>0</v>
      </c>
      <c r="CG38" s="220">
        <f t="shared" si="81"/>
        <v>0</v>
      </c>
      <c r="CH38" s="220">
        <f t="shared" si="82"/>
        <v>0</v>
      </c>
      <c r="CI38" s="220">
        <f t="shared" si="83"/>
        <v>0</v>
      </c>
      <c r="CJ38" s="220">
        <f t="shared" si="84"/>
        <v>0</v>
      </c>
      <c r="CK38" s="220">
        <f t="shared" si="85"/>
        <v>0</v>
      </c>
      <c r="CL38" s="220">
        <f t="shared" si="65"/>
        <v>0</v>
      </c>
      <c r="CM38" s="220">
        <f t="shared" si="66"/>
        <v>0</v>
      </c>
      <c r="CN38" s="220">
        <f t="shared" si="67"/>
        <v>0</v>
      </c>
      <c r="CO38" s="220">
        <f t="shared" si="100"/>
        <v>0</v>
      </c>
      <c r="CP38" s="220">
        <f t="shared" si="69"/>
        <v>0</v>
      </c>
      <c r="CQ38" s="220">
        <f t="shared" si="70"/>
        <v>0</v>
      </c>
      <c r="CR38" s="220">
        <f t="shared" si="71"/>
        <v>0</v>
      </c>
      <c r="CS38" s="220">
        <f t="shared" si="72"/>
        <v>0</v>
      </c>
      <c r="CT38" s="220">
        <f t="shared" si="73"/>
        <v>0</v>
      </c>
      <c r="CU38" s="220">
        <f t="shared" si="74"/>
        <v>0</v>
      </c>
    </row>
    <row r="39" spans="1:99" x14ac:dyDescent="0.35">
      <c r="A39" s="233">
        <v>5121</v>
      </c>
      <c r="B39" s="233">
        <v>20000336</v>
      </c>
      <c r="C39" s="234" t="s">
        <v>105</v>
      </c>
      <c r="D39" s="234">
        <v>50024497</v>
      </c>
      <c r="E39" s="233">
        <v>54.7</v>
      </c>
      <c r="F39" s="233" t="s">
        <v>106</v>
      </c>
      <c r="G39" s="233" t="s">
        <v>115</v>
      </c>
      <c r="H39" s="233" t="s">
        <v>70</v>
      </c>
      <c r="I39" s="235">
        <v>0</v>
      </c>
      <c r="K39" s="238">
        <v>0</v>
      </c>
      <c r="L39" s="238">
        <v>0</v>
      </c>
      <c r="M39" s="238">
        <v>0</v>
      </c>
      <c r="N39" s="238">
        <v>0</v>
      </c>
      <c r="O39" s="237">
        <v>0</v>
      </c>
      <c r="P39" s="237">
        <v>0</v>
      </c>
      <c r="Q39" s="237">
        <v>0</v>
      </c>
      <c r="R39" s="237">
        <v>903</v>
      </c>
      <c r="S39" s="238">
        <v>0</v>
      </c>
      <c r="T39" s="263">
        <v>0</v>
      </c>
      <c r="U39" s="262">
        <v>0</v>
      </c>
      <c r="V39" s="262">
        <v>824</v>
      </c>
      <c r="W39" s="262">
        <v>0</v>
      </c>
      <c r="X39" s="262">
        <v>1083.8719999999998</v>
      </c>
      <c r="Y39" s="262">
        <v>351.93599999999998</v>
      </c>
      <c r="Z39" s="262">
        <v>351.93599999999998</v>
      </c>
      <c r="AA39" s="262">
        <v>290.22711111111107</v>
      </c>
      <c r="AB39" s="262">
        <v>351.93599999999998</v>
      </c>
      <c r="AC39" s="262">
        <v>351.93599999999998</v>
      </c>
      <c r="AD39" s="262">
        <v>351.93599999999998</v>
      </c>
      <c r="AE39" s="262">
        <v>351.93599999999998</v>
      </c>
      <c r="AG39" s="220">
        <f t="shared" si="101"/>
        <v>0</v>
      </c>
      <c r="AH39" s="220">
        <f t="shared" si="102"/>
        <v>0</v>
      </c>
      <c r="AI39" s="220">
        <f t="shared" si="103"/>
        <v>0</v>
      </c>
      <c r="AJ39" s="220">
        <f t="shared" si="104"/>
        <v>0</v>
      </c>
      <c r="AK39" s="220">
        <f t="shared" si="105"/>
        <v>0</v>
      </c>
      <c r="AL39" s="220">
        <f t="shared" si="106"/>
        <v>0</v>
      </c>
      <c r="AM39" s="220">
        <f t="shared" si="107"/>
        <v>0</v>
      </c>
      <c r="AN39" s="220">
        <f t="shared" si="108"/>
        <v>49.394100000000009</v>
      </c>
      <c r="AO39" s="220">
        <f t="shared" si="109"/>
        <v>0</v>
      </c>
      <c r="AP39" s="220">
        <f t="shared" si="110"/>
        <v>0</v>
      </c>
      <c r="AQ39" s="220">
        <f t="shared" si="111"/>
        <v>0</v>
      </c>
      <c r="AR39" s="220">
        <f t="shared" si="112"/>
        <v>45.072800000000001</v>
      </c>
      <c r="AS39" s="220">
        <f t="shared" si="113"/>
        <v>0</v>
      </c>
      <c r="AT39" s="220">
        <f t="shared" si="114"/>
        <v>59.287798399999993</v>
      </c>
      <c r="AU39" s="220">
        <f t="shared" si="115"/>
        <v>19.250899199999999</v>
      </c>
      <c r="AV39" s="220">
        <f t="shared" si="116"/>
        <v>19.250899199999999</v>
      </c>
      <c r="AW39" s="220">
        <f t="shared" si="117"/>
        <v>15.875422977777776</v>
      </c>
      <c r="AX39" s="220">
        <f t="shared" si="118"/>
        <v>19.250899199999999</v>
      </c>
      <c r="AY39" s="220">
        <f t="shared" si="119"/>
        <v>19.250899199999999</v>
      </c>
      <c r="AZ39" s="220">
        <f t="shared" si="120"/>
        <v>19.250899199999999</v>
      </c>
      <c r="BA39" s="220">
        <f t="shared" si="121"/>
        <v>19.250899199999999</v>
      </c>
      <c r="BB39" s="219"/>
      <c r="BC39" s="219"/>
      <c r="BD39" s="220">
        <f t="shared" si="88"/>
        <v>0</v>
      </c>
      <c r="BE39" s="220">
        <f t="shared" si="89"/>
        <v>0</v>
      </c>
      <c r="BF39" s="220">
        <f t="shared" si="90"/>
        <v>0</v>
      </c>
      <c r="BG39" s="220">
        <f t="shared" si="91"/>
        <v>0</v>
      </c>
      <c r="BH39" s="220">
        <f t="shared" si="92"/>
        <v>0</v>
      </c>
      <c r="BI39" s="220">
        <f t="shared" si="93"/>
        <v>0</v>
      </c>
      <c r="BJ39" s="220">
        <f t="shared" si="94"/>
        <v>0</v>
      </c>
      <c r="BK39" s="220">
        <f t="shared" si="95"/>
        <v>0</v>
      </c>
      <c r="BL39" s="220">
        <f t="shared" si="96"/>
        <v>0</v>
      </c>
      <c r="BM39" s="220">
        <f t="shared" si="97"/>
        <v>0</v>
      </c>
      <c r="BN39" s="220">
        <f t="shared" si="98"/>
        <v>0</v>
      </c>
      <c r="BO39" s="220">
        <f t="shared" si="54"/>
        <v>0</v>
      </c>
      <c r="BP39" s="220">
        <f t="shared" si="55"/>
        <v>0</v>
      </c>
      <c r="BQ39" s="220">
        <f t="shared" si="56"/>
        <v>0</v>
      </c>
      <c r="BR39" s="220">
        <f t="shared" si="99"/>
        <v>0</v>
      </c>
      <c r="BS39" s="220">
        <f t="shared" si="58"/>
        <v>0</v>
      </c>
      <c r="BT39" s="220">
        <f t="shared" si="59"/>
        <v>0</v>
      </c>
      <c r="BU39" s="220">
        <f t="shared" si="60"/>
        <v>0</v>
      </c>
      <c r="BV39" s="220">
        <f t="shared" si="61"/>
        <v>0</v>
      </c>
      <c r="BW39" s="220">
        <f t="shared" si="62"/>
        <v>0</v>
      </c>
      <c r="BX39" s="220">
        <f t="shared" si="63"/>
        <v>0</v>
      </c>
      <c r="CA39" s="220">
        <f t="shared" si="75"/>
        <v>0</v>
      </c>
      <c r="CB39" s="220">
        <f t="shared" si="76"/>
        <v>0</v>
      </c>
      <c r="CC39" s="220">
        <f t="shared" si="77"/>
        <v>0</v>
      </c>
      <c r="CD39" s="220">
        <f t="shared" si="78"/>
        <v>0</v>
      </c>
      <c r="CE39" s="220">
        <f t="shared" si="79"/>
        <v>0</v>
      </c>
      <c r="CF39" s="220">
        <f t="shared" si="80"/>
        <v>0</v>
      </c>
      <c r="CG39" s="220">
        <f t="shared" si="81"/>
        <v>0</v>
      </c>
      <c r="CH39" s="220">
        <f t="shared" si="82"/>
        <v>0</v>
      </c>
      <c r="CI39" s="220">
        <f t="shared" si="83"/>
        <v>0</v>
      </c>
      <c r="CJ39" s="220">
        <f t="shared" si="84"/>
        <v>0</v>
      </c>
      <c r="CK39" s="220">
        <f t="shared" si="85"/>
        <v>0</v>
      </c>
      <c r="CL39" s="220">
        <f t="shared" si="65"/>
        <v>0</v>
      </c>
      <c r="CM39" s="220">
        <f t="shared" si="66"/>
        <v>0</v>
      </c>
      <c r="CN39" s="220">
        <f t="shared" si="67"/>
        <v>0</v>
      </c>
      <c r="CO39" s="220">
        <f t="shared" si="100"/>
        <v>0</v>
      </c>
      <c r="CP39" s="220">
        <f t="shared" si="69"/>
        <v>0</v>
      </c>
      <c r="CQ39" s="220">
        <f t="shared" si="70"/>
        <v>0</v>
      </c>
      <c r="CR39" s="220">
        <f t="shared" si="71"/>
        <v>0</v>
      </c>
      <c r="CS39" s="220">
        <f t="shared" si="72"/>
        <v>0</v>
      </c>
      <c r="CT39" s="220">
        <f t="shared" si="73"/>
        <v>0</v>
      </c>
      <c r="CU39" s="220">
        <f t="shared" si="74"/>
        <v>0</v>
      </c>
    </row>
    <row r="40" spans="1:99" x14ac:dyDescent="0.35">
      <c r="A40" s="233">
        <v>5121</v>
      </c>
      <c r="B40" s="233">
        <v>20000337</v>
      </c>
      <c r="C40" s="234" t="s">
        <v>105</v>
      </c>
      <c r="D40" s="234">
        <v>50032573</v>
      </c>
      <c r="E40" s="233">
        <v>37.200000000000003</v>
      </c>
      <c r="F40" s="233" t="s">
        <v>106</v>
      </c>
      <c r="G40" s="233" t="s">
        <v>107</v>
      </c>
      <c r="H40" s="233" t="s">
        <v>70</v>
      </c>
      <c r="I40" s="235">
        <v>0</v>
      </c>
      <c r="K40" s="237">
        <v>0</v>
      </c>
      <c r="L40" s="237">
        <v>0</v>
      </c>
      <c r="M40" s="237">
        <v>0</v>
      </c>
      <c r="N40" s="237">
        <v>0</v>
      </c>
      <c r="O40" s="237">
        <v>0</v>
      </c>
      <c r="P40" s="237">
        <v>0</v>
      </c>
      <c r="Q40" s="237">
        <v>0</v>
      </c>
      <c r="R40" s="237">
        <v>2004.44444444444</v>
      </c>
      <c r="S40" s="238">
        <v>0</v>
      </c>
      <c r="T40" s="263">
        <v>0</v>
      </c>
      <c r="U40" s="262">
        <v>0</v>
      </c>
      <c r="V40" s="262">
        <v>1208</v>
      </c>
      <c r="W40" s="262">
        <v>0</v>
      </c>
      <c r="X40" s="262">
        <v>0</v>
      </c>
      <c r="Y40" s="262">
        <v>0</v>
      </c>
      <c r="Z40" s="262">
        <v>0</v>
      </c>
      <c r="AA40" s="262">
        <v>0</v>
      </c>
      <c r="AB40" s="262">
        <v>0</v>
      </c>
      <c r="AC40" s="262">
        <v>0</v>
      </c>
      <c r="AD40" s="262">
        <v>0</v>
      </c>
      <c r="AE40" s="262">
        <v>0</v>
      </c>
      <c r="AG40" s="220">
        <f t="shared" si="101"/>
        <v>0</v>
      </c>
      <c r="AH40" s="220">
        <f t="shared" si="102"/>
        <v>0</v>
      </c>
      <c r="AI40" s="220">
        <f t="shared" si="103"/>
        <v>0</v>
      </c>
      <c r="AJ40" s="220">
        <f t="shared" si="104"/>
        <v>0</v>
      </c>
      <c r="AK40" s="220">
        <f t="shared" si="105"/>
        <v>0</v>
      </c>
      <c r="AL40" s="220">
        <f t="shared" si="106"/>
        <v>0</v>
      </c>
      <c r="AM40" s="220">
        <f t="shared" si="107"/>
        <v>0</v>
      </c>
      <c r="AN40" s="220">
        <f t="shared" si="108"/>
        <v>74.565333333333172</v>
      </c>
      <c r="AO40" s="220">
        <f t="shared" si="109"/>
        <v>0</v>
      </c>
      <c r="AP40" s="220">
        <f t="shared" si="110"/>
        <v>0</v>
      </c>
      <c r="AQ40" s="220">
        <f t="shared" si="111"/>
        <v>0</v>
      </c>
      <c r="AR40" s="220">
        <f t="shared" si="112"/>
        <v>44.937600000000003</v>
      </c>
      <c r="AS40" s="220">
        <f t="shared" si="113"/>
        <v>0</v>
      </c>
      <c r="AT40" s="220">
        <f t="shared" si="114"/>
        <v>0</v>
      </c>
      <c r="AU40" s="220">
        <f t="shared" si="115"/>
        <v>0</v>
      </c>
      <c r="AV40" s="220">
        <f t="shared" si="116"/>
        <v>0</v>
      </c>
      <c r="AW40" s="220">
        <f t="shared" si="117"/>
        <v>0</v>
      </c>
      <c r="AX40" s="220">
        <f t="shared" si="118"/>
        <v>0</v>
      </c>
      <c r="AY40" s="220">
        <f t="shared" si="119"/>
        <v>0</v>
      </c>
      <c r="AZ40" s="220">
        <f t="shared" si="120"/>
        <v>0</v>
      </c>
      <c r="BA40" s="220">
        <f t="shared" si="121"/>
        <v>0</v>
      </c>
      <c r="BB40" s="219"/>
      <c r="BC40" s="219"/>
      <c r="BD40" s="220">
        <f t="shared" si="88"/>
        <v>0</v>
      </c>
      <c r="BE40" s="220">
        <f t="shared" si="89"/>
        <v>0</v>
      </c>
      <c r="BF40" s="220">
        <f t="shared" si="90"/>
        <v>0</v>
      </c>
      <c r="BG40" s="220">
        <f t="shared" si="91"/>
        <v>0</v>
      </c>
      <c r="BH40" s="220">
        <f t="shared" si="92"/>
        <v>0</v>
      </c>
      <c r="BI40" s="220">
        <f t="shared" si="93"/>
        <v>0</v>
      </c>
      <c r="BJ40" s="220">
        <f t="shared" si="94"/>
        <v>0</v>
      </c>
      <c r="BK40" s="220">
        <f t="shared" si="95"/>
        <v>0</v>
      </c>
      <c r="BL40" s="220">
        <f t="shared" si="96"/>
        <v>0</v>
      </c>
      <c r="BM40" s="220">
        <f t="shared" si="97"/>
        <v>0</v>
      </c>
      <c r="BN40" s="220">
        <f t="shared" si="98"/>
        <v>0</v>
      </c>
      <c r="BO40" s="220">
        <f t="shared" si="54"/>
        <v>0</v>
      </c>
      <c r="BP40" s="220">
        <f t="shared" si="55"/>
        <v>0</v>
      </c>
      <c r="BQ40" s="220">
        <f t="shared" si="56"/>
        <v>0</v>
      </c>
      <c r="BR40" s="220">
        <f t="shared" si="99"/>
        <v>0</v>
      </c>
      <c r="BS40" s="220">
        <f t="shared" si="58"/>
        <v>0</v>
      </c>
      <c r="BT40" s="220">
        <f t="shared" si="59"/>
        <v>0</v>
      </c>
      <c r="BU40" s="220">
        <f t="shared" si="60"/>
        <v>0</v>
      </c>
      <c r="BV40" s="220">
        <f t="shared" si="61"/>
        <v>0</v>
      </c>
      <c r="BW40" s="220">
        <f t="shared" si="62"/>
        <v>0</v>
      </c>
      <c r="BX40" s="220">
        <f t="shared" si="63"/>
        <v>0</v>
      </c>
      <c r="CA40" s="220">
        <f t="shared" si="75"/>
        <v>0</v>
      </c>
      <c r="CB40" s="220">
        <f t="shared" si="76"/>
        <v>0</v>
      </c>
      <c r="CC40" s="220">
        <f t="shared" si="77"/>
        <v>0</v>
      </c>
      <c r="CD40" s="220">
        <f t="shared" si="78"/>
        <v>0</v>
      </c>
      <c r="CE40" s="220">
        <f t="shared" si="79"/>
        <v>0</v>
      </c>
      <c r="CF40" s="220">
        <f t="shared" si="80"/>
        <v>0</v>
      </c>
      <c r="CG40" s="220">
        <f t="shared" si="81"/>
        <v>0</v>
      </c>
      <c r="CH40" s="220">
        <f t="shared" si="82"/>
        <v>0</v>
      </c>
      <c r="CI40" s="220">
        <f t="shared" si="83"/>
        <v>0</v>
      </c>
      <c r="CJ40" s="220">
        <f t="shared" si="84"/>
        <v>0</v>
      </c>
      <c r="CK40" s="220">
        <f t="shared" si="85"/>
        <v>0</v>
      </c>
      <c r="CL40" s="220">
        <f t="shared" si="65"/>
        <v>0</v>
      </c>
      <c r="CM40" s="220">
        <f t="shared" si="66"/>
        <v>0</v>
      </c>
      <c r="CN40" s="220">
        <f t="shared" si="67"/>
        <v>0</v>
      </c>
      <c r="CO40" s="220">
        <f t="shared" si="100"/>
        <v>0</v>
      </c>
      <c r="CP40" s="220">
        <f t="shared" si="69"/>
        <v>0</v>
      </c>
      <c r="CQ40" s="220">
        <f t="shared" si="70"/>
        <v>0</v>
      </c>
      <c r="CR40" s="220">
        <f t="shared" si="71"/>
        <v>0</v>
      </c>
      <c r="CS40" s="220">
        <f t="shared" si="72"/>
        <v>0</v>
      </c>
      <c r="CT40" s="220">
        <f t="shared" si="73"/>
        <v>0</v>
      </c>
      <c r="CU40" s="220">
        <f t="shared" si="74"/>
        <v>0</v>
      </c>
    </row>
    <row r="41" spans="1:99" x14ac:dyDescent="0.35">
      <c r="A41" s="233">
        <v>5121</v>
      </c>
      <c r="B41" s="233">
        <v>20000337</v>
      </c>
      <c r="C41" s="234" t="s">
        <v>105</v>
      </c>
      <c r="D41" s="234">
        <v>50037887</v>
      </c>
      <c r="E41" s="233">
        <v>37.200000000000003</v>
      </c>
      <c r="F41" s="233" t="s">
        <v>106</v>
      </c>
      <c r="G41" s="233" t="s">
        <v>110</v>
      </c>
      <c r="H41" s="233" t="s">
        <v>70</v>
      </c>
      <c r="I41" s="235">
        <v>0</v>
      </c>
      <c r="K41" s="237">
        <v>0</v>
      </c>
      <c r="L41" s="237">
        <v>0</v>
      </c>
      <c r="M41" s="237">
        <v>0</v>
      </c>
      <c r="N41" s="237">
        <v>0</v>
      </c>
      <c r="O41" s="237">
        <v>0</v>
      </c>
      <c r="P41" s="237">
        <v>0</v>
      </c>
      <c r="Q41" s="237">
        <v>0</v>
      </c>
      <c r="R41" s="237">
        <v>0</v>
      </c>
      <c r="S41" s="238">
        <v>0</v>
      </c>
      <c r="T41" s="263">
        <v>0</v>
      </c>
      <c r="U41" s="263">
        <v>0</v>
      </c>
      <c r="V41" s="263">
        <v>0</v>
      </c>
      <c r="W41" s="263">
        <v>0</v>
      </c>
      <c r="X41" s="263">
        <v>0</v>
      </c>
      <c r="Y41" s="263">
        <v>0</v>
      </c>
      <c r="Z41" s="263">
        <v>0</v>
      </c>
      <c r="AA41" s="263">
        <v>0</v>
      </c>
      <c r="AB41" s="263">
        <v>532</v>
      </c>
      <c r="AC41" s="263">
        <v>532</v>
      </c>
      <c r="AD41" s="263">
        <v>0</v>
      </c>
      <c r="AE41" s="263">
        <v>532</v>
      </c>
      <c r="AG41" s="220">
        <f t="shared" si="101"/>
        <v>0</v>
      </c>
      <c r="AH41" s="220">
        <f t="shared" si="102"/>
        <v>0</v>
      </c>
      <c r="AI41" s="220">
        <f t="shared" si="103"/>
        <v>0</v>
      </c>
      <c r="AJ41" s="220">
        <f t="shared" si="104"/>
        <v>0</v>
      </c>
      <c r="AK41" s="220">
        <f t="shared" si="105"/>
        <v>0</v>
      </c>
      <c r="AL41" s="220">
        <f t="shared" si="106"/>
        <v>0</v>
      </c>
      <c r="AM41" s="220">
        <f t="shared" si="107"/>
        <v>0</v>
      </c>
      <c r="AN41" s="220">
        <f t="shared" si="108"/>
        <v>0</v>
      </c>
      <c r="AO41" s="220">
        <f t="shared" si="109"/>
        <v>0</v>
      </c>
      <c r="AP41" s="220">
        <f t="shared" si="110"/>
        <v>0</v>
      </c>
      <c r="AQ41" s="220">
        <f t="shared" si="111"/>
        <v>0</v>
      </c>
      <c r="AR41" s="220">
        <f t="shared" si="112"/>
        <v>0</v>
      </c>
      <c r="AS41" s="220">
        <f t="shared" si="113"/>
        <v>0</v>
      </c>
      <c r="AT41" s="220">
        <f t="shared" si="114"/>
        <v>0</v>
      </c>
      <c r="AU41" s="220">
        <f t="shared" si="115"/>
        <v>0</v>
      </c>
      <c r="AV41" s="220">
        <f t="shared" si="116"/>
        <v>0</v>
      </c>
      <c r="AW41" s="220">
        <f t="shared" si="117"/>
        <v>0</v>
      </c>
      <c r="AX41" s="220">
        <f t="shared" si="118"/>
        <v>19.790400000000002</v>
      </c>
      <c r="AY41" s="220">
        <f t="shared" si="119"/>
        <v>19.790400000000002</v>
      </c>
      <c r="AZ41" s="220">
        <f t="shared" si="120"/>
        <v>0</v>
      </c>
      <c r="BA41" s="220">
        <f t="shared" si="121"/>
        <v>19.790400000000002</v>
      </c>
      <c r="BB41" s="219"/>
      <c r="BC41" s="219"/>
      <c r="BD41" s="220">
        <f t="shared" si="88"/>
        <v>0</v>
      </c>
      <c r="BE41" s="220">
        <f t="shared" si="89"/>
        <v>0</v>
      </c>
      <c r="BF41" s="220">
        <f t="shared" si="90"/>
        <v>0</v>
      </c>
      <c r="BG41" s="220">
        <f t="shared" si="91"/>
        <v>0</v>
      </c>
      <c r="BH41" s="220">
        <f t="shared" si="92"/>
        <v>0</v>
      </c>
      <c r="BI41" s="220">
        <f t="shared" si="93"/>
        <v>0</v>
      </c>
      <c r="BJ41" s="220">
        <f t="shared" si="94"/>
        <v>0</v>
      </c>
      <c r="BK41" s="220">
        <f t="shared" si="95"/>
        <v>0</v>
      </c>
      <c r="BL41" s="220">
        <f t="shared" si="96"/>
        <v>0</v>
      </c>
      <c r="BM41" s="220">
        <f t="shared" si="97"/>
        <v>0</v>
      </c>
      <c r="BN41" s="220">
        <f t="shared" si="98"/>
        <v>0</v>
      </c>
      <c r="BO41" s="220">
        <f t="shared" si="54"/>
        <v>0</v>
      </c>
      <c r="BP41" s="220">
        <f t="shared" si="55"/>
        <v>0</v>
      </c>
      <c r="BQ41" s="220">
        <f t="shared" si="56"/>
        <v>0</v>
      </c>
      <c r="BR41" s="220">
        <f t="shared" si="99"/>
        <v>0</v>
      </c>
      <c r="BS41" s="220">
        <f t="shared" si="58"/>
        <v>0</v>
      </c>
      <c r="BT41" s="220">
        <f t="shared" si="59"/>
        <v>0</v>
      </c>
      <c r="BU41" s="220">
        <f t="shared" si="60"/>
        <v>0</v>
      </c>
      <c r="BV41" s="220">
        <f t="shared" si="61"/>
        <v>0</v>
      </c>
      <c r="BW41" s="220">
        <f t="shared" si="62"/>
        <v>0</v>
      </c>
      <c r="BX41" s="220">
        <f t="shared" si="63"/>
        <v>0</v>
      </c>
      <c r="CA41" s="220">
        <f t="shared" si="75"/>
        <v>0</v>
      </c>
      <c r="CB41" s="220">
        <f t="shared" si="76"/>
        <v>0</v>
      </c>
      <c r="CC41" s="220">
        <f t="shared" si="77"/>
        <v>0</v>
      </c>
      <c r="CD41" s="220">
        <f t="shared" si="78"/>
        <v>0</v>
      </c>
      <c r="CE41" s="220">
        <f t="shared" si="79"/>
        <v>0</v>
      </c>
      <c r="CF41" s="220">
        <f t="shared" si="80"/>
        <v>0</v>
      </c>
      <c r="CG41" s="220">
        <f t="shared" si="81"/>
        <v>0</v>
      </c>
      <c r="CH41" s="220">
        <f t="shared" si="82"/>
        <v>0</v>
      </c>
      <c r="CI41" s="220">
        <f t="shared" si="83"/>
        <v>0</v>
      </c>
      <c r="CJ41" s="220">
        <f t="shared" si="84"/>
        <v>0</v>
      </c>
      <c r="CK41" s="220">
        <f t="shared" si="85"/>
        <v>0</v>
      </c>
      <c r="CL41" s="220">
        <f t="shared" si="65"/>
        <v>0</v>
      </c>
      <c r="CM41" s="220">
        <f t="shared" si="66"/>
        <v>0</v>
      </c>
      <c r="CN41" s="220">
        <f t="shared" si="67"/>
        <v>0</v>
      </c>
      <c r="CO41" s="220">
        <f t="shared" si="100"/>
        <v>0</v>
      </c>
      <c r="CP41" s="220">
        <f t="shared" si="69"/>
        <v>0</v>
      </c>
      <c r="CQ41" s="220">
        <f t="shared" si="70"/>
        <v>0</v>
      </c>
      <c r="CR41" s="220">
        <f t="shared" si="71"/>
        <v>0</v>
      </c>
      <c r="CS41" s="220">
        <f t="shared" si="72"/>
        <v>0</v>
      </c>
      <c r="CT41" s="220">
        <f t="shared" si="73"/>
        <v>0</v>
      </c>
      <c r="CU41" s="220">
        <f t="shared" si="74"/>
        <v>0</v>
      </c>
    </row>
    <row r="42" spans="1:99" x14ac:dyDescent="0.35">
      <c r="A42" s="233">
        <v>5121</v>
      </c>
      <c r="B42" s="233">
        <v>20000337</v>
      </c>
      <c r="C42" s="234" t="s">
        <v>105</v>
      </c>
      <c r="D42" s="234">
        <v>50032580</v>
      </c>
      <c r="E42" s="233">
        <v>37.200000000000003</v>
      </c>
      <c r="F42" s="233" t="s">
        <v>108</v>
      </c>
      <c r="G42" s="233" t="s">
        <v>107</v>
      </c>
      <c r="H42" s="233" t="s">
        <v>70</v>
      </c>
      <c r="I42" s="235">
        <v>0</v>
      </c>
      <c r="K42" s="237">
        <v>812.03200000000004</v>
      </c>
      <c r="L42" s="237">
        <v>0</v>
      </c>
      <c r="M42" s="237">
        <v>0</v>
      </c>
      <c r="N42" s="237">
        <v>3000</v>
      </c>
      <c r="O42" s="237">
        <v>2561</v>
      </c>
      <c r="P42" s="237">
        <v>3044</v>
      </c>
      <c r="Q42" s="237">
        <v>2000</v>
      </c>
      <c r="R42" s="237">
        <v>150</v>
      </c>
      <c r="S42" s="238">
        <v>0</v>
      </c>
      <c r="T42" s="263">
        <v>0</v>
      </c>
      <c r="U42" s="262">
        <v>0</v>
      </c>
      <c r="V42" s="262">
        <v>0</v>
      </c>
      <c r="W42" s="262">
        <v>0</v>
      </c>
      <c r="X42" s="262">
        <v>0</v>
      </c>
      <c r="Y42" s="262">
        <v>0</v>
      </c>
      <c r="Z42" s="262">
        <v>0</v>
      </c>
      <c r="AA42" s="262">
        <v>0</v>
      </c>
      <c r="AB42" s="262">
        <v>0</v>
      </c>
      <c r="AC42" s="262">
        <v>0</v>
      </c>
      <c r="AD42" s="262">
        <v>0</v>
      </c>
      <c r="AE42" s="262">
        <v>0</v>
      </c>
      <c r="AG42" s="220">
        <f t="shared" si="101"/>
        <v>30.207590400000004</v>
      </c>
      <c r="AH42" s="220">
        <f t="shared" si="102"/>
        <v>0</v>
      </c>
      <c r="AI42" s="220">
        <f t="shared" si="103"/>
        <v>0</v>
      </c>
      <c r="AJ42" s="220">
        <f t="shared" si="104"/>
        <v>111.60000000000001</v>
      </c>
      <c r="AK42" s="220">
        <f t="shared" si="105"/>
        <v>95.269200000000012</v>
      </c>
      <c r="AL42" s="220">
        <f t="shared" si="106"/>
        <v>113.2368</v>
      </c>
      <c r="AM42" s="220">
        <f t="shared" si="107"/>
        <v>74.400000000000006</v>
      </c>
      <c r="AN42" s="220">
        <f t="shared" si="108"/>
        <v>5.58</v>
      </c>
      <c r="AO42" s="220">
        <f t="shared" si="109"/>
        <v>0</v>
      </c>
      <c r="AP42" s="220">
        <f t="shared" si="110"/>
        <v>0</v>
      </c>
      <c r="AQ42" s="220">
        <f t="shared" si="111"/>
        <v>0</v>
      </c>
      <c r="AR42" s="220">
        <f t="shared" si="112"/>
        <v>0</v>
      </c>
      <c r="AS42" s="220">
        <f t="shared" si="113"/>
        <v>0</v>
      </c>
      <c r="AT42" s="220">
        <f t="shared" si="114"/>
        <v>0</v>
      </c>
      <c r="AU42" s="220">
        <f t="shared" si="115"/>
        <v>0</v>
      </c>
      <c r="AV42" s="220">
        <f t="shared" si="116"/>
        <v>0</v>
      </c>
      <c r="AW42" s="220">
        <f t="shared" si="117"/>
        <v>0</v>
      </c>
      <c r="AX42" s="220">
        <f t="shared" si="118"/>
        <v>0</v>
      </c>
      <c r="AY42" s="220">
        <f t="shared" si="119"/>
        <v>0</v>
      </c>
      <c r="AZ42" s="220">
        <f t="shared" si="120"/>
        <v>0</v>
      </c>
      <c r="BA42" s="220">
        <f t="shared" si="121"/>
        <v>0</v>
      </c>
      <c r="BB42" s="219"/>
      <c r="BC42" s="219"/>
      <c r="BD42" s="220">
        <f t="shared" si="88"/>
        <v>0</v>
      </c>
      <c r="BE42" s="220">
        <f t="shared" si="89"/>
        <v>0</v>
      </c>
      <c r="BF42" s="220">
        <f t="shared" si="90"/>
        <v>0</v>
      </c>
      <c r="BG42" s="220">
        <f t="shared" si="91"/>
        <v>0</v>
      </c>
      <c r="BH42" s="220">
        <f t="shared" si="92"/>
        <v>0</v>
      </c>
      <c r="BI42" s="220">
        <f t="shared" si="93"/>
        <v>0</v>
      </c>
      <c r="BJ42" s="220">
        <f t="shared" si="94"/>
        <v>0</v>
      </c>
      <c r="BK42" s="220">
        <f t="shared" si="95"/>
        <v>0</v>
      </c>
      <c r="BL42" s="220">
        <f t="shared" si="96"/>
        <v>0</v>
      </c>
      <c r="BM42" s="220">
        <f t="shared" si="97"/>
        <v>0</v>
      </c>
      <c r="BN42" s="220">
        <f t="shared" si="98"/>
        <v>0</v>
      </c>
      <c r="BO42" s="220">
        <f t="shared" si="54"/>
        <v>0</v>
      </c>
      <c r="BP42" s="220">
        <f t="shared" si="55"/>
        <v>0</v>
      </c>
      <c r="BQ42" s="220">
        <f t="shared" si="56"/>
        <v>0</v>
      </c>
      <c r="BR42" s="220">
        <f t="shared" si="99"/>
        <v>0</v>
      </c>
      <c r="BS42" s="220">
        <f t="shared" si="58"/>
        <v>0</v>
      </c>
      <c r="BT42" s="220">
        <f t="shared" si="59"/>
        <v>0</v>
      </c>
      <c r="BU42" s="220">
        <f t="shared" si="60"/>
        <v>0</v>
      </c>
      <c r="BV42" s="220">
        <f t="shared" si="61"/>
        <v>0</v>
      </c>
      <c r="BW42" s="220">
        <f t="shared" si="62"/>
        <v>0</v>
      </c>
      <c r="BX42" s="220">
        <f t="shared" si="63"/>
        <v>0</v>
      </c>
      <c r="CA42" s="220">
        <f t="shared" si="75"/>
        <v>0</v>
      </c>
      <c r="CB42" s="220">
        <f t="shared" si="76"/>
        <v>0</v>
      </c>
      <c r="CC42" s="220">
        <f t="shared" si="77"/>
        <v>0</v>
      </c>
      <c r="CD42" s="220">
        <f t="shared" si="78"/>
        <v>0</v>
      </c>
      <c r="CE42" s="220">
        <f t="shared" si="79"/>
        <v>0</v>
      </c>
      <c r="CF42" s="220">
        <f t="shared" si="80"/>
        <v>0</v>
      </c>
      <c r="CG42" s="220">
        <f t="shared" si="81"/>
        <v>0</v>
      </c>
      <c r="CH42" s="220">
        <f t="shared" si="82"/>
        <v>0</v>
      </c>
      <c r="CI42" s="220">
        <f t="shared" si="83"/>
        <v>0</v>
      </c>
      <c r="CJ42" s="220">
        <f t="shared" si="84"/>
        <v>0</v>
      </c>
      <c r="CK42" s="220">
        <f t="shared" si="85"/>
        <v>0</v>
      </c>
      <c r="CL42" s="220">
        <f t="shared" si="65"/>
        <v>0</v>
      </c>
      <c r="CM42" s="220">
        <f t="shared" si="66"/>
        <v>0</v>
      </c>
      <c r="CN42" s="220">
        <f t="shared" si="67"/>
        <v>0</v>
      </c>
      <c r="CO42" s="220">
        <f t="shared" si="100"/>
        <v>0</v>
      </c>
      <c r="CP42" s="220">
        <f t="shared" si="69"/>
        <v>0</v>
      </c>
      <c r="CQ42" s="220">
        <f t="shared" si="70"/>
        <v>0</v>
      </c>
      <c r="CR42" s="220">
        <f t="shared" si="71"/>
        <v>0</v>
      </c>
      <c r="CS42" s="220">
        <f t="shared" si="72"/>
        <v>0</v>
      </c>
      <c r="CT42" s="220">
        <f t="shared" si="73"/>
        <v>0</v>
      </c>
      <c r="CU42" s="220">
        <f t="shared" si="74"/>
        <v>0</v>
      </c>
    </row>
    <row r="43" spans="1:99" x14ac:dyDescent="0.35">
      <c r="A43" s="233">
        <v>5121</v>
      </c>
      <c r="B43" s="233">
        <v>20000337</v>
      </c>
      <c r="C43" s="234" t="s">
        <v>105</v>
      </c>
      <c r="D43" s="234">
        <v>50032578</v>
      </c>
      <c r="E43" s="233">
        <v>37.200000000000003</v>
      </c>
      <c r="F43" s="233" t="s">
        <v>109</v>
      </c>
      <c r="G43" s="233" t="s">
        <v>107</v>
      </c>
      <c r="H43" s="233" t="s">
        <v>70</v>
      </c>
      <c r="I43" s="235">
        <v>0</v>
      </c>
      <c r="K43" s="237">
        <v>3404</v>
      </c>
      <c r="L43" s="237">
        <v>2416.0871348431947</v>
      </c>
      <c r="M43" s="237">
        <v>5040.0041481481503</v>
      </c>
      <c r="N43" s="237">
        <v>2436</v>
      </c>
      <c r="O43" s="237">
        <v>2260</v>
      </c>
      <c r="P43" s="237">
        <v>1500</v>
      </c>
      <c r="Q43" s="237">
        <v>2142.9629629629599</v>
      </c>
      <c r="R43" s="237">
        <v>0</v>
      </c>
      <c r="S43" s="238">
        <v>0</v>
      </c>
      <c r="T43" s="263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Z43" s="262">
        <v>0</v>
      </c>
      <c r="AA43" s="262">
        <v>0</v>
      </c>
      <c r="AB43" s="262">
        <v>0</v>
      </c>
      <c r="AC43" s="262">
        <v>0</v>
      </c>
      <c r="AD43" s="262">
        <v>0</v>
      </c>
      <c r="AE43" s="262">
        <v>0</v>
      </c>
      <c r="AG43" s="220">
        <f t="shared" si="101"/>
        <v>126.6288</v>
      </c>
      <c r="AH43" s="220">
        <f t="shared" si="102"/>
        <v>89.878441416166851</v>
      </c>
      <c r="AI43" s="220">
        <f t="shared" si="103"/>
        <v>187.4881543111112</v>
      </c>
      <c r="AJ43" s="220">
        <f t="shared" si="104"/>
        <v>90.619200000000006</v>
      </c>
      <c r="AK43" s="220">
        <f t="shared" si="105"/>
        <v>84.072000000000003</v>
      </c>
      <c r="AL43" s="220">
        <f t="shared" si="106"/>
        <v>55.800000000000004</v>
      </c>
      <c r="AM43" s="220">
        <f t="shared" si="107"/>
        <v>79.718222222222124</v>
      </c>
      <c r="AN43" s="220">
        <f t="shared" si="108"/>
        <v>0</v>
      </c>
      <c r="AO43" s="220">
        <f t="shared" si="109"/>
        <v>0</v>
      </c>
      <c r="AP43" s="220">
        <f t="shared" si="110"/>
        <v>0</v>
      </c>
      <c r="AQ43" s="220">
        <f t="shared" si="111"/>
        <v>0</v>
      </c>
      <c r="AR43" s="220">
        <f t="shared" si="112"/>
        <v>0</v>
      </c>
      <c r="AS43" s="220">
        <f t="shared" si="113"/>
        <v>0</v>
      </c>
      <c r="AT43" s="220">
        <f t="shared" si="114"/>
        <v>0</v>
      </c>
      <c r="AU43" s="220">
        <f t="shared" si="115"/>
        <v>0</v>
      </c>
      <c r="AV43" s="220">
        <f t="shared" si="116"/>
        <v>0</v>
      </c>
      <c r="AW43" s="220">
        <f t="shared" si="117"/>
        <v>0</v>
      </c>
      <c r="AX43" s="220">
        <f t="shared" si="118"/>
        <v>0</v>
      </c>
      <c r="AY43" s="220">
        <f t="shared" si="119"/>
        <v>0</v>
      </c>
      <c r="AZ43" s="220">
        <f t="shared" si="120"/>
        <v>0</v>
      </c>
      <c r="BA43" s="220">
        <f t="shared" si="121"/>
        <v>0</v>
      </c>
      <c r="BB43" s="219"/>
      <c r="BC43" s="219"/>
      <c r="BD43" s="220">
        <f t="shared" si="88"/>
        <v>0</v>
      </c>
      <c r="BE43" s="220">
        <f t="shared" si="89"/>
        <v>0</v>
      </c>
      <c r="BF43" s="220">
        <f t="shared" si="90"/>
        <v>0</v>
      </c>
      <c r="BG43" s="220">
        <f t="shared" si="91"/>
        <v>0</v>
      </c>
      <c r="BH43" s="220">
        <f t="shared" si="92"/>
        <v>0</v>
      </c>
      <c r="BI43" s="220">
        <f t="shared" si="93"/>
        <v>0</v>
      </c>
      <c r="BJ43" s="220">
        <f t="shared" si="94"/>
        <v>0</v>
      </c>
      <c r="BK43" s="220">
        <f t="shared" si="95"/>
        <v>0</v>
      </c>
      <c r="BL43" s="220">
        <f t="shared" si="96"/>
        <v>0</v>
      </c>
      <c r="BM43" s="220">
        <f t="shared" si="97"/>
        <v>0</v>
      </c>
      <c r="BN43" s="220">
        <f t="shared" si="98"/>
        <v>0</v>
      </c>
      <c r="BO43" s="220">
        <f t="shared" si="54"/>
        <v>0</v>
      </c>
      <c r="BP43" s="220">
        <f t="shared" si="55"/>
        <v>0</v>
      </c>
      <c r="BQ43" s="220">
        <f t="shared" si="56"/>
        <v>0</v>
      </c>
      <c r="BR43" s="220">
        <f t="shared" si="99"/>
        <v>0</v>
      </c>
      <c r="BS43" s="220">
        <f t="shared" si="58"/>
        <v>0</v>
      </c>
      <c r="BT43" s="220">
        <f t="shared" si="59"/>
        <v>0</v>
      </c>
      <c r="BU43" s="220">
        <f t="shared" si="60"/>
        <v>0</v>
      </c>
      <c r="BV43" s="220">
        <f t="shared" si="61"/>
        <v>0</v>
      </c>
      <c r="BW43" s="220">
        <f t="shared" si="62"/>
        <v>0</v>
      </c>
      <c r="BX43" s="220">
        <f t="shared" si="63"/>
        <v>0</v>
      </c>
      <c r="CA43" s="220">
        <f t="shared" si="75"/>
        <v>0</v>
      </c>
      <c r="CB43" s="220">
        <f t="shared" si="76"/>
        <v>0</v>
      </c>
      <c r="CC43" s="220">
        <f t="shared" si="77"/>
        <v>0</v>
      </c>
      <c r="CD43" s="220">
        <f t="shared" si="78"/>
        <v>0</v>
      </c>
      <c r="CE43" s="220">
        <f t="shared" si="79"/>
        <v>0</v>
      </c>
      <c r="CF43" s="220">
        <f t="shared" si="80"/>
        <v>0</v>
      </c>
      <c r="CG43" s="220">
        <f t="shared" si="81"/>
        <v>0</v>
      </c>
      <c r="CH43" s="220">
        <f t="shared" si="82"/>
        <v>0</v>
      </c>
      <c r="CI43" s="220">
        <f t="shared" si="83"/>
        <v>0</v>
      </c>
      <c r="CJ43" s="220">
        <f t="shared" si="84"/>
        <v>0</v>
      </c>
      <c r="CK43" s="220">
        <f t="shared" si="85"/>
        <v>0</v>
      </c>
      <c r="CL43" s="220">
        <f t="shared" si="65"/>
        <v>0</v>
      </c>
      <c r="CM43" s="220">
        <f t="shared" si="66"/>
        <v>0</v>
      </c>
      <c r="CN43" s="220">
        <f t="shared" si="67"/>
        <v>0</v>
      </c>
      <c r="CO43" s="220">
        <f t="shared" si="100"/>
        <v>0</v>
      </c>
      <c r="CP43" s="220">
        <f t="shared" si="69"/>
        <v>0</v>
      </c>
      <c r="CQ43" s="220">
        <f t="shared" si="70"/>
        <v>0</v>
      </c>
      <c r="CR43" s="220">
        <f t="shared" si="71"/>
        <v>0</v>
      </c>
      <c r="CS43" s="220">
        <f t="shared" si="72"/>
        <v>0</v>
      </c>
      <c r="CT43" s="220">
        <f t="shared" si="73"/>
        <v>0</v>
      </c>
      <c r="CU43" s="220">
        <f t="shared" si="74"/>
        <v>0</v>
      </c>
    </row>
    <row r="44" spans="1:99" x14ac:dyDescent="0.35">
      <c r="A44" s="233">
        <v>5121</v>
      </c>
      <c r="B44" s="233">
        <v>20000337</v>
      </c>
      <c r="C44" s="234" t="s">
        <v>105</v>
      </c>
      <c r="D44" s="234">
        <v>50032679</v>
      </c>
      <c r="E44" s="233">
        <v>42.5</v>
      </c>
      <c r="F44" s="233" t="s">
        <v>106</v>
      </c>
      <c r="G44" s="233" t="s">
        <v>116</v>
      </c>
      <c r="H44" s="233" t="s">
        <v>112</v>
      </c>
      <c r="I44" s="235">
        <v>0.1</v>
      </c>
      <c r="K44" s="237">
        <v>0</v>
      </c>
      <c r="L44" s="237">
        <v>0</v>
      </c>
      <c r="M44" s="237">
        <v>0</v>
      </c>
      <c r="N44" s="237">
        <v>0</v>
      </c>
      <c r="O44" s="237">
        <v>0</v>
      </c>
      <c r="P44" s="237">
        <v>0</v>
      </c>
      <c r="Q44" s="237">
        <v>0</v>
      </c>
      <c r="R44" s="237">
        <v>0</v>
      </c>
      <c r="S44" s="238">
        <v>618.74040740740759</v>
      </c>
      <c r="T44" s="263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Z44" s="262">
        <v>0</v>
      </c>
      <c r="AA44" s="262">
        <v>0</v>
      </c>
      <c r="AB44" s="262">
        <v>0</v>
      </c>
      <c r="AC44" s="262">
        <v>0</v>
      </c>
      <c r="AD44" s="262">
        <v>0</v>
      </c>
      <c r="AE44" s="262">
        <v>0</v>
      </c>
      <c r="AG44" s="220">
        <f t="shared" si="101"/>
        <v>0</v>
      </c>
      <c r="AH44" s="220">
        <f t="shared" si="102"/>
        <v>0</v>
      </c>
      <c r="AI44" s="220">
        <f t="shared" si="103"/>
        <v>0</v>
      </c>
      <c r="AJ44" s="220">
        <f t="shared" si="104"/>
        <v>0</v>
      </c>
      <c r="AK44" s="220">
        <f t="shared" si="105"/>
        <v>0</v>
      </c>
      <c r="AL44" s="220">
        <f t="shared" si="106"/>
        <v>0</v>
      </c>
      <c r="AM44" s="220">
        <f t="shared" si="107"/>
        <v>0</v>
      </c>
      <c r="AN44" s="220">
        <f t="shared" si="108"/>
        <v>0</v>
      </c>
      <c r="AO44" s="220">
        <f t="shared" si="109"/>
        <v>23.66682058333334</v>
      </c>
      <c r="AP44" s="220">
        <f t="shared" si="110"/>
        <v>0</v>
      </c>
      <c r="AQ44" s="220">
        <f t="shared" si="111"/>
        <v>0</v>
      </c>
      <c r="AR44" s="220">
        <f t="shared" si="112"/>
        <v>0</v>
      </c>
      <c r="AS44" s="220">
        <f t="shared" si="113"/>
        <v>0</v>
      </c>
      <c r="AT44" s="220">
        <f t="shared" si="114"/>
        <v>0</v>
      </c>
      <c r="AU44" s="220">
        <f t="shared" si="115"/>
        <v>0</v>
      </c>
      <c r="AV44" s="220">
        <f t="shared" si="116"/>
        <v>0</v>
      </c>
      <c r="AW44" s="220">
        <f t="shared" si="117"/>
        <v>0</v>
      </c>
      <c r="AX44" s="220">
        <f t="shared" si="118"/>
        <v>0</v>
      </c>
      <c r="AY44" s="220">
        <f t="shared" si="119"/>
        <v>0</v>
      </c>
      <c r="AZ44" s="220">
        <f t="shared" si="120"/>
        <v>0</v>
      </c>
      <c r="BA44" s="220">
        <f t="shared" si="121"/>
        <v>0</v>
      </c>
      <c r="BB44" s="219"/>
      <c r="BC44" s="219"/>
      <c r="BD44" s="220">
        <f t="shared" si="88"/>
        <v>0</v>
      </c>
      <c r="BE44" s="220">
        <f t="shared" si="89"/>
        <v>0</v>
      </c>
      <c r="BF44" s="220">
        <f t="shared" si="90"/>
        <v>0</v>
      </c>
      <c r="BG44" s="220">
        <f t="shared" si="91"/>
        <v>0</v>
      </c>
      <c r="BH44" s="220">
        <f t="shared" si="92"/>
        <v>0</v>
      </c>
      <c r="BI44" s="220">
        <f t="shared" si="93"/>
        <v>0</v>
      </c>
      <c r="BJ44" s="220">
        <f t="shared" si="94"/>
        <v>0</v>
      </c>
      <c r="BK44" s="220">
        <f t="shared" si="95"/>
        <v>0</v>
      </c>
      <c r="BL44" s="220">
        <f t="shared" si="96"/>
        <v>2.6296467314814826</v>
      </c>
      <c r="BM44" s="220">
        <f t="shared" si="97"/>
        <v>0</v>
      </c>
      <c r="BN44" s="220">
        <f t="shared" si="98"/>
        <v>0</v>
      </c>
      <c r="BO44" s="220">
        <f t="shared" si="54"/>
        <v>0</v>
      </c>
      <c r="BP44" s="220">
        <f t="shared" si="55"/>
        <v>0</v>
      </c>
      <c r="BQ44" s="220">
        <f t="shared" si="56"/>
        <v>0</v>
      </c>
      <c r="BR44" s="220">
        <f t="shared" si="99"/>
        <v>0</v>
      </c>
      <c r="BS44" s="220">
        <f t="shared" si="58"/>
        <v>0</v>
      </c>
      <c r="BT44" s="220">
        <f t="shared" si="59"/>
        <v>0</v>
      </c>
      <c r="BU44" s="220">
        <f t="shared" si="60"/>
        <v>0</v>
      </c>
      <c r="BV44" s="220">
        <f t="shared" si="61"/>
        <v>0</v>
      </c>
      <c r="BW44" s="220">
        <f t="shared" si="62"/>
        <v>0</v>
      </c>
      <c r="BX44" s="220">
        <f t="shared" si="63"/>
        <v>0</v>
      </c>
      <c r="CA44" s="220">
        <f t="shared" si="75"/>
        <v>0</v>
      </c>
      <c r="CB44" s="220">
        <f t="shared" si="76"/>
        <v>0</v>
      </c>
      <c r="CC44" s="220">
        <f t="shared" si="77"/>
        <v>0</v>
      </c>
      <c r="CD44" s="220">
        <f t="shared" si="78"/>
        <v>0</v>
      </c>
      <c r="CE44" s="220">
        <f t="shared" si="79"/>
        <v>0</v>
      </c>
      <c r="CF44" s="220">
        <f t="shared" si="80"/>
        <v>0</v>
      </c>
      <c r="CG44" s="220">
        <f t="shared" si="81"/>
        <v>0</v>
      </c>
      <c r="CH44" s="220">
        <f t="shared" si="82"/>
        <v>0</v>
      </c>
      <c r="CI44" s="220">
        <f t="shared" si="83"/>
        <v>0</v>
      </c>
      <c r="CJ44" s="220">
        <f t="shared" si="84"/>
        <v>0</v>
      </c>
      <c r="CK44" s="220">
        <f t="shared" si="85"/>
        <v>0</v>
      </c>
      <c r="CL44" s="220">
        <f t="shared" si="65"/>
        <v>0</v>
      </c>
      <c r="CM44" s="220">
        <f t="shared" si="66"/>
        <v>0</v>
      </c>
      <c r="CN44" s="220">
        <f t="shared" si="67"/>
        <v>0</v>
      </c>
      <c r="CO44" s="220">
        <f t="shared" si="100"/>
        <v>0</v>
      </c>
      <c r="CP44" s="220">
        <f t="shared" si="69"/>
        <v>0</v>
      </c>
      <c r="CQ44" s="220">
        <f t="shared" si="70"/>
        <v>0</v>
      </c>
      <c r="CR44" s="220">
        <f t="shared" si="71"/>
        <v>0</v>
      </c>
      <c r="CS44" s="220">
        <f t="shared" si="72"/>
        <v>0</v>
      </c>
      <c r="CT44" s="220">
        <f t="shared" si="73"/>
        <v>0</v>
      </c>
      <c r="CU44" s="220">
        <f t="shared" si="74"/>
        <v>0</v>
      </c>
    </row>
    <row r="45" spans="1:99" x14ac:dyDescent="0.35">
      <c r="A45" s="233">
        <v>5121</v>
      </c>
      <c r="B45" s="233">
        <v>20000337</v>
      </c>
      <c r="C45" s="234" t="s">
        <v>105</v>
      </c>
      <c r="D45" s="234">
        <v>50035183</v>
      </c>
      <c r="E45" s="233">
        <v>46.6</v>
      </c>
      <c r="F45" s="233" t="s">
        <v>106</v>
      </c>
      <c r="G45" s="233" t="s">
        <v>107</v>
      </c>
      <c r="H45" s="233" t="s">
        <v>70</v>
      </c>
      <c r="I45" s="236">
        <v>0</v>
      </c>
      <c r="K45" s="238">
        <v>0</v>
      </c>
      <c r="L45" s="238">
        <v>0</v>
      </c>
      <c r="M45" s="238">
        <v>0</v>
      </c>
      <c r="N45" s="238">
        <v>0</v>
      </c>
      <c r="O45" s="238">
        <v>0</v>
      </c>
      <c r="P45" s="238">
        <v>0</v>
      </c>
      <c r="Q45" s="238">
        <v>0</v>
      </c>
      <c r="R45" s="237">
        <v>0</v>
      </c>
      <c r="S45" s="238">
        <v>0</v>
      </c>
      <c r="T45" s="263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Z45" s="262">
        <v>0</v>
      </c>
      <c r="AA45" s="262">
        <v>0</v>
      </c>
      <c r="AB45" s="262">
        <v>0</v>
      </c>
      <c r="AC45" s="262">
        <v>0</v>
      </c>
      <c r="AD45" s="262">
        <v>0</v>
      </c>
      <c r="AE45" s="262">
        <v>0</v>
      </c>
      <c r="AG45" s="220">
        <f t="shared" si="101"/>
        <v>0</v>
      </c>
      <c r="AH45" s="220">
        <f t="shared" si="102"/>
        <v>0</v>
      </c>
      <c r="AI45" s="220">
        <f t="shared" si="103"/>
        <v>0</v>
      </c>
      <c r="AJ45" s="220">
        <f t="shared" si="104"/>
        <v>0</v>
      </c>
      <c r="AK45" s="220">
        <f t="shared" si="105"/>
        <v>0</v>
      </c>
      <c r="AL45" s="220">
        <f t="shared" si="106"/>
        <v>0</v>
      </c>
      <c r="AM45" s="220">
        <f t="shared" si="107"/>
        <v>0</v>
      </c>
      <c r="AN45" s="220">
        <f t="shared" si="108"/>
        <v>0</v>
      </c>
      <c r="AO45" s="220">
        <f t="shared" si="109"/>
        <v>0</v>
      </c>
      <c r="AP45" s="220">
        <f t="shared" si="110"/>
        <v>0</v>
      </c>
      <c r="AQ45" s="220">
        <f t="shared" si="111"/>
        <v>0</v>
      </c>
      <c r="AR45" s="220">
        <f t="shared" si="112"/>
        <v>0</v>
      </c>
      <c r="AS45" s="220">
        <f t="shared" si="113"/>
        <v>0</v>
      </c>
      <c r="AT45" s="220">
        <f t="shared" si="114"/>
        <v>0</v>
      </c>
      <c r="AU45" s="220">
        <f t="shared" si="115"/>
        <v>0</v>
      </c>
      <c r="AV45" s="220">
        <f t="shared" si="116"/>
        <v>0</v>
      </c>
      <c r="AW45" s="220">
        <f t="shared" si="117"/>
        <v>0</v>
      </c>
      <c r="AX45" s="220">
        <f t="shared" si="118"/>
        <v>0</v>
      </c>
      <c r="AY45" s="220">
        <f t="shared" si="119"/>
        <v>0</v>
      </c>
      <c r="AZ45" s="220">
        <f t="shared" si="120"/>
        <v>0</v>
      </c>
      <c r="BA45" s="220">
        <f t="shared" si="121"/>
        <v>0</v>
      </c>
      <c r="BB45" s="219"/>
      <c r="BC45" s="219"/>
      <c r="BD45" s="220">
        <f t="shared" si="88"/>
        <v>0</v>
      </c>
      <c r="BE45" s="220">
        <f t="shared" si="89"/>
        <v>0</v>
      </c>
      <c r="BF45" s="220">
        <f t="shared" si="90"/>
        <v>0</v>
      </c>
      <c r="BG45" s="220">
        <f t="shared" si="91"/>
        <v>0</v>
      </c>
      <c r="BH45" s="220">
        <f t="shared" si="92"/>
        <v>0</v>
      </c>
      <c r="BI45" s="220">
        <f t="shared" si="93"/>
        <v>0</v>
      </c>
      <c r="BJ45" s="220">
        <f t="shared" si="94"/>
        <v>0</v>
      </c>
      <c r="BK45" s="220">
        <f t="shared" si="95"/>
        <v>0</v>
      </c>
      <c r="BL45" s="220">
        <f t="shared" si="96"/>
        <v>0</v>
      </c>
      <c r="BM45" s="220">
        <f t="shared" si="97"/>
        <v>0</v>
      </c>
      <c r="BN45" s="220">
        <f t="shared" si="98"/>
        <v>0</v>
      </c>
      <c r="BO45" s="220">
        <f t="shared" si="54"/>
        <v>0</v>
      </c>
      <c r="BP45" s="220">
        <f t="shared" si="55"/>
        <v>0</v>
      </c>
      <c r="BQ45" s="220">
        <f t="shared" si="56"/>
        <v>0</v>
      </c>
      <c r="BR45" s="220">
        <f t="shared" si="99"/>
        <v>0</v>
      </c>
      <c r="BS45" s="220">
        <f t="shared" si="58"/>
        <v>0</v>
      </c>
      <c r="BT45" s="220">
        <f t="shared" si="59"/>
        <v>0</v>
      </c>
      <c r="BU45" s="220">
        <f t="shared" si="60"/>
        <v>0</v>
      </c>
      <c r="BV45" s="220">
        <f t="shared" si="61"/>
        <v>0</v>
      </c>
      <c r="BW45" s="220">
        <f t="shared" si="62"/>
        <v>0</v>
      </c>
      <c r="BX45" s="220">
        <f t="shared" si="63"/>
        <v>0</v>
      </c>
      <c r="CA45" s="220">
        <f t="shared" si="75"/>
        <v>0</v>
      </c>
      <c r="CB45" s="220">
        <f t="shared" si="76"/>
        <v>0</v>
      </c>
      <c r="CC45" s="220">
        <f t="shared" si="77"/>
        <v>0</v>
      </c>
      <c r="CD45" s="220">
        <f t="shared" si="78"/>
        <v>0</v>
      </c>
      <c r="CE45" s="220">
        <f t="shared" si="79"/>
        <v>0</v>
      </c>
      <c r="CF45" s="220">
        <f t="shared" si="80"/>
        <v>0</v>
      </c>
      <c r="CG45" s="220">
        <f t="shared" si="81"/>
        <v>0</v>
      </c>
      <c r="CH45" s="220">
        <f t="shared" si="82"/>
        <v>0</v>
      </c>
      <c r="CI45" s="220">
        <f t="shared" si="83"/>
        <v>0</v>
      </c>
      <c r="CJ45" s="220">
        <f t="shared" si="84"/>
        <v>0</v>
      </c>
      <c r="CK45" s="220">
        <f t="shared" si="85"/>
        <v>0</v>
      </c>
      <c r="CL45" s="220">
        <f t="shared" si="65"/>
        <v>0</v>
      </c>
      <c r="CM45" s="220">
        <f t="shared" si="66"/>
        <v>0</v>
      </c>
      <c r="CN45" s="220">
        <f t="shared" si="67"/>
        <v>0</v>
      </c>
      <c r="CO45" s="220">
        <f t="shared" si="100"/>
        <v>0</v>
      </c>
      <c r="CP45" s="220">
        <f t="shared" si="69"/>
        <v>0</v>
      </c>
      <c r="CQ45" s="220">
        <f t="shared" si="70"/>
        <v>0</v>
      </c>
      <c r="CR45" s="220">
        <f t="shared" si="71"/>
        <v>0</v>
      </c>
      <c r="CS45" s="220">
        <f t="shared" si="72"/>
        <v>0</v>
      </c>
      <c r="CT45" s="220">
        <f t="shared" si="73"/>
        <v>0</v>
      </c>
      <c r="CU45" s="220">
        <f t="shared" si="74"/>
        <v>0</v>
      </c>
    </row>
    <row r="46" spans="1:99" x14ac:dyDescent="0.35">
      <c r="A46" s="233">
        <v>5121</v>
      </c>
      <c r="B46" s="233">
        <v>20000337</v>
      </c>
      <c r="C46" s="234" t="s">
        <v>105</v>
      </c>
      <c r="D46" s="234">
        <v>50034616</v>
      </c>
      <c r="E46" s="233">
        <v>46.6</v>
      </c>
      <c r="F46" s="233" t="s">
        <v>106</v>
      </c>
      <c r="G46" s="233" t="s">
        <v>107</v>
      </c>
      <c r="H46" s="233" t="s">
        <v>70</v>
      </c>
      <c r="I46" s="235">
        <v>0</v>
      </c>
      <c r="K46" s="237">
        <v>1217</v>
      </c>
      <c r="L46" s="237">
        <v>947.31113106334635</v>
      </c>
      <c r="M46" s="237">
        <v>557.03703703703707</v>
      </c>
      <c r="N46" s="237">
        <v>1018</v>
      </c>
      <c r="O46" s="237">
        <v>1341</v>
      </c>
      <c r="P46" s="237">
        <v>478.38081481481498</v>
      </c>
      <c r="Q46" s="237">
        <v>544.53007407407404</v>
      </c>
      <c r="R46" s="237">
        <v>279.61133333333339</v>
      </c>
      <c r="S46" s="238">
        <v>0</v>
      </c>
      <c r="T46" s="263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Z46" s="262">
        <v>0</v>
      </c>
      <c r="AA46" s="262">
        <v>0</v>
      </c>
      <c r="AB46" s="262">
        <v>0</v>
      </c>
      <c r="AC46" s="262">
        <v>0</v>
      </c>
      <c r="AD46" s="262">
        <v>0</v>
      </c>
      <c r="AE46" s="262">
        <v>0</v>
      </c>
      <c r="AG46" s="220">
        <f t="shared" si="101"/>
        <v>56.712200000000003</v>
      </c>
      <c r="AH46" s="220">
        <f t="shared" si="102"/>
        <v>44.144698707551946</v>
      </c>
      <c r="AI46" s="220">
        <f t="shared" si="103"/>
        <v>25.957925925925927</v>
      </c>
      <c r="AJ46" s="220">
        <f t="shared" si="104"/>
        <v>47.438800000000001</v>
      </c>
      <c r="AK46" s="220">
        <f t="shared" si="105"/>
        <v>62.490600000000001</v>
      </c>
      <c r="AL46" s="220">
        <f t="shared" si="106"/>
        <v>22.292545970370377</v>
      </c>
      <c r="AM46" s="220">
        <f t="shared" si="107"/>
        <v>25.375101451851851</v>
      </c>
      <c r="AN46" s="220">
        <f t="shared" si="108"/>
        <v>13.029888133333335</v>
      </c>
      <c r="AO46" s="220">
        <f t="shared" si="109"/>
        <v>0</v>
      </c>
      <c r="AP46" s="220">
        <f t="shared" si="110"/>
        <v>0</v>
      </c>
      <c r="AQ46" s="220">
        <f t="shared" si="111"/>
        <v>0</v>
      </c>
      <c r="AR46" s="220">
        <f t="shared" si="112"/>
        <v>0</v>
      </c>
      <c r="AS46" s="220">
        <f t="shared" si="113"/>
        <v>0</v>
      </c>
      <c r="AT46" s="220">
        <f t="shared" si="114"/>
        <v>0</v>
      </c>
      <c r="AU46" s="220">
        <f t="shared" si="115"/>
        <v>0</v>
      </c>
      <c r="AV46" s="220">
        <f t="shared" si="116"/>
        <v>0</v>
      </c>
      <c r="AW46" s="220">
        <f t="shared" si="117"/>
        <v>0</v>
      </c>
      <c r="AX46" s="220">
        <f t="shared" si="118"/>
        <v>0</v>
      </c>
      <c r="AY46" s="220">
        <f t="shared" si="119"/>
        <v>0</v>
      </c>
      <c r="AZ46" s="220">
        <f t="shared" si="120"/>
        <v>0</v>
      </c>
      <c r="BA46" s="220">
        <f t="shared" si="121"/>
        <v>0</v>
      </c>
      <c r="BB46" s="219"/>
      <c r="BC46" s="219"/>
      <c r="BD46" s="220">
        <f t="shared" si="88"/>
        <v>0</v>
      </c>
      <c r="BE46" s="220">
        <f t="shared" si="89"/>
        <v>0</v>
      </c>
      <c r="BF46" s="220">
        <f t="shared" si="90"/>
        <v>0</v>
      </c>
      <c r="BG46" s="220">
        <f t="shared" si="91"/>
        <v>0</v>
      </c>
      <c r="BH46" s="220">
        <f t="shared" si="92"/>
        <v>0</v>
      </c>
      <c r="BI46" s="220">
        <f t="shared" si="93"/>
        <v>0</v>
      </c>
      <c r="BJ46" s="220">
        <f t="shared" si="94"/>
        <v>0</v>
      </c>
      <c r="BK46" s="220">
        <f t="shared" si="95"/>
        <v>0</v>
      </c>
      <c r="BL46" s="220">
        <f t="shared" si="96"/>
        <v>0</v>
      </c>
      <c r="BM46" s="220">
        <f t="shared" si="97"/>
        <v>0</v>
      </c>
      <c r="BN46" s="220">
        <f t="shared" si="98"/>
        <v>0</v>
      </c>
      <c r="BO46" s="220">
        <f t="shared" si="54"/>
        <v>0</v>
      </c>
      <c r="BP46" s="220">
        <f t="shared" si="55"/>
        <v>0</v>
      </c>
      <c r="BQ46" s="220">
        <f t="shared" si="56"/>
        <v>0</v>
      </c>
      <c r="BR46" s="220">
        <f t="shared" si="99"/>
        <v>0</v>
      </c>
      <c r="BS46" s="220">
        <f t="shared" si="58"/>
        <v>0</v>
      </c>
      <c r="BT46" s="220">
        <f t="shared" si="59"/>
        <v>0</v>
      </c>
      <c r="BU46" s="220">
        <f t="shared" si="60"/>
        <v>0</v>
      </c>
      <c r="BV46" s="220">
        <f t="shared" si="61"/>
        <v>0</v>
      </c>
      <c r="BW46" s="220">
        <f t="shared" si="62"/>
        <v>0</v>
      </c>
      <c r="BX46" s="220">
        <f t="shared" si="63"/>
        <v>0</v>
      </c>
      <c r="CA46" s="220">
        <f t="shared" si="75"/>
        <v>0</v>
      </c>
      <c r="CB46" s="220">
        <f t="shared" si="76"/>
        <v>0</v>
      </c>
      <c r="CC46" s="220">
        <f t="shared" si="77"/>
        <v>0</v>
      </c>
      <c r="CD46" s="220">
        <f t="shared" si="78"/>
        <v>0</v>
      </c>
      <c r="CE46" s="220">
        <f t="shared" si="79"/>
        <v>0</v>
      </c>
      <c r="CF46" s="220">
        <f t="shared" si="80"/>
        <v>0</v>
      </c>
      <c r="CG46" s="220">
        <f t="shared" si="81"/>
        <v>0</v>
      </c>
      <c r="CH46" s="220">
        <f t="shared" si="82"/>
        <v>0</v>
      </c>
      <c r="CI46" s="220">
        <f t="shared" si="83"/>
        <v>0</v>
      </c>
      <c r="CJ46" s="220">
        <f t="shared" si="84"/>
        <v>0</v>
      </c>
      <c r="CK46" s="220">
        <f t="shared" si="85"/>
        <v>0</v>
      </c>
      <c r="CL46" s="220">
        <f t="shared" si="65"/>
        <v>0</v>
      </c>
      <c r="CM46" s="220">
        <f t="shared" si="66"/>
        <v>0</v>
      </c>
      <c r="CN46" s="220">
        <f t="shared" si="67"/>
        <v>0</v>
      </c>
      <c r="CO46" s="220">
        <f t="shared" si="100"/>
        <v>0</v>
      </c>
      <c r="CP46" s="220">
        <f t="shared" si="69"/>
        <v>0</v>
      </c>
      <c r="CQ46" s="220">
        <f t="shared" si="70"/>
        <v>0</v>
      </c>
      <c r="CR46" s="220">
        <f t="shared" si="71"/>
        <v>0</v>
      </c>
      <c r="CS46" s="220">
        <f t="shared" si="72"/>
        <v>0</v>
      </c>
      <c r="CT46" s="220">
        <f t="shared" si="73"/>
        <v>0</v>
      </c>
      <c r="CU46" s="220">
        <f t="shared" si="74"/>
        <v>0</v>
      </c>
    </row>
    <row r="47" spans="1:99" x14ac:dyDescent="0.35">
      <c r="A47" s="233">
        <v>5121</v>
      </c>
      <c r="B47" s="233">
        <v>20000337</v>
      </c>
      <c r="C47" s="234" t="s">
        <v>105</v>
      </c>
      <c r="D47" s="234">
        <v>50035135</v>
      </c>
      <c r="E47" s="233">
        <v>46.6</v>
      </c>
      <c r="F47" s="233" t="s">
        <v>106</v>
      </c>
      <c r="G47" s="233" t="s">
        <v>107</v>
      </c>
      <c r="H47" s="233" t="s">
        <v>70</v>
      </c>
      <c r="I47" s="235">
        <v>0</v>
      </c>
      <c r="K47" s="238">
        <v>0</v>
      </c>
      <c r="L47" s="238">
        <v>0</v>
      </c>
      <c r="M47" s="238">
        <v>0</v>
      </c>
      <c r="N47" s="238">
        <v>0</v>
      </c>
      <c r="O47" s="237">
        <v>0</v>
      </c>
      <c r="P47" s="237">
        <v>0</v>
      </c>
      <c r="Q47" s="237">
        <v>0</v>
      </c>
      <c r="R47" s="237">
        <v>0</v>
      </c>
      <c r="S47" s="238">
        <v>0</v>
      </c>
      <c r="T47" s="263">
        <v>0</v>
      </c>
      <c r="U47" s="262">
        <v>0</v>
      </c>
      <c r="V47" s="262">
        <v>0</v>
      </c>
      <c r="W47" s="262">
        <v>937</v>
      </c>
      <c r="X47" s="262">
        <v>0</v>
      </c>
      <c r="Y47" s="262">
        <v>0</v>
      </c>
      <c r="Z47" s="262">
        <v>0</v>
      </c>
      <c r="AA47" s="262">
        <v>0</v>
      </c>
      <c r="AB47" s="262">
        <v>0</v>
      </c>
      <c r="AC47" s="262">
        <v>0</v>
      </c>
      <c r="AD47" s="262">
        <v>0</v>
      </c>
      <c r="AE47" s="262">
        <v>0</v>
      </c>
      <c r="AG47" s="220">
        <f t="shared" si="101"/>
        <v>0</v>
      </c>
      <c r="AH47" s="220">
        <f t="shared" si="102"/>
        <v>0</v>
      </c>
      <c r="AI47" s="220">
        <f t="shared" si="103"/>
        <v>0</v>
      </c>
      <c r="AJ47" s="220">
        <f t="shared" si="104"/>
        <v>0</v>
      </c>
      <c r="AK47" s="220">
        <f t="shared" si="105"/>
        <v>0</v>
      </c>
      <c r="AL47" s="220">
        <f t="shared" si="106"/>
        <v>0</v>
      </c>
      <c r="AM47" s="220">
        <f t="shared" si="107"/>
        <v>0</v>
      </c>
      <c r="AN47" s="220">
        <f t="shared" si="108"/>
        <v>0</v>
      </c>
      <c r="AO47" s="220">
        <f t="shared" si="109"/>
        <v>0</v>
      </c>
      <c r="AP47" s="220">
        <f t="shared" si="110"/>
        <v>0</v>
      </c>
      <c r="AQ47" s="220">
        <f t="shared" si="111"/>
        <v>0</v>
      </c>
      <c r="AR47" s="220">
        <f t="shared" si="112"/>
        <v>0</v>
      </c>
      <c r="AS47" s="220">
        <f t="shared" si="113"/>
        <v>43.664200000000001</v>
      </c>
      <c r="AT47" s="220">
        <f t="shared" si="114"/>
        <v>0</v>
      </c>
      <c r="AU47" s="220">
        <f t="shared" si="115"/>
        <v>0</v>
      </c>
      <c r="AV47" s="220">
        <f t="shared" si="116"/>
        <v>0</v>
      </c>
      <c r="AW47" s="220">
        <f t="shared" si="117"/>
        <v>0</v>
      </c>
      <c r="AX47" s="220">
        <f t="shared" si="118"/>
        <v>0</v>
      </c>
      <c r="AY47" s="220">
        <f t="shared" si="119"/>
        <v>0</v>
      </c>
      <c r="AZ47" s="220">
        <f t="shared" si="120"/>
        <v>0</v>
      </c>
      <c r="BA47" s="220">
        <f t="shared" si="121"/>
        <v>0</v>
      </c>
      <c r="BB47" s="219"/>
      <c r="BC47" s="219"/>
      <c r="BD47" s="220">
        <f t="shared" si="88"/>
        <v>0</v>
      </c>
      <c r="BE47" s="220">
        <f t="shared" si="89"/>
        <v>0</v>
      </c>
      <c r="BF47" s="220">
        <f t="shared" si="90"/>
        <v>0</v>
      </c>
      <c r="BG47" s="220">
        <f t="shared" si="91"/>
        <v>0</v>
      </c>
      <c r="BH47" s="220">
        <f t="shared" si="92"/>
        <v>0</v>
      </c>
      <c r="BI47" s="220">
        <f t="shared" si="93"/>
        <v>0</v>
      </c>
      <c r="BJ47" s="220">
        <f t="shared" si="94"/>
        <v>0</v>
      </c>
      <c r="BK47" s="220">
        <f t="shared" si="95"/>
        <v>0</v>
      </c>
      <c r="BL47" s="220">
        <f t="shared" si="96"/>
        <v>0</v>
      </c>
      <c r="BM47" s="220">
        <f t="shared" si="97"/>
        <v>0</v>
      </c>
      <c r="BN47" s="220">
        <f t="shared" si="98"/>
        <v>0</v>
      </c>
      <c r="BO47" s="220">
        <f t="shared" si="54"/>
        <v>0</v>
      </c>
      <c r="BP47" s="220">
        <f t="shared" si="55"/>
        <v>0</v>
      </c>
      <c r="BQ47" s="220">
        <f t="shared" si="56"/>
        <v>0</v>
      </c>
      <c r="BR47" s="220">
        <f t="shared" si="99"/>
        <v>0</v>
      </c>
      <c r="BS47" s="220">
        <f t="shared" si="58"/>
        <v>0</v>
      </c>
      <c r="BT47" s="220">
        <f t="shared" si="59"/>
        <v>0</v>
      </c>
      <c r="BU47" s="220">
        <f t="shared" si="60"/>
        <v>0</v>
      </c>
      <c r="BV47" s="220">
        <f t="shared" si="61"/>
        <v>0</v>
      </c>
      <c r="BW47" s="220">
        <f t="shared" si="62"/>
        <v>0</v>
      </c>
      <c r="BX47" s="220">
        <f t="shared" si="63"/>
        <v>0</v>
      </c>
      <c r="CA47" s="220">
        <f t="shared" si="75"/>
        <v>0</v>
      </c>
      <c r="CB47" s="220">
        <f t="shared" si="76"/>
        <v>0</v>
      </c>
      <c r="CC47" s="220">
        <f t="shared" si="77"/>
        <v>0</v>
      </c>
      <c r="CD47" s="220">
        <f t="shared" si="78"/>
        <v>0</v>
      </c>
      <c r="CE47" s="220">
        <f t="shared" si="79"/>
        <v>0</v>
      </c>
      <c r="CF47" s="220">
        <f t="shared" si="80"/>
        <v>0</v>
      </c>
      <c r="CG47" s="220">
        <f t="shared" si="81"/>
        <v>0</v>
      </c>
      <c r="CH47" s="220">
        <f t="shared" si="82"/>
        <v>0</v>
      </c>
      <c r="CI47" s="220">
        <f t="shared" si="83"/>
        <v>0</v>
      </c>
      <c r="CJ47" s="220">
        <f t="shared" si="84"/>
        <v>0</v>
      </c>
      <c r="CK47" s="220">
        <f t="shared" si="85"/>
        <v>0</v>
      </c>
      <c r="CL47" s="220">
        <f t="shared" si="65"/>
        <v>0</v>
      </c>
      <c r="CM47" s="220">
        <f t="shared" si="66"/>
        <v>0</v>
      </c>
      <c r="CN47" s="220">
        <f t="shared" si="67"/>
        <v>0</v>
      </c>
      <c r="CO47" s="220">
        <f t="shared" si="100"/>
        <v>0</v>
      </c>
      <c r="CP47" s="220">
        <f t="shared" si="69"/>
        <v>0</v>
      </c>
      <c r="CQ47" s="220">
        <f t="shared" si="70"/>
        <v>0</v>
      </c>
      <c r="CR47" s="220">
        <f t="shared" si="71"/>
        <v>0</v>
      </c>
      <c r="CS47" s="220">
        <f t="shared" si="72"/>
        <v>0</v>
      </c>
      <c r="CT47" s="220">
        <f t="shared" si="73"/>
        <v>0</v>
      </c>
      <c r="CU47" s="220">
        <f t="shared" si="74"/>
        <v>0</v>
      </c>
    </row>
    <row r="48" spans="1:99" x14ac:dyDescent="0.35">
      <c r="A48" s="233">
        <v>5121</v>
      </c>
      <c r="B48" s="233">
        <v>20000337</v>
      </c>
      <c r="C48" s="234" t="s">
        <v>105</v>
      </c>
      <c r="D48" s="234">
        <v>50036915</v>
      </c>
      <c r="E48" s="233">
        <v>46.6</v>
      </c>
      <c r="F48" s="233" t="s">
        <v>106</v>
      </c>
      <c r="G48" s="233" t="s">
        <v>113</v>
      </c>
      <c r="H48" s="233" t="s">
        <v>112</v>
      </c>
      <c r="I48" s="235">
        <v>0.2</v>
      </c>
      <c r="K48" s="238">
        <v>0</v>
      </c>
      <c r="L48" s="238">
        <v>0</v>
      </c>
      <c r="M48" s="237">
        <v>0</v>
      </c>
      <c r="N48" s="237">
        <v>0</v>
      </c>
      <c r="O48" s="237">
        <v>0</v>
      </c>
      <c r="P48" s="237">
        <v>0</v>
      </c>
      <c r="Q48" s="237">
        <v>0</v>
      </c>
      <c r="R48" s="237">
        <v>0</v>
      </c>
      <c r="S48" s="238">
        <v>0</v>
      </c>
      <c r="T48" s="263">
        <v>0</v>
      </c>
      <c r="U48" s="262">
        <v>0</v>
      </c>
      <c r="V48" s="262">
        <v>0</v>
      </c>
      <c r="W48" s="262">
        <v>0</v>
      </c>
      <c r="X48" s="262">
        <v>1000</v>
      </c>
      <c r="Y48" s="262">
        <v>3414.5279999999998</v>
      </c>
      <c r="Z48" s="262">
        <v>1000</v>
      </c>
      <c r="AA48" s="262">
        <v>0</v>
      </c>
      <c r="AB48" s="262">
        <v>0</v>
      </c>
      <c r="AC48" s="262">
        <v>0</v>
      </c>
      <c r="AD48" s="262">
        <v>0</v>
      </c>
      <c r="AE48" s="262">
        <v>0</v>
      </c>
      <c r="AG48" s="220">
        <f t="shared" si="101"/>
        <v>0</v>
      </c>
      <c r="AH48" s="220">
        <f t="shared" si="102"/>
        <v>0</v>
      </c>
      <c r="AI48" s="220">
        <f t="shared" si="103"/>
        <v>0</v>
      </c>
      <c r="AJ48" s="220">
        <f t="shared" si="104"/>
        <v>0</v>
      </c>
      <c r="AK48" s="220">
        <f t="shared" si="105"/>
        <v>0</v>
      </c>
      <c r="AL48" s="220">
        <f t="shared" si="106"/>
        <v>0</v>
      </c>
      <c r="AM48" s="220">
        <f t="shared" si="107"/>
        <v>0</v>
      </c>
      <c r="AN48" s="220">
        <f t="shared" si="108"/>
        <v>0</v>
      </c>
      <c r="AO48" s="220">
        <f t="shared" si="109"/>
        <v>0</v>
      </c>
      <c r="AP48" s="220">
        <f t="shared" si="110"/>
        <v>0</v>
      </c>
      <c r="AQ48" s="220">
        <f t="shared" si="111"/>
        <v>0</v>
      </c>
      <c r="AR48" s="220">
        <f t="shared" si="112"/>
        <v>0</v>
      </c>
      <c r="AS48" s="220">
        <f t="shared" si="113"/>
        <v>0</v>
      </c>
      <c r="AT48" s="220">
        <f t="shared" si="114"/>
        <v>37.28</v>
      </c>
      <c r="AU48" s="220">
        <f t="shared" si="115"/>
        <v>127.29360384</v>
      </c>
      <c r="AV48" s="220">
        <f t="shared" si="116"/>
        <v>37.28</v>
      </c>
      <c r="AW48" s="220">
        <f t="shared" si="117"/>
        <v>0</v>
      </c>
      <c r="AX48" s="220">
        <f t="shared" si="118"/>
        <v>0</v>
      </c>
      <c r="AY48" s="220">
        <f t="shared" si="119"/>
        <v>0</v>
      </c>
      <c r="AZ48" s="220">
        <f t="shared" si="120"/>
        <v>0</v>
      </c>
      <c r="BA48" s="220">
        <f t="shared" si="121"/>
        <v>0</v>
      </c>
      <c r="BB48" s="219"/>
      <c r="BC48" s="219"/>
      <c r="BD48" s="220">
        <f t="shared" si="88"/>
        <v>0</v>
      </c>
      <c r="BE48" s="220">
        <f t="shared" si="89"/>
        <v>0</v>
      </c>
      <c r="BF48" s="220">
        <f t="shared" si="90"/>
        <v>0</v>
      </c>
      <c r="BG48" s="220">
        <f t="shared" si="91"/>
        <v>0</v>
      </c>
      <c r="BH48" s="220">
        <f t="shared" si="92"/>
        <v>0</v>
      </c>
      <c r="BI48" s="220">
        <f t="shared" si="93"/>
        <v>0</v>
      </c>
      <c r="BJ48" s="220">
        <f t="shared" si="94"/>
        <v>0</v>
      </c>
      <c r="BK48" s="220">
        <f t="shared" si="95"/>
        <v>0</v>
      </c>
      <c r="BL48" s="220">
        <f t="shared" si="96"/>
        <v>0</v>
      </c>
      <c r="BM48" s="220">
        <f t="shared" si="97"/>
        <v>0</v>
      </c>
      <c r="BN48" s="220">
        <f t="shared" si="98"/>
        <v>0</v>
      </c>
      <c r="BO48" s="220">
        <f t="shared" si="54"/>
        <v>0</v>
      </c>
      <c r="BP48" s="220">
        <f t="shared" si="55"/>
        <v>0</v>
      </c>
      <c r="BQ48" s="220">
        <f t="shared" si="56"/>
        <v>9.32</v>
      </c>
      <c r="BR48" s="220">
        <f t="shared" si="99"/>
        <v>31.823400960000001</v>
      </c>
      <c r="BS48" s="220">
        <f t="shared" si="58"/>
        <v>9.32</v>
      </c>
      <c r="BT48" s="220">
        <f t="shared" si="59"/>
        <v>0</v>
      </c>
      <c r="BU48" s="220">
        <f t="shared" si="60"/>
        <v>0</v>
      </c>
      <c r="BV48" s="220">
        <f t="shared" si="61"/>
        <v>0</v>
      </c>
      <c r="BW48" s="220">
        <f t="shared" si="62"/>
        <v>0</v>
      </c>
      <c r="BX48" s="220">
        <f t="shared" si="63"/>
        <v>0</v>
      </c>
      <c r="CA48" s="220">
        <f t="shared" si="75"/>
        <v>0</v>
      </c>
      <c r="CB48" s="220">
        <f t="shared" si="76"/>
        <v>0</v>
      </c>
      <c r="CC48" s="220">
        <f t="shared" si="77"/>
        <v>0</v>
      </c>
      <c r="CD48" s="220">
        <f t="shared" si="78"/>
        <v>0</v>
      </c>
      <c r="CE48" s="220">
        <f t="shared" si="79"/>
        <v>0</v>
      </c>
      <c r="CF48" s="220">
        <f t="shared" si="80"/>
        <v>0</v>
      </c>
      <c r="CG48" s="220">
        <f t="shared" si="81"/>
        <v>0</v>
      </c>
      <c r="CH48" s="220">
        <f t="shared" si="82"/>
        <v>0</v>
      </c>
      <c r="CI48" s="220">
        <f t="shared" si="83"/>
        <v>0</v>
      </c>
      <c r="CJ48" s="220">
        <f t="shared" si="84"/>
        <v>0</v>
      </c>
      <c r="CK48" s="220">
        <f t="shared" si="85"/>
        <v>0</v>
      </c>
      <c r="CL48" s="220">
        <f t="shared" si="65"/>
        <v>0</v>
      </c>
      <c r="CM48" s="220">
        <f t="shared" si="66"/>
        <v>0</v>
      </c>
      <c r="CN48" s="220">
        <f t="shared" si="67"/>
        <v>0</v>
      </c>
      <c r="CO48" s="220">
        <f t="shared" si="100"/>
        <v>0</v>
      </c>
      <c r="CP48" s="220">
        <f t="shared" si="69"/>
        <v>0</v>
      </c>
      <c r="CQ48" s="220">
        <f t="shared" si="70"/>
        <v>0</v>
      </c>
      <c r="CR48" s="220">
        <f t="shared" si="71"/>
        <v>0</v>
      </c>
      <c r="CS48" s="220">
        <f t="shared" si="72"/>
        <v>0</v>
      </c>
      <c r="CT48" s="220">
        <f t="shared" si="73"/>
        <v>0</v>
      </c>
      <c r="CU48" s="220">
        <f t="shared" si="74"/>
        <v>0</v>
      </c>
    </row>
    <row r="49" spans="1:99" x14ac:dyDescent="0.35">
      <c r="A49" s="233">
        <v>5121</v>
      </c>
      <c r="B49" s="233">
        <v>20000337</v>
      </c>
      <c r="C49" s="234" t="s">
        <v>105</v>
      </c>
      <c r="D49" s="234">
        <v>50039815</v>
      </c>
      <c r="E49" s="233">
        <v>46.6</v>
      </c>
      <c r="F49" s="233" t="s">
        <v>106</v>
      </c>
      <c r="G49" s="233" t="s">
        <v>113</v>
      </c>
      <c r="H49" s="233" t="s">
        <v>112</v>
      </c>
      <c r="I49" s="235">
        <v>0.2</v>
      </c>
      <c r="K49" s="238">
        <v>0</v>
      </c>
      <c r="L49" s="237">
        <v>0</v>
      </c>
      <c r="M49" s="237">
        <v>0</v>
      </c>
      <c r="N49" s="237">
        <v>0</v>
      </c>
      <c r="O49" s="237">
        <v>0</v>
      </c>
      <c r="P49" s="237">
        <v>0</v>
      </c>
      <c r="Q49" s="237">
        <v>0</v>
      </c>
      <c r="R49" s="237">
        <v>0</v>
      </c>
      <c r="S49" s="238">
        <v>0</v>
      </c>
      <c r="T49" s="263">
        <v>0</v>
      </c>
      <c r="U49" s="262">
        <v>0</v>
      </c>
      <c r="V49" s="262">
        <v>0</v>
      </c>
      <c r="W49" s="262">
        <v>4187</v>
      </c>
      <c r="X49" s="262">
        <v>3694.9759999999997</v>
      </c>
      <c r="Y49" s="262">
        <v>0</v>
      </c>
      <c r="Z49" s="262">
        <v>2414.5279999999998</v>
      </c>
      <c r="AA49" s="262">
        <v>0</v>
      </c>
      <c r="AB49" s="262">
        <v>0</v>
      </c>
      <c r="AC49" s="262">
        <v>0</v>
      </c>
      <c r="AD49" s="262">
        <v>0</v>
      </c>
      <c r="AE49" s="262">
        <v>0</v>
      </c>
      <c r="AG49" s="220">
        <f t="shared" si="101"/>
        <v>0</v>
      </c>
      <c r="AH49" s="220">
        <f t="shared" si="102"/>
        <v>0</v>
      </c>
      <c r="AI49" s="220">
        <f t="shared" si="103"/>
        <v>0</v>
      </c>
      <c r="AJ49" s="220">
        <f t="shared" si="104"/>
        <v>0</v>
      </c>
      <c r="AK49" s="220">
        <f t="shared" si="105"/>
        <v>0</v>
      </c>
      <c r="AL49" s="220">
        <f t="shared" si="106"/>
        <v>0</v>
      </c>
      <c r="AM49" s="220">
        <f t="shared" si="107"/>
        <v>0</v>
      </c>
      <c r="AN49" s="220">
        <f t="shared" si="108"/>
        <v>0</v>
      </c>
      <c r="AO49" s="220">
        <f t="shared" si="109"/>
        <v>0</v>
      </c>
      <c r="AP49" s="220">
        <f t="shared" si="110"/>
        <v>0</v>
      </c>
      <c r="AQ49" s="220">
        <f t="shared" si="111"/>
        <v>0</v>
      </c>
      <c r="AR49" s="220">
        <f t="shared" si="112"/>
        <v>0</v>
      </c>
      <c r="AS49" s="220">
        <f t="shared" si="113"/>
        <v>156.09136000000001</v>
      </c>
      <c r="AT49" s="220">
        <f t="shared" si="114"/>
        <v>137.74870528</v>
      </c>
      <c r="AU49" s="220">
        <f t="shared" si="115"/>
        <v>0</v>
      </c>
      <c r="AV49" s="220">
        <f t="shared" si="116"/>
        <v>90.013603840000002</v>
      </c>
      <c r="AW49" s="220">
        <f t="shared" si="117"/>
        <v>0</v>
      </c>
      <c r="AX49" s="220">
        <f t="shared" si="118"/>
        <v>0</v>
      </c>
      <c r="AY49" s="220">
        <f t="shared" si="119"/>
        <v>0</v>
      </c>
      <c r="AZ49" s="220">
        <f t="shared" si="120"/>
        <v>0</v>
      </c>
      <c r="BA49" s="220">
        <f t="shared" si="121"/>
        <v>0</v>
      </c>
      <c r="BB49" s="219"/>
      <c r="BC49" s="219"/>
      <c r="BD49" s="220">
        <f t="shared" si="88"/>
        <v>0</v>
      </c>
      <c r="BE49" s="220">
        <f t="shared" si="89"/>
        <v>0</v>
      </c>
      <c r="BF49" s="220">
        <f t="shared" si="90"/>
        <v>0</v>
      </c>
      <c r="BG49" s="220">
        <f t="shared" si="91"/>
        <v>0</v>
      </c>
      <c r="BH49" s="220">
        <f t="shared" si="92"/>
        <v>0</v>
      </c>
      <c r="BI49" s="220">
        <f t="shared" si="93"/>
        <v>0</v>
      </c>
      <c r="BJ49" s="220">
        <f t="shared" si="94"/>
        <v>0</v>
      </c>
      <c r="BK49" s="220">
        <f t="shared" si="95"/>
        <v>0</v>
      </c>
      <c r="BL49" s="220">
        <f t="shared" si="96"/>
        <v>0</v>
      </c>
      <c r="BM49" s="220">
        <f t="shared" si="97"/>
        <v>0</v>
      </c>
      <c r="BN49" s="220">
        <f t="shared" si="98"/>
        <v>0</v>
      </c>
      <c r="BO49" s="220">
        <f t="shared" si="54"/>
        <v>0</v>
      </c>
      <c r="BP49" s="220">
        <f t="shared" si="55"/>
        <v>39.022840000000002</v>
      </c>
      <c r="BQ49" s="220">
        <f t="shared" si="56"/>
        <v>34.437176319999999</v>
      </c>
      <c r="BR49" s="220">
        <f t="shared" si="99"/>
        <v>0</v>
      </c>
      <c r="BS49" s="220">
        <f t="shared" si="58"/>
        <v>22.50340096</v>
      </c>
      <c r="BT49" s="220">
        <f t="shared" si="59"/>
        <v>0</v>
      </c>
      <c r="BU49" s="220">
        <f t="shared" si="60"/>
        <v>0</v>
      </c>
      <c r="BV49" s="220">
        <f t="shared" si="61"/>
        <v>0</v>
      </c>
      <c r="BW49" s="220">
        <f t="shared" si="62"/>
        <v>0</v>
      </c>
      <c r="BX49" s="220">
        <f t="shared" si="63"/>
        <v>0</v>
      </c>
      <c r="CA49" s="220">
        <f t="shared" si="75"/>
        <v>0</v>
      </c>
      <c r="CB49" s="220">
        <f t="shared" si="76"/>
        <v>0</v>
      </c>
      <c r="CC49" s="220">
        <f t="shared" si="77"/>
        <v>0</v>
      </c>
      <c r="CD49" s="220">
        <f t="shared" si="78"/>
        <v>0</v>
      </c>
      <c r="CE49" s="220">
        <f t="shared" si="79"/>
        <v>0</v>
      </c>
      <c r="CF49" s="220">
        <f t="shared" si="80"/>
        <v>0</v>
      </c>
      <c r="CG49" s="220">
        <f t="shared" si="81"/>
        <v>0</v>
      </c>
      <c r="CH49" s="220">
        <f t="shared" si="82"/>
        <v>0</v>
      </c>
      <c r="CI49" s="220">
        <f t="shared" si="83"/>
        <v>0</v>
      </c>
      <c r="CJ49" s="220">
        <f t="shared" si="84"/>
        <v>0</v>
      </c>
      <c r="CK49" s="220">
        <f t="shared" si="85"/>
        <v>0</v>
      </c>
      <c r="CL49" s="220">
        <f t="shared" si="65"/>
        <v>0</v>
      </c>
      <c r="CM49" s="220">
        <f t="shared" si="66"/>
        <v>0</v>
      </c>
      <c r="CN49" s="220">
        <f t="shared" si="67"/>
        <v>0</v>
      </c>
      <c r="CO49" s="220">
        <f t="shared" si="100"/>
        <v>0</v>
      </c>
      <c r="CP49" s="220">
        <f t="shared" si="69"/>
        <v>0</v>
      </c>
      <c r="CQ49" s="220">
        <f t="shared" si="70"/>
        <v>0</v>
      </c>
      <c r="CR49" s="220">
        <f t="shared" si="71"/>
        <v>0</v>
      </c>
      <c r="CS49" s="220">
        <f t="shared" si="72"/>
        <v>0</v>
      </c>
      <c r="CT49" s="220">
        <f t="shared" si="73"/>
        <v>0</v>
      </c>
      <c r="CU49" s="220">
        <f t="shared" si="74"/>
        <v>0</v>
      </c>
    </row>
    <row r="50" spans="1:99" x14ac:dyDescent="0.35">
      <c r="A50" s="233">
        <v>5121</v>
      </c>
      <c r="B50" s="233">
        <v>20000337</v>
      </c>
      <c r="C50" s="234" t="s">
        <v>105</v>
      </c>
      <c r="D50" s="234">
        <v>50033714</v>
      </c>
      <c r="E50" s="233">
        <v>46.6</v>
      </c>
      <c r="F50" s="233" t="s">
        <v>106</v>
      </c>
      <c r="G50" s="233" t="s">
        <v>114</v>
      </c>
      <c r="H50" s="233" t="s">
        <v>112</v>
      </c>
      <c r="I50" s="235">
        <v>0.2</v>
      </c>
      <c r="K50" s="238">
        <v>0</v>
      </c>
      <c r="L50" s="238">
        <v>1169.4179689615385</v>
      </c>
      <c r="M50" s="238">
        <v>0</v>
      </c>
      <c r="N50" s="238">
        <v>0</v>
      </c>
      <c r="O50" s="238">
        <v>0</v>
      </c>
      <c r="P50" s="238">
        <v>0</v>
      </c>
      <c r="Q50" s="238">
        <v>0</v>
      </c>
      <c r="R50" s="237">
        <v>0</v>
      </c>
      <c r="S50" s="238">
        <v>0</v>
      </c>
      <c r="T50" s="263">
        <v>0</v>
      </c>
      <c r="U50" s="262">
        <v>0</v>
      </c>
      <c r="V50" s="262">
        <v>0</v>
      </c>
      <c r="W50" s="262">
        <v>0</v>
      </c>
      <c r="X50" s="262">
        <v>0</v>
      </c>
      <c r="Y50" s="262">
        <v>0</v>
      </c>
      <c r="Z50" s="262">
        <v>0</v>
      </c>
      <c r="AA50" s="262">
        <v>0</v>
      </c>
      <c r="AB50" s="262">
        <v>0</v>
      </c>
      <c r="AC50" s="262">
        <v>0</v>
      </c>
      <c r="AD50" s="262">
        <v>0</v>
      </c>
      <c r="AE50" s="262">
        <v>0</v>
      </c>
      <c r="AG50" s="220">
        <f t="shared" si="101"/>
        <v>0</v>
      </c>
      <c r="AH50" s="220">
        <f t="shared" si="102"/>
        <v>43.595901882886153</v>
      </c>
      <c r="AI50" s="220">
        <f t="shared" si="103"/>
        <v>0</v>
      </c>
      <c r="AJ50" s="220">
        <f t="shared" si="104"/>
        <v>0</v>
      </c>
      <c r="AK50" s="220">
        <f t="shared" si="105"/>
        <v>0</v>
      </c>
      <c r="AL50" s="220">
        <f t="shared" si="106"/>
        <v>0</v>
      </c>
      <c r="AM50" s="220">
        <f t="shared" si="107"/>
        <v>0</v>
      </c>
      <c r="AN50" s="220">
        <f t="shared" si="108"/>
        <v>0</v>
      </c>
      <c r="AO50" s="220">
        <f t="shared" si="109"/>
        <v>0</v>
      </c>
      <c r="AP50" s="220">
        <f t="shared" si="110"/>
        <v>0</v>
      </c>
      <c r="AQ50" s="220">
        <f t="shared" si="111"/>
        <v>0</v>
      </c>
      <c r="AR50" s="220">
        <f t="shared" si="112"/>
        <v>0</v>
      </c>
      <c r="AS50" s="220">
        <f t="shared" si="113"/>
        <v>0</v>
      </c>
      <c r="AT50" s="220">
        <f t="shared" si="114"/>
        <v>0</v>
      </c>
      <c r="AU50" s="220">
        <f t="shared" si="115"/>
        <v>0</v>
      </c>
      <c r="AV50" s="220">
        <f t="shared" si="116"/>
        <v>0</v>
      </c>
      <c r="AW50" s="220">
        <f t="shared" si="117"/>
        <v>0</v>
      </c>
      <c r="AX50" s="220">
        <f t="shared" si="118"/>
        <v>0</v>
      </c>
      <c r="AY50" s="220">
        <f t="shared" si="119"/>
        <v>0</v>
      </c>
      <c r="AZ50" s="220">
        <f t="shared" si="120"/>
        <v>0</v>
      </c>
      <c r="BA50" s="220">
        <f t="shared" si="121"/>
        <v>0</v>
      </c>
      <c r="BB50" s="219"/>
      <c r="BC50" s="219"/>
      <c r="BD50" s="220">
        <f t="shared" si="88"/>
        <v>0</v>
      </c>
      <c r="BE50" s="220">
        <f t="shared" si="89"/>
        <v>10.898975470721538</v>
      </c>
      <c r="BF50" s="220">
        <f t="shared" si="90"/>
        <v>0</v>
      </c>
      <c r="BG50" s="220">
        <f t="shared" si="91"/>
        <v>0</v>
      </c>
      <c r="BH50" s="220">
        <f t="shared" si="92"/>
        <v>0</v>
      </c>
      <c r="BI50" s="220">
        <f t="shared" si="93"/>
        <v>0</v>
      </c>
      <c r="BJ50" s="220">
        <f t="shared" si="94"/>
        <v>0</v>
      </c>
      <c r="BK50" s="220">
        <f t="shared" si="95"/>
        <v>0</v>
      </c>
      <c r="BL50" s="220">
        <f t="shared" si="96"/>
        <v>0</v>
      </c>
      <c r="BM50" s="220">
        <f t="shared" si="97"/>
        <v>0</v>
      </c>
      <c r="BN50" s="220">
        <f t="shared" si="98"/>
        <v>0</v>
      </c>
      <c r="BO50" s="220">
        <f t="shared" si="54"/>
        <v>0</v>
      </c>
      <c r="BP50" s="220">
        <f t="shared" si="55"/>
        <v>0</v>
      </c>
      <c r="BQ50" s="220">
        <f t="shared" si="56"/>
        <v>0</v>
      </c>
      <c r="BR50" s="220">
        <f t="shared" si="99"/>
        <v>0</v>
      </c>
      <c r="BS50" s="220">
        <f t="shared" si="58"/>
        <v>0</v>
      </c>
      <c r="BT50" s="220">
        <f t="shared" si="59"/>
        <v>0</v>
      </c>
      <c r="BU50" s="220">
        <f t="shared" si="60"/>
        <v>0</v>
      </c>
      <c r="BV50" s="220">
        <f t="shared" si="61"/>
        <v>0</v>
      </c>
      <c r="BW50" s="220">
        <f t="shared" si="62"/>
        <v>0</v>
      </c>
      <c r="BX50" s="220">
        <f t="shared" si="63"/>
        <v>0</v>
      </c>
      <c r="CA50" s="220">
        <f t="shared" si="75"/>
        <v>0</v>
      </c>
      <c r="CB50" s="220">
        <f t="shared" si="76"/>
        <v>0</v>
      </c>
      <c r="CC50" s="220">
        <f t="shared" si="77"/>
        <v>0</v>
      </c>
      <c r="CD50" s="220">
        <f t="shared" si="78"/>
        <v>0</v>
      </c>
      <c r="CE50" s="220">
        <f t="shared" si="79"/>
        <v>0</v>
      </c>
      <c r="CF50" s="220">
        <f t="shared" si="80"/>
        <v>0</v>
      </c>
      <c r="CG50" s="220">
        <f t="shared" si="81"/>
        <v>0</v>
      </c>
      <c r="CH50" s="220">
        <f t="shared" si="82"/>
        <v>0</v>
      </c>
      <c r="CI50" s="220">
        <f t="shared" si="83"/>
        <v>0</v>
      </c>
      <c r="CJ50" s="220">
        <f t="shared" si="84"/>
        <v>0</v>
      </c>
      <c r="CK50" s="220">
        <f t="shared" si="85"/>
        <v>0</v>
      </c>
      <c r="CL50" s="220">
        <f t="shared" si="65"/>
        <v>0</v>
      </c>
      <c r="CM50" s="220">
        <f t="shared" si="66"/>
        <v>0</v>
      </c>
      <c r="CN50" s="220">
        <f t="shared" si="67"/>
        <v>0</v>
      </c>
      <c r="CO50" s="220">
        <f t="shared" si="100"/>
        <v>0</v>
      </c>
      <c r="CP50" s="220">
        <f t="shared" si="69"/>
        <v>0</v>
      </c>
      <c r="CQ50" s="220">
        <f t="shared" si="70"/>
        <v>0</v>
      </c>
      <c r="CR50" s="220">
        <f t="shared" si="71"/>
        <v>0</v>
      </c>
      <c r="CS50" s="220">
        <f t="shared" si="72"/>
        <v>0</v>
      </c>
      <c r="CT50" s="220">
        <f t="shared" si="73"/>
        <v>0</v>
      </c>
      <c r="CU50" s="220">
        <f t="shared" si="74"/>
        <v>0</v>
      </c>
    </row>
    <row r="51" spans="1:99" x14ac:dyDescent="0.35">
      <c r="A51" s="233">
        <v>5121</v>
      </c>
      <c r="B51" s="233">
        <v>20000337</v>
      </c>
      <c r="C51" s="234" t="s">
        <v>105</v>
      </c>
      <c r="D51" s="234">
        <v>50037042</v>
      </c>
      <c r="E51" s="233">
        <v>46.6</v>
      </c>
      <c r="F51" s="233" t="s">
        <v>106</v>
      </c>
      <c r="G51" s="233" t="s">
        <v>114</v>
      </c>
      <c r="H51" s="233" t="s">
        <v>112</v>
      </c>
      <c r="I51" s="235">
        <v>0.2</v>
      </c>
      <c r="K51" s="237">
        <v>0</v>
      </c>
      <c r="L51" s="237">
        <v>0</v>
      </c>
      <c r="M51" s="237">
        <v>0</v>
      </c>
      <c r="N51" s="237">
        <v>0</v>
      </c>
      <c r="O51" s="237">
        <v>0</v>
      </c>
      <c r="P51" s="237">
        <v>0</v>
      </c>
      <c r="Q51" s="237">
        <v>0</v>
      </c>
      <c r="R51" s="237">
        <v>0</v>
      </c>
      <c r="S51" s="238">
        <v>0</v>
      </c>
      <c r="T51" s="263">
        <v>0</v>
      </c>
      <c r="U51" s="262">
        <v>0</v>
      </c>
      <c r="V51" s="262">
        <v>0</v>
      </c>
      <c r="W51" s="262">
        <v>0</v>
      </c>
      <c r="X51" s="262">
        <v>0</v>
      </c>
      <c r="Y51" s="262">
        <v>0</v>
      </c>
      <c r="Z51" s="262">
        <v>0</v>
      </c>
      <c r="AA51" s="262">
        <v>0</v>
      </c>
      <c r="AB51" s="262">
        <v>0</v>
      </c>
      <c r="AC51" s="262">
        <v>0</v>
      </c>
      <c r="AD51" s="262">
        <v>0</v>
      </c>
      <c r="AE51" s="262">
        <v>0</v>
      </c>
      <c r="AG51" s="220">
        <f t="shared" si="101"/>
        <v>0</v>
      </c>
      <c r="AH51" s="220">
        <f t="shared" si="102"/>
        <v>0</v>
      </c>
      <c r="AI51" s="220">
        <f t="shared" si="103"/>
        <v>0</v>
      </c>
      <c r="AJ51" s="220">
        <f t="shared" si="104"/>
        <v>0</v>
      </c>
      <c r="AK51" s="220">
        <f t="shared" si="105"/>
        <v>0</v>
      </c>
      <c r="AL51" s="220">
        <f t="shared" si="106"/>
        <v>0</v>
      </c>
      <c r="AM51" s="220">
        <f t="shared" si="107"/>
        <v>0</v>
      </c>
      <c r="AN51" s="220">
        <f t="shared" si="108"/>
        <v>0</v>
      </c>
      <c r="AO51" s="220">
        <f t="shared" si="109"/>
        <v>0</v>
      </c>
      <c r="AP51" s="220">
        <f t="shared" si="110"/>
        <v>0</v>
      </c>
      <c r="AQ51" s="220">
        <f t="shared" si="111"/>
        <v>0</v>
      </c>
      <c r="AR51" s="220">
        <f t="shared" si="112"/>
        <v>0</v>
      </c>
      <c r="AS51" s="220">
        <f t="shared" si="113"/>
        <v>0</v>
      </c>
      <c r="AT51" s="220">
        <f t="shared" si="114"/>
        <v>0</v>
      </c>
      <c r="AU51" s="220">
        <f t="shared" si="115"/>
        <v>0</v>
      </c>
      <c r="AV51" s="220">
        <f t="shared" si="116"/>
        <v>0</v>
      </c>
      <c r="AW51" s="220">
        <f t="shared" si="117"/>
        <v>0</v>
      </c>
      <c r="AX51" s="220">
        <f t="shared" si="118"/>
        <v>0</v>
      </c>
      <c r="AY51" s="220">
        <f t="shared" si="119"/>
        <v>0</v>
      </c>
      <c r="AZ51" s="220">
        <f t="shared" si="120"/>
        <v>0</v>
      </c>
      <c r="BA51" s="220">
        <f t="shared" si="121"/>
        <v>0</v>
      </c>
      <c r="BB51" s="219"/>
      <c r="BC51" s="219"/>
      <c r="BD51" s="220">
        <f t="shared" si="88"/>
        <v>0</v>
      </c>
      <c r="BE51" s="220">
        <f t="shared" si="89"/>
        <v>0</v>
      </c>
      <c r="BF51" s="220">
        <f t="shared" si="90"/>
        <v>0</v>
      </c>
      <c r="BG51" s="220">
        <f t="shared" si="91"/>
        <v>0</v>
      </c>
      <c r="BH51" s="220">
        <f t="shared" si="92"/>
        <v>0</v>
      </c>
      <c r="BI51" s="220">
        <f t="shared" si="93"/>
        <v>0</v>
      </c>
      <c r="BJ51" s="220">
        <f t="shared" si="94"/>
        <v>0</v>
      </c>
      <c r="BK51" s="220">
        <f t="shared" si="95"/>
        <v>0</v>
      </c>
      <c r="BL51" s="220">
        <f t="shared" si="96"/>
        <v>0</v>
      </c>
      <c r="BM51" s="220">
        <f t="shared" si="97"/>
        <v>0</v>
      </c>
      <c r="BN51" s="220">
        <f t="shared" si="98"/>
        <v>0</v>
      </c>
      <c r="BO51" s="220">
        <f t="shared" si="54"/>
        <v>0</v>
      </c>
      <c r="BP51" s="220">
        <f t="shared" si="55"/>
        <v>0</v>
      </c>
      <c r="BQ51" s="220">
        <f t="shared" si="56"/>
        <v>0</v>
      </c>
      <c r="BR51" s="220">
        <f t="shared" si="99"/>
        <v>0</v>
      </c>
      <c r="BS51" s="220">
        <f t="shared" si="58"/>
        <v>0</v>
      </c>
      <c r="BT51" s="220">
        <f t="shared" si="59"/>
        <v>0</v>
      </c>
      <c r="BU51" s="220">
        <f t="shared" si="60"/>
        <v>0</v>
      </c>
      <c r="BV51" s="220">
        <f t="shared" si="61"/>
        <v>0</v>
      </c>
      <c r="BW51" s="220">
        <f t="shared" si="62"/>
        <v>0</v>
      </c>
      <c r="BX51" s="220">
        <f t="shared" si="63"/>
        <v>0</v>
      </c>
      <c r="CA51" s="220">
        <f t="shared" si="75"/>
        <v>0</v>
      </c>
      <c r="CB51" s="220">
        <f t="shared" si="76"/>
        <v>0</v>
      </c>
      <c r="CC51" s="220">
        <f t="shared" si="77"/>
        <v>0</v>
      </c>
      <c r="CD51" s="220">
        <f t="shared" si="78"/>
        <v>0</v>
      </c>
      <c r="CE51" s="220">
        <f t="shared" si="79"/>
        <v>0</v>
      </c>
      <c r="CF51" s="220">
        <f t="shared" si="80"/>
        <v>0</v>
      </c>
      <c r="CG51" s="220">
        <f t="shared" si="81"/>
        <v>0</v>
      </c>
      <c r="CH51" s="220">
        <f t="shared" si="82"/>
        <v>0</v>
      </c>
      <c r="CI51" s="220">
        <f t="shared" si="83"/>
        <v>0</v>
      </c>
      <c r="CJ51" s="220">
        <f t="shared" si="84"/>
        <v>0</v>
      </c>
      <c r="CK51" s="220">
        <f t="shared" si="85"/>
        <v>0</v>
      </c>
      <c r="CL51" s="220">
        <f t="shared" si="65"/>
        <v>0</v>
      </c>
      <c r="CM51" s="220">
        <f t="shared" si="66"/>
        <v>0</v>
      </c>
      <c r="CN51" s="220">
        <f t="shared" si="67"/>
        <v>0</v>
      </c>
      <c r="CO51" s="220">
        <f t="shared" si="100"/>
        <v>0</v>
      </c>
      <c r="CP51" s="220">
        <f t="shared" si="69"/>
        <v>0</v>
      </c>
      <c r="CQ51" s="220">
        <f t="shared" si="70"/>
        <v>0</v>
      </c>
      <c r="CR51" s="220">
        <f t="shared" si="71"/>
        <v>0</v>
      </c>
      <c r="CS51" s="220">
        <f t="shared" si="72"/>
        <v>0</v>
      </c>
      <c r="CT51" s="220">
        <f t="shared" si="73"/>
        <v>0</v>
      </c>
      <c r="CU51" s="220">
        <f t="shared" si="74"/>
        <v>0</v>
      </c>
    </row>
    <row r="52" spans="1:99" x14ac:dyDescent="0.35">
      <c r="A52" s="233">
        <v>5121</v>
      </c>
      <c r="B52" s="233">
        <v>20000337</v>
      </c>
      <c r="C52" s="234" t="s">
        <v>105</v>
      </c>
      <c r="D52" s="234">
        <v>50030381</v>
      </c>
      <c r="E52" s="233">
        <v>46.6</v>
      </c>
      <c r="F52" s="233" t="s">
        <v>106</v>
      </c>
      <c r="G52" s="233" t="s">
        <v>115</v>
      </c>
      <c r="H52" s="233" t="s">
        <v>70</v>
      </c>
      <c r="I52" s="235">
        <v>0</v>
      </c>
      <c r="K52" s="237">
        <v>0</v>
      </c>
      <c r="L52" s="237">
        <v>0</v>
      </c>
      <c r="M52" s="237">
        <v>0</v>
      </c>
      <c r="N52" s="237">
        <v>0</v>
      </c>
      <c r="O52" s="237">
        <v>0</v>
      </c>
      <c r="P52" s="237">
        <v>0</v>
      </c>
      <c r="Q52" s="237">
        <v>0</v>
      </c>
      <c r="R52" s="237">
        <v>0</v>
      </c>
      <c r="S52" s="238">
        <v>0</v>
      </c>
      <c r="T52" s="263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1708</v>
      </c>
      <c r="Z52" s="262">
        <v>1708</v>
      </c>
      <c r="AA52" s="262">
        <v>4127.43</v>
      </c>
      <c r="AB52" s="262">
        <v>5124</v>
      </c>
      <c r="AC52" s="262">
        <v>3843</v>
      </c>
      <c r="AD52" s="262">
        <v>3843</v>
      </c>
      <c r="AE52" s="262">
        <v>3416</v>
      </c>
      <c r="AG52" s="220">
        <f t="shared" si="101"/>
        <v>0</v>
      </c>
      <c r="AH52" s="220">
        <f t="shared" si="102"/>
        <v>0</v>
      </c>
      <c r="AI52" s="220">
        <f t="shared" si="103"/>
        <v>0</v>
      </c>
      <c r="AJ52" s="220">
        <f t="shared" si="104"/>
        <v>0</v>
      </c>
      <c r="AK52" s="220">
        <f t="shared" si="105"/>
        <v>0</v>
      </c>
      <c r="AL52" s="220">
        <f t="shared" si="106"/>
        <v>0</v>
      </c>
      <c r="AM52" s="220">
        <f t="shared" si="107"/>
        <v>0</v>
      </c>
      <c r="AN52" s="220">
        <f t="shared" si="108"/>
        <v>0</v>
      </c>
      <c r="AO52" s="220">
        <f t="shared" si="109"/>
        <v>0</v>
      </c>
      <c r="AP52" s="220">
        <f t="shared" si="110"/>
        <v>0</v>
      </c>
      <c r="AQ52" s="220">
        <f t="shared" si="111"/>
        <v>0</v>
      </c>
      <c r="AR52" s="220">
        <f t="shared" si="112"/>
        <v>0</v>
      </c>
      <c r="AS52" s="220">
        <f t="shared" si="113"/>
        <v>0</v>
      </c>
      <c r="AT52" s="220">
        <f t="shared" si="114"/>
        <v>0</v>
      </c>
      <c r="AU52" s="220">
        <f t="shared" si="115"/>
        <v>79.592799999999997</v>
      </c>
      <c r="AV52" s="220">
        <f t="shared" si="116"/>
        <v>79.592799999999997</v>
      </c>
      <c r="AW52" s="220">
        <f t="shared" si="117"/>
        <v>192.33823800000002</v>
      </c>
      <c r="AX52" s="220">
        <f t="shared" si="118"/>
        <v>238.7784</v>
      </c>
      <c r="AY52" s="220">
        <f t="shared" si="119"/>
        <v>179.08380000000002</v>
      </c>
      <c r="AZ52" s="220">
        <f t="shared" si="120"/>
        <v>179.08380000000002</v>
      </c>
      <c r="BA52" s="220">
        <f t="shared" si="121"/>
        <v>159.18559999999999</v>
      </c>
      <c r="BB52" s="219"/>
      <c r="BC52" s="219"/>
      <c r="BD52" s="220">
        <f t="shared" si="88"/>
        <v>0</v>
      </c>
      <c r="BE52" s="220">
        <f t="shared" si="89"/>
        <v>0</v>
      </c>
      <c r="BF52" s="220">
        <f t="shared" si="90"/>
        <v>0</v>
      </c>
      <c r="BG52" s="220">
        <f t="shared" si="91"/>
        <v>0</v>
      </c>
      <c r="BH52" s="220">
        <f t="shared" si="92"/>
        <v>0</v>
      </c>
      <c r="BI52" s="220">
        <f t="shared" si="93"/>
        <v>0</v>
      </c>
      <c r="BJ52" s="220">
        <f t="shared" si="94"/>
        <v>0</v>
      </c>
      <c r="BK52" s="220">
        <f t="shared" si="95"/>
        <v>0</v>
      </c>
      <c r="BL52" s="220">
        <f t="shared" si="96"/>
        <v>0</v>
      </c>
      <c r="BM52" s="220">
        <f t="shared" si="97"/>
        <v>0</v>
      </c>
      <c r="BN52" s="220">
        <f t="shared" si="98"/>
        <v>0</v>
      </c>
      <c r="BO52" s="220">
        <f t="shared" si="54"/>
        <v>0</v>
      </c>
      <c r="BP52" s="220">
        <f t="shared" si="55"/>
        <v>0</v>
      </c>
      <c r="BQ52" s="220">
        <f t="shared" si="56"/>
        <v>0</v>
      </c>
      <c r="BR52" s="220">
        <f t="shared" si="99"/>
        <v>0</v>
      </c>
      <c r="BS52" s="220">
        <f t="shared" si="58"/>
        <v>0</v>
      </c>
      <c r="BT52" s="220">
        <f t="shared" si="59"/>
        <v>0</v>
      </c>
      <c r="BU52" s="220">
        <f t="shared" si="60"/>
        <v>0</v>
      </c>
      <c r="BV52" s="220">
        <f t="shared" si="61"/>
        <v>0</v>
      </c>
      <c r="BW52" s="220">
        <f t="shared" si="62"/>
        <v>0</v>
      </c>
      <c r="BX52" s="220">
        <f t="shared" si="63"/>
        <v>0</v>
      </c>
      <c r="CA52" s="220">
        <f t="shared" si="75"/>
        <v>0</v>
      </c>
      <c r="CB52" s="220">
        <f t="shared" si="76"/>
        <v>0</v>
      </c>
      <c r="CC52" s="220">
        <f t="shared" si="77"/>
        <v>0</v>
      </c>
      <c r="CD52" s="220">
        <f t="shared" si="78"/>
        <v>0</v>
      </c>
      <c r="CE52" s="220">
        <f t="shared" si="79"/>
        <v>0</v>
      </c>
      <c r="CF52" s="220">
        <f t="shared" si="80"/>
        <v>0</v>
      </c>
      <c r="CG52" s="220">
        <f t="shared" si="81"/>
        <v>0</v>
      </c>
      <c r="CH52" s="220">
        <f t="shared" si="82"/>
        <v>0</v>
      </c>
      <c r="CI52" s="220">
        <f t="shared" si="83"/>
        <v>0</v>
      </c>
      <c r="CJ52" s="220">
        <f t="shared" si="84"/>
        <v>0</v>
      </c>
      <c r="CK52" s="220">
        <f t="shared" si="85"/>
        <v>0</v>
      </c>
      <c r="CL52" s="220">
        <f t="shared" si="65"/>
        <v>0</v>
      </c>
      <c r="CM52" s="220">
        <f t="shared" si="66"/>
        <v>0</v>
      </c>
      <c r="CN52" s="220">
        <f t="shared" si="67"/>
        <v>0</v>
      </c>
      <c r="CO52" s="220">
        <f t="shared" si="100"/>
        <v>0</v>
      </c>
      <c r="CP52" s="220">
        <f t="shared" si="69"/>
        <v>0</v>
      </c>
      <c r="CQ52" s="220">
        <f t="shared" si="70"/>
        <v>0</v>
      </c>
      <c r="CR52" s="220">
        <f t="shared" si="71"/>
        <v>0</v>
      </c>
      <c r="CS52" s="220">
        <f t="shared" si="72"/>
        <v>0</v>
      </c>
      <c r="CT52" s="220">
        <f t="shared" si="73"/>
        <v>0</v>
      </c>
      <c r="CU52" s="220">
        <f t="shared" si="74"/>
        <v>0</v>
      </c>
    </row>
    <row r="53" spans="1:99" x14ac:dyDescent="0.35">
      <c r="A53" s="233">
        <v>5121</v>
      </c>
      <c r="B53" s="233">
        <v>20000337</v>
      </c>
      <c r="C53" s="234" t="s">
        <v>105</v>
      </c>
      <c r="D53" s="234">
        <v>50039572</v>
      </c>
      <c r="E53" s="233">
        <v>46.6</v>
      </c>
      <c r="F53" s="233" t="s">
        <v>106</v>
      </c>
      <c r="G53" s="233" t="s">
        <v>115</v>
      </c>
      <c r="H53" s="233" t="s">
        <v>70</v>
      </c>
      <c r="I53" s="235">
        <v>0</v>
      </c>
      <c r="K53" s="237">
        <v>0</v>
      </c>
      <c r="L53" s="237">
        <v>0</v>
      </c>
      <c r="M53" s="237">
        <v>0</v>
      </c>
      <c r="N53" s="237">
        <v>0</v>
      </c>
      <c r="O53" s="237">
        <v>0</v>
      </c>
      <c r="P53" s="237">
        <v>0</v>
      </c>
      <c r="Q53" s="237">
        <v>0</v>
      </c>
      <c r="R53" s="237">
        <v>0</v>
      </c>
      <c r="S53" s="238">
        <v>0</v>
      </c>
      <c r="T53" s="263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Z53" s="262">
        <v>0</v>
      </c>
      <c r="AA53" s="262">
        <v>0</v>
      </c>
      <c r="AB53" s="262">
        <v>0</v>
      </c>
      <c r="AC53" s="262">
        <v>0</v>
      </c>
      <c r="AD53" s="262">
        <v>0</v>
      </c>
      <c r="AE53" s="262">
        <v>0</v>
      </c>
      <c r="AG53" s="220">
        <f t="shared" si="101"/>
        <v>0</v>
      </c>
      <c r="AH53" s="220">
        <f t="shared" si="102"/>
        <v>0</v>
      </c>
      <c r="AI53" s="220">
        <f t="shared" si="103"/>
        <v>0</v>
      </c>
      <c r="AJ53" s="220">
        <f t="shared" si="104"/>
        <v>0</v>
      </c>
      <c r="AK53" s="220">
        <f t="shared" si="105"/>
        <v>0</v>
      </c>
      <c r="AL53" s="220">
        <f t="shared" si="106"/>
        <v>0</v>
      </c>
      <c r="AM53" s="220">
        <f t="shared" si="107"/>
        <v>0</v>
      </c>
      <c r="AN53" s="220">
        <f t="shared" si="108"/>
        <v>0</v>
      </c>
      <c r="AO53" s="220">
        <f t="shared" si="109"/>
        <v>0</v>
      </c>
      <c r="AP53" s="220">
        <f t="shared" si="110"/>
        <v>0</v>
      </c>
      <c r="AQ53" s="220">
        <f t="shared" si="111"/>
        <v>0</v>
      </c>
      <c r="AR53" s="220">
        <f t="shared" si="112"/>
        <v>0</v>
      </c>
      <c r="AS53" s="220">
        <f t="shared" si="113"/>
        <v>0</v>
      </c>
      <c r="AT53" s="220">
        <f t="shared" si="114"/>
        <v>0</v>
      </c>
      <c r="AU53" s="220">
        <f t="shared" si="115"/>
        <v>0</v>
      </c>
      <c r="AV53" s="220">
        <f t="shared" si="116"/>
        <v>0</v>
      </c>
      <c r="AW53" s="220">
        <f t="shared" si="117"/>
        <v>0</v>
      </c>
      <c r="AX53" s="220">
        <f t="shared" si="118"/>
        <v>0</v>
      </c>
      <c r="AY53" s="220">
        <f t="shared" si="119"/>
        <v>0</v>
      </c>
      <c r="AZ53" s="220">
        <f t="shared" si="120"/>
        <v>0</v>
      </c>
      <c r="BA53" s="220">
        <f t="shared" si="121"/>
        <v>0</v>
      </c>
      <c r="BB53" s="219"/>
      <c r="BC53" s="219"/>
      <c r="BD53" s="220">
        <f t="shared" si="88"/>
        <v>0</v>
      </c>
      <c r="BE53" s="220">
        <f t="shared" si="89"/>
        <v>0</v>
      </c>
      <c r="BF53" s="220">
        <f t="shared" si="90"/>
        <v>0</v>
      </c>
      <c r="BG53" s="220">
        <f t="shared" si="91"/>
        <v>0</v>
      </c>
      <c r="BH53" s="220">
        <f t="shared" si="92"/>
        <v>0</v>
      </c>
      <c r="BI53" s="220">
        <f t="shared" si="93"/>
        <v>0</v>
      </c>
      <c r="BJ53" s="220">
        <f t="shared" si="94"/>
        <v>0</v>
      </c>
      <c r="BK53" s="220">
        <f t="shared" si="95"/>
        <v>0</v>
      </c>
      <c r="BL53" s="220">
        <f t="shared" si="96"/>
        <v>0</v>
      </c>
      <c r="BM53" s="220">
        <f t="shared" si="97"/>
        <v>0</v>
      </c>
      <c r="BN53" s="220">
        <f t="shared" si="98"/>
        <v>0</v>
      </c>
      <c r="BO53" s="220">
        <f t="shared" si="54"/>
        <v>0</v>
      </c>
      <c r="BP53" s="220">
        <f t="shared" si="55"/>
        <v>0</v>
      </c>
      <c r="BQ53" s="220">
        <f t="shared" si="56"/>
        <v>0</v>
      </c>
      <c r="BR53" s="220">
        <f t="shared" si="99"/>
        <v>0</v>
      </c>
      <c r="BS53" s="220">
        <f t="shared" si="58"/>
        <v>0</v>
      </c>
      <c r="BT53" s="220">
        <f t="shared" si="59"/>
        <v>0</v>
      </c>
      <c r="BU53" s="220">
        <f t="shared" si="60"/>
        <v>0</v>
      </c>
      <c r="BV53" s="220">
        <f t="shared" si="61"/>
        <v>0</v>
      </c>
      <c r="BW53" s="220">
        <f t="shared" si="62"/>
        <v>0</v>
      </c>
      <c r="BX53" s="220">
        <f t="shared" si="63"/>
        <v>0</v>
      </c>
      <c r="CA53" s="220">
        <f t="shared" si="75"/>
        <v>0</v>
      </c>
      <c r="CB53" s="220">
        <f t="shared" si="76"/>
        <v>0</v>
      </c>
      <c r="CC53" s="220">
        <f t="shared" si="77"/>
        <v>0</v>
      </c>
      <c r="CD53" s="220">
        <f t="shared" si="78"/>
        <v>0</v>
      </c>
      <c r="CE53" s="220">
        <f t="shared" si="79"/>
        <v>0</v>
      </c>
      <c r="CF53" s="220">
        <f t="shared" si="80"/>
        <v>0</v>
      </c>
      <c r="CG53" s="220">
        <f t="shared" si="81"/>
        <v>0</v>
      </c>
      <c r="CH53" s="220">
        <f t="shared" si="82"/>
        <v>0</v>
      </c>
      <c r="CI53" s="220">
        <f t="shared" si="83"/>
        <v>0</v>
      </c>
      <c r="CJ53" s="220">
        <f t="shared" si="84"/>
        <v>0</v>
      </c>
      <c r="CK53" s="220">
        <f t="shared" si="85"/>
        <v>0</v>
      </c>
      <c r="CL53" s="220">
        <f t="shared" si="65"/>
        <v>0</v>
      </c>
      <c r="CM53" s="220">
        <f t="shared" si="66"/>
        <v>0</v>
      </c>
      <c r="CN53" s="220">
        <f t="shared" si="67"/>
        <v>0</v>
      </c>
      <c r="CO53" s="220">
        <f t="shared" si="100"/>
        <v>0</v>
      </c>
      <c r="CP53" s="220">
        <f t="shared" si="69"/>
        <v>0</v>
      </c>
      <c r="CQ53" s="220">
        <f t="shared" si="70"/>
        <v>0</v>
      </c>
      <c r="CR53" s="220">
        <f t="shared" si="71"/>
        <v>0</v>
      </c>
      <c r="CS53" s="220">
        <f t="shared" si="72"/>
        <v>0</v>
      </c>
      <c r="CT53" s="220">
        <f t="shared" si="73"/>
        <v>0</v>
      </c>
      <c r="CU53" s="220">
        <f t="shared" si="74"/>
        <v>0</v>
      </c>
    </row>
    <row r="54" spans="1:99" x14ac:dyDescent="0.35">
      <c r="A54" s="233">
        <v>5121</v>
      </c>
      <c r="B54" s="233">
        <v>20000337</v>
      </c>
      <c r="C54" s="234" t="s">
        <v>105</v>
      </c>
      <c r="D54" s="234">
        <v>50021818</v>
      </c>
      <c r="E54" s="233">
        <v>46.6</v>
      </c>
      <c r="F54" s="233" t="s">
        <v>106</v>
      </c>
      <c r="G54" s="233" t="s">
        <v>115</v>
      </c>
      <c r="H54" s="233" t="s">
        <v>70</v>
      </c>
      <c r="I54" s="235">
        <v>0</v>
      </c>
      <c r="K54" s="237">
        <v>0</v>
      </c>
      <c r="L54" s="237">
        <v>0</v>
      </c>
      <c r="M54" s="237">
        <v>0</v>
      </c>
      <c r="N54" s="237">
        <v>0</v>
      </c>
      <c r="O54" s="237">
        <v>0</v>
      </c>
      <c r="P54" s="237">
        <v>0</v>
      </c>
      <c r="Q54" s="237">
        <v>0</v>
      </c>
      <c r="R54" s="237">
        <v>0</v>
      </c>
      <c r="S54" s="238">
        <v>0</v>
      </c>
      <c r="T54" s="263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Z54" s="262">
        <v>0</v>
      </c>
      <c r="AA54" s="262">
        <v>0</v>
      </c>
      <c r="AB54" s="262">
        <v>0</v>
      </c>
      <c r="AC54" s="262">
        <v>0</v>
      </c>
      <c r="AD54" s="262">
        <v>0</v>
      </c>
      <c r="AE54" s="262">
        <v>0</v>
      </c>
      <c r="AG54" s="220">
        <f t="shared" si="101"/>
        <v>0</v>
      </c>
      <c r="AH54" s="220">
        <f t="shared" si="102"/>
        <v>0</v>
      </c>
      <c r="AI54" s="220">
        <f t="shared" si="103"/>
        <v>0</v>
      </c>
      <c r="AJ54" s="220">
        <f t="shared" si="104"/>
        <v>0</v>
      </c>
      <c r="AK54" s="220">
        <f t="shared" si="105"/>
        <v>0</v>
      </c>
      <c r="AL54" s="220">
        <f t="shared" si="106"/>
        <v>0</v>
      </c>
      <c r="AM54" s="220">
        <f t="shared" si="107"/>
        <v>0</v>
      </c>
      <c r="AN54" s="220">
        <f t="shared" si="108"/>
        <v>0</v>
      </c>
      <c r="AO54" s="220">
        <f t="shared" si="109"/>
        <v>0</v>
      </c>
      <c r="AP54" s="220">
        <f t="shared" si="110"/>
        <v>0</v>
      </c>
      <c r="AQ54" s="220">
        <f t="shared" si="111"/>
        <v>0</v>
      </c>
      <c r="AR54" s="220">
        <f t="shared" si="112"/>
        <v>0</v>
      </c>
      <c r="AS54" s="220">
        <f t="shared" si="113"/>
        <v>0</v>
      </c>
      <c r="AT54" s="220">
        <f t="shared" si="114"/>
        <v>0</v>
      </c>
      <c r="AU54" s="220">
        <f t="shared" si="115"/>
        <v>0</v>
      </c>
      <c r="AV54" s="220">
        <f t="shared" si="116"/>
        <v>0</v>
      </c>
      <c r="AW54" s="220">
        <f t="shared" si="117"/>
        <v>0</v>
      </c>
      <c r="AX54" s="220">
        <f t="shared" si="118"/>
        <v>0</v>
      </c>
      <c r="AY54" s="220">
        <f t="shared" si="119"/>
        <v>0</v>
      </c>
      <c r="AZ54" s="220">
        <f t="shared" si="120"/>
        <v>0</v>
      </c>
      <c r="BA54" s="220">
        <f t="shared" si="121"/>
        <v>0</v>
      </c>
      <c r="BB54" s="219"/>
      <c r="BC54" s="219"/>
      <c r="BD54" s="220">
        <f t="shared" si="88"/>
        <v>0</v>
      </c>
      <c r="BE54" s="220">
        <f t="shared" si="89"/>
        <v>0</v>
      </c>
      <c r="BF54" s="220">
        <f t="shared" si="90"/>
        <v>0</v>
      </c>
      <c r="BG54" s="220">
        <f t="shared" si="91"/>
        <v>0</v>
      </c>
      <c r="BH54" s="220">
        <f t="shared" si="92"/>
        <v>0</v>
      </c>
      <c r="BI54" s="220">
        <f t="shared" si="93"/>
        <v>0</v>
      </c>
      <c r="BJ54" s="220">
        <f t="shared" si="94"/>
        <v>0</v>
      </c>
      <c r="BK54" s="220">
        <f t="shared" si="95"/>
        <v>0</v>
      </c>
      <c r="BL54" s="220">
        <f t="shared" si="96"/>
        <v>0</v>
      </c>
      <c r="BM54" s="220">
        <f t="shared" si="97"/>
        <v>0</v>
      </c>
      <c r="BN54" s="220">
        <f t="shared" si="98"/>
        <v>0</v>
      </c>
      <c r="BO54" s="220">
        <f t="shared" si="54"/>
        <v>0</v>
      </c>
      <c r="BP54" s="220">
        <f t="shared" si="55"/>
        <v>0</v>
      </c>
      <c r="BQ54" s="220">
        <f t="shared" si="56"/>
        <v>0</v>
      </c>
      <c r="BR54" s="220">
        <f t="shared" si="99"/>
        <v>0</v>
      </c>
      <c r="BS54" s="220">
        <f t="shared" si="58"/>
        <v>0</v>
      </c>
      <c r="BT54" s="220">
        <f t="shared" si="59"/>
        <v>0</v>
      </c>
      <c r="BU54" s="220">
        <f t="shared" si="60"/>
        <v>0</v>
      </c>
      <c r="BV54" s="220">
        <f t="shared" si="61"/>
        <v>0</v>
      </c>
      <c r="BW54" s="220">
        <f t="shared" si="62"/>
        <v>0</v>
      </c>
      <c r="BX54" s="220">
        <f t="shared" si="63"/>
        <v>0</v>
      </c>
      <c r="CA54" s="220">
        <f t="shared" si="75"/>
        <v>0</v>
      </c>
      <c r="CB54" s="220">
        <f t="shared" si="76"/>
        <v>0</v>
      </c>
      <c r="CC54" s="220">
        <f t="shared" si="77"/>
        <v>0</v>
      </c>
      <c r="CD54" s="220">
        <f t="shared" si="78"/>
        <v>0</v>
      </c>
      <c r="CE54" s="220">
        <f t="shared" si="79"/>
        <v>0</v>
      </c>
      <c r="CF54" s="220">
        <f t="shared" si="80"/>
        <v>0</v>
      </c>
      <c r="CG54" s="220">
        <f t="shared" si="81"/>
        <v>0</v>
      </c>
      <c r="CH54" s="220">
        <f t="shared" si="82"/>
        <v>0</v>
      </c>
      <c r="CI54" s="220">
        <f t="shared" si="83"/>
        <v>0</v>
      </c>
      <c r="CJ54" s="220">
        <f t="shared" si="84"/>
        <v>0</v>
      </c>
      <c r="CK54" s="220">
        <f t="shared" si="85"/>
        <v>0</v>
      </c>
      <c r="CL54" s="220">
        <f t="shared" si="65"/>
        <v>0</v>
      </c>
      <c r="CM54" s="220">
        <f t="shared" si="66"/>
        <v>0</v>
      </c>
      <c r="CN54" s="220">
        <f t="shared" si="67"/>
        <v>0</v>
      </c>
      <c r="CO54" s="220">
        <f t="shared" si="100"/>
        <v>0</v>
      </c>
      <c r="CP54" s="220">
        <f t="shared" si="69"/>
        <v>0</v>
      </c>
      <c r="CQ54" s="220">
        <f t="shared" si="70"/>
        <v>0</v>
      </c>
      <c r="CR54" s="220">
        <f t="shared" si="71"/>
        <v>0</v>
      </c>
      <c r="CS54" s="220">
        <f t="shared" si="72"/>
        <v>0</v>
      </c>
      <c r="CT54" s="220">
        <f t="shared" si="73"/>
        <v>0</v>
      </c>
      <c r="CU54" s="220">
        <f t="shared" si="74"/>
        <v>0</v>
      </c>
    </row>
    <row r="55" spans="1:99" x14ac:dyDescent="0.35">
      <c r="A55" s="233">
        <v>5121</v>
      </c>
      <c r="B55" s="233">
        <v>20000337</v>
      </c>
      <c r="C55" s="234" t="s">
        <v>105</v>
      </c>
      <c r="D55" s="234">
        <v>50025345</v>
      </c>
      <c r="E55" s="233">
        <v>46.6</v>
      </c>
      <c r="F55" s="233" t="s">
        <v>106</v>
      </c>
      <c r="G55" s="233" t="s">
        <v>115</v>
      </c>
      <c r="H55" s="233" t="s">
        <v>70</v>
      </c>
      <c r="I55" s="236">
        <v>0</v>
      </c>
      <c r="K55" s="238">
        <v>0</v>
      </c>
      <c r="L55" s="238">
        <v>0</v>
      </c>
      <c r="M55" s="238">
        <v>0</v>
      </c>
      <c r="N55" s="238">
        <v>0</v>
      </c>
      <c r="O55" s="238">
        <v>0</v>
      </c>
      <c r="P55" s="238">
        <v>0</v>
      </c>
      <c r="Q55" s="238">
        <v>0</v>
      </c>
      <c r="R55" s="237">
        <v>0</v>
      </c>
      <c r="S55" s="238">
        <v>0</v>
      </c>
      <c r="T55" s="263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Z55" s="262">
        <v>0</v>
      </c>
      <c r="AA55" s="262">
        <v>0</v>
      </c>
      <c r="AB55" s="262">
        <v>0</v>
      </c>
      <c r="AC55" s="262">
        <v>0</v>
      </c>
      <c r="AD55" s="262">
        <v>0</v>
      </c>
      <c r="AE55" s="262">
        <v>0</v>
      </c>
      <c r="AG55" s="220">
        <f t="shared" si="101"/>
        <v>0</v>
      </c>
      <c r="AH55" s="220">
        <f t="shared" si="102"/>
        <v>0</v>
      </c>
      <c r="AI55" s="220">
        <f t="shared" si="103"/>
        <v>0</v>
      </c>
      <c r="AJ55" s="220">
        <f t="shared" si="104"/>
        <v>0</v>
      </c>
      <c r="AK55" s="220">
        <f t="shared" si="105"/>
        <v>0</v>
      </c>
      <c r="AL55" s="220">
        <f t="shared" si="106"/>
        <v>0</v>
      </c>
      <c r="AM55" s="220">
        <f t="shared" si="107"/>
        <v>0</v>
      </c>
      <c r="AN55" s="220">
        <f t="shared" si="108"/>
        <v>0</v>
      </c>
      <c r="AO55" s="220">
        <f t="shared" si="109"/>
        <v>0</v>
      </c>
      <c r="AP55" s="220">
        <f t="shared" si="110"/>
        <v>0</v>
      </c>
      <c r="AQ55" s="220">
        <f t="shared" si="111"/>
        <v>0</v>
      </c>
      <c r="AR55" s="220">
        <f t="shared" si="112"/>
        <v>0</v>
      </c>
      <c r="AS55" s="220">
        <f t="shared" si="113"/>
        <v>0</v>
      </c>
      <c r="AT55" s="220">
        <f t="shared" si="114"/>
        <v>0</v>
      </c>
      <c r="AU55" s="220">
        <f t="shared" si="115"/>
        <v>0</v>
      </c>
      <c r="AV55" s="220">
        <f t="shared" si="116"/>
        <v>0</v>
      </c>
      <c r="AW55" s="220">
        <f t="shared" si="117"/>
        <v>0</v>
      </c>
      <c r="AX55" s="220">
        <f t="shared" si="118"/>
        <v>0</v>
      </c>
      <c r="AY55" s="220">
        <f t="shared" si="119"/>
        <v>0</v>
      </c>
      <c r="AZ55" s="220">
        <f t="shared" si="120"/>
        <v>0</v>
      </c>
      <c r="BA55" s="220">
        <f t="shared" si="121"/>
        <v>0</v>
      </c>
      <c r="BB55" s="219"/>
      <c r="BC55" s="219"/>
      <c r="BD55" s="220">
        <f t="shared" si="88"/>
        <v>0</v>
      </c>
      <c r="BE55" s="220">
        <f t="shared" si="89"/>
        <v>0</v>
      </c>
      <c r="BF55" s="220">
        <f t="shared" si="90"/>
        <v>0</v>
      </c>
      <c r="BG55" s="220">
        <f t="shared" si="91"/>
        <v>0</v>
      </c>
      <c r="BH55" s="220">
        <f t="shared" si="92"/>
        <v>0</v>
      </c>
      <c r="BI55" s="220">
        <f t="shared" si="93"/>
        <v>0</v>
      </c>
      <c r="BJ55" s="220">
        <f t="shared" si="94"/>
        <v>0</v>
      </c>
      <c r="BK55" s="220">
        <f t="shared" si="95"/>
        <v>0</v>
      </c>
      <c r="BL55" s="220">
        <f t="shared" si="96"/>
        <v>0</v>
      </c>
      <c r="BM55" s="220">
        <f t="shared" si="97"/>
        <v>0</v>
      </c>
      <c r="BN55" s="220">
        <f t="shared" si="98"/>
        <v>0</v>
      </c>
      <c r="BO55" s="220">
        <f t="shared" si="54"/>
        <v>0</v>
      </c>
      <c r="BP55" s="220">
        <f t="shared" si="55"/>
        <v>0</v>
      </c>
      <c r="BQ55" s="220">
        <f t="shared" si="56"/>
        <v>0</v>
      </c>
      <c r="BR55" s="220">
        <f t="shared" si="99"/>
        <v>0</v>
      </c>
      <c r="BS55" s="220">
        <f t="shared" si="58"/>
        <v>0</v>
      </c>
      <c r="BT55" s="220">
        <f t="shared" si="59"/>
        <v>0</v>
      </c>
      <c r="BU55" s="220">
        <f t="shared" si="60"/>
        <v>0</v>
      </c>
      <c r="BV55" s="220">
        <f t="shared" si="61"/>
        <v>0</v>
      </c>
      <c r="BW55" s="220">
        <f t="shared" si="62"/>
        <v>0</v>
      </c>
      <c r="BX55" s="220">
        <f t="shared" si="63"/>
        <v>0</v>
      </c>
      <c r="CA55" s="220">
        <f t="shared" si="75"/>
        <v>0</v>
      </c>
      <c r="CB55" s="220">
        <f t="shared" si="76"/>
        <v>0</v>
      </c>
      <c r="CC55" s="220">
        <f t="shared" si="77"/>
        <v>0</v>
      </c>
      <c r="CD55" s="220">
        <f t="shared" si="78"/>
        <v>0</v>
      </c>
      <c r="CE55" s="220">
        <f t="shared" si="79"/>
        <v>0</v>
      </c>
      <c r="CF55" s="220">
        <f t="shared" si="80"/>
        <v>0</v>
      </c>
      <c r="CG55" s="220">
        <f t="shared" si="81"/>
        <v>0</v>
      </c>
      <c r="CH55" s="220">
        <f t="shared" si="82"/>
        <v>0</v>
      </c>
      <c r="CI55" s="220">
        <f t="shared" si="83"/>
        <v>0</v>
      </c>
      <c r="CJ55" s="220">
        <f t="shared" si="84"/>
        <v>0</v>
      </c>
      <c r="CK55" s="220">
        <f t="shared" si="85"/>
        <v>0</v>
      </c>
      <c r="CL55" s="220">
        <f t="shared" si="65"/>
        <v>0</v>
      </c>
      <c r="CM55" s="220">
        <f t="shared" si="66"/>
        <v>0</v>
      </c>
      <c r="CN55" s="220">
        <f t="shared" si="67"/>
        <v>0</v>
      </c>
      <c r="CO55" s="220">
        <f t="shared" si="100"/>
        <v>0</v>
      </c>
      <c r="CP55" s="220">
        <f t="shared" si="69"/>
        <v>0</v>
      </c>
      <c r="CQ55" s="220">
        <f t="shared" si="70"/>
        <v>0</v>
      </c>
      <c r="CR55" s="220">
        <f t="shared" si="71"/>
        <v>0</v>
      </c>
      <c r="CS55" s="220">
        <f t="shared" si="72"/>
        <v>0</v>
      </c>
      <c r="CT55" s="220">
        <f t="shared" si="73"/>
        <v>0</v>
      </c>
      <c r="CU55" s="220">
        <f t="shared" si="74"/>
        <v>0</v>
      </c>
    </row>
    <row r="56" spans="1:99" x14ac:dyDescent="0.35">
      <c r="A56" s="233">
        <v>5121</v>
      </c>
      <c r="B56" s="233">
        <v>20000337</v>
      </c>
      <c r="C56" s="234" t="s">
        <v>105</v>
      </c>
      <c r="D56" s="234">
        <v>50035359</v>
      </c>
      <c r="E56" s="233">
        <v>46.6</v>
      </c>
      <c r="F56" s="233" t="s">
        <v>108</v>
      </c>
      <c r="G56" s="233" t="s">
        <v>107</v>
      </c>
      <c r="H56" s="233" t="s">
        <v>70</v>
      </c>
      <c r="I56" s="235">
        <v>0</v>
      </c>
      <c r="K56" s="237">
        <v>0</v>
      </c>
      <c r="L56" s="237">
        <v>0</v>
      </c>
      <c r="M56" s="237">
        <v>0</v>
      </c>
      <c r="N56" s="237">
        <v>0</v>
      </c>
      <c r="O56" s="237">
        <v>0</v>
      </c>
      <c r="P56" s="237">
        <v>0</v>
      </c>
      <c r="Q56" s="237">
        <v>0</v>
      </c>
      <c r="R56" s="237">
        <v>0</v>
      </c>
      <c r="S56" s="238">
        <v>1280.4480000000001</v>
      </c>
      <c r="T56" s="263">
        <v>0</v>
      </c>
      <c r="U56" s="262">
        <v>0</v>
      </c>
      <c r="V56" s="262">
        <v>0</v>
      </c>
      <c r="W56" s="262">
        <v>0</v>
      </c>
      <c r="X56" s="262">
        <v>0</v>
      </c>
      <c r="Y56" s="262">
        <v>0</v>
      </c>
      <c r="Z56" s="262">
        <v>0</v>
      </c>
      <c r="AA56" s="262">
        <v>0</v>
      </c>
      <c r="AB56" s="262">
        <v>0</v>
      </c>
      <c r="AC56" s="262">
        <v>0</v>
      </c>
      <c r="AD56" s="262">
        <v>0</v>
      </c>
      <c r="AE56" s="262">
        <v>0</v>
      </c>
      <c r="AG56" s="220">
        <f t="shared" si="101"/>
        <v>0</v>
      </c>
      <c r="AH56" s="220">
        <f t="shared" si="102"/>
        <v>0</v>
      </c>
      <c r="AI56" s="220">
        <f t="shared" si="103"/>
        <v>0</v>
      </c>
      <c r="AJ56" s="220">
        <f t="shared" si="104"/>
        <v>0</v>
      </c>
      <c r="AK56" s="220">
        <f t="shared" si="105"/>
        <v>0</v>
      </c>
      <c r="AL56" s="220">
        <f t="shared" si="106"/>
        <v>0</v>
      </c>
      <c r="AM56" s="220">
        <f t="shared" si="107"/>
        <v>0</v>
      </c>
      <c r="AN56" s="220">
        <f t="shared" si="108"/>
        <v>0</v>
      </c>
      <c r="AO56" s="220">
        <f t="shared" si="109"/>
        <v>59.668876800000007</v>
      </c>
      <c r="AP56" s="220">
        <f t="shared" si="110"/>
        <v>0</v>
      </c>
      <c r="AQ56" s="220">
        <f t="shared" si="111"/>
        <v>0</v>
      </c>
      <c r="AR56" s="220">
        <f t="shared" si="112"/>
        <v>0</v>
      </c>
      <c r="AS56" s="220">
        <f t="shared" si="113"/>
        <v>0</v>
      </c>
      <c r="AT56" s="220">
        <f t="shared" si="114"/>
        <v>0</v>
      </c>
      <c r="AU56" s="220">
        <f t="shared" si="115"/>
        <v>0</v>
      </c>
      <c r="AV56" s="220">
        <f t="shared" si="116"/>
        <v>0</v>
      </c>
      <c r="AW56" s="220">
        <f t="shared" si="117"/>
        <v>0</v>
      </c>
      <c r="AX56" s="220">
        <f t="shared" si="118"/>
        <v>0</v>
      </c>
      <c r="AY56" s="220">
        <f t="shared" si="119"/>
        <v>0</v>
      </c>
      <c r="AZ56" s="220">
        <f t="shared" si="120"/>
        <v>0</v>
      </c>
      <c r="BA56" s="220">
        <f t="shared" si="121"/>
        <v>0</v>
      </c>
      <c r="BB56" s="219"/>
      <c r="BC56" s="219"/>
      <c r="BD56" s="220">
        <f t="shared" si="88"/>
        <v>0</v>
      </c>
      <c r="BE56" s="220">
        <f t="shared" si="89"/>
        <v>0</v>
      </c>
      <c r="BF56" s="220">
        <f t="shared" si="90"/>
        <v>0</v>
      </c>
      <c r="BG56" s="220">
        <f t="shared" si="91"/>
        <v>0</v>
      </c>
      <c r="BH56" s="220">
        <f t="shared" si="92"/>
        <v>0</v>
      </c>
      <c r="BI56" s="220">
        <f t="shared" si="93"/>
        <v>0</v>
      </c>
      <c r="BJ56" s="220">
        <f t="shared" si="94"/>
        <v>0</v>
      </c>
      <c r="BK56" s="220">
        <f t="shared" si="95"/>
        <v>0</v>
      </c>
      <c r="BL56" s="220">
        <f t="shared" si="96"/>
        <v>0</v>
      </c>
      <c r="BM56" s="220">
        <f t="shared" si="97"/>
        <v>0</v>
      </c>
      <c r="BN56" s="220">
        <f t="shared" si="98"/>
        <v>0</v>
      </c>
      <c r="BO56" s="220">
        <f t="shared" si="54"/>
        <v>0</v>
      </c>
      <c r="BP56" s="220">
        <f t="shared" si="55"/>
        <v>0</v>
      </c>
      <c r="BQ56" s="220">
        <f t="shared" si="56"/>
        <v>0</v>
      </c>
      <c r="BR56" s="220">
        <f t="shared" ref="BR56:BR87" si="122">+Y56*$E56/1000*$I56</f>
        <v>0</v>
      </c>
      <c r="BS56" s="220">
        <f t="shared" ref="BS56:BS112" si="123">+Z56*$E56/1000*$I56</f>
        <v>0</v>
      </c>
      <c r="BT56" s="220">
        <f t="shared" ref="BT56:BT112" si="124">+AA56*$E56/1000*$I56</f>
        <v>0</v>
      </c>
      <c r="BU56" s="220">
        <f t="shared" ref="BU56:BU112" si="125">+AB56*$E56/1000*$I56</f>
        <v>0</v>
      </c>
      <c r="BV56" s="220">
        <f t="shared" ref="BV56:BV112" si="126">+AC56*$E56/1000*$I56</f>
        <v>0</v>
      </c>
      <c r="BW56" s="220">
        <f t="shared" ref="BW56:BW112" si="127">+AD56*$E56/1000*$I56</f>
        <v>0</v>
      </c>
      <c r="BX56" s="220">
        <f t="shared" ref="BX56:BX112" si="128">+AE56*$E56/1000*$I56</f>
        <v>0</v>
      </c>
      <c r="CA56" s="220">
        <f t="shared" si="75"/>
        <v>0</v>
      </c>
      <c r="CB56" s="220">
        <f t="shared" si="76"/>
        <v>0</v>
      </c>
      <c r="CC56" s="220">
        <f t="shared" si="77"/>
        <v>0</v>
      </c>
      <c r="CD56" s="220">
        <f t="shared" si="78"/>
        <v>0</v>
      </c>
      <c r="CE56" s="220">
        <f t="shared" si="79"/>
        <v>0</v>
      </c>
      <c r="CF56" s="220">
        <f t="shared" si="80"/>
        <v>0</v>
      </c>
      <c r="CG56" s="220">
        <f t="shared" si="81"/>
        <v>0</v>
      </c>
      <c r="CH56" s="220">
        <f t="shared" si="82"/>
        <v>0</v>
      </c>
      <c r="CI56" s="220">
        <f t="shared" si="83"/>
        <v>0</v>
      </c>
      <c r="CJ56" s="220">
        <f t="shared" si="84"/>
        <v>0</v>
      </c>
      <c r="CK56" s="220">
        <f t="shared" si="85"/>
        <v>0</v>
      </c>
      <c r="CL56" s="220">
        <f t="shared" si="65"/>
        <v>0</v>
      </c>
      <c r="CM56" s="220">
        <f t="shared" si="66"/>
        <v>0</v>
      </c>
      <c r="CN56" s="220">
        <f t="shared" si="67"/>
        <v>0</v>
      </c>
      <c r="CO56" s="220">
        <f t="shared" ref="CO56:CO87" si="129">IF($C56="CERVECERIA Y MALTERIA.",Y56*$E56/1000*(1-$I56),0)</f>
        <v>0</v>
      </c>
      <c r="CP56" s="220">
        <f t="shared" ref="CP56:CP112" si="130">IF($C56="CERVECERIA Y MALTERIA.",Z56*$E56/1000*(1-$I56),0)</f>
        <v>0</v>
      </c>
      <c r="CQ56" s="220">
        <f t="shared" ref="CQ56:CQ112" si="131">IF($C56="CERVECERIA Y MALTERIA.",AA56*$E56/1000*(1-$I56),0)</f>
        <v>0</v>
      </c>
      <c r="CR56" s="220">
        <f t="shared" ref="CR56:CR112" si="132">IF($C56="CERVECERIA Y MALTERIA.",AB56*$E56/1000*(1-$I56),0)</f>
        <v>0</v>
      </c>
      <c r="CS56" s="220">
        <f t="shared" ref="CS56:CS112" si="133">IF($C56="CERVECERIA Y MALTERIA.",AC56*$E56/1000*(1-$I56),0)</f>
        <v>0</v>
      </c>
      <c r="CT56" s="220">
        <f t="shared" ref="CT56:CT112" si="134">IF($C56="CERVECERIA Y MALTERIA.",AD56*$E56/1000*(1-$I56),0)</f>
        <v>0</v>
      </c>
      <c r="CU56" s="220">
        <f t="shared" ref="CU56:CU112" si="135">IF($C56="CERVECERIA Y MALTERIA.",AE56*$E56/1000*(1-$I56),0)</f>
        <v>0</v>
      </c>
    </row>
    <row r="57" spans="1:99" x14ac:dyDescent="0.35">
      <c r="A57" s="233">
        <v>5121</v>
      </c>
      <c r="B57" s="233">
        <v>20000337</v>
      </c>
      <c r="C57" s="234" t="s">
        <v>105</v>
      </c>
      <c r="D57" s="234">
        <v>50034617</v>
      </c>
      <c r="E57" s="233">
        <v>46.6</v>
      </c>
      <c r="F57" s="233" t="s">
        <v>108</v>
      </c>
      <c r="G57" s="233" t="s">
        <v>107</v>
      </c>
      <c r="H57" s="233" t="s">
        <v>70</v>
      </c>
      <c r="I57" s="235">
        <v>0</v>
      </c>
      <c r="K57" s="237">
        <v>0</v>
      </c>
      <c r="L57" s="238">
        <v>2292.0684800473628</v>
      </c>
      <c r="M57" s="237">
        <v>4093.7037037036998</v>
      </c>
      <c r="N57" s="237">
        <v>4000</v>
      </c>
      <c r="O57" s="237">
        <v>450</v>
      </c>
      <c r="P57" s="237">
        <v>0</v>
      </c>
      <c r="Q57" s="237">
        <v>0</v>
      </c>
      <c r="R57" s="237">
        <v>0</v>
      </c>
      <c r="S57" s="238">
        <v>0</v>
      </c>
      <c r="T57" s="263">
        <v>0</v>
      </c>
      <c r="U57" s="262">
        <v>5820.3703703703704</v>
      </c>
      <c r="V57" s="262">
        <v>0</v>
      </c>
      <c r="W57" s="262">
        <v>0</v>
      </c>
      <c r="X57" s="262">
        <v>0</v>
      </c>
      <c r="Y57" s="262">
        <v>0</v>
      </c>
      <c r="Z57" s="262">
        <v>0</v>
      </c>
      <c r="AA57" s="262">
        <v>0</v>
      </c>
      <c r="AB57" s="262">
        <v>0</v>
      </c>
      <c r="AC57" s="262">
        <v>0</v>
      </c>
      <c r="AD57" s="262">
        <v>0</v>
      </c>
      <c r="AE57" s="262">
        <v>0</v>
      </c>
      <c r="AG57" s="220">
        <f t="shared" si="101"/>
        <v>0</v>
      </c>
      <c r="AH57" s="220">
        <f t="shared" si="102"/>
        <v>106.81039117020711</v>
      </c>
      <c r="AI57" s="220">
        <f t="shared" si="103"/>
        <v>190.76659259259242</v>
      </c>
      <c r="AJ57" s="220">
        <f t="shared" si="104"/>
        <v>186.4</v>
      </c>
      <c r="AK57" s="220">
        <f t="shared" si="105"/>
        <v>20.97</v>
      </c>
      <c r="AL57" s="220">
        <f t="shared" si="106"/>
        <v>0</v>
      </c>
      <c r="AM57" s="220">
        <f t="shared" si="107"/>
        <v>0</v>
      </c>
      <c r="AN57" s="220">
        <f t="shared" si="108"/>
        <v>0</v>
      </c>
      <c r="AO57" s="220">
        <f t="shared" si="109"/>
        <v>0</v>
      </c>
      <c r="AP57" s="220">
        <f t="shared" si="110"/>
        <v>0</v>
      </c>
      <c r="AQ57" s="220">
        <f t="shared" si="111"/>
        <v>271.22925925925927</v>
      </c>
      <c r="AR57" s="220">
        <f t="shared" si="112"/>
        <v>0</v>
      </c>
      <c r="AS57" s="220">
        <f t="shared" si="113"/>
        <v>0</v>
      </c>
      <c r="AT57" s="220">
        <f t="shared" si="114"/>
        <v>0</v>
      </c>
      <c r="AU57" s="220">
        <f t="shared" si="115"/>
        <v>0</v>
      </c>
      <c r="AV57" s="220">
        <f t="shared" si="116"/>
        <v>0</v>
      </c>
      <c r="AW57" s="220">
        <f t="shared" si="117"/>
        <v>0</v>
      </c>
      <c r="AX57" s="220">
        <f t="shared" si="118"/>
        <v>0</v>
      </c>
      <c r="AY57" s="220">
        <f t="shared" si="119"/>
        <v>0</v>
      </c>
      <c r="AZ57" s="220">
        <f t="shared" si="120"/>
        <v>0</v>
      </c>
      <c r="BA57" s="220">
        <f t="shared" si="121"/>
        <v>0</v>
      </c>
      <c r="BB57" s="219"/>
      <c r="BC57" s="219"/>
      <c r="BD57" s="220">
        <f t="shared" si="88"/>
        <v>0</v>
      </c>
      <c r="BE57" s="220">
        <f t="shared" si="89"/>
        <v>0</v>
      </c>
      <c r="BF57" s="220">
        <f t="shared" si="90"/>
        <v>0</v>
      </c>
      <c r="BG57" s="220">
        <f t="shared" si="91"/>
        <v>0</v>
      </c>
      <c r="BH57" s="220">
        <f t="shared" si="92"/>
        <v>0</v>
      </c>
      <c r="BI57" s="220">
        <f t="shared" si="93"/>
        <v>0</v>
      </c>
      <c r="BJ57" s="220">
        <f t="shared" si="94"/>
        <v>0</v>
      </c>
      <c r="BK57" s="220">
        <f t="shared" si="95"/>
        <v>0</v>
      </c>
      <c r="BL57" s="220">
        <f t="shared" si="96"/>
        <v>0</v>
      </c>
      <c r="BM57" s="220">
        <f t="shared" si="97"/>
        <v>0</v>
      </c>
      <c r="BN57" s="220">
        <f t="shared" si="98"/>
        <v>0</v>
      </c>
      <c r="BO57" s="220">
        <f t="shared" ref="BO57:BO90" si="136">+V57*$E57/1000*$I57</f>
        <v>0</v>
      </c>
      <c r="BP57" s="220">
        <f t="shared" ref="BP57:BP90" si="137">+W57*$E57/1000*$I57</f>
        <v>0</v>
      </c>
      <c r="BQ57" s="220">
        <f t="shared" ref="BQ57:BQ90" si="138">+X57*$E57/1000*$I57</f>
        <v>0</v>
      </c>
      <c r="BR57" s="220">
        <f t="shared" si="122"/>
        <v>0</v>
      </c>
      <c r="BS57" s="220">
        <f t="shared" si="123"/>
        <v>0</v>
      </c>
      <c r="BT57" s="220">
        <f t="shared" si="124"/>
        <v>0</v>
      </c>
      <c r="BU57" s="220">
        <f t="shared" si="125"/>
        <v>0</v>
      </c>
      <c r="BV57" s="220">
        <f t="shared" si="126"/>
        <v>0</v>
      </c>
      <c r="BW57" s="220">
        <f t="shared" si="127"/>
        <v>0</v>
      </c>
      <c r="BX57" s="220">
        <f t="shared" si="128"/>
        <v>0</v>
      </c>
      <c r="CA57" s="220">
        <f t="shared" si="75"/>
        <v>0</v>
      </c>
      <c r="CB57" s="220">
        <f t="shared" si="76"/>
        <v>0</v>
      </c>
      <c r="CC57" s="220">
        <f t="shared" si="77"/>
        <v>0</v>
      </c>
      <c r="CD57" s="220">
        <f t="shared" si="78"/>
        <v>0</v>
      </c>
      <c r="CE57" s="220">
        <f t="shared" si="79"/>
        <v>0</v>
      </c>
      <c r="CF57" s="220">
        <f t="shared" si="80"/>
        <v>0</v>
      </c>
      <c r="CG57" s="220">
        <f t="shared" si="81"/>
        <v>0</v>
      </c>
      <c r="CH57" s="220">
        <f t="shared" si="82"/>
        <v>0</v>
      </c>
      <c r="CI57" s="220">
        <f t="shared" si="83"/>
        <v>0</v>
      </c>
      <c r="CJ57" s="220">
        <f t="shared" si="84"/>
        <v>0</v>
      </c>
      <c r="CK57" s="220">
        <f t="shared" si="85"/>
        <v>0</v>
      </c>
      <c r="CL57" s="220">
        <f t="shared" ref="CL57:CL90" si="139">IF($C57="CERVECERIA Y MALTERIA.",V57*$E57/1000*(1-$I57),0)</f>
        <v>0</v>
      </c>
      <c r="CM57" s="220">
        <f t="shared" ref="CM57:CM90" si="140">IF($C57="CERVECERIA Y MALTERIA.",W57*$E57/1000*(1-$I57),0)</f>
        <v>0</v>
      </c>
      <c r="CN57" s="220">
        <f t="shared" ref="CN57:CN90" si="141">IF($C57="CERVECERIA Y MALTERIA.",X57*$E57/1000*(1-$I57),0)</f>
        <v>0</v>
      </c>
      <c r="CO57" s="220">
        <f t="shared" si="129"/>
        <v>0</v>
      </c>
      <c r="CP57" s="220">
        <f t="shared" si="130"/>
        <v>0</v>
      </c>
      <c r="CQ57" s="220">
        <f t="shared" si="131"/>
        <v>0</v>
      </c>
      <c r="CR57" s="220">
        <f t="shared" si="132"/>
        <v>0</v>
      </c>
      <c r="CS57" s="220">
        <f t="shared" si="133"/>
        <v>0</v>
      </c>
      <c r="CT57" s="220">
        <f t="shared" si="134"/>
        <v>0</v>
      </c>
      <c r="CU57" s="220">
        <f t="shared" si="135"/>
        <v>0</v>
      </c>
    </row>
    <row r="58" spans="1:99" x14ac:dyDescent="0.35">
      <c r="A58" s="233">
        <v>5121</v>
      </c>
      <c r="B58" s="233">
        <v>20000337</v>
      </c>
      <c r="C58" s="234" t="s">
        <v>105</v>
      </c>
      <c r="D58" s="234">
        <v>50033716</v>
      </c>
      <c r="E58" s="233">
        <v>46.6</v>
      </c>
      <c r="F58" s="233" t="s">
        <v>108</v>
      </c>
      <c r="G58" s="233" t="s">
        <v>114</v>
      </c>
      <c r="H58" s="233" t="s">
        <v>112</v>
      </c>
      <c r="I58" s="235">
        <v>0.2</v>
      </c>
      <c r="K58" s="237">
        <v>0</v>
      </c>
      <c r="L58" s="237">
        <v>0</v>
      </c>
      <c r="M58" s="237">
        <v>0</v>
      </c>
      <c r="N58" s="237">
        <v>0</v>
      </c>
      <c r="O58" s="237">
        <v>0</v>
      </c>
      <c r="P58" s="237">
        <v>0</v>
      </c>
      <c r="Q58" s="237">
        <v>0</v>
      </c>
      <c r="R58" s="237">
        <v>0</v>
      </c>
      <c r="S58" s="238">
        <v>0</v>
      </c>
      <c r="T58" s="263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Z58" s="262">
        <v>0</v>
      </c>
      <c r="AA58" s="262">
        <v>0</v>
      </c>
      <c r="AB58" s="262">
        <v>0</v>
      </c>
      <c r="AC58" s="262">
        <v>0</v>
      </c>
      <c r="AD58" s="262">
        <v>0</v>
      </c>
      <c r="AE58" s="262">
        <v>0</v>
      </c>
      <c r="AG58" s="220">
        <f t="shared" si="101"/>
        <v>0</v>
      </c>
      <c r="AH58" s="220">
        <f t="shared" si="102"/>
        <v>0</v>
      </c>
      <c r="AI58" s="220">
        <f t="shared" si="103"/>
        <v>0</v>
      </c>
      <c r="AJ58" s="220">
        <f t="shared" si="104"/>
        <v>0</v>
      </c>
      <c r="AK58" s="220">
        <f t="shared" si="105"/>
        <v>0</v>
      </c>
      <c r="AL58" s="220">
        <f t="shared" si="106"/>
        <v>0</v>
      </c>
      <c r="AM58" s="220">
        <f t="shared" si="107"/>
        <v>0</v>
      </c>
      <c r="AN58" s="220">
        <f t="shared" si="108"/>
        <v>0</v>
      </c>
      <c r="AO58" s="220">
        <f t="shared" si="109"/>
        <v>0</v>
      </c>
      <c r="AP58" s="220">
        <f t="shared" si="110"/>
        <v>0</v>
      </c>
      <c r="AQ58" s="220">
        <f t="shared" si="111"/>
        <v>0</v>
      </c>
      <c r="AR58" s="220">
        <f t="shared" si="112"/>
        <v>0</v>
      </c>
      <c r="AS58" s="220">
        <f t="shared" si="113"/>
        <v>0</v>
      </c>
      <c r="AT58" s="220">
        <f t="shared" si="114"/>
        <v>0</v>
      </c>
      <c r="AU58" s="220">
        <f t="shared" si="115"/>
        <v>0</v>
      </c>
      <c r="AV58" s="220">
        <f t="shared" si="116"/>
        <v>0</v>
      </c>
      <c r="AW58" s="220">
        <f t="shared" si="117"/>
        <v>0</v>
      </c>
      <c r="AX58" s="220">
        <f t="shared" si="118"/>
        <v>0</v>
      </c>
      <c r="AY58" s="220">
        <f t="shared" si="119"/>
        <v>0</v>
      </c>
      <c r="AZ58" s="220">
        <f t="shared" si="120"/>
        <v>0</v>
      </c>
      <c r="BA58" s="220">
        <f t="shared" si="121"/>
        <v>0</v>
      </c>
      <c r="BB58" s="219"/>
      <c r="BC58" s="219"/>
      <c r="BD58" s="220">
        <f t="shared" si="88"/>
        <v>0</v>
      </c>
      <c r="BE58" s="220">
        <f t="shared" si="89"/>
        <v>0</v>
      </c>
      <c r="BF58" s="220">
        <f t="shared" si="90"/>
        <v>0</v>
      </c>
      <c r="BG58" s="220">
        <f t="shared" si="91"/>
        <v>0</v>
      </c>
      <c r="BH58" s="220">
        <f t="shared" si="92"/>
        <v>0</v>
      </c>
      <c r="BI58" s="220">
        <f t="shared" si="93"/>
        <v>0</v>
      </c>
      <c r="BJ58" s="220">
        <f t="shared" si="94"/>
        <v>0</v>
      </c>
      <c r="BK58" s="220">
        <f t="shared" si="95"/>
        <v>0</v>
      </c>
      <c r="BL58" s="220">
        <f t="shared" si="96"/>
        <v>0</v>
      </c>
      <c r="BM58" s="220">
        <f t="shared" si="97"/>
        <v>0</v>
      </c>
      <c r="BN58" s="220">
        <f t="shared" si="98"/>
        <v>0</v>
      </c>
      <c r="BO58" s="220">
        <f t="shared" si="136"/>
        <v>0</v>
      </c>
      <c r="BP58" s="220">
        <f t="shared" si="137"/>
        <v>0</v>
      </c>
      <c r="BQ58" s="220">
        <f t="shared" si="138"/>
        <v>0</v>
      </c>
      <c r="BR58" s="220">
        <f t="shared" si="122"/>
        <v>0</v>
      </c>
      <c r="BS58" s="220">
        <f t="shared" si="123"/>
        <v>0</v>
      </c>
      <c r="BT58" s="220">
        <f t="shared" si="124"/>
        <v>0</v>
      </c>
      <c r="BU58" s="220">
        <f t="shared" si="125"/>
        <v>0</v>
      </c>
      <c r="BV58" s="220">
        <f t="shared" si="126"/>
        <v>0</v>
      </c>
      <c r="BW58" s="220">
        <f t="shared" si="127"/>
        <v>0</v>
      </c>
      <c r="BX58" s="220">
        <f t="shared" si="128"/>
        <v>0</v>
      </c>
      <c r="CA58" s="220">
        <f t="shared" ref="CA58:CA82" si="142">IF($C58="CERVECERIA Y MALTERIA.",K58*$E58/1000*(1-$I58),0)</f>
        <v>0</v>
      </c>
      <c r="CB58" s="220">
        <f t="shared" ref="CB58:CB82" si="143">IF($C58="CERVECERIA Y MALTERIA.",L58*$E58/1000*(1-$I58),0)</f>
        <v>0</v>
      </c>
      <c r="CC58" s="220">
        <f t="shared" ref="CC58:CC82" si="144">IF($C58="CERVECERIA Y MALTERIA.",M58*$E58/1000*(1-$I58),0)</f>
        <v>0</v>
      </c>
      <c r="CD58" s="220">
        <f t="shared" ref="CD58:CD82" si="145">IF($C58="CERVECERIA Y MALTERIA.",N58*$E58/1000*(1-$I58),0)</f>
        <v>0</v>
      </c>
      <c r="CE58" s="220">
        <f t="shared" ref="CE58:CE82" si="146">IF($C58="CERVECERIA Y MALTERIA.",O58*$E58/1000*(1-$I58),0)</f>
        <v>0</v>
      </c>
      <c r="CF58" s="220">
        <f t="shared" ref="CF58:CF82" si="147">IF($C58="CERVECERIA Y MALTERIA.",P58*$E58/1000*(1-$I58),0)</f>
        <v>0</v>
      </c>
      <c r="CG58" s="220">
        <f t="shared" ref="CG58:CG82" si="148">IF($C58="CERVECERIA Y MALTERIA.",Q58*$E58/1000*(1-$I58),0)</f>
        <v>0</v>
      </c>
      <c r="CH58" s="220">
        <f t="shared" ref="CH58:CH82" si="149">IF($C58="CERVECERIA Y MALTERIA.",R58*$E58/1000*(1-$I58),0)</f>
        <v>0</v>
      </c>
      <c r="CI58" s="220">
        <f t="shared" ref="CI58:CI82" si="150">IF($C58="CERVECERIA Y MALTERIA.",S58*$E58/1000*(1-$I58),0)</f>
        <v>0</v>
      </c>
      <c r="CJ58" s="220">
        <f t="shared" ref="CJ58:CJ82" si="151">IF($C58="CERVECERIA Y MALTERIA.",T58*$E58/1000*(1-$I58),0)</f>
        <v>0</v>
      </c>
      <c r="CK58" s="220">
        <f t="shared" ref="CK58:CK82" si="152">IF($C58="CERVECERIA Y MALTERIA.",U58*$E58/1000*(1-$I58),0)</f>
        <v>0</v>
      </c>
      <c r="CL58" s="220">
        <f t="shared" si="139"/>
        <v>0</v>
      </c>
      <c r="CM58" s="220">
        <f t="shared" si="140"/>
        <v>0</v>
      </c>
      <c r="CN58" s="220">
        <f t="shared" si="141"/>
        <v>0</v>
      </c>
      <c r="CO58" s="220">
        <f t="shared" si="129"/>
        <v>0</v>
      </c>
      <c r="CP58" s="220">
        <f t="shared" si="130"/>
        <v>0</v>
      </c>
      <c r="CQ58" s="220">
        <f t="shared" si="131"/>
        <v>0</v>
      </c>
      <c r="CR58" s="220">
        <f t="shared" si="132"/>
        <v>0</v>
      </c>
      <c r="CS58" s="220">
        <f t="shared" si="133"/>
        <v>0</v>
      </c>
      <c r="CT58" s="220">
        <f t="shared" si="134"/>
        <v>0</v>
      </c>
      <c r="CU58" s="220">
        <f t="shared" si="135"/>
        <v>0</v>
      </c>
    </row>
    <row r="59" spans="1:99" x14ac:dyDescent="0.35">
      <c r="A59" s="233">
        <v>5121</v>
      </c>
      <c r="B59" s="233">
        <v>20000337</v>
      </c>
      <c r="C59" s="234" t="s">
        <v>105</v>
      </c>
      <c r="D59" s="234">
        <v>50035308</v>
      </c>
      <c r="E59" s="233">
        <v>46.6</v>
      </c>
      <c r="F59" s="233" t="s">
        <v>109</v>
      </c>
      <c r="G59" s="233" t="s">
        <v>107</v>
      </c>
      <c r="H59" s="233" t="s">
        <v>70</v>
      </c>
      <c r="I59" s="235">
        <v>0</v>
      </c>
      <c r="K59" s="237">
        <v>0</v>
      </c>
      <c r="L59" s="237">
        <v>0</v>
      </c>
      <c r="M59" s="237">
        <v>0</v>
      </c>
      <c r="N59" s="237">
        <v>0</v>
      </c>
      <c r="O59" s="237">
        <v>0</v>
      </c>
      <c r="P59" s="237">
        <v>0</v>
      </c>
      <c r="Q59" s="237">
        <v>0</v>
      </c>
      <c r="R59" s="237">
        <v>0</v>
      </c>
      <c r="S59" s="238">
        <v>0</v>
      </c>
      <c r="T59" s="263">
        <v>0</v>
      </c>
      <c r="U59" s="262">
        <v>2000</v>
      </c>
      <c r="V59" s="262">
        <v>0</v>
      </c>
      <c r="W59" s="262">
        <v>0</v>
      </c>
      <c r="X59" s="262">
        <v>0</v>
      </c>
      <c r="Y59" s="262">
        <v>0</v>
      </c>
      <c r="Z59" s="262">
        <v>0</v>
      </c>
      <c r="AA59" s="262">
        <v>0</v>
      </c>
      <c r="AB59" s="262">
        <v>0</v>
      </c>
      <c r="AC59" s="262">
        <v>0</v>
      </c>
      <c r="AD59" s="262">
        <v>0</v>
      </c>
      <c r="AE59" s="262">
        <v>0</v>
      </c>
      <c r="AG59" s="220">
        <f t="shared" si="101"/>
        <v>0</v>
      </c>
      <c r="AH59" s="220">
        <f t="shared" si="102"/>
        <v>0</v>
      </c>
      <c r="AI59" s="220">
        <f t="shared" si="103"/>
        <v>0</v>
      </c>
      <c r="AJ59" s="220">
        <f t="shared" si="104"/>
        <v>0</v>
      </c>
      <c r="AK59" s="220">
        <f t="shared" si="105"/>
        <v>0</v>
      </c>
      <c r="AL59" s="220">
        <f t="shared" si="106"/>
        <v>0</v>
      </c>
      <c r="AM59" s="220">
        <f t="shared" si="107"/>
        <v>0</v>
      </c>
      <c r="AN59" s="220">
        <f t="shared" si="108"/>
        <v>0</v>
      </c>
      <c r="AO59" s="220">
        <f t="shared" si="109"/>
        <v>0</v>
      </c>
      <c r="AP59" s="220">
        <f t="shared" si="110"/>
        <v>0</v>
      </c>
      <c r="AQ59" s="220">
        <f t="shared" si="111"/>
        <v>93.2</v>
      </c>
      <c r="AR59" s="220">
        <f t="shared" si="112"/>
        <v>0</v>
      </c>
      <c r="AS59" s="220">
        <f t="shared" si="113"/>
        <v>0</v>
      </c>
      <c r="AT59" s="220">
        <f t="shared" si="114"/>
        <v>0</v>
      </c>
      <c r="AU59" s="220">
        <f t="shared" si="115"/>
        <v>0</v>
      </c>
      <c r="AV59" s="220">
        <f t="shared" si="116"/>
        <v>0</v>
      </c>
      <c r="AW59" s="220">
        <f t="shared" si="117"/>
        <v>0</v>
      </c>
      <c r="AX59" s="220">
        <f t="shared" si="118"/>
        <v>0</v>
      </c>
      <c r="AY59" s="220">
        <f t="shared" si="119"/>
        <v>0</v>
      </c>
      <c r="AZ59" s="220">
        <f t="shared" si="120"/>
        <v>0</v>
      </c>
      <c r="BA59" s="220">
        <f t="shared" si="121"/>
        <v>0</v>
      </c>
      <c r="BB59" s="219"/>
      <c r="BC59" s="219"/>
      <c r="BD59" s="220">
        <f t="shared" si="88"/>
        <v>0</v>
      </c>
      <c r="BE59" s="220">
        <f t="shared" si="89"/>
        <v>0</v>
      </c>
      <c r="BF59" s="220">
        <f t="shared" si="90"/>
        <v>0</v>
      </c>
      <c r="BG59" s="220">
        <f t="shared" si="91"/>
        <v>0</v>
      </c>
      <c r="BH59" s="220">
        <f t="shared" si="92"/>
        <v>0</v>
      </c>
      <c r="BI59" s="220">
        <f t="shared" si="93"/>
        <v>0</v>
      </c>
      <c r="BJ59" s="220">
        <f t="shared" si="94"/>
        <v>0</v>
      </c>
      <c r="BK59" s="220">
        <f t="shared" si="95"/>
        <v>0</v>
      </c>
      <c r="BL59" s="220">
        <f t="shared" si="96"/>
        <v>0</v>
      </c>
      <c r="BM59" s="220">
        <f t="shared" si="97"/>
        <v>0</v>
      </c>
      <c r="BN59" s="220">
        <f t="shared" si="98"/>
        <v>0</v>
      </c>
      <c r="BO59" s="220">
        <f t="shared" si="136"/>
        <v>0</v>
      </c>
      <c r="BP59" s="220">
        <f t="shared" si="137"/>
        <v>0</v>
      </c>
      <c r="BQ59" s="220">
        <f t="shared" si="138"/>
        <v>0</v>
      </c>
      <c r="BR59" s="220">
        <f t="shared" si="122"/>
        <v>0</v>
      </c>
      <c r="BS59" s="220">
        <f t="shared" si="123"/>
        <v>0</v>
      </c>
      <c r="BT59" s="220">
        <f t="shared" si="124"/>
        <v>0</v>
      </c>
      <c r="BU59" s="220">
        <f t="shared" si="125"/>
        <v>0</v>
      </c>
      <c r="BV59" s="220">
        <f t="shared" si="126"/>
        <v>0</v>
      </c>
      <c r="BW59" s="220">
        <f t="shared" si="127"/>
        <v>0</v>
      </c>
      <c r="BX59" s="220">
        <f t="shared" si="128"/>
        <v>0</v>
      </c>
      <c r="CA59" s="220">
        <f t="shared" si="142"/>
        <v>0</v>
      </c>
      <c r="CB59" s="220">
        <f t="shared" si="143"/>
        <v>0</v>
      </c>
      <c r="CC59" s="220">
        <f t="shared" si="144"/>
        <v>0</v>
      </c>
      <c r="CD59" s="220">
        <f t="shared" si="145"/>
        <v>0</v>
      </c>
      <c r="CE59" s="220">
        <f t="shared" si="146"/>
        <v>0</v>
      </c>
      <c r="CF59" s="220">
        <f t="shared" si="147"/>
        <v>0</v>
      </c>
      <c r="CG59" s="220">
        <f t="shared" si="148"/>
        <v>0</v>
      </c>
      <c r="CH59" s="220">
        <f t="shared" si="149"/>
        <v>0</v>
      </c>
      <c r="CI59" s="220">
        <f t="shared" si="150"/>
        <v>0</v>
      </c>
      <c r="CJ59" s="220">
        <f t="shared" si="151"/>
        <v>0</v>
      </c>
      <c r="CK59" s="220">
        <f t="shared" si="152"/>
        <v>0</v>
      </c>
      <c r="CL59" s="220">
        <f t="shared" si="139"/>
        <v>0</v>
      </c>
      <c r="CM59" s="220">
        <f t="shared" si="140"/>
        <v>0</v>
      </c>
      <c r="CN59" s="220">
        <f t="shared" si="141"/>
        <v>0</v>
      </c>
      <c r="CO59" s="220">
        <f t="shared" si="129"/>
        <v>0</v>
      </c>
      <c r="CP59" s="220">
        <f t="shared" si="130"/>
        <v>0</v>
      </c>
      <c r="CQ59" s="220">
        <f t="shared" si="131"/>
        <v>0</v>
      </c>
      <c r="CR59" s="220">
        <f t="shared" si="132"/>
        <v>0</v>
      </c>
      <c r="CS59" s="220">
        <f t="shared" si="133"/>
        <v>0</v>
      </c>
      <c r="CT59" s="220">
        <f t="shared" si="134"/>
        <v>0</v>
      </c>
      <c r="CU59" s="220">
        <f t="shared" si="135"/>
        <v>0</v>
      </c>
    </row>
    <row r="60" spans="1:99" x14ac:dyDescent="0.35">
      <c r="A60" s="233">
        <v>5121</v>
      </c>
      <c r="B60" s="233">
        <v>20000337</v>
      </c>
      <c r="C60" s="234" t="s">
        <v>105</v>
      </c>
      <c r="D60" s="234">
        <v>50035308</v>
      </c>
      <c r="E60" s="233">
        <v>46.6</v>
      </c>
      <c r="F60" s="233" t="s">
        <v>109</v>
      </c>
      <c r="G60" s="233" t="s">
        <v>107</v>
      </c>
      <c r="H60" s="233" t="s">
        <v>70</v>
      </c>
      <c r="I60" s="235">
        <v>0</v>
      </c>
      <c r="K60" s="238">
        <v>0</v>
      </c>
      <c r="L60" s="237">
        <v>0</v>
      </c>
      <c r="M60" s="237">
        <v>0</v>
      </c>
      <c r="N60" s="237">
        <v>0</v>
      </c>
      <c r="O60" s="237">
        <v>0</v>
      </c>
      <c r="P60" s="237">
        <v>0</v>
      </c>
      <c r="Q60" s="237">
        <v>0</v>
      </c>
      <c r="R60" s="237">
        <v>0</v>
      </c>
      <c r="S60" s="238">
        <v>0</v>
      </c>
      <c r="T60" s="263">
        <v>1707.2639999999999</v>
      </c>
      <c r="U60" s="262">
        <v>0</v>
      </c>
      <c r="V60" s="262">
        <v>0</v>
      </c>
      <c r="W60" s="262">
        <v>0</v>
      </c>
      <c r="X60" s="262">
        <v>0</v>
      </c>
      <c r="Y60" s="262">
        <v>0</v>
      </c>
      <c r="Z60" s="262">
        <v>0</v>
      </c>
      <c r="AA60" s="262">
        <v>0</v>
      </c>
      <c r="AB60" s="262">
        <v>0</v>
      </c>
      <c r="AC60" s="262">
        <v>0</v>
      </c>
      <c r="AD60" s="262">
        <v>0</v>
      </c>
      <c r="AE60" s="262">
        <v>0</v>
      </c>
      <c r="AG60" s="220">
        <f t="shared" si="101"/>
        <v>0</v>
      </c>
      <c r="AH60" s="220">
        <f t="shared" si="102"/>
        <v>0</v>
      </c>
      <c r="AI60" s="220">
        <f t="shared" si="103"/>
        <v>0</v>
      </c>
      <c r="AJ60" s="220">
        <f t="shared" si="104"/>
        <v>0</v>
      </c>
      <c r="AK60" s="220">
        <f t="shared" si="105"/>
        <v>0</v>
      </c>
      <c r="AL60" s="220">
        <f t="shared" si="106"/>
        <v>0</v>
      </c>
      <c r="AM60" s="220">
        <f t="shared" si="107"/>
        <v>0</v>
      </c>
      <c r="AN60" s="220">
        <f t="shared" si="108"/>
        <v>0</v>
      </c>
      <c r="AO60" s="220">
        <f t="shared" si="109"/>
        <v>0</v>
      </c>
      <c r="AP60" s="220">
        <f t="shared" si="110"/>
        <v>79.558502399999995</v>
      </c>
      <c r="AQ60" s="220">
        <f t="shared" si="111"/>
        <v>0</v>
      </c>
      <c r="AR60" s="220">
        <f t="shared" si="112"/>
        <v>0</v>
      </c>
      <c r="AS60" s="220">
        <f t="shared" si="113"/>
        <v>0</v>
      </c>
      <c r="AT60" s="220">
        <f t="shared" si="114"/>
        <v>0</v>
      </c>
      <c r="AU60" s="220">
        <f t="shared" si="115"/>
        <v>0</v>
      </c>
      <c r="AV60" s="220">
        <f t="shared" si="116"/>
        <v>0</v>
      </c>
      <c r="AW60" s="220">
        <f t="shared" si="117"/>
        <v>0</v>
      </c>
      <c r="AX60" s="220">
        <f t="shared" si="118"/>
        <v>0</v>
      </c>
      <c r="AY60" s="220">
        <f t="shared" si="119"/>
        <v>0</v>
      </c>
      <c r="AZ60" s="220">
        <f t="shared" si="120"/>
        <v>0</v>
      </c>
      <c r="BA60" s="220">
        <f t="shared" si="121"/>
        <v>0</v>
      </c>
      <c r="BB60" s="219"/>
      <c r="BC60" s="219"/>
      <c r="BD60" s="220">
        <f t="shared" si="88"/>
        <v>0</v>
      </c>
      <c r="BE60" s="220">
        <f t="shared" si="89"/>
        <v>0</v>
      </c>
      <c r="BF60" s="220">
        <f t="shared" si="90"/>
        <v>0</v>
      </c>
      <c r="BG60" s="220">
        <f t="shared" si="91"/>
        <v>0</v>
      </c>
      <c r="BH60" s="220">
        <f t="shared" si="92"/>
        <v>0</v>
      </c>
      <c r="BI60" s="220">
        <f t="shared" si="93"/>
        <v>0</v>
      </c>
      <c r="BJ60" s="220">
        <f t="shared" si="94"/>
        <v>0</v>
      </c>
      <c r="BK60" s="220">
        <f t="shared" si="95"/>
        <v>0</v>
      </c>
      <c r="BL60" s="220">
        <f t="shared" si="96"/>
        <v>0</v>
      </c>
      <c r="BM60" s="220">
        <f t="shared" si="97"/>
        <v>0</v>
      </c>
      <c r="BN60" s="220">
        <f t="shared" si="98"/>
        <v>0</v>
      </c>
      <c r="BO60" s="220">
        <f t="shared" si="136"/>
        <v>0</v>
      </c>
      <c r="BP60" s="220">
        <f t="shared" si="137"/>
        <v>0</v>
      </c>
      <c r="BQ60" s="220">
        <f t="shared" si="138"/>
        <v>0</v>
      </c>
      <c r="BR60" s="220">
        <f t="shared" si="122"/>
        <v>0</v>
      </c>
      <c r="BS60" s="220">
        <f t="shared" si="123"/>
        <v>0</v>
      </c>
      <c r="BT60" s="220">
        <f t="shared" si="124"/>
        <v>0</v>
      </c>
      <c r="BU60" s="220">
        <f t="shared" si="125"/>
        <v>0</v>
      </c>
      <c r="BV60" s="220">
        <f t="shared" si="126"/>
        <v>0</v>
      </c>
      <c r="BW60" s="220">
        <f t="shared" si="127"/>
        <v>0</v>
      </c>
      <c r="BX60" s="220">
        <f t="shared" si="128"/>
        <v>0</v>
      </c>
      <c r="CA60" s="220">
        <f t="shared" si="142"/>
        <v>0</v>
      </c>
      <c r="CB60" s="220">
        <f t="shared" si="143"/>
        <v>0</v>
      </c>
      <c r="CC60" s="220">
        <f t="shared" si="144"/>
        <v>0</v>
      </c>
      <c r="CD60" s="220">
        <f t="shared" si="145"/>
        <v>0</v>
      </c>
      <c r="CE60" s="220">
        <f t="shared" si="146"/>
        <v>0</v>
      </c>
      <c r="CF60" s="220">
        <f t="shared" si="147"/>
        <v>0</v>
      </c>
      <c r="CG60" s="220">
        <f t="shared" si="148"/>
        <v>0</v>
      </c>
      <c r="CH60" s="220">
        <f t="shared" si="149"/>
        <v>0</v>
      </c>
      <c r="CI60" s="220">
        <f t="shared" si="150"/>
        <v>0</v>
      </c>
      <c r="CJ60" s="220">
        <f t="shared" si="151"/>
        <v>0</v>
      </c>
      <c r="CK60" s="220">
        <f t="shared" si="152"/>
        <v>0</v>
      </c>
      <c r="CL60" s="220">
        <f t="shared" si="139"/>
        <v>0</v>
      </c>
      <c r="CM60" s="220">
        <f t="shared" si="140"/>
        <v>0</v>
      </c>
      <c r="CN60" s="220">
        <f t="shared" si="141"/>
        <v>0</v>
      </c>
      <c r="CO60" s="220">
        <f t="shared" si="129"/>
        <v>0</v>
      </c>
      <c r="CP60" s="220">
        <f t="shared" si="130"/>
        <v>0</v>
      </c>
      <c r="CQ60" s="220">
        <f t="shared" si="131"/>
        <v>0</v>
      </c>
      <c r="CR60" s="220">
        <f t="shared" si="132"/>
        <v>0</v>
      </c>
      <c r="CS60" s="220">
        <f t="shared" si="133"/>
        <v>0</v>
      </c>
      <c r="CT60" s="220">
        <f t="shared" si="134"/>
        <v>0</v>
      </c>
      <c r="CU60" s="220">
        <f t="shared" si="135"/>
        <v>0</v>
      </c>
    </row>
    <row r="61" spans="1:99" x14ac:dyDescent="0.35">
      <c r="A61" s="233">
        <v>5121</v>
      </c>
      <c r="B61" s="233">
        <v>20000337</v>
      </c>
      <c r="C61" s="234" t="s">
        <v>105</v>
      </c>
      <c r="D61" s="234">
        <v>50033718</v>
      </c>
      <c r="E61" s="233">
        <v>46.6</v>
      </c>
      <c r="F61" s="233" t="s">
        <v>109</v>
      </c>
      <c r="G61" s="233" t="s">
        <v>114</v>
      </c>
      <c r="H61" s="233" t="s">
        <v>112</v>
      </c>
      <c r="I61" s="235">
        <v>0.2</v>
      </c>
      <c r="K61" s="237">
        <v>0</v>
      </c>
      <c r="L61" s="237">
        <v>0</v>
      </c>
      <c r="M61" s="237">
        <v>0</v>
      </c>
      <c r="N61" s="237">
        <v>0</v>
      </c>
      <c r="O61" s="237">
        <v>0</v>
      </c>
      <c r="P61" s="237">
        <v>0</v>
      </c>
      <c r="Q61" s="237">
        <v>0</v>
      </c>
      <c r="R61" s="237">
        <v>0</v>
      </c>
      <c r="S61" s="238">
        <v>0</v>
      </c>
      <c r="T61" s="263">
        <v>0</v>
      </c>
      <c r="U61" s="262">
        <v>0</v>
      </c>
      <c r="V61" s="262">
        <v>0</v>
      </c>
      <c r="W61" s="262">
        <v>0</v>
      </c>
      <c r="X61" s="262">
        <v>0</v>
      </c>
      <c r="Y61" s="262">
        <v>0</v>
      </c>
      <c r="Z61" s="262">
        <v>0</v>
      </c>
      <c r="AA61" s="262">
        <v>0</v>
      </c>
      <c r="AB61" s="262">
        <v>0</v>
      </c>
      <c r="AC61" s="262">
        <v>0</v>
      </c>
      <c r="AD61" s="262">
        <v>0</v>
      </c>
      <c r="AE61" s="262">
        <v>0</v>
      </c>
      <c r="AG61" s="220">
        <f t="shared" si="101"/>
        <v>0</v>
      </c>
      <c r="AH61" s="220">
        <f t="shared" si="102"/>
        <v>0</v>
      </c>
      <c r="AI61" s="220">
        <f t="shared" si="103"/>
        <v>0</v>
      </c>
      <c r="AJ61" s="220">
        <f t="shared" si="104"/>
        <v>0</v>
      </c>
      <c r="AK61" s="220">
        <f t="shared" si="105"/>
        <v>0</v>
      </c>
      <c r="AL61" s="220">
        <f t="shared" si="106"/>
        <v>0</v>
      </c>
      <c r="AM61" s="220">
        <f t="shared" si="107"/>
        <v>0</v>
      </c>
      <c r="AN61" s="220">
        <f t="shared" si="108"/>
        <v>0</v>
      </c>
      <c r="AO61" s="220">
        <f t="shared" si="109"/>
        <v>0</v>
      </c>
      <c r="AP61" s="220">
        <f t="shared" si="110"/>
        <v>0</v>
      </c>
      <c r="AQ61" s="220">
        <f t="shared" si="111"/>
        <v>0</v>
      </c>
      <c r="AR61" s="220">
        <f t="shared" si="112"/>
        <v>0</v>
      </c>
      <c r="AS61" s="220">
        <f t="shared" si="113"/>
        <v>0</v>
      </c>
      <c r="AT61" s="220">
        <f t="shared" si="114"/>
        <v>0</v>
      </c>
      <c r="AU61" s="220">
        <f t="shared" si="115"/>
        <v>0</v>
      </c>
      <c r="AV61" s="220">
        <f t="shared" si="116"/>
        <v>0</v>
      </c>
      <c r="AW61" s="220">
        <f t="shared" si="117"/>
        <v>0</v>
      </c>
      <c r="AX61" s="220">
        <f t="shared" si="118"/>
        <v>0</v>
      </c>
      <c r="AY61" s="220">
        <f t="shared" si="119"/>
        <v>0</v>
      </c>
      <c r="AZ61" s="220">
        <f t="shared" si="120"/>
        <v>0</v>
      </c>
      <c r="BA61" s="220">
        <f t="shared" si="121"/>
        <v>0</v>
      </c>
      <c r="BB61" s="219"/>
      <c r="BC61" s="219"/>
      <c r="BD61" s="220">
        <f t="shared" si="88"/>
        <v>0</v>
      </c>
      <c r="BE61" s="220">
        <f t="shared" si="89"/>
        <v>0</v>
      </c>
      <c r="BF61" s="220">
        <f t="shared" si="90"/>
        <v>0</v>
      </c>
      <c r="BG61" s="220">
        <f t="shared" si="91"/>
        <v>0</v>
      </c>
      <c r="BH61" s="220">
        <f t="shared" si="92"/>
        <v>0</v>
      </c>
      <c r="BI61" s="220">
        <f t="shared" si="93"/>
        <v>0</v>
      </c>
      <c r="BJ61" s="220">
        <f t="shared" si="94"/>
        <v>0</v>
      </c>
      <c r="BK61" s="220">
        <f t="shared" si="95"/>
        <v>0</v>
      </c>
      <c r="BL61" s="220">
        <f t="shared" si="96"/>
        <v>0</v>
      </c>
      <c r="BM61" s="220">
        <f t="shared" si="97"/>
        <v>0</v>
      </c>
      <c r="BN61" s="220">
        <f t="shared" si="98"/>
        <v>0</v>
      </c>
      <c r="BO61" s="220">
        <f t="shared" si="136"/>
        <v>0</v>
      </c>
      <c r="BP61" s="220">
        <f t="shared" si="137"/>
        <v>0</v>
      </c>
      <c r="BQ61" s="220">
        <f t="shared" si="138"/>
        <v>0</v>
      </c>
      <c r="BR61" s="220">
        <f t="shared" si="122"/>
        <v>0</v>
      </c>
      <c r="BS61" s="220">
        <f t="shared" si="123"/>
        <v>0</v>
      </c>
      <c r="BT61" s="220">
        <f t="shared" si="124"/>
        <v>0</v>
      </c>
      <c r="BU61" s="220">
        <f t="shared" si="125"/>
        <v>0</v>
      </c>
      <c r="BV61" s="220">
        <f t="shared" si="126"/>
        <v>0</v>
      </c>
      <c r="BW61" s="220">
        <f t="shared" si="127"/>
        <v>0</v>
      </c>
      <c r="BX61" s="220">
        <f t="shared" si="128"/>
        <v>0</v>
      </c>
      <c r="CA61" s="220">
        <f t="shared" si="142"/>
        <v>0</v>
      </c>
      <c r="CB61" s="220">
        <f t="shared" si="143"/>
        <v>0</v>
      </c>
      <c r="CC61" s="220">
        <f t="shared" si="144"/>
        <v>0</v>
      </c>
      <c r="CD61" s="220">
        <f t="shared" si="145"/>
        <v>0</v>
      </c>
      <c r="CE61" s="220">
        <f t="shared" si="146"/>
        <v>0</v>
      </c>
      <c r="CF61" s="220">
        <f t="shared" si="147"/>
        <v>0</v>
      </c>
      <c r="CG61" s="220">
        <f t="shared" si="148"/>
        <v>0</v>
      </c>
      <c r="CH61" s="220">
        <f t="shared" si="149"/>
        <v>0</v>
      </c>
      <c r="CI61" s="220">
        <f t="shared" si="150"/>
        <v>0</v>
      </c>
      <c r="CJ61" s="220">
        <f t="shared" si="151"/>
        <v>0</v>
      </c>
      <c r="CK61" s="220">
        <f t="shared" si="152"/>
        <v>0</v>
      </c>
      <c r="CL61" s="220">
        <f t="shared" si="139"/>
        <v>0</v>
      </c>
      <c r="CM61" s="220">
        <f t="shared" si="140"/>
        <v>0</v>
      </c>
      <c r="CN61" s="220">
        <f t="shared" si="141"/>
        <v>0</v>
      </c>
      <c r="CO61" s="220">
        <f t="shared" si="129"/>
        <v>0</v>
      </c>
      <c r="CP61" s="220">
        <f t="shared" si="130"/>
        <v>0</v>
      </c>
      <c r="CQ61" s="220">
        <f t="shared" si="131"/>
        <v>0</v>
      </c>
      <c r="CR61" s="220">
        <f t="shared" si="132"/>
        <v>0</v>
      </c>
      <c r="CS61" s="220">
        <f t="shared" si="133"/>
        <v>0</v>
      </c>
      <c r="CT61" s="220">
        <f t="shared" si="134"/>
        <v>0</v>
      </c>
      <c r="CU61" s="220">
        <f t="shared" si="135"/>
        <v>0</v>
      </c>
    </row>
    <row r="62" spans="1:99" x14ac:dyDescent="0.35">
      <c r="A62" s="233">
        <v>5121</v>
      </c>
      <c r="B62" s="233">
        <v>20000337</v>
      </c>
      <c r="C62" s="234" t="s">
        <v>105</v>
      </c>
      <c r="D62" s="234">
        <v>50032583</v>
      </c>
      <c r="E62" s="233">
        <v>54.7</v>
      </c>
      <c r="F62" s="233" t="s">
        <v>106</v>
      </c>
      <c r="G62" s="233" t="s">
        <v>107</v>
      </c>
      <c r="H62" s="233" t="s">
        <v>70</v>
      </c>
      <c r="I62" s="235">
        <v>0</v>
      </c>
      <c r="K62" s="237">
        <v>0</v>
      </c>
      <c r="L62" s="237">
        <v>0</v>
      </c>
      <c r="M62" s="237">
        <v>0</v>
      </c>
      <c r="N62" s="237">
        <v>0</v>
      </c>
      <c r="O62" s="237">
        <v>0</v>
      </c>
      <c r="P62" s="237">
        <v>0</v>
      </c>
      <c r="Q62" s="237">
        <v>0</v>
      </c>
      <c r="R62" s="237">
        <v>0</v>
      </c>
      <c r="S62" s="238">
        <v>0</v>
      </c>
      <c r="T62" s="263">
        <v>1084.9161481481492</v>
      </c>
      <c r="U62" s="262">
        <v>0</v>
      </c>
      <c r="V62" s="262">
        <v>0</v>
      </c>
      <c r="W62" s="262">
        <v>1408</v>
      </c>
      <c r="X62" s="262">
        <v>0</v>
      </c>
      <c r="Y62" s="262">
        <v>0</v>
      </c>
      <c r="Z62" s="262">
        <v>0</v>
      </c>
      <c r="AA62" s="262">
        <v>450.87744444444456</v>
      </c>
      <c r="AB62" s="262">
        <v>0</v>
      </c>
      <c r="AC62" s="262">
        <v>0</v>
      </c>
      <c r="AD62" s="262">
        <v>0</v>
      </c>
      <c r="AE62" s="262">
        <v>0</v>
      </c>
      <c r="AG62" s="220">
        <f t="shared" si="101"/>
        <v>0</v>
      </c>
      <c r="AH62" s="220">
        <f t="shared" si="102"/>
        <v>0</v>
      </c>
      <c r="AI62" s="220">
        <f t="shared" si="103"/>
        <v>0</v>
      </c>
      <c r="AJ62" s="220">
        <f t="shared" si="104"/>
        <v>0</v>
      </c>
      <c r="AK62" s="220">
        <f t="shared" si="105"/>
        <v>0</v>
      </c>
      <c r="AL62" s="220">
        <f t="shared" si="106"/>
        <v>0</v>
      </c>
      <c r="AM62" s="220">
        <f t="shared" si="107"/>
        <v>0</v>
      </c>
      <c r="AN62" s="220">
        <f t="shared" si="108"/>
        <v>0</v>
      </c>
      <c r="AO62" s="220">
        <f t="shared" si="109"/>
        <v>0</v>
      </c>
      <c r="AP62" s="220">
        <f t="shared" si="110"/>
        <v>59.34491330370377</v>
      </c>
      <c r="AQ62" s="220">
        <f t="shared" si="111"/>
        <v>0</v>
      </c>
      <c r="AR62" s="220">
        <f t="shared" si="112"/>
        <v>0</v>
      </c>
      <c r="AS62" s="220">
        <f t="shared" si="113"/>
        <v>77.017600000000002</v>
      </c>
      <c r="AT62" s="220">
        <f t="shared" si="114"/>
        <v>0</v>
      </c>
      <c r="AU62" s="220">
        <f t="shared" si="115"/>
        <v>0</v>
      </c>
      <c r="AV62" s="220">
        <f t="shared" si="116"/>
        <v>0</v>
      </c>
      <c r="AW62" s="220">
        <f t="shared" si="117"/>
        <v>24.662996211111121</v>
      </c>
      <c r="AX62" s="220">
        <f t="shared" si="118"/>
        <v>0</v>
      </c>
      <c r="AY62" s="220">
        <f t="shared" si="119"/>
        <v>0</v>
      </c>
      <c r="AZ62" s="220">
        <f t="shared" si="120"/>
        <v>0</v>
      </c>
      <c r="BA62" s="220">
        <f t="shared" si="121"/>
        <v>0</v>
      </c>
      <c r="BB62" s="219"/>
      <c r="BC62" s="219"/>
      <c r="BD62" s="220">
        <f t="shared" si="88"/>
        <v>0</v>
      </c>
      <c r="BE62" s="220">
        <f t="shared" si="89"/>
        <v>0</v>
      </c>
      <c r="BF62" s="220">
        <f t="shared" si="90"/>
        <v>0</v>
      </c>
      <c r="BG62" s="220">
        <f t="shared" si="91"/>
        <v>0</v>
      </c>
      <c r="BH62" s="220">
        <f t="shared" si="92"/>
        <v>0</v>
      </c>
      <c r="BI62" s="220">
        <f t="shared" si="93"/>
        <v>0</v>
      </c>
      <c r="BJ62" s="220">
        <f t="shared" si="94"/>
        <v>0</v>
      </c>
      <c r="BK62" s="220">
        <f t="shared" si="95"/>
        <v>0</v>
      </c>
      <c r="BL62" s="220">
        <f t="shared" si="96"/>
        <v>0</v>
      </c>
      <c r="BM62" s="220">
        <f t="shared" si="97"/>
        <v>0</v>
      </c>
      <c r="BN62" s="220">
        <f t="shared" si="98"/>
        <v>0</v>
      </c>
      <c r="BO62" s="220">
        <f t="shared" si="136"/>
        <v>0</v>
      </c>
      <c r="BP62" s="220">
        <f t="shared" si="137"/>
        <v>0</v>
      </c>
      <c r="BQ62" s="220">
        <f t="shared" si="138"/>
        <v>0</v>
      </c>
      <c r="BR62" s="220">
        <f t="shared" si="122"/>
        <v>0</v>
      </c>
      <c r="BS62" s="220">
        <f t="shared" si="123"/>
        <v>0</v>
      </c>
      <c r="BT62" s="220">
        <f t="shared" si="124"/>
        <v>0</v>
      </c>
      <c r="BU62" s="220">
        <f t="shared" si="125"/>
        <v>0</v>
      </c>
      <c r="BV62" s="220">
        <f t="shared" si="126"/>
        <v>0</v>
      </c>
      <c r="BW62" s="220">
        <f t="shared" si="127"/>
        <v>0</v>
      </c>
      <c r="BX62" s="220">
        <f t="shared" si="128"/>
        <v>0</v>
      </c>
      <c r="CA62" s="220">
        <f t="shared" si="142"/>
        <v>0</v>
      </c>
      <c r="CB62" s="220">
        <f t="shared" si="143"/>
        <v>0</v>
      </c>
      <c r="CC62" s="220">
        <f t="shared" si="144"/>
        <v>0</v>
      </c>
      <c r="CD62" s="220">
        <f t="shared" si="145"/>
        <v>0</v>
      </c>
      <c r="CE62" s="220">
        <f t="shared" si="146"/>
        <v>0</v>
      </c>
      <c r="CF62" s="220">
        <f t="shared" si="147"/>
        <v>0</v>
      </c>
      <c r="CG62" s="220">
        <f t="shared" si="148"/>
        <v>0</v>
      </c>
      <c r="CH62" s="220">
        <f t="shared" si="149"/>
        <v>0</v>
      </c>
      <c r="CI62" s="220">
        <f t="shared" si="150"/>
        <v>0</v>
      </c>
      <c r="CJ62" s="220">
        <f t="shared" si="151"/>
        <v>0</v>
      </c>
      <c r="CK62" s="220">
        <f t="shared" si="152"/>
        <v>0</v>
      </c>
      <c r="CL62" s="220">
        <f t="shared" si="139"/>
        <v>0</v>
      </c>
      <c r="CM62" s="220">
        <f t="shared" si="140"/>
        <v>0</v>
      </c>
      <c r="CN62" s="220">
        <f t="shared" si="141"/>
        <v>0</v>
      </c>
      <c r="CO62" s="220">
        <f t="shared" si="129"/>
        <v>0</v>
      </c>
      <c r="CP62" s="220">
        <f t="shared" si="130"/>
        <v>0</v>
      </c>
      <c r="CQ62" s="220">
        <f t="shared" si="131"/>
        <v>0</v>
      </c>
      <c r="CR62" s="220">
        <f t="shared" si="132"/>
        <v>0</v>
      </c>
      <c r="CS62" s="220">
        <f t="shared" si="133"/>
        <v>0</v>
      </c>
      <c r="CT62" s="220">
        <f t="shared" si="134"/>
        <v>0</v>
      </c>
      <c r="CU62" s="220">
        <f t="shared" si="135"/>
        <v>0</v>
      </c>
    </row>
    <row r="63" spans="1:99" x14ac:dyDescent="0.35">
      <c r="A63" s="233">
        <v>5121</v>
      </c>
      <c r="B63" s="233">
        <v>20000337</v>
      </c>
      <c r="C63" s="234" t="s">
        <v>105</v>
      </c>
      <c r="D63" s="234">
        <v>50024497</v>
      </c>
      <c r="E63" s="233">
        <v>54.7</v>
      </c>
      <c r="F63" s="233" t="s">
        <v>106</v>
      </c>
      <c r="G63" s="233" t="s">
        <v>115</v>
      </c>
      <c r="H63" s="233" t="s">
        <v>70</v>
      </c>
      <c r="I63" s="235">
        <v>0</v>
      </c>
      <c r="K63" s="237">
        <v>0</v>
      </c>
      <c r="L63" s="237">
        <v>0</v>
      </c>
      <c r="M63" s="237">
        <v>0</v>
      </c>
      <c r="N63" s="237">
        <v>0</v>
      </c>
      <c r="O63" s="237">
        <v>0</v>
      </c>
      <c r="P63" s="237">
        <v>0</v>
      </c>
      <c r="Q63" s="237">
        <v>0</v>
      </c>
      <c r="R63" s="237">
        <v>0</v>
      </c>
      <c r="S63" s="238">
        <v>0</v>
      </c>
      <c r="T63" s="263">
        <v>5500</v>
      </c>
      <c r="U63" s="262">
        <v>0</v>
      </c>
      <c r="V63" s="262">
        <v>0</v>
      </c>
      <c r="W63" s="262">
        <v>0</v>
      </c>
      <c r="X63" s="262">
        <v>703.87199999999996</v>
      </c>
      <c r="Y63" s="262">
        <v>703.87199999999996</v>
      </c>
      <c r="Z63" s="262">
        <v>1055.808</v>
      </c>
      <c r="AA63" s="262">
        <v>0</v>
      </c>
      <c r="AB63" s="262">
        <v>1055.8719999999998</v>
      </c>
      <c r="AC63" s="262">
        <v>351.93599999999998</v>
      </c>
      <c r="AD63" s="262">
        <v>704</v>
      </c>
      <c r="AE63" s="262">
        <v>703.87199999999996</v>
      </c>
      <c r="AG63" s="220">
        <f t="shared" si="101"/>
        <v>0</v>
      </c>
      <c r="AH63" s="220">
        <f t="shared" si="102"/>
        <v>0</v>
      </c>
      <c r="AI63" s="220">
        <f t="shared" si="103"/>
        <v>0</v>
      </c>
      <c r="AJ63" s="220">
        <f t="shared" si="104"/>
        <v>0</v>
      </c>
      <c r="AK63" s="220">
        <f t="shared" si="105"/>
        <v>0</v>
      </c>
      <c r="AL63" s="220">
        <f t="shared" si="106"/>
        <v>0</v>
      </c>
      <c r="AM63" s="220">
        <f t="shared" si="107"/>
        <v>0</v>
      </c>
      <c r="AN63" s="220">
        <f t="shared" si="108"/>
        <v>0</v>
      </c>
      <c r="AO63" s="220">
        <f t="shared" si="109"/>
        <v>0</v>
      </c>
      <c r="AP63" s="220">
        <f t="shared" si="110"/>
        <v>300.85000000000002</v>
      </c>
      <c r="AQ63" s="220">
        <f t="shared" si="111"/>
        <v>0</v>
      </c>
      <c r="AR63" s="220">
        <f t="shared" si="112"/>
        <v>0</v>
      </c>
      <c r="AS63" s="220">
        <f t="shared" si="113"/>
        <v>0</v>
      </c>
      <c r="AT63" s="220">
        <f t="shared" si="114"/>
        <v>38.501798399999998</v>
      </c>
      <c r="AU63" s="220">
        <f t="shared" si="115"/>
        <v>38.501798399999998</v>
      </c>
      <c r="AV63" s="220">
        <f t="shared" si="116"/>
        <v>57.752697599999998</v>
      </c>
      <c r="AW63" s="220">
        <f t="shared" si="117"/>
        <v>0</v>
      </c>
      <c r="AX63" s="220">
        <f t="shared" si="118"/>
        <v>57.756198399999995</v>
      </c>
      <c r="AY63" s="220">
        <f t="shared" si="119"/>
        <v>19.250899199999999</v>
      </c>
      <c r="AZ63" s="220">
        <f t="shared" si="120"/>
        <v>38.508800000000001</v>
      </c>
      <c r="BA63" s="220">
        <f t="shared" si="121"/>
        <v>38.501798399999998</v>
      </c>
      <c r="BB63" s="219"/>
      <c r="BC63" s="219"/>
      <c r="BD63" s="220">
        <f t="shared" si="88"/>
        <v>0</v>
      </c>
      <c r="BE63" s="220">
        <f t="shared" si="89"/>
        <v>0</v>
      </c>
      <c r="BF63" s="220">
        <f t="shared" si="90"/>
        <v>0</v>
      </c>
      <c r="BG63" s="220">
        <f t="shared" si="91"/>
        <v>0</v>
      </c>
      <c r="BH63" s="220">
        <f t="shared" si="92"/>
        <v>0</v>
      </c>
      <c r="BI63" s="220">
        <f t="shared" si="93"/>
        <v>0</v>
      </c>
      <c r="BJ63" s="220">
        <f t="shared" si="94"/>
        <v>0</v>
      </c>
      <c r="BK63" s="220">
        <f t="shared" si="95"/>
        <v>0</v>
      </c>
      <c r="BL63" s="220">
        <f t="shared" si="96"/>
        <v>0</v>
      </c>
      <c r="BM63" s="220">
        <f t="shared" si="97"/>
        <v>0</v>
      </c>
      <c r="BN63" s="220">
        <f t="shared" si="98"/>
        <v>0</v>
      </c>
      <c r="BO63" s="220">
        <f t="shared" si="136"/>
        <v>0</v>
      </c>
      <c r="BP63" s="220">
        <f t="shared" si="137"/>
        <v>0</v>
      </c>
      <c r="BQ63" s="220">
        <f t="shared" si="138"/>
        <v>0</v>
      </c>
      <c r="BR63" s="220">
        <f t="shared" si="122"/>
        <v>0</v>
      </c>
      <c r="BS63" s="220">
        <f t="shared" si="123"/>
        <v>0</v>
      </c>
      <c r="BT63" s="220">
        <f t="shared" si="124"/>
        <v>0</v>
      </c>
      <c r="BU63" s="220">
        <f t="shared" si="125"/>
        <v>0</v>
      </c>
      <c r="BV63" s="220">
        <f t="shared" si="126"/>
        <v>0</v>
      </c>
      <c r="BW63" s="220">
        <f t="shared" si="127"/>
        <v>0</v>
      </c>
      <c r="BX63" s="220">
        <f t="shared" si="128"/>
        <v>0</v>
      </c>
      <c r="CA63" s="220">
        <f t="shared" si="142"/>
        <v>0</v>
      </c>
      <c r="CB63" s="220">
        <f t="shared" si="143"/>
        <v>0</v>
      </c>
      <c r="CC63" s="220">
        <f t="shared" si="144"/>
        <v>0</v>
      </c>
      <c r="CD63" s="220">
        <f t="shared" si="145"/>
        <v>0</v>
      </c>
      <c r="CE63" s="220">
        <f t="shared" si="146"/>
        <v>0</v>
      </c>
      <c r="CF63" s="220">
        <f t="shared" si="147"/>
        <v>0</v>
      </c>
      <c r="CG63" s="220">
        <f t="shared" si="148"/>
        <v>0</v>
      </c>
      <c r="CH63" s="220">
        <f t="shared" si="149"/>
        <v>0</v>
      </c>
      <c r="CI63" s="220">
        <f t="shared" si="150"/>
        <v>0</v>
      </c>
      <c r="CJ63" s="220">
        <f t="shared" si="151"/>
        <v>0</v>
      </c>
      <c r="CK63" s="220">
        <f t="shared" si="152"/>
        <v>0</v>
      </c>
      <c r="CL63" s="220">
        <f t="shared" si="139"/>
        <v>0</v>
      </c>
      <c r="CM63" s="220">
        <f t="shared" si="140"/>
        <v>0</v>
      </c>
      <c r="CN63" s="220">
        <f t="shared" si="141"/>
        <v>0</v>
      </c>
      <c r="CO63" s="220">
        <f t="shared" si="129"/>
        <v>0</v>
      </c>
      <c r="CP63" s="220">
        <f t="shared" si="130"/>
        <v>0</v>
      </c>
      <c r="CQ63" s="220">
        <f t="shared" si="131"/>
        <v>0</v>
      </c>
      <c r="CR63" s="220">
        <f t="shared" si="132"/>
        <v>0</v>
      </c>
      <c r="CS63" s="220">
        <f t="shared" si="133"/>
        <v>0</v>
      </c>
      <c r="CT63" s="220">
        <f t="shared" si="134"/>
        <v>0</v>
      </c>
      <c r="CU63" s="220">
        <f t="shared" si="135"/>
        <v>0</v>
      </c>
    </row>
    <row r="64" spans="1:99" x14ac:dyDescent="0.35">
      <c r="A64" s="233">
        <v>5101</v>
      </c>
      <c r="B64" s="233">
        <v>20000339</v>
      </c>
      <c r="C64" s="234" t="s">
        <v>105</v>
      </c>
      <c r="D64" s="234">
        <v>50034577</v>
      </c>
      <c r="E64" s="233">
        <v>25</v>
      </c>
      <c r="F64" s="233" t="s">
        <v>106</v>
      </c>
      <c r="G64" s="233" t="s">
        <v>107</v>
      </c>
      <c r="H64" s="233" t="s">
        <v>70</v>
      </c>
      <c r="I64" s="235">
        <v>0</v>
      </c>
      <c r="K64" s="237">
        <v>0</v>
      </c>
      <c r="L64" s="237">
        <v>0</v>
      </c>
      <c r="M64" s="237">
        <v>0</v>
      </c>
      <c r="N64" s="237">
        <v>0</v>
      </c>
      <c r="O64" s="237">
        <v>0</v>
      </c>
      <c r="P64" s="237">
        <v>0</v>
      </c>
      <c r="Q64" s="237">
        <v>0</v>
      </c>
      <c r="R64" s="237">
        <v>0</v>
      </c>
      <c r="S64" s="238">
        <v>0</v>
      </c>
      <c r="T64" s="263">
        <v>2189.1851851851902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Z64" s="262">
        <v>0</v>
      </c>
      <c r="AA64" s="262">
        <v>0</v>
      </c>
      <c r="AB64" s="262">
        <v>0</v>
      </c>
      <c r="AC64" s="262">
        <v>0</v>
      </c>
      <c r="AD64" s="262">
        <v>0</v>
      </c>
      <c r="AE64" s="262">
        <v>0</v>
      </c>
      <c r="AG64" s="220">
        <f t="shared" si="101"/>
        <v>0</v>
      </c>
      <c r="AH64" s="220">
        <f t="shared" si="102"/>
        <v>0</v>
      </c>
      <c r="AI64" s="220">
        <f t="shared" si="103"/>
        <v>0</v>
      </c>
      <c r="AJ64" s="220">
        <f t="shared" si="104"/>
        <v>0</v>
      </c>
      <c r="AK64" s="220">
        <f t="shared" si="105"/>
        <v>0</v>
      </c>
      <c r="AL64" s="220">
        <f t="shared" si="106"/>
        <v>0</v>
      </c>
      <c r="AM64" s="220">
        <f t="shared" si="107"/>
        <v>0</v>
      </c>
      <c r="AN64" s="220">
        <f t="shared" si="108"/>
        <v>0</v>
      </c>
      <c r="AO64" s="220">
        <f t="shared" si="109"/>
        <v>0</v>
      </c>
      <c r="AP64" s="220">
        <f t="shared" si="110"/>
        <v>54.729629629629756</v>
      </c>
      <c r="AQ64" s="220">
        <f t="shared" si="111"/>
        <v>0</v>
      </c>
      <c r="AR64" s="220">
        <f t="shared" si="112"/>
        <v>0</v>
      </c>
      <c r="AS64" s="220">
        <f t="shared" si="113"/>
        <v>0</v>
      </c>
      <c r="AT64" s="220">
        <f t="shared" si="114"/>
        <v>0</v>
      </c>
      <c r="AU64" s="220">
        <f t="shared" si="115"/>
        <v>0</v>
      </c>
      <c r="AV64" s="220">
        <f t="shared" si="116"/>
        <v>0</v>
      </c>
      <c r="AW64" s="220">
        <f t="shared" si="117"/>
        <v>0</v>
      </c>
      <c r="AX64" s="220">
        <f t="shared" si="118"/>
        <v>0</v>
      </c>
      <c r="AY64" s="220">
        <f t="shared" si="119"/>
        <v>0</v>
      </c>
      <c r="AZ64" s="220">
        <f t="shared" si="120"/>
        <v>0</v>
      </c>
      <c r="BA64" s="220">
        <f t="shared" si="121"/>
        <v>0</v>
      </c>
      <c r="BB64" s="219"/>
      <c r="BC64" s="219"/>
      <c r="BD64" s="220">
        <f t="shared" si="88"/>
        <v>0</v>
      </c>
      <c r="BE64" s="220">
        <f t="shared" si="89"/>
        <v>0</v>
      </c>
      <c r="BF64" s="220">
        <f t="shared" si="90"/>
        <v>0</v>
      </c>
      <c r="BG64" s="220">
        <f t="shared" si="91"/>
        <v>0</v>
      </c>
      <c r="BH64" s="220">
        <f t="shared" si="92"/>
        <v>0</v>
      </c>
      <c r="BI64" s="220">
        <f t="shared" si="93"/>
        <v>0</v>
      </c>
      <c r="BJ64" s="220">
        <f t="shared" si="94"/>
        <v>0</v>
      </c>
      <c r="BK64" s="220">
        <f t="shared" si="95"/>
        <v>0</v>
      </c>
      <c r="BL64" s="220">
        <f t="shared" si="96"/>
        <v>0</v>
      </c>
      <c r="BM64" s="220">
        <f t="shared" si="97"/>
        <v>0</v>
      </c>
      <c r="BN64" s="220">
        <f t="shared" si="98"/>
        <v>0</v>
      </c>
      <c r="BO64" s="220">
        <f t="shared" si="136"/>
        <v>0</v>
      </c>
      <c r="BP64" s="220">
        <f t="shared" si="137"/>
        <v>0</v>
      </c>
      <c r="BQ64" s="220">
        <f t="shared" si="138"/>
        <v>0</v>
      </c>
      <c r="BR64" s="220">
        <f t="shared" si="122"/>
        <v>0</v>
      </c>
      <c r="BS64" s="220">
        <f t="shared" si="123"/>
        <v>0</v>
      </c>
      <c r="BT64" s="220">
        <f t="shared" si="124"/>
        <v>0</v>
      </c>
      <c r="BU64" s="220">
        <f t="shared" si="125"/>
        <v>0</v>
      </c>
      <c r="BV64" s="220">
        <f t="shared" si="126"/>
        <v>0</v>
      </c>
      <c r="BW64" s="220">
        <f t="shared" si="127"/>
        <v>0</v>
      </c>
      <c r="BX64" s="220">
        <f t="shared" si="128"/>
        <v>0</v>
      </c>
      <c r="CA64" s="220">
        <f t="shared" si="142"/>
        <v>0</v>
      </c>
      <c r="CB64" s="220">
        <f t="shared" si="143"/>
        <v>0</v>
      </c>
      <c r="CC64" s="220">
        <f t="shared" si="144"/>
        <v>0</v>
      </c>
      <c r="CD64" s="220">
        <f t="shared" si="145"/>
        <v>0</v>
      </c>
      <c r="CE64" s="220">
        <f t="shared" si="146"/>
        <v>0</v>
      </c>
      <c r="CF64" s="220">
        <f t="shared" si="147"/>
        <v>0</v>
      </c>
      <c r="CG64" s="220">
        <f t="shared" si="148"/>
        <v>0</v>
      </c>
      <c r="CH64" s="220">
        <f t="shared" si="149"/>
        <v>0</v>
      </c>
      <c r="CI64" s="220">
        <f t="shared" si="150"/>
        <v>0</v>
      </c>
      <c r="CJ64" s="220">
        <f t="shared" si="151"/>
        <v>0</v>
      </c>
      <c r="CK64" s="220">
        <f t="shared" si="152"/>
        <v>0</v>
      </c>
      <c r="CL64" s="220">
        <f t="shared" si="139"/>
        <v>0</v>
      </c>
      <c r="CM64" s="220">
        <f t="shared" si="140"/>
        <v>0</v>
      </c>
      <c r="CN64" s="220">
        <f t="shared" si="141"/>
        <v>0</v>
      </c>
      <c r="CO64" s="220">
        <f t="shared" si="129"/>
        <v>0</v>
      </c>
      <c r="CP64" s="220">
        <f t="shared" si="130"/>
        <v>0</v>
      </c>
      <c r="CQ64" s="220">
        <f t="shared" si="131"/>
        <v>0</v>
      </c>
      <c r="CR64" s="220">
        <f t="shared" si="132"/>
        <v>0</v>
      </c>
      <c r="CS64" s="220">
        <f t="shared" si="133"/>
        <v>0</v>
      </c>
      <c r="CT64" s="220">
        <f t="shared" si="134"/>
        <v>0</v>
      </c>
      <c r="CU64" s="220">
        <f t="shared" si="135"/>
        <v>0</v>
      </c>
    </row>
    <row r="65" spans="1:99" x14ac:dyDescent="0.35">
      <c r="A65" s="233">
        <v>5101</v>
      </c>
      <c r="B65" s="233">
        <v>20000339</v>
      </c>
      <c r="C65" s="234" t="s">
        <v>105</v>
      </c>
      <c r="D65" s="234">
        <v>50038607</v>
      </c>
      <c r="E65" s="233">
        <v>25</v>
      </c>
      <c r="F65" s="233" t="s">
        <v>106</v>
      </c>
      <c r="G65" s="233" t="s">
        <v>115</v>
      </c>
      <c r="H65" s="233" t="s">
        <v>70</v>
      </c>
      <c r="I65" s="235">
        <v>0</v>
      </c>
      <c r="K65" s="237">
        <v>0</v>
      </c>
      <c r="L65" s="237">
        <v>0</v>
      </c>
      <c r="M65" s="237">
        <v>0</v>
      </c>
      <c r="N65" s="237">
        <v>0</v>
      </c>
      <c r="O65" s="237">
        <v>0</v>
      </c>
      <c r="P65" s="237">
        <v>0</v>
      </c>
      <c r="Q65" s="237">
        <v>0</v>
      </c>
      <c r="R65" s="237">
        <v>0</v>
      </c>
      <c r="S65" s="238">
        <v>0</v>
      </c>
      <c r="T65" s="263">
        <v>0</v>
      </c>
      <c r="U65" s="262">
        <v>0</v>
      </c>
      <c r="V65" s="262">
        <v>0</v>
      </c>
      <c r="W65" s="262">
        <v>2232</v>
      </c>
      <c r="X65" s="262">
        <v>1316.48</v>
      </c>
      <c r="Y65" s="262">
        <v>1387.4880000000001</v>
      </c>
      <c r="Z65" s="262">
        <v>1888.1279999999999</v>
      </c>
      <c r="AA65" s="262">
        <v>430.42933333333349</v>
      </c>
      <c r="AB65" s="262">
        <v>1716.48</v>
      </c>
      <c r="AC65" s="262">
        <v>929.76</v>
      </c>
      <c r="AD65" s="262">
        <v>886.84800000000007</v>
      </c>
      <c r="AE65" s="262">
        <v>1072.8</v>
      </c>
      <c r="AG65" s="220">
        <f t="shared" si="101"/>
        <v>0</v>
      </c>
      <c r="AH65" s="220">
        <f t="shared" si="102"/>
        <v>0</v>
      </c>
      <c r="AI65" s="220">
        <f t="shared" si="103"/>
        <v>0</v>
      </c>
      <c r="AJ65" s="220">
        <f t="shared" si="104"/>
        <v>0</v>
      </c>
      <c r="AK65" s="220">
        <f t="shared" si="105"/>
        <v>0</v>
      </c>
      <c r="AL65" s="220">
        <f t="shared" si="106"/>
        <v>0</v>
      </c>
      <c r="AM65" s="220">
        <f t="shared" si="107"/>
        <v>0</v>
      </c>
      <c r="AN65" s="220">
        <f t="shared" si="108"/>
        <v>0</v>
      </c>
      <c r="AO65" s="220">
        <f t="shared" si="109"/>
        <v>0</v>
      </c>
      <c r="AP65" s="220">
        <f t="shared" si="110"/>
        <v>0</v>
      </c>
      <c r="AQ65" s="220">
        <f t="shared" si="111"/>
        <v>0</v>
      </c>
      <c r="AR65" s="220">
        <f t="shared" si="112"/>
        <v>0</v>
      </c>
      <c r="AS65" s="220">
        <f t="shared" si="113"/>
        <v>55.8</v>
      </c>
      <c r="AT65" s="220">
        <f t="shared" si="114"/>
        <v>32.911999999999999</v>
      </c>
      <c r="AU65" s="220">
        <f t="shared" si="115"/>
        <v>34.687200000000004</v>
      </c>
      <c r="AV65" s="220">
        <f t="shared" si="116"/>
        <v>47.203199999999995</v>
      </c>
      <c r="AW65" s="220">
        <f t="shared" si="117"/>
        <v>10.760733333333338</v>
      </c>
      <c r="AX65" s="220">
        <f t="shared" si="118"/>
        <v>42.911999999999999</v>
      </c>
      <c r="AY65" s="220">
        <f t="shared" si="119"/>
        <v>23.244</v>
      </c>
      <c r="AZ65" s="220">
        <f t="shared" si="120"/>
        <v>22.171200000000002</v>
      </c>
      <c r="BA65" s="220">
        <f t="shared" si="121"/>
        <v>26.82</v>
      </c>
      <c r="BB65" s="219"/>
      <c r="BC65" s="219"/>
      <c r="BD65" s="220">
        <f t="shared" si="88"/>
        <v>0</v>
      </c>
      <c r="BE65" s="220">
        <f t="shared" si="89"/>
        <v>0</v>
      </c>
      <c r="BF65" s="220">
        <f t="shared" si="90"/>
        <v>0</v>
      </c>
      <c r="BG65" s="220">
        <f t="shared" si="91"/>
        <v>0</v>
      </c>
      <c r="BH65" s="220">
        <f t="shared" si="92"/>
        <v>0</v>
      </c>
      <c r="BI65" s="220">
        <f t="shared" si="93"/>
        <v>0</v>
      </c>
      <c r="BJ65" s="220">
        <f t="shared" si="94"/>
        <v>0</v>
      </c>
      <c r="BK65" s="220">
        <f t="shared" si="95"/>
        <v>0</v>
      </c>
      <c r="BL65" s="220">
        <f t="shared" si="96"/>
        <v>0</v>
      </c>
      <c r="BM65" s="220">
        <f t="shared" si="97"/>
        <v>0</v>
      </c>
      <c r="BN65" s="220">
        <f t="shared" si="98"/>
        <v>0</v>
      </c>
      <c r="BO65" s="220">
        <f t="shared" si="136"/>
        <v>0</v>
      </c>
      <c r="BP65" s="220">
        <f t="shared" si="137"/>
        <v>0</v>
      </c>
      <c r="BQ65" s="220">
        <f t="shared" si="138"/>
        <v>0</v>
      </c>
      <c r="BR65" s="220">
        <f t="shared" si="122"/>
        <v>0</v>
      </c>
      <c r="BS65" s="220">
        <f t="shared" si="123"/>
        <v>0</v>
      </c>
      <c r="BT65" s="220">
        <f t="shared" si="124"/>
        <v>0</v>
      </c>
      <c r="BU65" s="220">
        <f t="shared" si="125"/>
        <v>0</v>
      </c>
      <c r="BV65" s="220">
        <f t="shared" si="126"/>
        <v>0</v>
      </c>
      <c r="BW65" s="220">
        <f t="shared" si="127"/>
        <v>0</v>
      </c>
      <c r="BX65" s="220">
        <f t="shared" si="128"/>
        <v>0</v>
      </c>
      <c r="CA65" s="220">
        <f t="shared" si="142"/>
        <v>0</v>
      </c>
      <c r="CB65" s="220">
        <f t="shared" si="143"/>
        <v>0</v>
      </c>
      <c r="CC65" s="220">
        <f t="shared" si="144"/>
        <v>0</v>
      </c>
      <c r="CD65" s="220">
        <f t="shared" si="145"/>
        <v>0</v>
      </c>
      <c r="CE65" s="220">
        <f t="shared" si="146"/>
        <v>0</v>
      </c>
      <c r="CF65" s="220">
        <f t="shared" si="147"/>
        <v>0</v>
      </c>
      <c r="CG65" s="220">
        <f t="shared" si="148"/>
        <v>0</v>
      </c>
      <c r="CH65" s="220">
        <f t="shared" si="149"/>
        <v>0</v>
      </c>
      <c r="CI65" s="220">
        <f t="shared" si="150"/>
        <v>0</v>
      </c>
      <c r="CJ65" s="220">
        <f t="shared" si="151"/>
        <v>0</v>
      </c>
      <c r="CK65" s="220">
        <f t="shared" si="152"/>
        <v>0</v>
      </c>
      <c r="CL65" s="220">
        <f t="shared" si="139"/>
        <v>0</v>
      </c>
      <c r="CM65" s="220">
        <f t="shared" si="140"/>
        <v>0</v>
      </c>
      <c r="CN65" s="220">
        <f t="shared" si="141"/>
        <v>0</v>
      </c>
      <c r="CO65" s="220">
        <f t="shared" si="129"/>
        <v>0</v>
      </c>
      <c r="CP65" s="220">
        <f t="shared" si="130"/>
        <v>0</v>
      </c>
      <c r="CQ65" s="220">
        <f t="shared" si="131"/>
        <v>0</v>
      </c>
      <c r="CR65" s="220">
        <f t="shared" si="132"/>
        <v>0</v>
      </c>
      <c r="CS65" s="220">
        <f t="shared" si="133"/>
        <v>0</v>
      </c>
      <c r="CT65" s="220">
        <f t="shared" si="134"/>
        <v>0</v>
      </c>
      <c r="CU65" s="220">
        <f t="shared" si="135"/>
        <v>0</v>
      </c>
    </row>
    <row r="66" spans="1:99" x14ac:dyDescent="0.35">
      <c r="A66" s="233">
        <v>5101</v>
      </c>
      <c r="B66" s="233">
        <v>20000339</v>
      </c>
      <c r="C66" s="234" t="s">
        <v>105</v>
      </c>
      <c r="D66" s="234">
        <v>50034245</v>
      </c>
      <c r="E66" s="233">
        <v>25</v>
      </c>
      <c r="F66" s="233" t="s">
        <v>106</v>
      </c>
      <c r="G66" s="233" t="s">
        <v>111</v>
      </c>
      <c r="H66" s="233" t="s">
        <v>112</v>
      </c>
      <c r="I66" s="235">
        <v>1</v>
      </c>
      <c r="K66" s="237">
        <v>0</v>
      </c>
      <c r="L66" s="237">
        <v>0</v>
      </c>
      <c r="M66" s="237">
        <v>0</v>
      </c>
      <c r="N66" s="237">
        <v>0</v>
      </c>
      <c r="O66" s="237">
        <v>0</v>
      </c>
      <c r="P66" s="237">
        <v>0</v>
      </c>
      <c r="Q66" s="237">
        <v>0</v>
      </c>
      <c r="R66" s="237">
        <v>0</v>
      </c>
      <c r="S66" s="238">
        <v>0</v>
      </c>
      <c r="T66" s="263">
        <v>0</v>
      </c>
      <c r="U66" s="262">
        <v>0</v>
      </c>
      <c r="V66" s="262">
        <v>0</v>
      </c>
      <c r="W66" s="262">
        <v>0</v>
      </c>
      <c r="X66" s="262">
        <v>0</v>
      </c>
      <c r="Y66" s="262">
        <v>0</v>
      </c>
      <c r="Z66" s="262">
        <v>0</v>
      </c>
      <c r="AA66" s="262">
        <v>0</v>
      </c>
      <c r="AB66" s="262">
        <v>0</v>
      </c>
      <c r="AC66" s="262">
        <v>0</v>
      </c>
      <c r="AD66" s="262">
        <v>0</v>
      </c>
      <c r="AE66" s="262">
        <v>0</v>
      </c>
      <c r="AG66" s="220">
        <f t="shared" si="101"/>
        <v>0</v>
      </c>
      <c r="AH66" s="220">
        <f t="shared" si="102"/>
        <v>0</v>
      </c>
      <c r="AI66" s="220">
        <f t="shared" si="103"/>
        <v>0</v>
      </c>
      <c r="AJ66" s="220">
        <f t="shared" si="104"/>
        <v>0</v>
      </c>
      <c r="AK66" s="220">
        <f t="shared" si="105"/>
        <v>0</v>
      </c>
      <c r="AL66" s="220">
        <f t="shared" si="106"/>
        <v>0</v>
      </c>
      <c r="AM66" s="220">
        <f t="shared" si="107"/>
        <v>0</v>
      </c>
      <c r="AN66" s="220">
        <f t="shared" si="108"/>
        <v>0</v>
      </c>
      <c r="AO66" s="220">
        <f t="shared" si="109"/>
        <v>0</v>
      </c>
      <c r="AP66" s="220">
        <f t="shared" si="110"/>
        <v>0</v>
      </c>
      <c r="AQ66" s="220">
        <f t="shared" si="111"/>
        <v>0</v>
      </c>
      <c r="AR66" s="220">
        <f t="shared" si="112"/>
        <v>0</v>
      </c>
      <c r="AS66" s="220">
        <f t="shared" si="113"/>
        <v>0</v>
      </c>
      <c r="AT66" s="220">
        <f t="shared" si="114"/>
        <v>0</v>
      </c>
      <c r="AU66" s="220">
        <f t="shared" si="115"/>
        <v>0</v>
      </c>
      <c r="AV66" s="220">
        <f t="shared" si="116"/>
        <v>0</v>
      </c>
      <c r="AW66" s="220">
        <f t="shared" si="117"/>
        <v>0</v>
      </c>
      <c r="AX66" s="220">
        <f t="shared" si="118"/>
        <v>0</v>
      </c>
      <c r="AY66" s="220">
        <f t="shared" si="119"/>
        <v>0</v>
      </c>
      <c r="AZ66" s="220">
        <f t="shared" si="120"/>
        <v>0</v>
      </c>
      <c r="BA66" s="220">
        <f t="shared" si="121"/>
        <v>0</v>
      </c>
      <c r="BB66" s="219"/>
      <c r="BC66" s="219"/>
      <c r="BD66" s="220">
        <f t="shared" si="88"/>
        <v>0</v>
      </c>
      <c r="BE66" s="220">
        <f t="shared" si="89"/>
        <v>0</v>
      </c>
      <c r="BF66" s="220">
        <f t="shared" si="90"/>
        <v>0</v>
      </c>
      <c r="BG66" s="220">
        <f t="shared" si="91"/>
        <v>0</v>
      </c>
      <c r="BH66" s="220">
        <f t="shared" si="92"/>
        <v>0</v>
      </c>
      <c r="BI66" s="220">
        <f t="shared" si="93"/>
        <v>0</v>
      </c>
      <c r="BJ66" s="220">
        <f t="shared" si="94"/>
        <v>0</v>
      </c>
      <c r="BK66" s="220">
        <f t="shared" si="95"/>
        <v>0</v>
      </c>
      <c r="BL66" s="220">
        <f t="shared" si="96"/>
        <v>0</v>
      </c>
      <c r="BM66" s="220">
        <f t="shared" si="97"/>
        <v>0</v>
      </c>
      <c r="BN66" s="220">
        <f t="shared" si="98"/>
        <v>0</v>
      </c>
      <c r="BO66" s="220">
        <f t="shared" si="136"/>
        <v>0</v>
      </c>
      <c r="BP66" s="220">
        <f t="shared" si="137"/>
        <v>0</v>
      </c>
      <c r="BQ66" s="220">
        <f t="shared" si="138"/>
        <v>0</v>
      </c>
      <c r="BR66" s="220">
        <f t="shared" si="122"/>
        <v>0</v>
      </c>
      <c r="BS66" s="220">
        <f t="shared" si="123"/>
        <v>0</v>
      </c>
      <c r="BT66" s="220">
        <f t="shared" si="124"/>
        <v>0</v>
      </c>
      <c r="BU66" s="220">
        <f t="shared" si="125"/>
        <v>0</v>
      </c>
      <c r="BV66" s="220">
        <f t="shared" si="126"/>
        <v>0</v>
      </c>
      <c r="BW66" s="220">
        <f t="shared" si="127"/>
        <v>0</v>
      </c>
      <c r="BX66" s="220">
        <f t="shared" si="128"/>
        <v>0</v>
      </c>
      <c r="CA66" s="220">
        <f t="shared" si="142"/>
        <v>0</v>
      </c>
      <c r="CB66" s="220">
        <f t="shared" si="143"/>
        <v>0</v>
      </c>
      <c r="CC66" s="220">
        <f t="shared" si="144"/>
        <v>0</v>
      </c>
      <c r="CD66" s="220">
        <f t="shared" si="145"/>
        <v>0</v>
      </c>
      <c r="CE66" s="220">
        <f t="shared" si="146"/>
        <v>0</v>
      </c>
      <c r="CF66" s="220">
        <f t="shared" si="147"/>
        <v>0</v>
      </c>
      <c r="CG66" s="220">
        <f t="shared" si="148"/>
        <v>0</v>
      </c>
      <c r="CH66" s="220">
        <f t="shared" si="149"/>
        <v>0</v>
      </c>
      <c r="CI66" s="220">
        <f t="shared" si="150"/>
        <v>0</v>
      </c>
      <c r="CJ66" s="220">
        <f t="shared" si="151"/>
        <v>0</v>
      </c>
      <c r="CK66" s="220">
        <f t="shared" si="152"/>
        <v>0</v>
      </c>
      <c r="CL66" s="220">
        <f t="shared" si="139"/>
        <v>0</v>
      </c>
      <c r="CM66" s="220">
        <f t="shared" si="140"/>
        <v>0</v>
      </c>
      <c r="CN66" s="220">
        <f t="shared" si="141"/>
        <v>0</v>
      </c>
      <c r="CO66" s="220">
        <f t="shared" si="129"/>
        <v>0</v>
      </c>
      <c r="CP66" s="220">
        <f t="shared" si="130"/>
        <v>0</v>
      </c>
      <c r="CQ66" s="220">
        <f t="shared" si="131"/>
        <v>0</v>
      </c>
      <c r="CR66" s="220">
        <f t="shared" si="132"/>
        <v>0</v>
      </c>
      <c r="CS66" s="220">
        <f t="shared" si="133"/>
        <v>0</v>
      </c>
      <c r="CT66" s="220">
        <f t="shared" si="134"/>
        <v>0</v>
      </c>
      <c r="CU66" s="220">
        <f t="shared" si="135"/>
        <v>0</v>
      </c>
    </row>
    <row r="67" spans="1:99" x14ac:dyDescent="0.35">
      <c r="A67" s="233">
        <v>5101</v>
      </c>
      <c r="B67" s="233">
        <v>20000339</v>
      </c>
      <c r="C67" s="234" t="s">
        <v>105</v>
      </c>
      <c r="D67" s="234">
        <v>50034570</v>
      </c>
      <c r="E67" s="233">
        <v>25</v>
      </c>
      <c r="F67" s="233" t="s">
        <v>108</v>
      </c>
      <c r="G67" s="233" t="s">
        <v>107</v>
      </c>
      <c r="H67" s="233" t="s">
        <v>70</v>
      </c>
      <c r="I67" s="235">
        <v>0</v>
      </c>
      <c r="K67" s="237">
        <v>0</v>
      </c>
      <c r="L67" s="237">
        <v>0</v>
      </c>
      <c r="M67" s="237">
        <v>0</v>
      </c>
      <c r="N67" s="238">
        <v>0</v>
      </c>
      <c r="O67" s="238">
        <v>0</v>
      </c>
      <c r="P67" s="238">
        <v>0</v>
      </c>
      <c r="Q67" s="238">
        <v>0</v>
      </c>
      <c r="R67" s="237">
        <v>0</v>
      </c>
      <c r="S67" s="238">
        <v>0</v>
      </c>
      <c r="T67" s="263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Z67" s="262">
        <v>0</v>
      </c>
      <c r="AA67" s="262">
        <v>0</v>
      </c>
      <c r="AB67" s="262">
        <v>0</v>
      </c>
      <c r="AC67" s="262">
        <v>0</v>
      </c>
      <c r="AD67" s="262">
        <v>0</v>
      </c>
      <c r="AE67" s="262">
        <v>0</v>
      </c>
      <c r="AG67" s="220">
        <f t="shared" si="101"/>
        <v>0</v>
      </c>
      <c r="AH67" s="220">
        <f t="shared" si="102"/>
        <v>0</v>
      </c>
      <c r="AI67" s="220">
        <f t="shared" si="103"/>
        <v>0</v>
      </c>
      <c r="AJ67" s="220">
        <f t="shared" si="104"/>
        <v>0</v>
      </c>
      <c r="AK67" s="220">
        <f t="shared" si="105"/>
        <v>0</v>
      </c>
      <c r="AL67" s="220">
        <f t="shared" si="106"/>
        <v>0</v>
      </c>
      <c r="AM67" s="220">
        <f t="shared" si="107"/>
        <v>0</v>
      </c>
      <c r="AN67" s="220">
        <f t="shared" si="108"/>
        <v>0</v>
      </c>
      <c r="AO67" s="220">
        <f t="shared" si="109"/>
        <v>0</v>
      </c>
      <c r="AP67" s="220">
        <f t="shared" si="110"/>
        <v>0</v>
      </c>
      <c r="AQ67" s="220">
        <f t="shared" si="111"/>
        <v>0</v>
      </c>
      <c r="AR67" s="220">
        <f t="shared" si="112"/>
        <v>0</v>
      </c>
      <c r="AS67" s="220">
        <f t="shared" si="113"/>
        <v>0</v>
      </c>
      <c r="AT67" s="220">
        <f t="shared" si="114"/>
        <v>0</v>
      </c>
      <c r="AU67" s="220">
        <f t="shared" si="115"/>
        <v>0</v>
      </c>
      <c r="AV67" s="220">
        <f t="shared" si="116"/>
        <v>0</v>
      </c>
      <c r="AW67" s="220">
        <f t="shared" si="117"/>
        <v>0</v>
      </c>
      <c r="AX67" s="220">
        <f t="shared" si="118"/>
        <v>0</v>
      </c>
      <c r="AY67" s="220">
        <f t="shared" si="119"/>
        <v>0</v>
      </c>
      <c r="AZ67" s="220">
        <f t="shared" si="120"/>
        <v>0</v>
      </c>
      <c r="BA67" s="220">
        <f t="shared" si="121"/>
        <v>0</v>
      </c>
      <c r="BB67" s="219"/>
      <c r="BC67" s="219"/>
      <c r="BD67" s="220">
        <f t="shared" si="88"/>
        <v>0</v>
      </c>
      <c r="BE67" s="220">
        <f t="shared" si="89"/>
        <v>0</v>
      </c>
      <c r="BF67" s="220">
        <f t="shared" si="90"/>
        <v>0</v>
      </c>
      <c r="BG67" s="220">
        <f t="shared" si="91"/>
        <v>0</v>
      </c>
      <c r="BH67" s="220">
        <f t="shared" si="92"/>
        <v>0</v>
      </c>
      <c r="BI67" s="220">
        <f t="shared" si="93"/>
        <v>0</v>
      </c>
      <c r="BJ67" s="220">
        <f t="shared" si="94"/>
        <v>0</v>
      </c>
      <c r="BK67" s="220">
        <f t="shared" si="95"/>
        <v>0</v>
      </c>
      <c r="BL67" s="220">
        <f t="shared" si="96"/>
        <v>0</v>
      </c>
      <c r="BM67" s="220">
        <f t="shared" si="97"/>
        <v>0</v>
      </c>
      <c r="BN67" s="220">
        <f t="shared" si="98"/>
        <v>0</v>
      </c>
      <c r="BO67" s="220">
        <f t="shared" si="136"/>
        <v>0</v>
      </c>
      <c r="BP67" s="220">
        <f t="shared" si="137"/>
        <v>0</v>
      </c>
      <c r="BQ67" s="220">
        <f t="shared" si="138"/>
        <v>0</v>
      </c>
      <c r="BR67" s="220">
        <f t="shared" si="122"/>
        <v>0</v>
      </c>
      <c r="BS67" s="220">
        <f t="shared" si="123"/>
        <v>0</v>
      </c>
      <c r="BT67" s="220">
        <f t="shared" si="124"/>
        <v>0</v>
      </c>
      <c r="BU67" s="220">
        <f t="shared" si="125"/>
        <v>0</v>
      </c>
      <c r="BV67" s="220">
        <f t="shared" si="126"/>
        <v>0</v>
      </c>
      <c r="BW67" s="220">
        <f t="shared" si="127"/>
        <v>0</v>
      </c>
      <c r="BX67" s="220">
        <f t="shared" si="128"/>
        <v>0</v>
      </c>
      <c r="CA67" s="220">
        <f t="shared" si="142"/>
        <v>0</v>
      </c>
      <c r="CB67" s="220">
        <f t="shared" si="143"/>
        <v>0</v>
      </c>
      <c r="CC67" s="220">
        <f t="shared" si="144"/>
        <v>0</v>
      </c>
      <c r="CD67" s="220">
        <f t="shared" si="145"/>
        <v>0</v>
      </c>
      <c r="CE67" s="220">
        <f t="shared" si="146"/>
        <v>0</v>
      </c>
      <c r="CF67" s="220">
        <f t="shared" si="147"/>
        <v>0</v>
      </c>
      <c r="CG67" s="220">
        <f t="shared" si="148"/>
        <v>0</v>
      </c>
      <c r="CH67" s="220">
        <f t="shared" si="149"/>
        <v>0</v>
      </c>
      <c r="CI67" s="220">
        <f t="shared" si="150"/>
        <v>0</v>
      </c>
      <c r="CJ67" s="220">
        <f t="shared" si="151"/>
        <v>0</v>
      </c>
      <c r="CK67" s="220">
        <f t="shared" si="152"/>
        <v>0</v>
      </c>
      <c r="CL67" s="220">
        <f t="shared" si="139"/>
        <v>0</v>
      </c>
      <c r="CM67" s="220">
        <f t="shared" si="140"/>
        <v>0</v>
      </c>
      <c r="CN67" s="220">
        <f t="shared" si="141"/>
        <v>0</v>
      </c>
      <c r="CO67" s="220">
        <f t="shared" si="129"/>
        <v>0</v>
      </c>
      <c r="CP67" s="220">
        <f t="shared" si="130"/>
        <v>0</v>
      </c>
      <c r="CQ67" s="220">
        <f t="shared" si="131"/>
        <v>0</v>
      </c>
      <c r="CR67" s="220">
        <f t="shared" si="132"/>
        <v>0</v>
      </c>
      <c r="CS67" s="220">
        <f t="shared" si="133"/>
        <v>0</v>
      </c>
      <c r="CT67" s="220">
        <f t="shared" si="134"/>
        <v>0</v>
      </c>
      <c r="CU67" s="220">
        <f t="shared" si="135"/>
        <v>0</v>
      </c>
    </row>
    <row r="68" spans="1:99" x14ac:dyDescent="0.35">
      <c r="A68" s="233">
        <v>5101</v>
      </c>
      <c r="B68" s="233">
        <v>20000339</v>
      </c>
      <c r="C68" s="234" t="s">
        <v>105</v>
      </c>
      <c r="D68" s="234">
        <v>50034604</v>
      </c>
      <c r="E68" s="233">
        <v>25</v>
      </c>
      <c r="F68" s="233" t="s">
        <v>109</v>
      </c>
      <c r="G68" s="233" t="s">
        <v>107</v>
      </c>
      <c r="H68" s="233" t="s">
        <v>70</v>
      </c>
      <c r="I68" s="235">
        <v>0</v>
      </c>
      <c r="K68" s="237">
        <v>0</v>
      </c>
      <c r="L68" s="237">
        <v>0</v>
      </c>
      <c r="M68" s="237">
        <v>0</v>
      </c>
      <c r="N68" s="237">
        <v>0</v>
      </c>
      <c r="O68" s="237">
        <v>0</v>
      </c>
      <c r="P68" s="237">
        <v>0</v>
      </c>
      <c r="Q68" s="237">
        <v>0</v>
      </c>
      <c r="R68" s="237">
        <v>0</v>
      </c>
      <c r="S68" s="238">
        <v>0</v>
      </c>
      <c r="T68" s="263">
        <v>1330.37037037037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Z68" s="262">
        <v>0</v>
      </c>
      <c r="AA68" s="262">
        <v>0</v>
      </c>
      <c r="AB68" s="262">
        <v>0</v>
      </c>
      <c r="AC68" s="262">
        <v>0</v>
      </c>
      <c r="AD68" s="262">
        <v>0</v>
      </c>
      <c r="AE68" s="262">
        <v>0</v>
      </c>
      <c r="AG68" s="220">
        <f t="shared" si="101"/>
        <v>0</v>
      </c>
      <c r="AH68" s="220">
        <f t="shared" si="102"/>
        <v>0</v>
      </c>
      <c r="AI68" s="220">
        <f t="shared" si="103"/>
        <v>0</v>
      </c>
      <c r="AJ68" s="220">
        <f t="shared" si="104"/>
        <v>0</v>
      </c>
      <c r="AK68" s="220">
        <f t="shared" si="105"/>
        <v>0</v>
      </c>
      <c r="AL68" s="220">
        <f t="shared" si="106"/>
        <v>0</v>
      </c>
      <c r="AM68" s="220">
        <f t="shared" si="107"/>
        <v>0</v>
      </c>
      <c r="AN68" s="220">
        <f t="shared" si="108"/>
        <v>0</v>
      </c>
      <c r="AO68" s="220">
        <f t="shared" si="109"/>
        <v>0</v>
      </c>
      <c r="AP68" s="220">
        <f t="shared" si="110"/>
        <v>33.259259259259245</v>
      </c>
      <c r="AQ68" s="220">
        <f t="shared" si="111"/>
        <v>0</v>
      </c>
      <c r="AR68" s="220">
        <f t="shared" si="112"/>
        <v>0</v>
      </c>
      <c r="AS68" s="220">
        <f t="shared" si="113"/>
        <v>0</v>
      </c>
      <c r="AT68" s="220">
        <f t="shared" si="114"/>
        <v>0</v>
      </c>
      <c r="AU68" s="220">
        <f t="shared" si="115"/>
        <v>0</v>
      </c>
      <c r="AV68" s="220">
        <f t="shared" si="116"/>
        <v>0</v>
      </c>
      <c r="AW68" s="220">
        <f t="shared" si="117"/>
        <v>0</v>
      </c>
      <c r="AX68" s="220">
        <f t="shared" si="118"/>
        <v>0</v>
      </c>
      <c r="AY68" s="220">
        <f t="shared" si="119"/>
        <v>0</v>
      </c>
      <c r="AZ68" s="220">
        <f t="shared" si="120"/>
        <v>0</v>
      </c>
      <c r="BA68" s="220">
        <f t="shared" si="121"/>
        <v>0</v>
      </c>
      <c r="BB68" s="219"/>
      <c r="BC68" s="219"/>
      <c r="BD68" s="220">
        <f t="shared" si="88"/>
        <v>0</v>
      </c>
      <c r="BE68" s="220">
        <f t="shared" si="89"/>
        <v>0</v>
      </c>
      <c r="BF68" s="220">
        <f t="shared" si="90"/>
        <v>0</v>
      </c>
      <c r="BG68" s="220">
        <f t="shared" si="91"/>
        <v>0</v>
      </c>
      <c r="BH68" s="220">
        <f t="shared" si="92"/>
        <v>0</v>
      </c>
      <c r="BI68" s="220">
        <f t="shared" si="93"/>
        <v>0</v>
      </c>
      <c r="BJ68" s="220">
        <f t="shared" si="94"/>
        <v>0</v>
      </c>
      <c r="BK68" s="220">
        <f t="shared" si="95"/>
        <v>0</v>
      </c>
      <c r="BL68" s="220">
        <f t="shared" si="96"/>
        <v>0</v>
      </c>
      <c r="BM68" s="220">
        <f t="shared" si="97"/>
        <v>0</v>
      </c>
      <c r="BN68" s="220">
        <f t="shared" si="98"/>
        <v>0</v>
      </c>
      <c r="BO68" s="220">
        <f t="shared" si="136"/>
        <v>0</v>
      </c>
      <c r="BP68" s="220">
        <f t="shared" si="137"/>
        <v>0</v>
      </c>
      <c r="BQ68" s="220">
        <f t="shared" si="138"/>
        <v>0</v>
      </c>
      <c r="BR68" s="220">
        <f t="shared" si="122"/>
        <v>0</v>
      </c>
      <c r="BS68" s="220">
        <f t="shared" si="123"/>
        <v>0</v>
      </c>
      <c r="BT68" s="220">
        <f t="shared" si="124"/>
        <v>0</v>
      </c>
      <c r="BU68" s="220">
        <f t="shared" si="125"/>
        <v>0</v>
      </c>
      <c r="BV68" s="220">
        <f t="shared" si="126"/>
        <v>0</v>
      </c>
      <c r="BW68" s="220">
        <f t="shared" si="127"/>
        <v>0</v>
      </c>
      <c r="BX68" s="220">
        <f t="shared" si="128"/>
        <v>0</v>
      </c>
      <c r="CA68" s="220">
        <f t="shared" si="142"/>
        <v>0</v>
      </c>
      <c r="CB68" s="220">
        <f t="shared" si="143"/>
        <v>0</v>
      </c>
      <c r="CC68" s="220">
        <f t="shared" si="144"/>
        <v>0</v>
      </c>
      <c r="CD68" s="220">
        <f t="shared" si="145"/>
        <v>0</v>
      </c>
      <c r="CE68" s="220">
        <f t="shared" si="146"/>
        <v>0</v>
      </c>
      <c r="CF68" s="220">
        <f t="shared" si="147"/>
        <v>0</v>
      </c>
      <c r="CG68" s="220">
        <f t="shared" si="148"/>
        <v>0</v>
      </c>
      <c r="CH68" s="220">
        <f t="shared" si="149"/>
        <v>0</v>
      </c>
      <c r="CI68" s="220">
        <f t="shared" si="150"/>
        <v>0</v>
      </c>
      <c r="CJ68" s="220">
        <f t="shared" si="151"/>
        <v>0</v>
      </c>
      <c r="CK68" s="220">
        <f t="shared" si="152"/>
        <v>0</v>
      </c>
      <c r="CL68" s="220">
        <f t="shared" si="139"/>
        <v>0</v>
      </c>
      <c r="CM68" s="220">
        <f t="shared" si="140"/>
        <v>0</v>
      </c>
      <c r="CN68" s="220">
        <f t="shared" si="141"/>
        <v>0</v>
      </c>
      <c r="CO68" s="220">
        <f t="shared" si="129"/>
        <v>0</v>
      </c>
      <c r="CP68" s="220">
        <f t="shared" si="130"/>
        <v>0</v>
      </c>
      <c r="CQ68" s="220">
        <f t="shared" si="131"/>
        <v>0</v>
      </c>
      <c r="CR68" s="220">
        <f t="shared" si="132"/>
        <v>0</v>
      </c>
      <c r="CS68" s="220">
        <f t="shared" si="133"/>
        <v>0</v>
      </c>
      <c r="CT68" s="220">
        <f t="shared" si="134"/>
        <v>0</v>
      </c>
      <c r="CU68" s="220">
        <f t="shared" si="135"/>
        <v>0</v>
      </c>
    </row>
    <row r="69" spans="1:99" x14ac:dyDescent="0.35">
      <c r="A69" s="233">
        <v>5121</v>
      </c>
      <c r="B69" s="233">
        <v>20000339</v>
      </c>
      <c r="C69" s="234" t="s">
        <v>105</v>
      </c>
      <c r="D69" s="234">
        <v>50033268</v>
      </c>
      <c r="E69" s="233">
        <v>44</v>
      </c>
      <c r="F69" s="233" t="s">
        <v>106</v>
      </c>
      <c r="G69" s="233" t="s">
        <v>107</v>
      </c>
      <c r="H69" s="233" t="s">
        <v>70</v>
      </c>
      <c r="I69" s="235">
        <v>0</v>
      </c>
      <c r="K69" s="237">
        <v>0</v>
      </c>
      <c r="L69" s="237">
        <v>0</v>
      </c>
      <c r="M69" s="237">
        <v>0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8">
        <v>0</v>
      </c>
      <c r="T69" s="263">
        <v>1662.336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Z69" s="262">
        <v>0</v>
      </c>
      <c r="AA69" s="262">
        <v>0</v>
      </c>
      <c r="AB69" s="262">
        <v>0</v>
      </c>
      <c r="AC69" s="262">
        <v>0</v>
      </c>
      <c r="AD69" s="262">
        <v>0</v>
      </c>
      <c r="AE69" s="262">
        <v>0</v>
      </c>
      <c r="AG69" s="220">
        <f t="shared" ref="AG69:AG100" si="153">IF($C69="CERVECERIA Y MALTERIA",K69*$E69/1000*(1-$I69),0)</f>
        <v>0</v>
      </c>
      <c r="AH69" s="220">
        <f t="shared" ref="AH69:AH100" si="154">IF($C69="CERVECERIA Y MALTERIA",L69*$E69/1000*(1-$I69),0)</f>
        <v>0</v>
      </c>
      <c r="AI69" s="220">
        <f t="shared" ref="AI69:AI100" si="155">IF($C69="CERVECERIA Y MALTERIA",M69*$E69/1000*(1-$I69),0)</f>
        <v>0</v>
      </c>
      <c r="AJ69" s="220">
        <f t="shared" ref="AJ69:AJ100" si="156">IF($C69="CERVECERIA Y MALTERIA",N69*$E69/1000*(1-$I69),0)</f>
        <v>0</v>
      </c>
      <c r="AK69" s="220">
        <f t="shared" ref="AK69:AK100" si="157">IF($C69="CERVECERIA Y MALTERIA",O69*$E69/1000*(1-$I69),0)</f>
        <v>0</v>
      </c>
      <c r="AL69" s="220">
        <f t="shared" ref="AL69:AL100" si="158">IF($C69="CERVECERIA Y MALTERIA",P69*$E69/1000*(1-$I69),0)</f>
        <v>0</v>
      </c>
      <c r="AM69" s="220">
        <f t="shared" ref="AM69:AM100" si="159">IF($C69="CERVECERIA Y MALTERIA",Q69*$E69/1000*(1-$I69),0)</f>
        <v>0</v>
      </c>
      <c r="AN69" s="220">
        <f t="shared" ref="AN69:AN100" si="160">IF($C69="CERVECERIA Y MALTERIA",R69*$E69/1000*(1-$I69),0)</f>
        <v>0</v>
      </c>
      <c r="AO69" s="220">
        <f t="shared" ref="AO69:AO100" si="161">IF($C69="CERVECERIA Y MALTERIA",S69*$E69/1000*(1-$I69),0)</f>
        <v>0</v>
      </c>
      <c r="AP69" s="220">
        <f t="shared" ref="AP69:AP100" si="162">IF($C69="CERVECERIA Y MALTERIA",T69*$E69/1000*(1-$I69),0)</f>
        <v>73.142784000000006</v>
      </c>
      <c r="AQ69" s="220">
        <f t="shared" ref="AQ69:AQ100" si="163">IF($C69="CERVECERIA Y MALTERIA",U69*$E69/1000*(1-$I69),0)</f>
        <v>0</v>
      </c>
      <c r="AR69" s="220">
        <f t="shared" ref="AR69:AR100" si="164">IF($C69="CERVECERIA Y MALTERIA",V69*$E69/1000*(1-$I69),0)</f>
        <v>0</v>
      </c>
      <c r="AS69" s="220">
        <f t="shared" ref="AS69:AS100" si="165">IF($C69="CERVECERIA Y MALTERIA",W69*$E69/1000*(1-$I69),0)</f>
        <v>0</v>
      </c>
      <c r="AT69" s="220">
        <f t="shared" ref="AT69:AT100" si="166">IF($C69="CERVECERIA Y MALTERIA",X69*$E69/1000*(1-$I69),0)</f>
        <v>0</v>
      </c>
      <c r="AU69" s="220">
        <f t="shared" ref="AU69:AU100" si="167">IF($C69="CERVECERIA Y MALTERIA",Y69*$E69/1000*(1-$I69),0)</f>
        <v>0</v>
      </c>
      <c r="AV69" s="220">
        <f t="shared" ref="AV69:AV100" si="168">IF($C69="CERVECERIA Y MALTERIA",Z69*$E69/1000*(1-$I69),0)</f>
        <v>0</v>
      </c>
      <c r="AW69" s="220">
        <f t="shared" ref="AW69:AW100" si="169">IF($C69="CERVECERIA Y MALTERIA",AA69*$E69/1000*(1-$I69),0)</f>
        <v>0</v>
      </c>
      <c r="AX69" s="220">
        <f t="shared" ref="AX69:AX100" si="170">IF($C69="CERVECERIA Y MALTERIA",AB69*$E69/1000*(1-$I69),0)</f>
        <v>0</v>
      </c>
      <c r="AY69" s="220">
        <f t="shared" ref="AY69:AY100" si="171">IF($C69="CERVECERIA Y MALTERIA",AC69*$E69/1000*(1-$I69),0)</f>
        <v>0</v>
      </c>
      <c r="AZ69" s="220">
        <f t="shared" ref="AZ69:AZ100" si="172">IF($C69="CERVECERIA Y MALTERIA",AD69*$E69/1000*(1-$I69),0)</f>
        <v>0</v>
      </c>
      <c r="BA69" s="220">
        <f t="shared" ref="BA69:BA100" si="173">IF($C69="CERVECERIA Y MALTERIA",AE69*$E69/1000*(1-$I69),0)</f>
        <v>0</v>
      </c>
      <c r="BB69" s="219"/>
      <c r="BC69" s="219"/>
      <c r="BD69" s="220">
        <f t="shared" si="88"/>
        <v>0</v>
      </c>
      <c r="BE69" s="220">
        <f t="shared" si="89"/>
        <v>0</v>
      </c>
      <c r="BF69" s="220">
        <f t="shared" si="90"/>
        <v>0</v>
      </c>
      <c r="BG69" s="220">
        <f t="shared" si="91"/>
        <v>0</v>
      </c>
      <c r="BH69" s="220">
        <f t="shared" si="92"/>
        <v>0</v>
      </c>
      <c r="BI69" s="220">
        <f t="shared" si="93"/>
        <v>0</v>
      </c>
      <c r="BJ69" s="220">
        <f t="shared" si="94"/>
        <v>0</v>
      </c>
      <c r="BK69" s="220">
        <f t="shared" si="95"/>
        <v>0</v>
      </c>
      <c r="BL69" s="220">
        <f t="shared" si="96"/>
        <v>0</v>
      </c>
      <c r="BM69" s="220">
        <f t="shared" si="97"/>
        <v>0</v>
      </c>
      <c r="BN69" s="220">
        <f t="shared" si="98"/>
        <v>0</v>
      </c>
      <c r="BO69" s="220">
        <f t="shared" si="136"/>
        <v>0</v>
      </c>
      <c r="BP69" s="220">
        <f t="shared" si="137"/>
        <v>0</v>
      </c>
      <c r="BQ69" s="220">
        <f t="shared" si="138"/>
        <v>0</v>
      </c>
      <c r="BR69" s="220">
        <f t="shared" si="122"/>
        <v>0</v>
      </c>
      <c r="BS69" s="220">
        <f t="shared" si="123"/>
        <v>0</v>
      </c>
      <c r="BT69" s="220">
        <f t="shared" si="124"/>
        <v>0</v>
      </c>
      <c r="BU69" s="220">
        <f t="shared" si="125"/>
        <v>0</v>
      </c>
      <c r="BV69" s="220">
        <f t="shared" si="126"/>
        <v>0</v>
      </c>
      <c r="BW69" s="220">
        <f t="shared" si="127"/>
        <v>0</v>
      </c>
      <c r="BX69" s="220">
        <f t="shared" si="128"/>
        <v>0</v>
      </c>
      <c r="CA69" s="220">
        <f t="shared" si="142"/>
        <v>0</v>
      </c>
      <c r="CB69" s="220">
        <f t="shared" si="143"/>
        <v>0</v>
      </c>
      <c r="CC69" s="220">
        <f t="shared" si="144"/>
        <v>0</v>
      </c>
      <c r="CD69" s="220">
        <f t="shared" si="145"/>
        <v>0</v>
      </c>
      <c r="CE69" s="220">
        <f t="shared" si="146"/>
        <v>0</v>
      </c>
      <c r="CF69" s="220">
        <f t="shared" si="147"/>
        <v>0</v>
      </c>
      <c r="CG69" s="220">
        <f t="shared" si="148"/>
        <v>0</v>
      </c>
      <c r="CH69" s="220">
        <f t="shared" si="149"/>
        <v>0</v>
      </c>
      <c r="CI69" s="220">
        <f t="shared" si="150"/>
        <v>0</v>
      </c>
      <c r="CJ69" s="220">
        <f t="shared" si="151"/>
        <v>0</v>
      </c>
      <c r="CK69" s="220">
        <f t="shared" si="152"/>
        <v>0</v>
      </c>
      <c r="CL69" s="220">
        <f t="shared" si="139"/>
        <v>0</v>
      </c>
      <c r="CM69" s="220">
        <f t="shared" si="140"/>
        <v>0</v>
      </c>
      <c r="CN69" s="220">
        <f t="shared" si="141"/>
        <v>0</v>
      </c>
      <c r="CO69" s="220">
        <f t="shared" si="129"/>
        <v>0</v>
      </c>
      <c r="CP69" s="220">
        <f t="shared" si="130"/>
        <v>0</v>
      </c>
      <c r="CQ69" s="220">
        <f t="shared" si="131"/>
        <v>0</v>
      </c>
      <c r="CR69" s="220">
        <f t="shared" si="132"/>
        <v>0</v>
      </c>
      <c r="CS69" s="220">
        <f t="shared" si="133"/>
        <v>0</v>
      </c>
      <c r="CT69" s="220">
        <f t="shared" si="134"/>
        <v>0</v>
      </c>
      <c r="CU69" s="220">
        <f t="shared" si="135"/>
        <v>0</v>
      </c>
    </row>
    <row r="70" spans="1:99" x14ac:dyDescent="0.35">
      <c r="A70" s="233">
        <v>5121</v>
      </c>
      <c r="B70" s="233">
        <v>20000339</v>
      </c>
      <c r="C70" s="234" t="s">
        <v>105</v>
      </c>
      <c r="D70" s="234">
        <v>50030542</v>
      </c>
      <c r="E70" s="233">
        <v>44</v>
      </c>
      <c r="F70" s="233" t="s">
        <v>106</v>
      </c>
      <c r="G70" s="233" t="s">
        <v>115</v>
      </c>
      <c r="H70" s="233" t="s">
        <v>70</v>
      </c>
      <c r="I70" s="235">
        <v>0</v>
      </c>
      <c r="K70" s="237">
        <v>2087</v>
      </c>
      <c r="L70" s="237">
        <v>1299.1860884632097</v>
      </c>
      <c r="M70" s="237">
        <v>1978.8888888888901</v>
      </c>
      <c r="N70" s="237">
        <v>1269</v>
      </c>
      <c r="O70" s="237">
        <v>0</v>
      </c>
      <c r="P70" s="237">
        <v>0</v>
      </c>
      <c r="Q70" s="237">
        <v>0</v>
      </c>
      <c r="R70" s="237">
        <v>0</v>
      </c>
      <c r="S70" s="238">
        <v>0</v>
      </c>
      <c r="T70" s="263">
        <v>0</v>
      </c>
      <c r="U70" s="262">
        <v>0</v>
      </c>
      <c r="V70" s="262">
        <v>0</v>
      </c>
      <c r="W70" s="262">
        <v>407</v>
      </c>
      <c r="X70" s="262">
        <v>800</v>
      </c>
      <c r="Y70" s="262">
        <v>704.16</v>
      </c>
      <c r="Z70" s="262">
        <v>751.10400000000004</v>
      </c>
      <c r="AA70" s="262">
        <v>426.66666666666674</v>
      </c>
      <c r="AB70" s="262">
        <v>78.239999999999995</v>
      </c>
      <c r="AC70" s="262">
        <v>383.37599999999998</v>
      </c>
      <c r="AD70" s="262">
        <v>375.55200000000002</v>
      </c>
      <c r="AE70" s="262">
        <v>422.49599999999998</v>
      </c>
      <c r="AG70" s="220">
        <f t="shared" si="153"/>
        <v>91.828000000000003</v>
      </c>
      <c r="AH70" s="220">
        <f t="shared" si="154"/>
        <v>57.164187892381229</v>
      </c>
      <c r="AI70" s="220">
        <f t="shared" si="155"/>
        <v>87.071111111111165</v>
      </c>
      <c r="AJ70" s="220">
        <f t="shared" si="156"/>
        <v>55.835999999999999</v>
      </c>
      <c r="AK70" s="220">
        <f t="shared" si="157"/>
        <v>0</v>
      </c>
      <c r="AL70" s="220">
        <f t="shared" si="158"/>
        <v>0</v>
      </c>
      <c r="AM70" s="220">
        <f t="shared" si="159"/>
        <v>0</v>
      </c>
      <c r="AN70" s="220">
        <f t="shared" si="160"/>
        <v>0</v>
      </c>
      <c r="AO70" s="220">
        <f t="shared" si="161"/>
        <v>0</v>
      </c>
      <c r="AP70" s="220">
        <f t="shared" si="162"/>
        <v>0</v>
      </c>
      <c r="AQ70" s="220">
        <f t="shared" si="163"/>
        <v>0</v>
      </c>
      <c r="AR70" s="220">
        <f t="shared" si="164"/>
        <v>0</v>
      </c>
      <c r="AS70" s="220">
        <f t="shared" si="165"/>
        <v>17.908000000000001</v>
      </c>
      <c r="AT70" s="220">
        <f t="shared" si="166"/>
        <v>35.200000000000003</v>
      </c>
      <c r="AU70" s="220">
        <f t="shared" si="167"/>
        <v>30.983039999999995</v>
      </c>
      <c r="AV70" s="220">
        <f t="shared" si="168"/>
        <v>33.048576000000004</v>
      </c>
      <c r="AW70" s="220">
        <f t="shared" si="169"/>
        <v>18.773333333333337</v>
      </c>
      <c r="AX70" s="220">
        <f t="shared" si="170"/>
        <v>3.4425599999999998</v>
      </c>
      <c r="AY70" s="220">
        <f t="shared" si="171"/>
        <v>16.868543999999996</v>
      </c>
      <c r="AZ70" s="220">
        <f t="shared" si="172"/>
        <v>16.524288000000002</v>
      </c>
      <c r="BA70" s="220">
        <f t="shared" si="173"/>
        <v>18.589824</v>
      </c>
      <c r="BB70" s="219"/>
      <c r="BC70" s="219"/>
      <c r="BD70" s="220">
        <f t="shared" si="88"/>
        <v>0</v>
      </c>
      <c r="BE70" s="220">
        <f t="shared" si="89"/>
        <v>0</v>
      </c>
      <c r="BF70" s="220">
        <f t="shared" si="90"/>
        <v>0</v>
      </c>
      <c r="BG70" s="220">
        <f t="shared" si="91"/>
        <v>0</v>
      </c>
      <c r="BH70" s="220">
        <f t="shared" si="92"/>
        <v>0</v>
      </c>
      <c r="BI70" s="220">
        <f t="shared" si="93"/>
        <v>0</v>
      </c>
      <c r="BJ70" s="220">
        <f t="shared" si="94"/>
        <v>0</v>
      </c>
      <c r="BK70" s="220">
        <f t="shared" si="95"/>
        <v>0</v>
      </c>
      <c r="BL70" s="220">
        <f t="shared" si="96"/>
        <v>0</v>
      </c>
      <c r="BM70" s="220">
        <f t="shared" si="97"/>
        <v>0</v>
      </c>
      <c r="BN70" s="220">
        <f t="shared" si="98"/>
        <v>0</v>
      </c>
      <c r="BO70" s="220">
        <f t="shared" si="136"/>
        <v>0</v>
      </c>
      <c r="BP70" s="220">
        <f t="shared" si="137"/>
        <v>0</v>
      </c>
      <c r="BQ70" s="220">
        <f t="shared" si="138"/>
        <v>0</v>
      </c>
      <c r="BR70" s="220">
        <f t="shared" si="122"/>
        <v>0</v>
      </c>
      <c r="BS70" s="220">
        <f t="shared" si="123"/>
        <v>0</v>
      </c>
      <c r="BT70" s="220">
        <f t="shared" si="124"/>
        <v>0</v>
      </c>
      <c r="BU70" s="220">
        <f t="shared" si="125"/>
        <v>0</v>
      </c>
      <c r="BV70" s="220">
        <f t="shared" si="126"/>
        <v>0</v>
      </c>
      <c r="BW70" s="220">
        <f t="shared" si="127"/>
        <v>0</v>
      </c>
      <c r="BX70" s="220">
        <f t="shared" si="128"/>
        <v>0</v>
      </c>
      <c r="CA70" s="220">
        <f t="shared" si="142"/>
        <v>0</v>
      </c>
      <c r="CB70" s="220">
        <f t="shared" si="143"/>
        <v>0</v>
      </c>
      <c r="CC70" s="220">
        <f t="shared" si="144"/>
        <v>0</v>
      </c>
      <c r="CD70" s="220">
        <f t="shared" si="145"/>
        <v>0</v>
      </c>
      <c r="CE70" s="220">
        <f t="shared" si="146"/>
        <v>0</v>
      </c>
      <c r="CF70" s="220">
        <f t="shared" si="147"/>
        <v>0</v>
      </c>
      <c r="CG70" s="220">
        <f t="shared" si="148"/>
        <v>0</v>
      </c>
      <c r="CH70" s="220">
        <f t="shared" si="149"/>
        <v>0</v>
      </c>
      <c r="CI70" s="220">
        <f t="shared" si="150"/>
        <v>0</v>
      </c>
      <c r="CJ70" s="220">
        <f t="shared" si="151"/>
        <v>0</v>
      </c>
      <c r="CK70" s="220">
        <f t="shared" si="152"/>
        <v>0</v>
      </c>
      <c r="CL70" s="220">
        <f t="shared" si="139"/>
        <v>0</v>
      </c>
      <c r="CM70" s="220">
        <f t="shared" si="140"/>
        <v>0</v>
      </c>
      <c r="CN70" s="220">
        <f t="shared" si="141"/>
        <v>0</v>
      </c>
      <c r="CO70" s="220">
        <f t="shared" si="129"/>
        <v>0</v>
      </c>
      <c r="CP70" s="220">
        <f t="shared" si="130"/>
        <v>0</v>
      </c>
      <c r="CQ70" s="220">
        <f t="shared" si="131"/>
        <v>0</v>
      </c>
      <c r="CR70" s="220">
        <f t="shared" si="132"/>
        <v>0</v>
      </c>
      <c r="CS70" s="220">
        <f t="shared" si="133"/>
        <v>0</v>
      </c>
      <c r="CT70" s="220">
        <f t="shared" si="134"/>
        <v>0</v>
      </c>
      <c r="CU70" s="220">
        <f t="shared" si="135"/>
        <v>0</v>
      </c>
    </row>
    <row r="71" spans="1:99" x14ac:dyDescent="0.35">
      <c r="A71" s="233">
        <v>5121</v>
      </c>
      <c r="B71" s="233">
        <v>20000339</v>
      </c>
      <c r="C71" s="234" t="s">
        <v>105</v>
      </c>
      <c r="D71" s="234">
        <v>50035046</v>
      </c>
      <c r="E71" s="233">
        <v>44</v>
      </c>
      <c r="F71" s="233" t="s">
        <v>108</v>
      </c>
      <c r="G71" s="233" t="s">
        <v>107</v>
      </c>
      <c r="H71" s="233" t="s">
        <v>70</v>
      </c>
      <c r="I71" s="235">
        <v>0</v>
      </c>
      <c r="K71" s="237">
        <v>0</v>
      </c>
      <c r="L71" s="237">
        <v>0</v>
      </c>
      <c r="M71" s="238">
        <v>0</v>
      </c>
      <c r="N71" s="238">
        <v>0</v>
      </c>
      <c r="O71" s="238">
        <v>0</v>
      </c>
      <c r="P71" s="238">
        <v>0</v>
      </c>
      <c r="Q71" s="238">
        <v>0</v>
      </c>
      <c r="R71" s="237">
        <v>0</v>
      </c>
      <c r="S71" s="238">
        <v>0</v>
      </c>
      <c r="T71" s="263">
        <v>0</v>
      </c>
      <c r="U71" s="262">
        <v>0</v>
      </c>
      <c r="V71" s="262">
        <v>0</v>
      </c>
      <c r="W71" s="262">
        <v>0</v>
      </c>
      <c r="X71" s="262">
        <v>0</v>
      </c>
      <c r="Y71" s="262">
        <v>0</v>
      </c>
      <c r="Z71" s="262">
        <v>0</v>
      </c>
      <c r="AA71" s="262">
        <v>0</v>
      </c>
      <c r="AB71" s="262">
        <v>0</v>
      </c>
      <c r="AC71" s="262">
        <v>0</v>
      </c>
      <c r="AD71" s="262">
        <v>0</v>
      </c>
      <c r="AE71" s="262">
        <v>0</v>
      </c>
      <c r="AG71" s="220">
        <f t="shared" si="153"/>
        <v>0</v>
      </c>
      <c r="AH71" s="220">
        <f t="shared" si="154"/>
        <v>0</v>
      </c>
      <c r="AI71" s="220">
        <f t="shared" si="155"/>
        <v>0</v>
      </c>
      <c r="AJ71" s="220">
        <f t="shared" si="156"/>
        <v>0</v>
      </c>
      <c r="AK71" s="220">
        <f t="shared" si="157"/>
        <v>0</v>
      </c>
      <c r="AL71" s="220">
        <f t="shared" si="158"/>
        <v>0</v>
      </c>
      <c r="AM71" s="220">
        <f t="shared" si="159"/>
        <v>0</v>
      </c>
      <c r="AN71" s="220">
        <f t="shared" si="160"/>
        <v>0</v>
      </c>
      <c r="AO71" s="220">
        <f t="shared" si="161"/>
        <v>0</v>
      </c>
      <c r="AP71" s="220">
        <f t="shared" si="162"/>
        <v>0</v>
      </c>
      <c r="AQ71" s="220">
        <f t="shared" si="163"/>
        <v>0</v>
      </c>
      <c r="AR71" s="220">
        <f t="shared" si="164"/>
        <v>0</v>
      </c>
      <c r="AS71" s="220">
        <f t="shared" si="165"/>
        <v>0</v>
      </c>
      <c r="AT71" s="220">
        <f t="shared" si="166"/>
        <v>0</v>
      </c>
      <c r="AU71" s="220">
        <f t="shared" si="167"/>
        <v>0</v>
      </c>
      <c r="AV71" s="220">
        <f t="shared" si="168"/>
        <v>0</v>
      </c>
      <c r="AW71" s="220">
        <f t="shared" si="169"/>
        <v>0</v>
      </c>
      <c r="AX71" s="220">
        <f t="shared" si="170"/>
        <v>0</v>
      </c>
      <c r="AY71" s="220">
        <f t="shared" si="171"/>
        <v>0</v>
      </c>
      <c r="AZ71" s="220">
        <f t="shared" si="172"/>
        <v>0</v>
      </c>
      <c r="BA71" s="220">
        <f t="shared" si="173"/>
        <v>0</v>
      </c>
      <c r="BB71" s="219"/>
      <c r="BC71" s="219"/>
      <c r="BD71" s="220">
        <f t="shared" si="88"/>
        <v>0</v>
      </c>
      <c r="BE71" s="220">
        <f t="shared" si="89"/>
        <v>0</v>
      </c>
      <c r="BF71" s="220">
        <f t="shared" si="90"/>
        <v>0</v>
      </c>
      <c r="BG71" s="220">
        <f t="shared" si="91"/>
        <v>0</v>
      </c>
      <c r="BH71" s="220">
        <f t="shared" si="92"/>
        <v>0</v>
      </c>
      <c r="BI71" s="220">
        <f t="shared" si="93"/>
        <v>0</v>
      </c>
      <c r="BJ71" s="220">
        <f t="shared" si="94"/>
        <v>0</v>
      </c>
      <c r="BK71" s="220">
        <f t="shared" si="95"/>
        <v>0</v>
      </c>
      <c r="BL71" s="220">
        <f t="shared" si="96"/>
        <v>0</v>
      </c>
      <c r="BM71" s="220">
        <f t="shared" si="97"/>
        <v>0</v>
      </c>
      <c r="BN71" s="220">
        <f t="shared" si="98"/>
        <v>0</v>
      </c>
      <c r="BO71" s="220">
        <f t="shared" si="136"/>
        <v>0</v>
      </c>
      <c r="BP71" s="220">
        <f t="shared" si="137"/>
        <v>0</v>
      </c>
      <c r="BQ71" s="220">
        <f t="shared" si="138"/>
        <v>0</v>
      </c>
      <c r="BR71" s="220">
        <f t="shared" si="122"/>
        <v>0</v>
      </c>
      <c r="BS71" s="220">
        <f t="shared" si="123"/>
        <v>0</v>
      </c>
      <c r="BT71" s="220">
        <f t="shared" si="124"/>
        <v>0</v>
      </c>
      <c r="BU71" s="220">
        <f t="shared" si="125"/>
        <v>0</v>
      </c>
      <c r="BV71" s="220">
        <f t="shared" si="126"/>
        <v>0</v>
      </c>
      <c r="BW71" s="220">
        <f t="shared" si="127"/>
        <v>0</v>
      </c>
      <c r="BX71" s="220">
        <f t="shared" si="128"/>
        <v>0</v>
      </c>
      <c r="CA71" s="220">
        <f t="shared" si="142"/>
        <v>0</v>
      </c>
      <c r="CB71" s="220">
        <f t="shared" si="143"/>
        <v>0</v>
      </c>
      <c r="CC71" s="220">
        <f t="shared" si="144"/>
        <v>0</v>
      </c>
      <c r="CD71" s="220">
        <f t="shared" si="145"/>
        <v>0</v>
      </c>
      <c r="CE71" s="220">
        <f t="shared" si="146"/>
        <v>0</v>
      </c>
      <c r="CF71" s="220">
        <f t="shared" si="147"/>
        <v>0</v>
      </c>
      <c r="CG71" s="220">
        <f t="shared" si="148"/>
        <v>0</v>
      </c>
      <c r="CH71" s="220">
        <f t="shared" si="149"/>
        <v>0</v>
      </c>
      <c r="CI71" s="220">
        <f t="shared" si="150"/>
        <v>0</v>
      </c>
      <c r="CJ71" s="220">
        <f t="shared" si="151"/>
        <v>0</v>
      </c>
      <c r="CK71" s="220">
        <f t="shared" si="152"/>
        <v>0</v>
      </c>
      <c r="CL71" s="220">
        <f t="shared" si="139"/>
        <v>0</v>
      </c>
      <c r="CM71" s="220">
        <f t="shared" si="140"/>
        <v>0</v>
      </c>
      <c r="CN71" s="220">
        <f t="shared" si="141"/>
        <v>0</v>
      </c>
      <c r="CO71" s="220">
        <f t="shared" si="129"/>
        <v>0</v>
      </c>
      <c r="CP71" s="220">
        <f t="shared" si="130"/>
        <v>0</v>
      </c>
      <c r="CQ71" s="220">
        <f t="shared" si="131"/>
        <v>0</v>
      </c>
      <c r="CR71" s="220">
        <f t="shared" si="132"/>
        <v>0</v>
      </c>
      <c r="CS71" s="220">
        <f t="shared" si="133"/>
        <v>0</v>
      </c>
      <c r="CT71" s="220">
        <f t="shared" si="134"/>
        <v>0</v>
      </c>
      <c r="CU71" s="220">
        <f t="shared" si="135"/>
        <v>0</v>
      </c>
    </row>
    <row r="72" spans="1:99" x14ac:dyDescent="0.35">
      <c r="A72" s="233">
        <v>5121</v>
      </c>
      <c r="B72" s="233">
        <v>20000339</v>
      </c>
      <c r="C72" s="234" t="s">
        <v>105</v>
      </c>
      <c r="D72" s="234">
        <v>50035039</v>
      </c>
      <c r="E72" s="233">
        <v>44</v>
      </c>
      <c r="F72" s="233" t="s">
        <v>109</v>
      </c>
      <c r="G72" s="233" t="s">
        <v>107</v>
      </c>
      <c r="H72" s="233" t="s">
        <v>70</v>
      </c>
      <c r="I72" s="235">
        <v>0</v>
      </c>
      <c r="K72" s="237">
        <v>0</v>
      </c>
      <c r="L72" s="237">
        <v>0</v>
      </c>
      <c r="M72" s="237">
        <v>0</v>
      </c>
      <c r="N72" s="237">
        <v>0</v>
      </c>
      <c r="O72" s="237">
        <v>0</v>
      </c>
      <c r="P72" s="237">
        <v>0</v>
      </c>
      <c r="Q72" s="237">
        <v>0</v>
      </c>
      <c r="R72" s="237">
        <v>0</v>
      </c>
      <c r="S72" s="238">
        <v>0</v>
      </c>
      <c r="T72" s="263">
        <v>0</v>
      </c>
      <c r="U72" s="262">
        <v>0</v>
      </c>
      <c r="V72" s="262">
        <v>0</v>
      </c>
      <c r="W72" s="262">
        <v>0</v>
      </c>
      <c r="X72" s="262">
        <v>0</v>
      </c>
      <c r="Y72" s="262">
        <v>0</v>
      </c>
      <c r="Z72" s="262">
        <v>0</v>
      </c>
      <c r="AA72" s="262">
        <v>0</v>
      </c>
      <c r="AB72" s="262">
        <v>0</v>
      </c>
      <c r="AC72" s="262">
        <v>0</v>
      </c>
      <c r="AD72" s="262">
        <v>0</v>
      </c>
      <c r="AE72" s="262">
        <v>0</v>
      </c>
      <c r="AG72" s="220">
        <f t="shared" si="153"/>
        <v>0</v>
      </c>
      <c r="AH72" s="220">
        <f t="shared" si="154"/>
        <v>0</v>
      </c>
      <c r="AI72" s="220">
        <f t="shared" si="155"/>
        <v>0</v>
      </c>
      <c r="AJ72" s="220">
        <f t="shared" si="156"/>
        <v>0</v>
      </c>
      <c r="AK72" s="220">
        <f t="shared" si="157"/>
        <v>0</v>
      </c>
      <c r="AL72" s="220">
        <f t="shared" si="158"/>
        <v>0</v>
      </c>
      <c r="AM72" s="220">
        <f t="shared" si="159"/>
        <v>0</v>
      </c>
      <c r="AN72" s="220">
        <f t="shared" si="160"/>
        <v>0</v>
      </c>
      <c r="AO72" s="220">
        <f t="shared" si="161"/>
        <v>0</v>
      </c>
      <c r="AP72" s="220">
        <f t="shared" si="162"/>
        <v>0</v>
      </c>
      <c r="AQ72" s="220">
        <f t="shared" si="163"/>
        <v>0</v>
      </c>
      <c r="AR72" s="220">
        <f t="shared" si="164"/>
        <v>0</v>
      </c>
      <c r="AS72" s="220">
        <f t="shared" si="165"/>
        <v>0</v>
      </c>
      <c r="AT72" s="220">
        <f t="shared" si="166"/>
        <v>0</v>
      </c>
      <c r="AU72" s="220">
        <f t="shared" si="167"/>
        <v>0</v>
      </c>
      <c r="AV72" s="220">
        <f t="shared" si="168"/>
        <v>0</v>
      </c>
      <c r="AW72" s="220">
        <f t="shared" si="169"/>
        <v>0</v>
      </c>
      <c r="AX72" s="220">
        <f t="shared" si="170"/>
        <v>0</v>
      </c>
      <c r="AY72" s="220">
        <f t="shared" si="171"/>
        <v>0</v>
      </c>
      <c r="AZ72" s="220">
        <f t="shared" si="172"/>
        <v>0</v>
      </c>
      <c r="BA72" s="220">
        <f t="shared" si="173"/>
        <v>0</v>
      </c>
      <c r="BB72" s="219"/>
      <c r="BC72" s="219"/>
      <c r="BD72" s="220">
        <f t="shared" si="88"/>
        <v>0</v>
      </c>
      <c r="BE72" s="220">
        <f t="shared" si="89"/>
        <v>0</v>
      </c>
      <c r="BF72" s="220">
        <f t="shared" si="90"/>
        <v>0</v>
      </c>
      <c r="BG72" s="220">
        <f t="shared" si="91"/>
        <v>0</v>
      </c>
      <c r="BH72" s="220">
        <f t="shared" si="92"/>
        <v>0</v>
      </c>
      <c r="BI72" s="220">
        <f t="shared" si="93"/>
        <v>0</v>
      </c>
      <c r="BJ72" s="220">
        <f t="shared" si="94"/>
        <v>0</v>
      </c>
      <c r="BK72" s="220">
        <f t="shared" si="95"/>
        <v>0</v>
      </c>
      <c r="BL72" s="220">
        <f t="shared" si="96"/>
        <v>0</v>
      </c>
      <c r="BM72" s="220">
        <f t="shared" si="97"/>
        <v>0</v>
      </c>
      <c r="BN72" s="220">
        <f t="shared" si="98"/>
        <v>0</v>
      </c>
      <c r="BO72" s="220">
        <f t="shared" si="136"/>
        <v>0</v>
      </c>
      <c r="BP72" s="220">
        <f t="shared" si="137"/>
        <v>0</v>
      </c>
      <c r="BQ72" s="220">
        <f t="shared" si="138"/>
        <v>0</v>
      </c>
      <c r="BR72" s="220">
        <f t="shared" si="122"/>
        <v>0</v>
      </c>
      <c r="BS72" s="220">
        <f t="shared" si="123"/>
        <v>0</v>
      </c>
      <c r="BT72" s="220">
        <f t="shared" si="124"/>
        <v>0</v>
      </c>
      <c r="BU72" s="220">
        <f t="shared" si="125"/>
        <v>0</v>
      </c>
      <c r="BV72" s="220">
        <f t="shared" si="126"/>
        <v>0</v>
      </c>
      <c r="BW72" s="220">
        <f t="shared" si="127"/>
        <v>0</v>
      </c>
      <c r="BX72" s="220">
        <f t="shared" si="128"/>
        <v>0</v>
      </c>
      <c r="CA72" s="220">
        <f t="shared" si="142"/>
        <v>0</v>
      </c>
      <c r="CB72" s="220">
        <f t="shared" si="143"/>
        <v>0</v>
      </c>
      <c r="CC72" s="220">
        <f t="shared" si="144"/>
        <v>0</v>
      </c>
      <c r="CD72" s="220">
        <f t="shared" si="145"/>
        <v>0</v>
      </c>
      <c r="CE72" s="220">
        <f t="shared" si="146"/>
        <v>0</v>
      </c>
      <c r="CF72" s="220">
        <f t="shared" si="147"/>
        <v>0</v>
      </c>
      <c r="CG72" s="220">
        <f t="shared" si="148"/>
        <v>0</v>
      </c>
      <c r="CH72" s="220">
        <f t="shared" si="149"/>
        <v>0</v>
      </c>
      <c r="CI72" s="220">
        <f t="shared" si="150"/>
        <v>0</v>
      </c>
      <c r="CJ72" s="220">
        <f t="shared" si="151"/>
        <v>0</v>
      </c>
      <c r="CK72" s="220">
        <f t="shared" si="152"/>
        <v>0</v>
      </c>
      <c r="CL72" s="220">
        <f t="shared" si="139"/>
        <v>0</v>
      </c>
      <c r="CM72" s="220">
        <f t="shared" si="140"/>
        <v>0</v>
      </c>
      <c r="CN72" s="220">
        <f t="shared" si="141"/>
        <v>0</v>
      </c>
      <c r="CO72" s="220">
        <f t="shared" si="129"/>
        <v>0</v>
      </c>
      <c r="CP72" s="220">
        <f t="shared" si="130"/>
        <v>0</v>
      </c>
      <c r="CQ72" s="220">
        <f t="shared" si="131"/>
        <v>0</v>
      </c>
      <c r="CR72" s="220">
        <f t="shared" si="132"/>
        <v>0</v>
      </c>
      <c r="CS72" s="220">
        <f t="shared" si="133"/>
        <v>0</v>
      </c>
      <c r="CT72" s="220">
        <f t="shared" si="134"/>
        <v>0</v>
      </c>
      <c r="CU72" s="220">
        <f t="shared" si="135"/>
        <v>0</v>
      </c>
    </row>
    <row r="73" spans="1:99" x14ac:dyDescent="0.35">
      <c r="A73" s="233">
        <v>5121</v>
      </c>
      <c r="B73" s="233">
        <v>20000339</v>
      </c>
      <c r="C73" s="234" t="s">
        <v>105</v>
      </c>
      <c r="D73" s="234">
        <v>50036287</v>
      </c>
      <c r="E73" s="233">
        <v>52</v>
      </c>
      <c r="F73" s="233" t="s">
        <v>106</v>
      </c>
      <c r="G73" s="233" t="s">
        <v>107</v>
      </c>
      <c r="H73" s="233" t="s">
        <v>70</v>
      </c>
      <c r="I73" s="235">
        <v>0</v>
      </c>
      <c r="K73" s="237">
        <v>0</v>
      </c>
      <c r="L73" s="237">
        <v>0</v>
      </c>
      <c r="M73" s="237">
        <v>0</v>
      </c>
      <c r="N73" s="237">
        <v>0</v>
      </c>
      <c r="O73" s="237">
        <v>628</v>
      </c>
      <c r="P73" s="237">
        <v>0</v>
      </c>
      <c r="Q73" s="237">
        <v>0</v>
      </c>
      <c r="R73" s="237">
        <v>0</v>
      </c>
      <c r="S73" s="238">
        <v>0</v>
      </c>
      <c r="T73" s="263">
        <v>808.88888888888903</v>
      </c>
      <c r="U73" s="262">
        <v>616.47581481481518</v>
      </c>
      <c r="V73" s="262">
        <v>0</v>
      </c>
      <c r="W73" s="262">
        <v>2550.9119999999998</v>
      </c>
      <c r="X73" s="262">
        <v>1814.528</v>
      </c>
      <c r="Y73" s="262">
        <v>1759.008</v>
      </c>
      <c r="Z73" s="262">
        <v>1997.28</v>
      </c>
      <c r="AA73" s="262">
        <v>2183.010925925927</v>
      </c>
      <c r="AB73" s="262">
        <v>1850.1120000000001</v>
      </c>
      <c r="AC73" s="262">
        <v>1520.7360000000001</v>
      </c>
      <c r="AD73" s="262">
        <v>1513.7280000000001</v>
      </c>
      <c r="AE73" s="262">
        <v>1618.848</v>
      </c>
      <c r="AG73" s="220">
        <f t="shared" si="153"/>
        <v>0</v>
      </c>
      <c r="AH73" s="220">
        <f t="shared" si="154"/>
        <v>0</v>
      </c>
      <c r="AI73" s="220">
        <f t="shared" si="155"/>
        <v>0</v>
      </c>
      <c r="AJ73" s="220">
        <f t="shared" si="156"/>
        <v>0</v>
      </c>
      <c r="AK73" s="220">
        <f t="shared" si="157"/>
        <v>32.655999999999999</v>
      </c>
      <c r="AL73" s="220">
        <f t="shared" si="158"/>
        <v>0</v>
      </c>
      <c r="AM73" s="220">
        <f t="shared" si="159"/>
        <v>0</v>
      </c>
      <c r="AN73" s="220">
        <f t="shared" si="160"/>
        <v>0</v>
      </c>
      <c r="AO73" s="220">
        <f t="shared" si="161"/>
        <v>0</v>
      </c>
      <c r="AP73" s="220">
        <f t="shared" si="162"/>
        <v>42.062222222222225</v>
      </c>
      <c r="AQ73" s="220">
        <f t="shared" si="163"/>
        <v>32.056742370370387</v>
      </c>
      <c r="AR73" s="220">
        <f t="shared" si="164"/>
        <v>0</v>
      </c>
      <c r="AS73" s="220">
        <f t="shared" si="165"/>
        <v>132.647424</v>
      </c>
      <c r="AT73" s="220">
        <f t="shared" si="166"/>
        <v>94.355456000000004</v>
      </c>
      <c r="AU73" s="220">
        <f t="shared" si="167"/>
        <v>91.468415999999991</v>
      </c>
      <c r="AV73" s="220">
        <f t="shared" si="168"/>
        <v>103.85856</v>
      </c>
      <c r="AW73" s="220">
        <f t="shared" si="169"/>
        <v>113.5165681481482</v>
      </c>
      <c r="AX73" s="220">
        <f t="shared" si="170"/>
        <v>96.205824000000007</v>
      </c>
      <c r="AY73" s="220">
        <f t="shared" si="171"/>
        <v>79.078272000000013</v>
      </c>
      <c r="AZ73" s="220">
        <f t="shared" si="172"/>
        <v>78.713855999999993</v>
      </c>
      <c r="BA73" s="220">
        <f t="shared" si="173"/>
        <v>84.180095999999992</v>
      </c>
      <c r="BB73" s="219"/>
      <c r="BC73" s="219"/>
      <c r="BD73" s="220">
        <f t="shared" si="88"/>
        <v>0</v>
      </c>
      <c r="BE73" s="220">
        <f t="shared" si="89"/>
        <v>0</v>
      </c>
      <c r="BF73" s="220">
        <f t="shared" si="90"/>
        <v>0</v>
      </c>
      <c r="BG73" s="220">
        <f t="shared" si="91"/>
        <v>0</v>
      </c>
      <c r="BH73" s="220">
        <f t="shared" si="92"/>
        <v>0</v>
      </c>
      <c r="BI73" s="220">
        <f t="shared" si="93"/>
        <v>0</v>
      </c>
      <c r="BJ73" s="220">
        <f t="shared" si="94"/>
        <v>0</v>
      </c>
      <c r="BK73" s="220">
        <f t="shared" si="95"/>
        <v>0</v>
      </c>
      <c r="BL73" s="220">
        <f t="shared" si="96"/>
        <v>0</v>
      </c>
      <c r="BM73" s="220">
        <f t="shared" si="97"/>
        <v>0</v>
      </c>
      <c r="BN73" s="220">
        <f t="shared" si="98"/>
        <v>0</v>
      </c>
      <c r="BO73" s="220">
        <f t="shared" si="136"/>
        <v>0</v>
      </c>
      <c r="BP73" s="220">
        <f t="shared" si="137"/>
        <v>0</v>
      </c>
      <c r="BQ73" s="220">
        <f t="shared" si="138"/>
        <v>0</v>
      </c>
      <c r="BR73" s="220">
        <f t="shared" si="122"/>
        <v>0</v>
      </c>
      <c r="BS73" s="220">
        <f t="shared" si="123"/>
        <v>0</v>
      </c>
      <c r="BT73" s="220">
        <f t="shared" si="124"/>
        <v>0</v>
      </c>
      <c r="BU73" s="220">
        <f t="shared" si="125"/>
        <v>0</v>
      </c>
      <c r="BV73" s="220">
        <f t="shared" si="126"/>
        <v>0</v>
      </c>
      <c r="BW73" s="220">
        <f t="shared" si="127"/>
        <v>0</v>
      </c>
      <c r="BX73" s="220">
        <f t="shared" si="128"/>
        <v>0</v>
      </c>
      <c r="CA73" s="220">
        <f t="shared" si="142"/>
        <v>0</v>
      </c>
      <c r="CB73" s="220">
        <f t="shared" si="143"/>
        <v>0</v>
      </c>
      <c r="CC73" s="220">
        <f t="shared" si="144"/>
        <v>0</v>
      </c>
      <c r="CD73" s="220">
        <f t="shared" si="145"/>
        <v>0</v>
      </c>
      <c r="CE73" s="220">
        <f t="shared" si="146"/>
        <v>0</v>
      </c>
      <c r="CF73" s="220">
        <f t="shared" si="147"/>
        <v>0</v>
      </c>
      <c r="CG73" s="220">
        <f t="shared" si="148"/>
        <v>0</v>
      </c>
      <c r="CH73" s="220">
        <f t="shared" si="149"/>
        <v>0</v>
      </c>
      <c r="CI73" s="220">
        <f t="shared" si="150"/>
        <v>0</v>
      </c>
      <c r="CJ73" s="220">
        <f t="shared" si="151"/>
        <v>0</v>
      </c>
      <c r="CK73" s="220">
        <f t="shared" si="152"/>
        <v>0</v>
      </c>
      <c r="CL73" s="220">
        <f t="shared" si="139"/>
        <v>0</v>
      </c>
      <c r="CM73" s="220">
        <f t="shared" si="140"/>
        <v>0</v>
      </c>
      <c r="CN73" s="220">
        <f t="shared" si="141"/>
        <v>0</v>
      </c>
      <c r="CO73" s="220">
        <f t="shared" si="129"/>
        <v>0</v>
      </c>
      <c r="CP73" s="220">
        <f t="shared" si="130"/>
        <v>0</v>
      </c>
      <c r="CQ73" s="220">
        <f t="shared" si="131"/>
        <v>0</v>
      </c>
      <c r="CR73" s="220">
        <f t="shared" si="132"/>
        <v>0</v>
      </c>
      <c r="CS73" s="220">
        <f t="shared" si="133"/>
        <v>0</v>
      </c>
      <c r="CT73" s="220">
        <f t="shared" si="134"/>
        <v>0</v>
      </c>
      <c r="CU73" s="220">
        <f t="shared" si="135"/>
        <v>0</v>
      </c>
    </row>
    <row r="74" spans="1:99" x14ac:dyDescent="0.35">
      <c r="A74" s="233">
        <v>5121</v>
      </c>
      <c r="B74" s="233">
        <v>20000339</v>
      </c>
      <c r="C74" s="234" t="s">
        <v>105</v>
      </c>
      <c r="D74" s="234">
        <v>50034634</v>
      </c>
      <c r="E74" s="233">
        <v>52</v>
      </c>
      <c r="F74" s="233" t="s">
        <v>106</v>
      </c>
      <c r="G74" s="233" t="s">
        <v>107</v>
      </c>
      <c r="H74" s="233" t="s">
        <v>70</v>
      </c>
      <c r="I74" s="235">
        <v>0</v>
      </c>
      <c r="K74" s="237">
        <v>0</v>
      </c>
      <c r="L74" s="237">
        <v>0</v>
      </c>
      <c r="M74" s="237">
        <v>0</v>
      </c>
      <c r="N74" s="237">
        <v>0</v>
      </c>
      <c r="O74" s="237">
        <v>0</v>
      </c>
      <c r="P74" s="237">
        <v>0</v>
      </c>
      <c r="Q74" s="237">
        <v>0</v>
      </c>
      <c r="R74" s="237">
        <v>0</v>
      </c>
      <c r="S74" s="238">
        <v>0</v>
      </c>
      <c r="T74" s="263">
        <v>0</v>
      </c>
      <c r="U74" s="262">
        <v>0</v>
      </c>
      <c r="V74" s="262">
        <v>0</v>
      </c>
      <c r="W74" s="262">
        <v>0</v>
      </c>
      <c r="X74" s="262">
        <v>0</v>
      </c>
      <c r="Y74" s="262">
        <v>0</v>
      </c>
      <c r="Z74" s="262">
        <v>0</v>
      </c>
      <c r="AA74" s="262">
        <v>0</v>
      </c>
      <c r="AB74" s="262">
        <v>0</v>
      </c>
      <c r="AC74" s="262">
        <v>0</v>
      </c>
      <c r="AD74" s="262">
        <v>0</v>
      </c>
      <c r="AE74" s="262">
        <v>0</v>
      </c>
      <c r="AG74" s="220">
        <f t="shared" si="153"/>
        <v>0</v>
      </c>
      <c r="AH74" s="220">
        <f t="shared" si="154"/>
        <v>0</v>
      </c>
      <c r="AI74" s="220">
        <f t="shared" si="155"/>
        <v>0</v>
      </c>
      <c r="AJ74" s="220">
        <f t="shared" si="156"/>
        <v>0</v>
      </c>
      <c r="AK74" s="220">
        <f t="shared" si="157"/>
        <v>0</v>
      </c>
      <c r="AL74" s="220">
        <f t="shared" si="158"/>
        <v>0</v>
      </c>
      <c r="AM74" s="220">
        <f t="shared" si="159"/>
        <v>0</v>
      </c>
      <c r="AN74" s="220">
        <f t="shared" si="160"/>
        <v>0</v>
      </c>
      <c r="AO74" s="220">
        <f t="shared" si="161"/>
        <v>0</v>
      </c>
      <c r="AP74" s="220">
        <f t="shared" si="162"/>
        <v>0</v>
      </c>
      <c r="AQ74" s="220">
        <f t="shared" si="163"/>
        <v>0</v>
      </c>
      <c r="AR74" s="220">
        <f t="shared" si="164"/>
        <v>0</v>
      </c>
      <c r="AS74" s="220">
        <f t="shared" si="165"/>
        <v>0</v>
      </c>
      <c r="AT74" s="220">
        <f t="shared" si="166"/>
        <v>0</v>
      </c>
      <c r="AU74" s="220">
        <f t="shared" si="167"/>
        <v>0</v>
      </c>
      <c r="AV74" s="220">
        <f t="shared" si="168"/>
        <v>0</v>
      </c>
      <c r="AW74" s="220">
        <f t="shared" si="169"/>
        <v>0</v>
      </c>
      <c r="AX74" s="220">
        <f t="shared" si="170"/>
        <v>0</v>
      </c>
      <c r="AY74" s="220">
        <f t="shared" si="171"/>
        <v>0</v>
      </c>
      <c r="AZ74" s="220">
        <f t="shared" si="172"/>
        <v>0</v>
      </c>
      <c r="BA74" s="220">
        <f t="shared" si="173"/>
        <v>0</v>
      </c>
      <c r="BB74" s="219"/>
      <c r="BC74" s="219"/>
      <c r="BD74" s="220">
        <f t="shared" si="88"/>
        <v>0</v>
      </c>
      <c r="BE74" s="220">
        <f t="shared" si="89"/>
        <v>0</v>
      </c>
      <c r="BF74" s="220">
        <f t="shared" si="90"/>
        <v>0</v>
      </c>
      <c r="BG74" s="220">
        <f t="shared" si="91"/>
        <v>0</v>
      </c>
      <c r="BH74" s="220">
        <f t="shared" si="92"/>
        <v>0</v>
      </c>
      <c r="BI74" s="220">
        <f t="shared" si="93"/>
        <v>0</v>
      </c>
      <c r="BJ74" s="220">
        <f t="shared" si="94"/>
        <v>0</v>
      </c>
      <c r="BK74" s="220">
        <f t="shared" si="95"/>
        <v>0</v>
      </c>
      <c r="BL74" s="220">
        <f t="shared" si="96"/>
        <v>0</v>
      </c>
      <c r="BM74" s="220">
        <f t="shared" si="97"/>
        <v>0</v>
      </c>
      <c r="BN74" s="220">
        <f t="shared" si="98"/>
        <v>0</v>
      </c>
      <c r="BO74" s="220">
        <f t="shared" si="136"/>
        <v>0</v>
      </c>
      <c r="BP74" s="220">
        <f t="shared" si="137"/>
        <v>0</v>
      </c>
      <c r="BQ74" s="220">
        <f t="shared" si="138"/>
        <v>0</v>
      </c>
      <c r="BR74" s="220">
        <f t="shared" si="122"/>
        <v>0</v>
      </c>
      <c r="BS74" s="220">
        <f t="shared" si="123"/>
        <v>0</v>
      </c>
      <c r="BT74" s="220">
        <f t="shared" si="124"/>
        <v>0</v>
      </c>
      <c r="BU74" s="220">
        <f t="shared" si="125"/>
        <v>0</v>
      </c>
      <c r="BV74" s="220">
        <f t="shared" si="126"/>
        <v>0</v>
      </c>
      <c r="BW74" s="220">
        <f t="shared" si="127"/>
        <v>0</v>
      </c>
      <c r="BX74" s="220">
        <f t="shared" si="128"/>
        <v>0</v>
      </c>
      <c r="CA74" s="220">
        <f t="shared" si="142"/>
        <v>0</v>
      </c>
      <c r="CB74" s="220">
        <f t="shared" si="143"/>
        <v>0</v>
      </c>
      <c r="CC74" s="220">
        <f t="shared" si="144"/>
        <v>0</v>
      </c>
      <c r="CD74" s="220">
        <f t="shared" si="145"/>
        <v>0</v>
      </c>
      <c r="CE74" s="220">
        <f t="shared" si="146"/>
        <v>0</v>
      </c>
      <c r="CF74" s="220">
        <f t="shared" si="147"/>
        <v>0</v>
      </c>
      <c r="CG74" s="220">
        <f t="shared" si="148"/>
        <v>0</v>
      </c>
      <c r="CH74" s="220">
        <f t="shared" si="149"/>
        <v>0</v>
      </c>
      <c r="CI74" s="220">
        <f t="shared" si="150"/>
        <v>0</v>
      </c>
      <c r="CJ74" s="220">
        <f t="shared" si="151"/>
        <v>0</v>
      </c>
      <c r="CK74" s="220">
        <f t="shared" si="152"/>
        <v>0</v>
      </c>
      <c r="CL74" s="220">
        <f t="shared" si="139"/>
        <v>0</v>
      </c>
      <c r="CM74" s="220">
        <f t="shared" si="140"/>
        <v>0</v>
      </c>
      <c r="CN74" s="220">
        <f t="shared" si="141"/>
        <v>0</v>
      </c>
      <c r="CO74" s="220">
        <f t="shared" si="129"/>
        <v>0</v>
      </c>
      <c r="CP74" s="220">
        <f t="shared" si="130"/>
        <v>0</v>
      </c>
      <c r="CQ74" s="220">
        <f t="shared" si="131"/>
        <v>0</v>
      </c>
      <c r="CR74" s="220">
        <f t="shared" si="132"/>
        <v>0</v>
      </c>
      <c r="CS74" s="220">
        <f t="shared" si="133"/>
        <v>0</v>
      </c>
      <c r="CT74" s="220">
        <f t="shared" si="134"/>
        <v>0</v>
      </c>
      <c r="CU74" s="220">
        <f t="shared" si="135"/>
        <v>0</v>
      </c>
    </row>
    <row r="75" spans="1:99" x14ac:dyDescent="0.35">
      <c r="A75" s="233">
        <v>5121</v>
      </c>
      <c r="B75" s="233">
        <v>20000339</v>
      </c>
      <c r="C75" s="234" t="s">
        <v>105</v>
      </c>
      <c r="D75" s="234">
        <v>50034636</v>
      </c>
      <c r="E75" s="233">
        <v>52</v>
      </c>
      <c r="F75" s="233" t="s">
        <v>108</v>
      </c>
      <c r="G75" s="233" t="s">
        <v>107</v>
      </c>
      <c r="H75" s="233" t="s">
        <v>70</v>
      </c>
      <c r="I75" s="235">
        <v>0</v>
      </c>
      <c r="K75" s="237">
        <v>0</v>
      </c>
      <c r="L75" s="237">
        <v>0</v>
      </c>
      <c r="M75" s="237">
        <v>0</v>
      </c>
      <c r="N75" s="237">
        <v>0</v>
      </c>
      <c r="O75" s="237">
        <v>0</v>
      </c>
      <c r="P75" s="237">
        <v>0</v>
      </c>
      <c r="Q75" s="237">
        <v>0</v>
      </c>
      <c r="R75" s="237">
        <v>0</v>
      </c>
      <c r="S75" s="238">
        <v>1570.7407407407411</v>
      </c>
      <c r="T75" s="263">
        <v>0</v>
      </c>
      <c r="U75" s="262">
        <v>0</v>
      </c>
      <c r="V75" s="262">
        <v>0</v>
      </c>
      <c r="W75" s="262">
        <v>0</v>
      </c>
      <c r="X75" s="262">
        <v>0</v>
      </c>
      <c r="Y75" s="262">
        <v>0</v>
      </c>
      <c r="Z75" s="262">
        <v>0</v>
      </c>
      <c r="AA75" s="262">
        <v>0</v>
      </c>
      <c r="AB75" s="262">
        <v>0</v>
      </c>
      <c r="AC75" s="262">
        <v>0</v>
      </c>
      <c r="AD75" s="262">
        <v>0</v>
      </c>
      <c r="AE75" s="262">
        <v>0</v>
      </c>
      <c r="AG75" s="220">
        <f t="shared" si="153"/>
        <v>0</v>
      </c>
      <c r="AH75" s="220">
        <f t="shared" si="154"/>
        <v>0</v>
      </c>
      <c r="AI75" s="220">
        <f t="shared" si="155"/>
        <v>0</v>
      </c>
      <c r="AJ75" s="220">
        <f t="shared" si="156"/>
        <v>0</v>
      </c>
      <c r="AK75" s="220">
        <f t="shared" si="157"/>
        <v>0</v>
      </c>
      <c r="AL75" s="220">
        <f t="shared" si="158"/>
        <v>0</v>
      </c>
      <c r="AM75" s="220">
        <f t="shared" si="159"/>
        <v>0</v>
      </c>
      <c r="AN75" s="220">
        <f t="shared" si="160"/>
        <v>0</v>
      </c>
      <c r="AO75" s="220">
        <f t="shared" si="161"/>
        <v>81.678518518518544</v>
      </c>
      <c r="AP75" s="220">
        <f t="shared" si="162"/>
        <v>0</v>
      </c>
      <c r="AQ75" s="220">
        <f t="shared" si="163"/>
        <v>0</v>
      </c>
      <c r="AR75" s="220">
        <f t="shared" si="164"/>
        <v>0</v>
      </c>
      <c r="AS75" s="220">
        <f t="shared" si="165"/>
        <v>0</v>
      </c>
      <c r="AT75" s="220">
        <f t="shared" si="166"/>
        <v>0</v>
      </c>
      <c r="AU75" s="220">
        <f t="shared" si="167"/>
        <v>0</v>
      </c>
      <c r="AV75" s="220">
        <f t="shared" si="168"/>
        <v>0</v>
      </c>
      <c r="AW75" s="220">
        <f t="shared" si="169"/>
        <v>0</v>
      </c>
      <c r="AX75" s="220">
        <f t="shared" si="170"/>
        <v>0</v>
      </c>
      <c r="AY75" s="220">
        <f t="shared" si="171"/>
        <v>0</v>
      </c>
      <c r="AZ75" s="220">
        <f t="shared" si="172"/>
        <v>0</v>
      </c>
      <c r="BA75" s="220">
        <f t="shared" si="173"/>
        <v>0</v>
      </c>
      <c r="BB75" s="219"/>
      <c r="BC75" s="219"/>
      <c r="BD75" s="220">
        <f t="shared" si="88"/>
        <v>0</v>
      </c>
      <c r="BE75" s="220">
        <f t="shared" si="89"/>
        <v>0</v>
      </c>
      <c r="BF75" s="220">
        <f t="shared" si="90"/>
        <v>0</v>
      </c>
      <c r="BG75" s="220">
        <f t="shared" si="91"/>
        <v>0</v>
      </c>
      <c r="BH75" s="220">
        <f t="shared" si="92"/>
        <v>0</v>
      </c>
      <c r="BI75" s="220">
        <f t="shared" si="93"/>
        <v>0</v>
      </c>
      <c r="BJ75" s="220">
        <f t="shared" si="94"/>
        <v>0</v>
      </c>
      <c r="BK75" s="220">
        <f t="shared" si="95"/>
        <v>0</v>
      </c>
      <c r="BL75" s="220">
        <f t="shared" si="96"/>
        <v>0</v>
      </c>
      <c r="BM75" s="220">
        <f t="shared" si="97"/>
        <v>0</v>
      </c>
      <c r="BN75" s="220">
        <f t="shared" si="98"/>
        <v>0</v>
      </c>
      <c r="BO75" s="220">
        <f t="shared" si="136"/>
        <v>0</v>
      </c>
      <c r="BP75" s="220">
        <f t="shared" si="137"/>
        <v>0</v>
      </c>
      <c r="BQ75" s="220">
        <f t="shared" si="138"/>
        <v>0</v>
      </c>
      <c r="BR75" s="220">
        <f t="shared" si="122"/>
        <v>0</v>
      </c>
      <c r="BS75" s="220">
        <f t="shared" si="123"/>
        <v>0</v>
      </c>
      <c r="BT75" s="220">
        <f t="shared" si="124"/>
        <v>0</v>
      </c>
      <c r="BU75" s="220">
        <f t="shared" si="125"/>
        <v>0</v>
      </c>
      <c r="BV75" s="220">
        <f t="shared" si="126"/>
        <v>0</v>
      </c>
      <c r="BW75" s="220">
        <f t="shared" si="127"/>
        <v>0</v>
      </c>
      <c r="BX75" s="220">
        <f t="shared" si="128"/>
        <v>0</v>
      </c>
      <c r="CA75" s="220">
        <f t="shared" si="142"/>
        <v>0</v>
      </c>
      <c r="CB75" s="220">
        <f t="shared" si="143"/>
        <v>0</v>
      </c>
      <c r="CC75" s="220">
        <f t="shared" si="144"/>
        <v>0</v>
      </c>
      <c r="CD75" s="220">
        <f t="shared" si="145"/>
        <v>0</v>
      </c>
      <c r="CE75" s="220">
        <f t="shared" si="146"/>
        <v>0</v>
      </c>
      <c r="CF75" s="220">
        <f t="shared" si="147"/>
        <v>0</v>
      </c>
      <c r="CG75" s="220">
        <f t="shared" si="148"/>
        <v>0</v>
      </c>
      <c r="CH75" s="220">
        <f t="shared" si="149"/>
        <v>0</v>
      </c>
      <c r="CI75" s="220">
        <f t="shared" si="150"/>
        <v>0</v>
      </c>
      <c r="CJ75" s="220">
        <f t="shared" si="151"/>
        <v>0</v>
      </c>
      <c r="CK75" s="220">
        <f t="shared" si="152"/>
        <v>0</v>
      </c>
      <c r="CL75" s="220">
        <f t="shared" si="139"/>
        <v>0</v>
      </c>
      <c r="CM75" s="220">
        <f t="shared" si="140"/>
        <v>0</v>
      </c>
      <c r="CN75" s="220">
        <f t="shared" si="141"/>
        <v>0</v>
      </c>
      <c r="CO75" s="220">
        <f t="shared" si="129"/>
        <v>0</v>
      </c>
      <c r="CP75" s="220">
        <f t="shared" si="130"/>
        <v>0</v>
      </c>
      <c r="CQ75" s="220">
        <f t="shared" si="131"/>
        <v>0</v>
      </c>
      <c r="CR75" s="220">
        <f t="shared" si="132"/>
        <v>0</v>
      </c>
      <c r="CS75" s="220">
        <f t="shared" si="133"/>
        <v>0</v>
      </c>
      <c r="CT75" s="220">
        <f t="shared" si="134"/>
        <v>0</v>
      </c>
      <c r="CU75" s="220">
        <f t="shared" si="135"/>
        <v>0</v>
      </c>
    </row>
    <row r="76" spans="1:99" x14ac:dyDescent="0.35">
      <c r="A76" s="233">
        <v>5121</v>
      </c>
      <c r="B76" s="233">
        <v>20000339</v>
      </c>
      <c r="C76" s="234" t="s">
        <v>105</v>
      </c>
      <c r="D76" s="234">
        <v>50034635</v>
      </c>
      <c r="E76" s="233">
        <v>52</v>
      </c>
      <c r="F76" s="233" t="s">
        <v>109</v>
      </c>
      <c r="G76" s="233" t="s">
        <v>107</v>
      </c>
      <c r="H76" s="233" t="s">
        <v>70</v>
      </c>
      <c r="I76" s="235">
        <v>0</v>
      </c>
      <c r="K76" s="237">
        <v>1510</v>
      </c>
      <c r="L76" s="237">
        <v>2112.2530066968461</v>
      </c>
      <c r="M76" s="237">
        <v>1815.55555555556</v>
      </c>
      <c r="N76" s="237">
        <v>2234</v>
      </c>
      <c r="O76" s="237">
        <v>1938</v>
      </c>
      <c r="P76" s="237">
        <v>1329.62962962963</v>
      </c>
      <c r="Q76" s="237">
        <v>1163.7037037037001</v>
      </c>
      <c r="R76" s="237">
        <v>1430.3703703703704</v>
      </c>
      <c r="S76" s="238">
        <v>0</v>
      </c>
      <c r="T76" s="263">
        <v>0</v>
      </c>
      <c r="U76" s="262">
        <v>0</v>
      </c>
      <c r="V76" s="262">
        <v>0</v>
      </c>
      <c r="W76" s="262">
        <v>0</v>
      </c>
      <c r="X76" s="262">
        <v>0</v>
      </c>
      <c r="Y76" s="262">
        <v>0</v>
      </c>
      <c r="Z76" s="262">
        <v>0</v>
      </c>
      <c r="AA76" s="262">
        <v>0</v>
      </c>
      <c r="AB76" s="262">
        <v>0</v>
      </c>
      <c r="AC76" s="262">
        <v>0</v>
      </c>
      <c r="AD76" s="262">
        <v>0</v>
      </c>
      <c r="AE76" s="262">
        <v>0</v>
      </c>
      <c r="AG76" s="220">
        <f t="shared" si="153"/>
        <v>78.52</v>
      </c>
      <c r="AH76" s="220">
        <f t="shared" si="154"/>
        <v>109.83715634823599</v>
      </c>
      <c r="AI76" s="220">
        <f t="shared" si="155"/>
        <v>94.408888888889123</v>
      </c>
      <c r="AJ76" s="220">
        <f t="shared" si="156"/>
        <v>116.16800000000001</v>
      </c>
      <c r="AK76" s="220">
        <f t="shared" si="157"/>
        <v>100.776</v>
      </c>
      <c r="AL76" s="220">
        <f t="shared" si="158"/>
        <v>69.140740740740753</v>
      </c>
      <c r="AM76" s="220">
        <f t="shared" si="159"/>
        <v>60.512592592592405</v>
      </c>
      <c r="AN76" s="220">
        <f t="shared" si="160"/>
        <v>74.379259259259271</v>
      </c>
      <c r="AO76" s="220">
        <f t="shared" si="161"/>
        <v>0</v>
      </c>
      <c r="AP76" s="220">
        <f t="shared" si="162"/>
        <v>0</v>
      </c>
      <c r="AQ76" s="220">
        <f t="shared" si="163"/>
        <v>0</v>
      </c>
      <c r="AR76" s="220">
        <f t="shared" si="164"/>
        <v>0</v>
      </c>
      <c r="AS76" s="220">
        <f t="shared" si="165"/>
        <v>0</v>
      </c>
      <c r="AT76" s="220">
        <f t="shared" si="166"/>
        <v>0</v>
      </c>
      <c r="AU76" s="220">
        <f t="shared" si="167"/>
        <v>0</v>
      </c>
      <c r="AV76" s="220">
        <f t="shared" si="168"/>
        <v>0</v>
      </c>
      <c r="AW76" s="220">
        <f t="shared" si="169"/>
        <v>0</v>
      </c>
      <c r="AX76" s="220">
        <f t="shared" si="170"/>
        <v>0</v>
      </c>
      <c r="AY76" s="220">
        <f t="shared" si="171"/>
        <v>0</v>
      </c>
      <c r="AZ76" s="220">
        <f t="shared" si="172"/>
        <v>0</v>
      </c>
      <c r="BA76" s="220">
        <f t="shared" si="173"/>
        <v>0</v>
      </c>
      <c r="BB76" s="219"/>
      <c r="BC76" s="219"/>
      <c r="BD76" s="220">
        <f t="shared" si="88"/>
        <v>0</v>
      </c>
      <c r="BE76" s="220">
        <f t="shared" si="89"/>
        <v>0</v>
      </c>
      <c r="BF76" s="220">
        <f t="shared" si="90"/>
        <v>0</v>
      </c>
      <c r="BG76" s="220">
        <f t="shared" si="91"/>
        <v>0</v>
      </c>
      <c r="BH76" s="220">
        <f t="shared" si="92"/>
        <v>0</v>
      </c>
      <c r="BI76" s="220">
        <f t="shared" si="93"/>
        <v>0</v>
      </c>
      <c r="BJ76" s="220">
        <f t="shared" si="94"/>
        <v>0</v>
      </c>
      <c r="BK76" s="220">
        <f t="shared" si="95"/>
        <v>0</v>
      </c>
      <c r="BL76" s="220">
        <f t="shared" si="96"/>
        <v>0</v>
      </c>
      <c r="BM76" s="220">
        <f t="shared" si="97"/>
        <v>0</v>
      </c>
      <c r="BN76" s="220">
        <f t="shared" si="98"/>
        <v>0</v>
      </c>
      <c r="BO76" s="220">
        <f t="shared" si="136"/>
        <v>0</v>
      </c>
      <c r="BP76" s="220">
        <f t="shared" si="137"/>
        <v>0</v>
      </c>
      <c r="BQ76" s="220">
        <f t="shared" si="138"/>
        <v>0</v>
      </c>
      <c r="BR76" s="220">
        <f t="shared" si="122"/>
        <v>0</v>
      </c>
      <c r="BS76" s="220">
        <f t="shared" si="123"/>
        <v>0</v>
      </c>
      <c r="BT76" s="220">
        <f t="shared" si="124"/>
        <v>0</v>
      </c>
      <c r="BU76" s="220">
        <f t="shared" si="125"/>
        <v>0</v>
      </c>
      <c r="BV76" s="220">
        <f t="shared" si="126"/>
        <v>0</v>
      </c>
      <c r="BW76" s="220">
        <f t="shared" si="127"/>
        <v>0</v>
      </c>
      <c r="BX76" s="220">
        <f t="shared" si="128"/>
        <v>0</v>
      </c>
      <c r="CA76" s="220">
        <f t="shared" si="142"/>
        <v>0</v>
      </c>
      <c r="CB76" s="220">
        <f t="shared" si="143"/>
        <v>0</v>
      </c>
      <c r="CC76" s="220">
        <f t="shared" si="144"/>
        <v>0</v>
      </c>
      <c r="CD76" s="220">
        <f t="shared" si="145"/>
        <v>0</v>
      </c>
      <c r="CE76" s="220">
        <f t="shared" si="146"/>
        <v>0</v>
      </c>
      <c r="CF76" s="220">
        <f t="shared" si="147"/>
        <v>0</v>
      </c>
      <c r="CG76" s="220">
        <f t="shared" si="148"/>
        <v>0</v>
      </c>
      <c r="CH76" s="220">
        <f t="shared" si="149"/>
        <v>0</v>
      </c>
      <c r="CI76" s="220">
        <f t="shared" si="150"/>
        <v>0</v>
      </c>
      <c r="CJ76" s="220">
        <f t="shared" si="151"/>
        <v>0</v>
      </c>
      <c r="CK76" s="220">
        <f t="shared" si="152"/>
        <v>0</v>
      </c>
      <c r="CL76" s="220">
        <f t="shared" si="139"/>
        <v>0</v>
      </c>
      <c r="CM76" s="220">
        <f t="shared" si="140"/>
        <v>0</v>
      </c>
      <c r="CN76" s="220">
        <f t="shared" si="141"/>
        <v>0</v>
      </c>
      <c r="CO76" s="220">
        <f t="shared" si="129"/>
        <v>0</v>
      </c>
      <c r="CP76" s="220">
        <f t="shared" si="130"/>
        <v>0</v>
      </c>
      <c r="CQ76" s="220">
        <f t="shared" si="131"/>
        <v>0</v>
      </c>
      <c r="CR76" s="220">
        <f t="shared" si="132"/>
        <v>0</v>
      </c>
      <c r="CS76" s="220">
        <f t="shared" si="133"/>
        <v>0</v>
      </c>
      <c r="CT76" s="220">
        <f t="shared" si="134"/>
        <v>0</v>
      </c>
      <c r="CU76" s="220">
        <f t="shared" si="135"/>
        <v>0</v>
      </c>
    </row>
    <row r="77" spans="1:99" x14ac:dyDescent="0.35">
      <c r="A77" s="233">
        <v>5121</v>
      </c>
      <c r="B77" s="233">
        <v>20000339</v>
      </c>
      <c r="C77" s="234" t="s">
        <v>105</v>
      </c>
      <c r="D77" s="234">
        <v>50034194</v>
      </c>
      <c r="E77" s="233">
        <v>62</v>
      </c>
      <c r="F77" s="233" t="s">
        <v>106</v>
      </c>
      <c r="G77" s="233" t="s">
        <v>107</v>
      </c>
      <c r="H77" s="233" t="s">
        <v>70</v>
      </c>
      <c r="I77" s="235">
        <v>0</v>
      </c>
      <c r="K77" s="237">
        <v>0</v>
      </c>
      <c r="L77" s="237">
        <v>0</v>
      </c>
      <c r="M77" s="237">
        <v>0</v>
      </c>
      <c r="N77" s="237">
        <v>0</v>
      </c>
      <c r="O77" s="237">
        <v>0</v>
      </c>
      <c r="P77" s="237">
        <v>0</v>
      </c>
      <c r="Q77" s="237">
        <v>0</v>
      </c>
      <c r="R77" s="237">
        <v>0</v>
      </c>
      <c r="S77" s="238">
        <v>0</v>
      </c>
      <c r="T77" s="263">
        <v>0</v>
      </c>
      <c r="U77" s="262">
        <v>0</v>
      </c>
      <c r="V77" s="262">
        <v>0</v>
      </c>
      <c r="W77" s="262">
        <v>634</v>
      </c>
      <c r="X77" s="262">
        <v>219.45600000000002</v>
      </c>
      <c r="Y77" s="262">
        <v>298.70400000000001</v>
      </c>
      <c r="Z77" s="262">
        <v>335.28000000000003</v>
      </c>
      <c r="AA77" s="262">
        <v>195.5555555555556</v>
      </c>
      <c r="AB77" s="262">
        <v>0</v>
      </c>
      <c r="AC77" s="262">
        <v>91.44</v>
      </c>
      <c r="AD77" s="262">
        <v>152.4</v>
      </c>
      <c r="AE77" s="262">
        <v>152.4</v>
      </c>
      <c r="AG77" s="220">
        <f t="shared" si="153"/>
        <v>0</v>
      </c>
      <c r="AH77" s="220">
        <f t="shared" si="154"/>
        <v>0</v>
      </c>
      <c r="AI77" s="220">
        <f t="shared" si="155"/>
        <v>0</v>
      </c>
      <c r="AJ77" s="220">
        <f t="shared" si="156"/>
        <v>0</v>
      </c>
      <c r="AK77" s="220">
        <f t="shared" si="157"/>
        <v>0</v>
      </c>
      <c r="AL77" s="220">
        <f t="shared" si="158"/>
        <v>0</v>
      </c>
      <c r="AM77" s="220">
        <f t="shared" si="159"/>
        <v>0</v>
      </c>
      <c r="AN77" s="220">
        <f t="shared" si="160"/>
        <v>0</v>
      </c>
      <c r="AO77" s="220">
        <f t="shared" si="161"/>
        <v>0</v>
      </c>
      <c r="AP77" s="220">
        <f t="shared" si="162"/>
        <v>0</v>
      </c>
      <c r="AQ77" s="220">
        <f t="shared" si="163"/>
        <v>0</v>
      </c>
      <c r="AR77" s="220">
        <f t="shared" si="164"/>
        <v>0</v>
      </c>
      <c r="AS77" s="220">
        <f t="shared" si="165"/>
        <v>39.308</v>
      </c>
      <c r="AT77" s="220">
        <f t="shared" si="166"/>
        <v>13.606272000000001</v>
      </c>
      <c r="AU77" s="220">
        <f t="shared" si="167"/>
        <v>18.519648</v>
      </c>
      <c r="AV77" s="220">
        <f t="shared" si="168"/>
        <v>20.78736</v>
      </c>
      <c r="AW77" s="220">
        <f t="shared" si="169"/>
        <v>12.124444444444448</v>
      </c>
      <c r="AX77" s="220">
        <f t="shared" si="170"/>
        <v>0</v>
      </c>
      <c r="AY77" s="220">
        <f t="shared" si="171"/>
        <v>5.6692799999999997</v>
      </c>
      <c r="AZ77" s="220">
        <f t="shared" si="172"/>
        <v>9.4488000000000003</v>
      </c>
      <c r="BA77" s="220">
        <f t="shared" si="173"/>
        <v>9.4488000000000003</v>
      </c>
      <c r="BB77" s="219"/>
      <c r="BC77" s="219"/>
      <c r="BD77" s="220">
        <f t="shared" si="88"/>
        <v>0</v>
      </c>
      <c r="BE77" s="220">
        <f t="shared" si="89"/>
        <v>0</v>
      </c>
      <c r="BF77" s="220">
        <f t="shared" si="90"/>
        <v>0</v>
      </c>
      <c r="BG77" s="220">
        <f t="shared" si="91"/>
        <v>0</v>
      </c>
      <c r="BH77" s="220">
        <f t="shared" si="92"/>
        <v>0</v>
      </c>
      <c r="BI77" s="220">
        <f t="shared" si="93"/>
        <v>0</v>
      </c>
      <c r="BJ77" s="220">
        <f t="shared" si="94"/>
        <v>0</v>
      </c>
      <c r="BK77" s="220">
        <f t="shared" si="95"/>
        <v>0</v>
      </c>
      <c r="BL77" s="220">
        <f t="shared" si="96"/>
        <v>0</v>
      </c>
      <c r="BM77" s="220">
        <f t="shared" si="97"/>
        <v>0</v>
      </c>
      <c r="BN77" s="220">
        <f t="shared" si="98"/>
        <v>0</v>
      </c>
      <c r="BO77" s="220">
        <f t="shared" si="136"/>
        <v>0</v>
      </c>
      <c r="BP77" s="220">
        <f t="shared" si="137"/>
        <v>0</v>
      </c>
      <c r="BQ77" s="220">
        <f t="shared" si="138"/>
        <v>0</v>
      </c>
      <c r="BR77" s="220">
        <f t="shared" si="122"/>
        <v>0</v>
      </c>
      <c r="BS77" s="220">
        <f t="shared" si="123"/>
        <v>0</v>
      </c>
      <c r="BT77" s="220">
        <f t="shared" si="124"/>
        <v>0</v>
      </c>
      <c r="BU77" s="220">
        <f t="shared" si="125"/>
        <v>0</v>
      </c>
      <c r="BV77" s="220">
        <f t="shared" si="126"/>
        <v>0</v>
      </c>
      <c r="BW77" s="220">
        <f t="shared" si="127"/>
        <v>0</v>
      </c>
      <c r="BX77" s="220">
        <f t="shared" si="128"/>
        <v>0</v>
      </c>
      <c r="CA77" s="220">
        <f t="shared" si="142"/>
        <v>0</v>
      </c>
      <c r="CB77" s="220">
        <f t="shared" si="143"/>
        <v>0</v>
      </c>
      <c r="CC77" s="220">
        <f t="shared" si="144"/>
        <v>0</v>
      </c>
      <c r="CD77" s="220">
        <f t="shared" si="145"/>
        <v>0</v>
      </c>
      <c r="CE77" s="220">
        <f t="shared" si="146"/>
        <v>0</v>
      </c>
      <c r="CF77" s="220">
        <f t="shared" si="147"/>
        <v>0</v>
      </c>
      <c r="CG77" s="220">
        <f t="shared" si="148"/>
        <v>0</v>
      </c>
      <c r="CH77" s="220">
        <f t="shared" si="149"/>
        <v>0</v>
      </c>
      <c r="CI77" s="220">
        <f t="shared" si="150"/>
        <v>0</v>
      </c>
      <c r="CJ77" s="220">
        <f t="shared" si="151"/>
        <v>0</v>
      </c>
      <c r="CK77" s="220">
        <f t="shared" si="152"/>
        <v>0</v>
      </c>
      <c r="CL77" s="220">
        <f t="shared" si="139"/>
        <v>0</v>
      </c>
      <c r="CM77" s="220">
        <f t="shared" si="140"/>
        <v>0</v>
      </c>
      <c r="CN77" s="220">
        <f t="shared" si="141"/>
        <v>0</v>
      </c>
      <c r="CO77" s="220">
        <f t="shared" si="129"/>
        <v>0</v>
      </c>
      <c r="CP77" s="220">
        <f t="shared" si="130"/>
        <v>0</v>
      </c>
      <c r="CQ77" s="220">
        <f t="shared" si="131"/>
        <v>0</v>
      </c>
      <c r="CR77" s="220">
        <f t="shared" si="132"/>
        <v>0</v>
      </c>
      <c r="CS77" s="220">
        <f t="shared" si="133"/>
        <v>0</v>
      </c>
      <c r="CT77" s="220">
        <f t="shared" si="134"/>
        <v>0</v>
      </c>
      <c r="CU77" s="220">
        <f t="shared" si="135"/>
        <v>0</v>
      </c>
    </row>
    <row r="78" spans="1:99" x14ac:dyDescent="0.35">
      <c r="A78" s="233">
        <v>5121</v>
      </c>
      <c r="B78" s="233">
        <v>20000339</v>
      </c>
      <c r="C78" s="234" t="s">
        <v>105</v>
      </c>
      <c r="D78" s="234">
        <v>50034195</v>
      </c>
      <c r="E78" s="233">
        <v>62</v>
      </c>
      <c r="F78" s="233" t="s">
        <v>109</v>
      </c>
      <c r="G78" s="233" t="s">
        <v>107</v>
      </c>
      <c r="H78" s="233" t="s">
        <v>70</v>
      </c>
      <c r="I78" s="236">
        <v>0</v>
      </c>
      <c r="K78" s="238">
        <v>18</v>
      </c>
      <c r="L78" s="238">
        <v>0</v>
      </c>
      <c r="M78" s="238">
        <v>0</v>
      </c>
      <c r="N78" s="238">
        <v>0</v>
      </c>
      <c r="O78" s="237">
        <v>0</v>
      </c>
      <c r="P78" s="237">
        <v>0</v>
      </c>
      <c r="Q78" s="237">
        <v>0</v>
      </c>
      <c r="R78" s="237">
        <v>0</v>
      </c>
      <c r="S78" s="238">
        <v>0</v>
      </c>
      <c r="T78" s="263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Z78" s="262">
        <v>0</v>
      </c>
      <c r="AA78" s="262">
        <v>0</v>
      </c>
      <c r="AB78" s="262">
        <v>0</v>
      </c>
      <c r="AC78" s="262">
        <v>0</v>
      </c>
      <c r="AD78" s="262">
        <v>0</v>
      </c>
      <c r="AE78" s="262">
        <v>0</v>
      </c>
      <c r="AG78" s="220">
        <f t="shared" si="153"/>
        <v>1.1160000000000001</v>
      </c>
      <c r="AH78" s="220">
        <f t="shared" si="154"/>
        <v>0</v>
      </c>
      <c r="AI78" s="220">
        <f t="shared" si="155"/>
        <v>0</v>
      </c>
      <c r="AJ78" s="220">
        <f t="shared" si="156"/>
        <v>0</v>
      </c>
      <c r="AK78" s="220">
        <f t="shared" si="157"/>
        <v>0</v>
      </c>
      <c r="AL78" s="220">
        <f t="shared" si="158"/>
        <v>0</v>
      </c>
      <c r="AM78" s="220">
        <f t="shared" si="159"/>
        <v>0</v>
      </c>
      <c r="AN78" s="220">
        <f t="shared" si="160"/>
        <v>0</v>
      </c>
      <c r="AO78" s="220">
        <f t="shared" si="161"/>
        <v>0</v>
      </c>
      <c r="AP78" s="220">
        <f t="shared" si="162"/>
        <v>0</v>
      </c>
      <c r="AQ78" s="220">
        <f t="shared" si="163"/>
        <v>0</v>
      </c>
      <c r="AR78" s="220">
        <f t="shared" si="164"/>
        <v>0</v>
      </c>
      <c r="AS78" s="220">
        <f t="shared" si="165"/>
        <v>0</v>
      </c>
      <c r="AT78" s="220">
        <f t="shared" si="166"/>
        <v>0</v>
      </c>
      <c r="AU78" s="220">
        <f t="shared" si="167"/>
        <v>0</v>
      </c>
      <c r="AV78" s="220">
        <f t="shared" si="168"/>
        <v>0</v>
      </c>
      <c r="AW78" s="220">
        <f t="shared" si="169"/>
        <v>0</v>
      </c>
      <c r="AX78" s="220">
        <f t="shared" si="170"/>
        <v>0</v>
      </c>
      <c r="AY78" s="220">
        <f t="shared" si="171"/>
        <v>0</v>
      </c>
      <c r="AZ78" s="220">
        <f t="shared" si="172"/>
        <v>0</v>
      </c>
      <c r="BA78" s="220">
        <f t="shared" si="173"/>
        <v>0</v>
      </c>
      <c r="BB78" s="219"/>
      <c r="BC78" s="219"/>
      <c r="BD78" s="220">
        <f t="shared" si="88"/>
        <v>0</v>
      </c>
      <c r="BE78" s="220">
        <f t="shared" si="89"/>
        <v>0</v>
      </c>
      <c r="BF78" s="220">
        <f t="shared" si="90"/>
        <v>0</v>
      </c>
      <c r="BG78" s="220">
        <f t="shared" si="91"/>
        <v>0</v>
      </c>
      <c r="BH78" s="220">
        <f t="shared" si="92"/>
        <v>0</v>
      </c>
      <c r="BI78" s="220">
        <f t="shared" si="93"/>
        <v>0</v>
      </c>
      <c r="BJ78" s="220">
        <f t="shared" si="94"/>
        <v>0</v>
      </c>
      <c r="BK78" s="220">
        <f t="shared" si="95"/>
        <v>0</v>
      </c>
      <c r="BL78" s="220">
        <f t="shared" si="96"/>
        <v>0</v>
      </c>
      <c r="BM78" s="220">
        <f t="shared" si="97"/>
        <v>0</v>
      </c>
      <c r="BN78" s="220">
        <f t="shared" si="98"/>
        <v>0</v>
      </c>
      <c r="BO78" s="220">
        <f t="shared" si="136"/>
        <v>0</v>
      </c>
      <c r="BP78" s="220">
        <f t="shared" si="137"/>
        <v>0</v>
      </c>
      <c r="BQ78" s="220">
        <f t="shared" si="138"/>
        <v>0</v>
      </c>
      <c r="BR78" s="220">
        <f t="shared" si="122"/>
        <v>0</v>
      </c>
      <c r="BS78" s="220">
        <f t="shared" si="123"/>
        <v>0</v>
      </c>
      <c r="BT78" s="220">
        <f t="shared" si="124"/>
        <v>0</v>
      </c>
      <c r="BU78" s="220">
        <f t="shared" si="125"/>
        <v>0</v>
      </c>
      <c r="BV78" s="220">
        <f t="shared" si="126"/>
        <v>0</v>
      </c>
      <c r="BW78" s="220">
        <f t="shared" si="127"/>
        <v>0</v>
      </c>
      <c r="BX78" s="220">
        <f t="shared" si="128"/>
        <v>0</v>
      </c>
      <c r="CA78" s="220">
        <f t="shared" si="142"/>
        <v>0</v>
      </c>
      <c r="CB78" s="220">
        <f t="shared" si="143"/>
        <v>0</v>
      </c>
      <c r="CC78" s="220">
        <f t="shared" si="144"/>
        <v>0</v>
      </c>
      <c r="CD78" s="220">
        <f t="shared" si="145"/>
        <v>0</v>
      </c>
      <c r="CE78" s="220">
        <f t="shared" si="146"/>
        <v>0</v>
      </c>
      <c r="CF78" s="220">
        <f t="shared" si="147"/>
        <v>0</v>
      </c>
      <c r="CG78" s="220">
        <f t="shared" si="148"/>
        <v>0</v>
      </c>
      <c r="CH78" s="220">
        <f t="shared" si="149"/>
        <v>0</v>
      </c>
      <c r="CI78" s="220">
        <f t="shared" si="150"/>
        <v>0</v>
      </c>
      <c r="CJ78" s="220">
        <f t="shared" si="151"/>
        <v>0</v>
      </c>
      <c r="CK78" s="220">
        <f t="shared" si="152"/>
        <v>0</v>
      </c>
      <c r="CL78" s="220">
        <f t="shared" si="139"/>
        <v>0</v>
      </c>
      <c r="CM78" s="220">
        <f t="shared" si="140"/>
        <v>0</v>
      </c>
      <c r="CN78" s="220">
        <f t="shared" si="141"/>
        <v>0</v>
      </c>
      <c r="CO78" s="220">
        <f t="shared" si="129"/>
        <v>0</v>
      </c>
      <c r="CP78" s="220">
        <f t="shared" si="130"/>
        <v>0</v>
      </c>
      <c r="CQ78" s="220">
        <f t="shared" si="131"/>
        <v>0</v>
      </c>
      <c r="CR78" s="220">
        <f t="shared" si="132"/>
        <v>0</v>
      </c>
      <c r="CS78" s="220">
        <f t="shared" si="133"/>
        <v>0</v>
      </c>
      <c r="CT78" s="220">
        <f t="shared" si="134"/>
        <v>0</v>
      </c>
      <c r="CU78" s="220">
        <f t="shared" si="135"/>
        <v>0</v>
      </c>
    </row>
    <row r="79" spans="1:99" x14ac:dyDescent="0.35">
      <c r="A79" s="233">
        <v>5121</v>
      </c>
      <c r="B79" s="233">
        <v>20001057</v>
      </c>
      <c r="C79" s="234" t="s">
        <v>105</v>
      </c>
      <c r="D79" s="234">
        <v>50034574</v>
      </c>
      <c r="E79" s="233">
        <v>19.5</v>
      </c>
      <c r="F79" s="233" t="s">
        <v>106</v>
      </c>
      <c r="G79" s="233" t="s">
        <v>107</v>
      </c>
      <c r="H79" s="233" t="s">
        <v>70</v>
      </c>
      <c r="I79" s="236">
        <v>0</v>
      </c>
      <c r="K79" s="238">
        <v>0</v>
      </c>
      <c r="L79" s="238">
        <v>0</v>
      </c>
      <c r="M79" s="238">
        <v>0</v>
      </c>
      <c r="N79" s="238">
        <v>0</v>
      </c>
      <c r="O79" s="237">
        <v>0</v>
      </c>
      <c r="P79" s="237">
        <v>0</v>
      </c>
      <c r="Q79" s="237">
        <v>0</v>
      </c>
      <c r="R79" s="237">
        <v>0</v>
      </c>
      <c r="S79" s="238">
        <v>0</v>
      </c>
      <c r="T79" s="263">
        <v>1305.31555555556</v>
      </c>
      <c r="U79" s="262">
        <v>1586.666666666667</v>
      </c>
      <c r="V79" s="262">
        <v>0</v>
      </c>
      <c r="W79" s="262">
        <v>0</v>
      </c>
      <c r="X79" s="262">
        <v>0</v>
      </c>
      <c r="Y79" s="262">
        <v>0</v>
      </c>
      <c r="Z79" s="262">
        <v>0</v>
      </c>
      <c r="AA79" s="262">
        <v>0</v>
      </c>
      <c r="AB79" s="262">
        <v>0</v>
      </c>
      <c r="AC79" s="262">
        <v>0</v>
      </c>
      <c r="AD79" s="262">
        <v>0</v>
      </c>
      <c r="AE79" s="262">
        <v>0</v>
      </c>
      <c r="AG79" s="220">
        <f t="shared" si="153"/>
        <v>0</v>
      </c>
      <c r="AH79" s="220">
        <f t="shared" si="154"/>
        <v>0</v>
      </c>
      <c r="AI79" s="220">
        <f t="shared" si="155"/>
        <v>0</v>
      </c>
      <c r="AJ79" s="220">
        <f t="shared" si="156"/>
        <v>0</v>
      </c>
      <c r="AK79" s="220">
        <f t="shared" si="157"/>
        <v>0</v>
      </c>
      <c r="AL79" s="220">
        <f t="shared" si="158"/>
        <v>0</v>
      </c>
      <c r="AM79" s="220">
        <f t="shared" si="159"/>
        <v>0</v>
      </c>
      <c r="AN79" s="220">
        <f t="shared" si="160"/>
        <v>0</v>
      </c>
      <c r="AO79" s="220">
        <f t="shared" si="161"/>
        <v>0</v>
      </c>
      <c r="AP79" s="220">
        <f t="shared" si="162"/>
        <v>25.453653333333421</v>
      </c>
      <c r="AQ79" s="220">
        <f t="shared" si="163"/>
        <v>30.940000000000008</v>
      </c>
      <c r="AR79" s="220">
        <f t="shared" si="164"/>
        <v>0</v>
      </c>
      <c r="AS79" s="220">
        <f t="shared" si="165"/>
        <v>0</v>
      </c>
      <c r="AT79" s="220">
        <f t="shared" si="166"/>
        <v>0</v>
      </c>
      <c r="AU79" s="220">
        <f t="shared" si="167"/>
        <v>0</v>
      </c>
      <c r="AV79" s="220">
        <f t="shared" si="168"/>
        <v>0</v>
      </c>
      <c r="AW79" s="220">
        <f t="shared" si="169"/>
        <v>0</v>
      </c>
      <c r="AX79" s="220">
        <f t="shared" si="170"/>
        <v>0</v>
      </c>
      <c r="AY79" s="220">
        <f t="shared" si="171"/>
        <v>0</v>
      </c>
      <c r="AZ79" s="220">
        <f t="shared" si="172"/>
        <v>0</v>
      </c>
      <c r="BA79" s="220">
        <f t="shared" si="173"/>
        <v>0</v>
      </c>
      <c r="BB79" s="219"/>
      <c r="BC79" s="219"/>
      <c r="BD79" s="220">
        <f t="shared" si="88"/>
        <v>0</v>
      </c>
      <c r="BE79" s="220">
        <f t="shared" si="89"/>
        <v>0</v>
      </c>
      <c r="BF79" s="220">
        <f t="shared" si="90"/>
        <v>0</v>
      </c>
      <c r="BG79" s="220">
        <f t="shared" si="91"/>
        <v>0</v>
      </c>
      <c r="BH79" s="220">
        <f t="shared" si="92"/>
        <v>0</v>
      </c>
      <c r="BI79" s="220">
        <f t="shared" si="93"/>
        <v>0</v>
      </c>
      <c r="BJ79" s="220">
        <f t="shared" si="94"/>
        <v>0</v>
      </c>
      <c r="BK79" s="220">
        <f t="shared" si="95"/>
        <v>0</v>
      </c>
      <c r="BL79" s="220">
        <f t="shared" si="96"/>
        <v>0</v>
      </c>
      <c r="BM79" s="220">
        <f t="shared" si="97"/>
        <v>0</v>
      </c>
      <c r="BN79" s="220">
        <f t="shared" si="98"/>
        <v>0</v>
      </c>
      <c r="BO79" s="220">
        <f t="shared" si="136"/>
        <v>0</v>
      </c>
      <c r="BP79" s="220">
        <f t="shared" si="137"/>
        <v>0</v>
      </c>
      <c r="BQ79" s="220">
        <f t="shared" si="138"/>
        <v>0</v>
      </c>
      <c r="BR79" s="220">
        <f t="shared" si="122"/>
        <v>0</v>
      </c>
      <c r="BS79" s="220">
        <f t="shared" si="123"/>
        <v>0</v>
      </c>
      <c r="BT79" s="220">
        <f t="shared" si="124"/>
        <v>0</v>
      </c>
      <c r="BU79" s="220">
        <f t="shared" si="125"/>
        <v>0</v>
      </c>
      <c r="BV79" s="220">
        <f t="shared" si="126"/>
        <v>0</v>
      </c>
      <c r="BW79" s="220">
        <f t="shared" si="127"/>
        <v>0</v>
      </c>
      <c r="BX79" s="220">
        <f t="shared" si="128"/>
        <v>0</v>
      </c>
      <c r="CA79" s="220">
        <f t="shared" si="142"/>
        <v>0</v>
      </c>
      <c r="CB79" s="220">
        <f t="shared" si="143"/>
        <v>0</v>
      </c>
      <c r="CC79" s="220">
        <f t="shared" si="144"/>
        <v>0</v>
      </c>
      <c r="CD79" s="220">
        <f t="shared" si="145"/>
        <v>0</v>
      </c>
      <c r="CE79" s="220">
        <f t="shared" si="146"/>
        <v>0</v>
      </c>
      <c r="CF79" s="220">
        <f t="shared" si="147"/>
        <v>0</v>
      </c>
      <c r="CG79" s="220">
        <f t="shared" si="148"/>
        <v>0</v>
      </c>
      <c r="CH79" s="220">
        <f t="shared" si="149"/>
        <v>0</v>
      </c>
      <c r="CI79" s="220">
        <f t="shared" si="150"/>
        <v>0</v>
      </c>
      <c r="CJ79" s="220">
        <f t="shared" si="151"/>
        <v>0</v>
      </c>
      <c r="CK79" s="220">
        <f t="shared" si="152"/>
        <v>0</v>
      </c>
      <c r="CL79" s="220">
        <f t="shared" si="139"/>
        <v>0</v>
      </c>
      <c r="CM79" s="220">
        <f t="shared" si="140"/>
        <v>0</v>
      </c>
      <c r="CN79" s="220">
        <f t="shared" si="141"/>
        <v>0</v>
      </c>
      <c r="CO79" s="220">
        <f t="shared" si="129"/>
        <v>0</v>
      </c>
      <c r="CP79" s="220">
        <f t="shared" si="130"/>
        <v>0</v>
      </c>
      <c r="CQ79" s="220">
        <f t="shared" si="131"/>
        <v>0</v>
      </c>
      <c r="CR79" s="220">
        <f t="shared" si="132"/>
        <v>0</v>
      </c>
      <c r="CS79" s="220">
        <f t="shared" si="133"/>
        <v>0</v>
      </c>
      <c r="CT79" s="220">
        <f t="shared" si="134"/>
        <v>0</v>
      </c>
      <c r="CU79" s="220">
        <f t="shared" si="135"/>
        <v>0</v>
      </c>
    </row>
    <row r="80" spans="1:99" x14ac:dyDescent="0.35">
      <c r="A80" s="233">
        <v>5121</v>
      </c>
      <c r="B80" s="233">
        <v>20001057</v>
      </c>
      <c r="C80" s="234" t="s">
        <v>105</v>
      </c>
      <c r="D80" s="234">
        <v>50035184</v>
      </c>
      <c r="E80" s="233">
        <v>19.5</v>
      </c>
      <c r="F80" s="233" t="s">
        <v>106</v>
      </c>
      <c r="G80" s="233" t="s">
        <v>110</v>
      </c>
      <c r="H80" s="233" t="s">
        <v>70</v>
      </c>
      <c r="I80" s="235">
        <v>0</v>
      </c>
      <c r="K80" s="238">
        <v>589</v>
      </c>
      <c r="L80" s="238">
        <v>502.40288906088659</v>
      </c>
      <c r="M80" s="238">
        <v>635.55555555555554</v>
      </c>
      <c r="N80" s="238">
        <v>676</v>
      </c>
      <c r="O80" s="237">
        <v>624.444444444444</v>
      </c>
      <c r="P80" s="237">
        <v>376.32355555555603</v>
      </c>
      <c r="Q80" s="237">
        <v>497.777777777778</v>
      </c>
      <c r="R80" s="237">
        <v>450</v>
      </c>
      <c r="S80" s="238">
        <v>675.55555555555566</v>
      </c>
      <c r="T80" s="263">
        <v>0</v>
      </c>
      <c r="U80" s="262">
        <v>0</v>
      </c>
      <c r="V80" s="262">
        <v>2186.4960000000001</v>
      </c>
      <c r="W80" s="262">
        <v>2931</v>
      </c>
      <c r="X80" s="262">
        <v>2030.944</v>
      </c>
      <c r="Y80" s="262">
        <v>2273.8320000000003</v>
      </c>
      <c r="Z80" s="262">
        <v>714.096</v>
      </c>
      <c r="AA80" s="262">
        <v>784.03666666666663</v>
      </c>
      <c r="AB80" s="262">
        <v>1446.9840000000002</v>
      </c>
      <c r="AC80" s="262">
        <v>1315.44</v>
      </c>
      <c r="AD80" s="262">
        <v>1353.0240000000001</v>
      </c>
      <c r="AE80" s="262">
        <v>1446.9840000000002</v>
      </c>
      <c r="AG80" s="220">
        <f t="shared" si="153"/>
        <v>11.4855</v>
      </c>
      <c r="AH80" s="220">
        <f t="shared" si="154"/>
        <v>9.7968563366872878</v>
      </c>
      <c r="AI80" s="220">
        <f t="shared" si="155"/>
        <v>12.393333333333334</v>
      </c>
      <c r="AJ80" s="220">
        <f t="shared" si="156"/>
        <v>13.182</v>
      </c>
      <c r="AK80" s="220">
        <f t="shared" si="157"/>
        <v>12.176666666666659</v>
      </c>
      <c r="AL80" s="220">
        <f t="shared" si="158"/>
        <v>7.3383093333333429</v>
      </c>
      <c r="AM80" s="220">
        <f t="shared" si="159"/>
        <v>9.7066666666666723</v>
      </c>
      <c r="AN80" s="220">
        <f t="shared" si="160"/>
        <v>8.7750000000000004</v>
      </c>
      <c r="AO80" s="220">
        <f t="shared" si="161"/>
        <v>13.173333333333336</v>
      </c>
      <c r="AP80" s="220">
        <f t="shared" si="162"/>
        <v>0</v>
      </c>
      <c r="AQ80" s="220">
        <f t="shared" si="163"/>
        <v>0</v>
      </c>
      <c r="AR80" s="220">
        <f t="shared" si="164"/>
        <v>42.636671999999997</v>
      </c>
      <c r="AS80" s="220">
        <f t="shared" si="165"/>
        <v>57.154499999999999</v>
      </c>
      <c r="AT80" s="220">
        <f t="shared" si="166"/>
        <v>39.603407999999995</v>
      </c>
      <c r="AU80" s="220">
        <f t="shared" si="167"/>
        <v>44.339724000000011</v>
      </c>
      <c r="AV80" s="220">
        <f t="shared" si="168"/>
        <v>13.924871999999999</v>
      </c>
      <c r="AW80" s="220">
        <f t="shared" si="169"/>
        <v>15.288715</v>
      </c>
      <c r="AX80" s="220">
        <f t="shared" si="170"/>
        <v>28.216188000000002</v>
      </c>
      <c r="AY80" s="220">
        <f t="shared" si="171"/>
        <v>25.65108</v>
      </c>
      <c r="AZ80" s="220">
        <f t="shared" si="172"/>
        <v>26.383967999999999</v>
      </c>
      <c r="BA80" s="220">
        <f t="shared" si="173"/>
        <v>28.216188000000002</v>
      </c>
      <c r="BB80" s="219"/>
      <c r="BC80" s="219"/>
      <c r="BD80" s="220">
        <f t="shared" ref="BD80:BD82" si="174">+K80*$E80/1000*$I80</f>
        <v>0</v>
      </c>
      <c r="BE80" s="220">
        <f t="shared" ref="BE80:BE82" si="175">+L80*$E80/1000*$I80</f>
        <v>0</v>
      </c>
      <c r="BF80" s="220">
        <f t="shared" ref="BF80:BF82" si="176">+M80*$E80/1000*$I80</f>
        <v>0</v>
      </c>
      <c r="BG80" s="220">
        <f t="shared" ref="BG80:BG82" si="177">+N80*$E80/1000*$I80</f>
        <v>0</v>
      </c>
      <c r="BH80" s="220">
        <f t="shared" ref="BH80:BH82" si="178">+O80*$E80/1000*$I80</f>
        <v>0</v>
      </c>
      <c r="BI80" s="220">
        <f t="shared" ref="BI80:BI82" si="179">+P80*$E80/1000*$I80</f>
        <v>0</v>
      </c>
      <c r="BJ80" s="220">
        <f t="shared" ref="BJ80:BJ82" si="180">+Q80*$E80/1000*$I80</f>
        <v>0</v>
      </c>
      <c r="BK80" s="220">
        <f t="shared" ref="BK80:BK82" si="181">+R80*$E80/1000*$I80</f>
        <v>0</v>
      </c>
      <c r="BL80" s="220">
        <f t="shared" ref="BL80:BL82" si="182">+S80*$E80/1000*$I80</f>
        <v>0</v>
      </c>
      <c r="BM80" s="220">
        <f t="shared" ref="BM80:BM82" si="183">+T80*$E80/1000*$I80</f>
        <v>0</v>
      </c>
      <c r="BN80" s="220">
        <f t="shared" ref="BN80:BN82" si="184">+U80*$E80/1000*$I80</f>
        <v>0</v>
      </c>
      <c r="BO80" s="220">
        <f t="shared" si="136"/>
        <v>0</v>
      </c>
      <c r="BP80" s="220">
        <f t="shared" si="137"/>
        <v>0</v>
      </c>
      <c r="BQ80" s="220">
        <f t="shared" si="138"/>
        <v>0</v>
      </c>
      <c r="BR80" s="220">
        <f t="shared" si="122"/>
        <v>0</v>
      </c>
      <c r="BS80" s="220">
        <f t="shared" si="123"/>
        <v>0</v>
      </c>
      <c r="BT80" s="220">
        <f t="shared" si="124"/>
        <v>0</v>
      </c>
      <c r="BU80" s="220">
        <f t="shared" si="125"/>
        <v>0</v>
      </c>
      <c r="BV80" s="220">
        <f t="shared" si="126"/>
        <v>0</v>
      </c>
      <c r="BW80" s="220">
        <f t="shared" si="127"/>
        <v>0</v>
      </c>
      <c r="BX80" s="220">
        <f t="shared" si="128"/>
        <v>0</v>
      </c>
      <c r="CA80" s="220">
        <f t="shared" si="142"/>
        <v>0</v>
      </c>
      <c r="CB80" s="220">
        <f t="shared" si="143"/>
        <v>0</v>
      </c>
      <c r="CC80" s="220">
        <f t="shared" si="144"/>
        <v>0</v>
      </c>
      <c r="CD80" s="220">
        <f t="shared" si="145"/>
        <v>0</v>
      </c>
      <c r="CE80" s="220">
        <f t="shared" si="146"/>
        <v>0</v>
      </c>
      <c r="CF80" s="220">
        <f t="shared" si="147"/>
        <v>0</v>
      </c>
      <c r="CG80" s="220">
        <f t="shared" si="148"/>
        <v>0</v>
      </c>
      <c r="CH80" s="220">
        <f t="shared" si="149"/>
        <v>0</v>
      </c>
      <c r="CI80" s="220">
        <f t="shared" si="150"/>
        <v>0</v>
      </c>
      <c r="CJ80" s="220">
        <f t="shared" si="151"/>
        <v>0</v>
      </c>
      <c r="CK80" s="220">
        <f t="shared" si="152"/>
        <v>0</v>
      </c>
      <c r="CL80" s="220">
        <f t="shared" si="139"/>
        <v>0</v>
      </c>
      <c r="CM80" s="220">
        <f t="shared" si="140"/>
        <v>0</v>
      </c>
      <c r="CN80" s="220">
        <f t="shared" si="141"/>
        <v>0</v>
      </c>
      <c r="CO80" s="220">
        <f t="shared" si="129"/>
        <v>0</v>
      </c>
      <c r="CP80" s="220">
        <f t="shared" si="130"/>
        <v>0</v>
      </c>
      <c r="CQ80" s="220">
        <f t="shared" si="131"/>
        <v>0</v>
      </c>
      <c r="CR80" s="220">
        <f t="shared" si="132"/>
        <v>0</v>
      </c>
      <c r="CS80" s="220">
        <f t="shared" si="133"/>
        <v>0</v>
      </c>
      <c r="CT80" s="220">
        <f t="shared" si="134"/>
        <v>0</v>
      </c>
      <c r="CU80" s="220">
        <f t="shared" si="135"/>
        <v>0</v>
      </c>
    </row>
    <row r="81" spans="1:99" x14ac:dyDescent="0.35">
      <c r="A81" s="233">
        <v>5121</v>
      </c>
      <c r="B81" s="233">
        <v>20001057</v>
      </c>
      <c r="C81" s="234" t="s">
        <v>105</v>
      </c>
      <c r="D81" s="234">
        <v>50030374</v>
      </c>
      <c r="E81" s="233">
        <v>19.5</v>
      </c>
      <c r="F81" s="233" t="s">
        <v>106</v>
      </c>
      <c r="G81" s="233" t="s">
        <v>111</v>
      </c>
      <c r="H81" s="233" t="s">
        <v>112</v>
      </c>
      <c r="I81" s="235">
        <v>1</v>
      </c>
      <c r="K81" s="237">
        <v>0</v>
      </c>
      <c r="L81" s="237">
        <v>0</v>
      </c>
      <c r="M81" s="237">
        <v>0</v>
      </c>
      <c r="N81" s="237">
        <v>0</v>
      </c>
      <c r="O81" s="237">
        <v>0</v>
      </c>
      <c r="P81" s="237">
        <v>0</v>
      </c>
      <c r="Q81" s="237">
        <v>422.222222222222</v>
      </c>
      <c r="R81" s="237">
        <v>317.72388888888884</v>
      </c>
      <c r="S81" s="238">
        <v>524.44444444444446</v>
      </c>
      <c r="T81" s="263">
        <v>0</v>
      </c>
      <c r="U81" s="262">
        <v>0</v>
      </c>
      <c r="V81" s="262">
        <v>0</v>
      </c>
      <c r="W81" s="262">
        <v>0</v>
      </c>
      <c r="X81" s="262">
        <v>0</v>
      </c>
      <c r="Y81" s="262">
        <v>0</v>
      </c>
      <c r="Z81" s="262">
        <v>0</v>
      </c>
      <c r="AA81" s="262">
        <v>0</v>
      </c>
      <c r="AB81" s="262">
        <v>0</v>
      </c>
      <c r="AC81" s="262">
        <v>0</v>
      </c>
      <c r="AD81" s="262">
        <v>0</v>
      </c>
      <c r="AE81" s="262">
        <v>0</v>
      </c>
      <c r="AG81" s="220">
        <f t="shared" si="153"/>
        <v>0</v>
      </c>
      <c r="AH81" s="220">
        <f t="shared" si="154"/>
        <v>0</v>
      </c>
      <c r="AI81" s="220">
        <f t="shared" si="155"/>
        <v>0</v>
      </c>
      <c r="AJ81" s="220">
        <f t="shared" si="156"/>
        <v>0</v>
      </c>
      <c r="AK81" s="220">
        <f t="shared" si="157"/>
        <v>0</v>
      </c>
      <c r="AL81" s="220">
        <f t="shared" si="158"/>
        <v>0</v>
      </c>
      <c r="AM81" s="220">
        <f t="shared" si="159"/>
        <v>0</v>
      </c>
      <c r="AN81" s="220">
        <f t="shared" si="160"/>
        <v>0</v>
      </c>
      <c r="AO81" s="220">
        <f t="shared" si="161"/>
        <v>0</v>
      </c>
      <c r="AP81" s="220">
        <f t="shared" si="162"/>
        <v>0</v>
      </c>
      <c r="AQ81" s="220">
        <f t="shared" si="163"/>
        <v>0</v>
      </c>
      <c r="AR81" s="220">
        <f t="shared" si="164"/>
        <v>0</v>
      </c>
      <c r="AS81" s="220">
        <f t="shared" si="165"/>
        <v>0</v>
      </c>
      <c r="AT81" s="220">
        <f t="shared" si="166"/>
        <v>0</v>
      </c>
      <c r="AU81" s="220">
        <f t="shared" si="167"/>
        <v>0</v>
      </c>
      <c r="AV81" s="220">
        <f t="shared" si="168"/>
        <v>0</v>
      </c>
      <c r="AW81" s="220">
        <f t="shared" si="169"/>
        <v>0</v>
      </c>
      <c r="AX81" s="220">
        <f t="shared" si="170"/>
        <v>0</v>
      </c>
      <c r="AY81" s="220">
        <f t="shared" si="171"/>
        <v>0</v>
      </c>
      <c r="AZ81" s="220">
        <f t="shared" si="172"/>
        <v>0</v>
      </c>
      <c r="BA81" s="220">
        <f t="shared" si="173"/>
        <v>0</v>
      </c>
      <c r="BB81" s="219"/>
      <c r="BC81" s="219"/>
      <c r="BD81" s="220">
        <f t="shared" si="174"/>
        <v>0</v>
      </c>
      <c r="BE81" s="220">
        <f t="shared" si="175"/>
        <v>0</v>
      </c>
      <c r="BF81" s="220">
        <f t="shared" si="176"/>
        <v>0</v>
      </c>
      <c r="BG81" s="220">
        <f t="shared" si="177"/>
        <v>0</v>
      </c>
      <c r="BH81" s="220">
        <f t="shared" si="178"/>
        <v>0</v>
      </c>
      <c r="BI81" s="220">
        <f t="shared" si="179"/>
        <v>0</v>
      </c>
      <c r="BJ81" s="220">
        <f t="shared" si="180"/>
        <v>8.233333333333329</v>
      </c>
      <c r="BK81" s="220">
        <f t="shared" si="181"/>
        <v>6.1956158333333322</v>
      </c>
      <c r="BL81" s="220">
        <f t="shared" si="182"/>
        <v>10.226666666666667</v>
      </c>
      <c r="BM81" s="220">
        <f t="shared" si="183"/>
        <v>0</v>
      </c>
      <c r="BN81" s="220">
        <f t="shared" si="184"/>
        <v>0</v>
      </c>
      <c r="BO81" s="220">
        <f t="shared" si="136"/>
        <v>0</v>
      </c>
      <c r="BP81" s="220">
        <f t="shared" si="137"/>
        <v>0</v>
      </c>
      <c r="BQ81" s="220">
        <f t="shared" si="138"/>
        <v>0</v>
      </c>
      <c r="BR81" s="220">
        <f t="shared" si="122"/>
        <v>0</v>
      </c>
      <c r="BS81" s="220">
        <f t="shared" si="123"/>
        <v>0</v>
      </c>
      <c r="BT81" s="220">
        <f t="shared" si="124"/>
        <v>0</v>
      </c>
      <c r="BU81" s="220">
        <f t="shared" si="125"/>
        <v>0</v>
      </c>
      <c r="BV81" s="220">
        <f t="shared" si="126"/>
        <v>0</v>
      </c>
      <c r="BW81" s="220">
        <f t="shared" si="127"/>
        <v>0</v>
      </c>
      <c r="BX81" s="220">
        <f t="shared" si="128"/>
        <v>0</v>
      </c>
      <c r="CA81" s="220">
        <f t="shared" si="142"/>
        <v>0</v>
      </c>
      <c r="CB81" s="220">
        <f t="shared" si="143"/>
        <v>0</v>
      </c>
      <c r="CC81" s="220">
        <f t="shared" si="144"/>
        <v>0</v>
      </c>
      <c r="CD81" s="220">
        <f t="shared" si="145"/>
        <v>0</v>
      </c>
      <c r="CE81" s="220">
        <f t="shared" si="146"/>
        <v>0</v>
      </c>
      <c r="CF81" s="220">
        <f t="shared" si="147"/>
        <v>0</v>
      </c>
      <c r="CG81" s="220">
        <f t="shared" si="148"/>
        <v>0</v>
      </c>
      <c r="CH81" s="220">
        <f t="shared" si="149"/>
        <v>0</v>
      </c>
      <c r="CI81" s="220">
        <f t="shared" si="150"/>
        <v>0</v>
      </c>
      <c r="CJ81" s="220">
        <f t="shared" si="151"/>
        <v>0</v>
      </c>
      <c r="CK81" s="220">
        <f t="shared" si="152"/>
        <v>0</v>
      </c>
      <c r="CL81" s="220">
        <f t="shared" si="139"/>
        <v>0</v>
      </c>
      <c r="CM81" s="220">
        <f t="shared" si="140"/>
        <v>0</v>
      </c>
      <c r="CN81" s="220">
        <f t="shared" si="141"/>
        <v>0</v>
      </c>
      <c r="CO81" s="220">
        <f t="shared" si="129"/>
        <v>0</v>
      </c>
      <c r="CP81" s="220">
        <f t="shared" si="130"/>
        <v>0</v>
      </c>
      <c r="CQ81" s="220">
        <f t="shared" si="131"/>
        <v>0</v>
      </c>
      <c r="CR81" s="220">
        <f t="shared" si="132"/>
        <v>0</v>
      </c>
      <c r="CS81" s="220">
        <f t="shared" si="133"/>
        <v>0</v>
      </c>
      <c r="CT81" s="220">
        <f t="shared" si="134"/>
        <v>0</v>
      </c>
      <c r="CU81" s="220">
        <f t="shared" si="135"/>
        <v>0</v>
      </c>
    </row>
    <row r="82" spans="1:99" x14ac:dyDescent="0.35">
      <c r="A82" s="233">
        <v>5121</v>
      </c>
      <c r="B82" s="233">
        <v>20001057</v>
      </c>
      <c r="C82" s="234" t="s">
        <v>105</v>
      </c>
      <c r="D82" s="234">
        <v>50034561</v>
      </c>
      <c r="E82" s="233">
        <v>19.5</v>
      </c>
      <c r="F82" s="233" t="s">
        <v>109</v>
      </c>
      <c r="G82" s="233" t="s">
        <v>107</v>
      </c>
      <c r="H82" s="233" t="s">
        <v>70</v>
      </c>
      <c r="I82" s="235">
        <v>0</v>
      </c>
      <c r="K82" s="238">
        <v>0</v>
      </c>
      <c r="L82" s="238">
        <v>0</v>
      </c>
      <c r="M82" s="238">
        <v>0</v>
      </c>
      <c r="N82" s="238">
        <v>0</v>
      </c>
      <c r="O82" s="237">
        <v>0</v>
      </c>
      <c r="P82" s="237">
        <v>0</v>
      </c>
      <c r="Q82" s="237">
        <v>0</v>
      </c>
      <c r="R82" s="237">
        <v>0</v>
      </c>
      <c r="S82" s="238">
        <v>0</v>
      </c>
      <c r="T82" s="263">
        <v>210.24</v>
      </c>
      <c r="U82" s="262">
        <v>0</v>
      </c>
      <c r="V82" s="262">
        <v>0</v>
      </c>
      <c r="W82" s="262">
        <v>0</v>
      </c>
      <c r="X82" s="262">
        <v>0</v>
      </c>
      <c r="Y82" s="262">
        <v>0</v>
      </c>
      <c r="Z82" s="262">
        <v>0</v>
      </c>
      <c r="AA82" s="262">
        <v>0</v>
      </c>
      <c r="AB82" s="262">
        <v>0</v>
      </c>
      <c r="AC82" s="262">
        <v>0</v>
      </c>
      <c r="AD82" s="262">
        <v>0</v>
      </c>
      <c r="AE82" s="262">
        <v>0</v>
      </c>
      <c r="AG82" s="220">
        <f t="shared" si="153"/>
        <v>0</v>
      </c>
      <c r="AH82" s="220">
        <f t="shared" si="154"/>
        <v>0</v>
      </c>
      <c r="AI82" s="220">
        <f t="shared" si="155"/>
        <v>0</v>
      </c>
      <c r="AJ82" s="220">
        <f t="shared" si="156"/>
        <v>0</v>
      </c>
      <c r="AK82" s="220">
        <f t="shared" si="157"/>
        <v>0</v>
      </c>
      <c r="AL82" s="220">
        <f t="shared" si="158"/>
        <v>0</v>
      </c>
      <c r="AM82" s="220">
        <f t="shared" si="159"/>
        <v>0</v>
      </c>
      <c r="AN82" s="220">
        <f t="shared" si="160"/>
        <v>0</v>
      </c>
      <c r="AO82" s="220">
        <f t="shared" si="161"/>
        <v>0</v>
      </c>
      <c r="AP82" s="220">
        <f t="shared" si="162"/>
        <v>4.0996800000000002</v>
      </c>
      <c r="AQ82" s="220">
        <f t="shared" si="163"/>
        <v>0</v>
      </c>
      <c r="AR82" s="220">
        <f t="shared" si="164"/>
        <v>0</v>
      </c>
      <c r="AS82" s="220">
        <f t="shared" si="165"/>
        <v>0</v>
      </c>
      <c r="AT82" s="220">
        <f t="shared" si="166"/>
        <v>0</v>
      </c>
      <c r="AU82" s="220">
        <f t="shared" si="167"/>
        <v>0</v>
      </c>
      <c r="AV82" s="220">
        <f t="shared" si="168"/>
        <v>0</v>
      </c>
      <c r="AW82" s="220">
        <f t="shared" si="169"/>
        <v>0</v>
      </c>
      <c r="AX82" s="220">
        <f t="shared" si="170"/>
        <v>0</v>
      </c>
      <c r="AY82" s="220">
        <f t="shared" si="171"/>
        <v>0</v>
      </c>
      <c r="AZ82" s="220">
        <f t="shared" si="172"/>
        <v>0</v>
      </c>
      <c r="BA82" s="220">
        <f t="shared" si="173"/>
        <v>0</v>
      </c>
      <c r="BB82" s="219"/>
      <c r="BC82" s="219"/>
      <c r="BD82" s="220">
        <f t="shared" si="174"/>
        <v>0</v>
      </c>
      <c r="BE82" s="220">
        <f t="shared" si="175"/>
        <v>0</v>
      </c>
      <c r="BF82" s="220">
        <f t="shared" si="176"/>
        <v>0</v>
      </c>
      <c r="BG82" s="220">
        <f t="shared" si="177"/>
        <v>0</v>
      </c>
      <c r="BH82" s="220">
        <f t="shared" si="178"/>
        <v>0</v>
      </c>
      <c r="BI82" s="220">
        <f t="shared" si="179"/>
        <v>0</v>
      </c>
      <c r="BJ82" s="220">
        <f t="shared" si="180"/>
        <v>0</v>
      </c>
      <c r="BK82" s="220">
        <f t="shared" si="181"/>
        <v>0</v>
      </c>
      <c r="BL82" s="220">
        <f t="shared" si="182"/>
        <v>0</v>
      </c>
      <c r="BM82" s="220">
        <f t="shared" si="183"/>
        <v>0</v>
      </c>
      <c r="BN82" s="220">
        <f t="shared" si="184"/>
        <v>0</v>
      </c>
      <c r="BO82" s="220">
        <f t="shared" si="136"/>
        <v>0</v>
      </c>
      <c r="BP82" s="220">
        <f t="shared" si="137"/>
        <v>0</v>
      </c>
      <c r="BQ82" s="220">
        <f t="shared" si="138"/>
        <v>0</v>
      </c>
      <c r="BR82" s="220">
        <f t="shared" si="122"/>
        <v>0</v>
      </c>
      <c r="BS82" s="220">
        <f t="shared" si="123"/>
        <v>0</v>
      </c>
      <c r="BT82" s="220">
        <f t="shared" si="124"/>
        <v>0</v>
      </c>
      <c r="BU82" s="220">
        <f t="shared" si="125"/>
        <v>0</v>
      </c>
      <c r="BV82" s="220">
        <f t="shared" si="126"/>
        <v>0</v>
      </c>
      <c r="BW82" s="220">
        <f t="shared" si="127"/>
        <v>0</v>
      </c>
      <c r="BX82" s="220">
        <f t="shared" si="128"/>
        <v>0</v>
      </c>
      <c r="CA82" s="220">
        <f t="shared" si="142"/>
        <v>0</v>
      </c>
      <c r="CB82" s="220">
        <f t="shared" si="143"/>
        <v>0</v>
      </c>
      <c r="CC82" s="220">
        <f t="shared" si="144"/>
        <v>0</v>
      </c>
      <c r="CD82" s="220">
        <f t="shared" si="145"/>
        <v>0</v>
      </c>
      <c r="CE82" s="220">
        <f t="shared" si="146"/>
        <v>0</v>
      </c>
      <c r="CF82" s="220">
        <f t="shared" si="147"/>
        <v>0</v>
      </c>
      <c r="CG82" s="220">
        <f t="shared" si="148"/>
        <v>0</v>
      </c>
      <c r="CH82" s="220">
        <f t="shared" si="149"/>
        <v>0</v>
      </c>
      <c r="CI82" s="220">
        <f t="shared" si="150"/>
        <v>0</v>
      </c>
      <c r="CJ82" s="220">
        <f t="shared" si="151"/>
        <v>0</v>
      </c>
      <c r="CK82" s="220">
        <f t="shared" si="152"/>
        <v>0</v>
      </c>
      <c r="CL82" s="220">
        <f t="shared" si="139"/>
        <v>0</v>
      </c>
      <c r="CM82" s="220">
        <f t="shared" si="140"/>
        <v>0</v>
      </c>
      <c r="CN82" s="220">
        <f t="shared" si="141"/>
        <v>0</v>
      </c>
      <c r="CO82" s="220">
        <f t="shared" si="129"/>
        <v>0</v>
      </c>
      <c r="CP82" s="220">
        <f t="shared" si="130"/>
        <v>0</v>
      </c>
      <c r="CQ82" s="220">
        <f t="shared" si="131"/>
        <v>0</v>
      </c>
      <c r="CR82" s="220">
        <f t="shared" si="132"/>
        <v>0</v>
      </c>
      <c r="CS82" s="220">
        <f t="shared" si="133"/>
        <v>0</v>
      </c>
      <c r="CT82" s="220">
        <f t="shared" si="134"/>
        <v>0</v>
      </c>
      <c r="CU82" s="220">
        <f t="shared" si="135"/>
        <v>0</v>
      </c>
    </row>
    <row r="83" spans="1:99" x14ac:dyDescent="0.35">
      <c r="A83" s="233">
        <v>5121</v>
      </c>
      <c r="B83" s="233">
        <v>20001057</v>
      </c>
      <c r="C83" s="234" t="s">
        <v>105</v>
      </c>
      <c r="D83" s="234">
        <v>50032573</v>
      </c>
      <c r="E83" s="233">
        <v>37.200000000000003</v>
      </c>
      <c r="F83" s="233" t="s">
        <v>106</v>
      </c>
      <c r="G83" s="233" t="s">
        <v>107</v>
      </c>
      <c r="H83" s="233" t="s">
        <v>70</v>
      </c>
      <c r="I83" s="235">
        <v>0</v>
      </c>
      <c r="K83" s="237">
        <v>249</v>
      </c>
      <c r="L83" s="237">
        <v>128.0443219392277</v>
      </c>
      <c r="M83" s="237">
        <v>626.66666666666663</v>
      </c>
      <c r="N83" s="237">
        <v>542</v>
      </c>
      <c r="O83" s="237">
        <v>451.11111111111097</v>
      </c>
      <c r="P83" s="237">
        <v>364.444444444444</v>
      </c>
      <c r="Q83" s="237">
        <v>755.555555555556</v>
      </c>
      <c r="R83" s="237">
        <v>630</v>
      </c>
      <c r="S83" s="238">
        <v>813.33333333333337</v>
      </c>
      <c r="T83" s="263">
        <v>0</v>
      </c>
      <c r="U83" s="262">
        <v>0</v>
      </c>
      <c r="V83" s="262">
        <v>0</v>
      </c>
      <c r="W83" s="262">
        <v>0</v>
      </c>
      <c r="X83" s="262">
        <v>0</v>
      </c>
      <c r="Y83" s="262">
        <v>0</v>
      </c>
      <c r="Z83" s="262">
        <v>0</v>
      </c>
      <c r="AA83" s="262">
        <v>0</v>
      </c>
      <c r="AB83" s="262">
        <v>0</v>
      </c>
      <c r="AC83" s="262">
        <v>0</v>
      </c>
      <c r="AD83" s="262">
        <v>0</v>
      </c>
      <c r="AE83" s="262">
        <v>0</v>
      </c>
      <c r="AG83" s="220">
        <f t="shared" si="153"/>
        <v>9.2628000000000004</v>
      </c>
      <c r="AH83" s="220">
        <f t="shared" si="154"/>
        <v>4.7632487761392701</v>
      </c>
      <c r="AI83" s="220">
        <f t="shared" si="155"/>
        <v>23.312000000000001</v>
      </c>
      <c r="AJ83" s="220">
        <f t="shared" si="156"/>
        <v>20.162400000000002</v>
      </c>
      <c r="AK83" s="220">
        <f t="shared" si="157"/>
        <v>16.781333333333329</v>
      </c>
      <c r="AL83" s="220">
        <f t="shared" si="158"/>
        <v>13.557333333333318</v>
      </c>
      <c r="AM83" s="220">
        <f t="shared" si="159"/>
        <v>28.106666666666687</v>
      </c>
      <c r="AN83" s="220">
        <f t="shared" si="160"/>
        <v>23.436</v>
      </c>
      <c r="AO83" s="220">
        <f t="shared" si="161"/>
        <v>30.256000000000004</v>
      </c>
      <c r="AP83" s="220">
        <f t="shared" si="162"/>
        <v>0</v>
      </c>
      <c r="AQ83" s="220">
        <f t="shared" si="163"/>
        <v>0</v>
      </c>
      <c r="AR83" s="220">
        <f t="shared" si="164"/>
        <v>0</v>
      </c>
      <c r="AS83" s="220">
        <f t="shared" si="165"/>
        <v>0</v>
      </c>
      <c r="AT83" s="220">
        <f t="shared" si="166"/>
        <v>0</v>
      </c>
      <c r="AU83" s="220">
        <f t="shared" si="167"/>
        <v>0</v>
      </c>
      <c r="AV83" s="220">
        <f t="shared" si="168"/>
        <v>0</v>
      </c>
      <c r="AW83" s="220">
        <f t="shared" si="169"/>
        <v>0</v>
      </c>
      <c r="AX83" s="220">
        <f t="shared" si="170"/>
        <v>0</v>
      </c>
      <c r="AY83" s="220">
        <f t="shared" si="171"/>
        <v>0</v>
      </c>
      <c r="AZ83" s="220">
        <f t="shared" si="172"/>
        <v>0</v>
      </c>
      <c r="BA83" s="220">
        <f t="shared" si="173"/>
        <v>0</v>
      </c>
      <c r="BB83" s="219"/>
      <c r="BC83" s="219"/>
      <c r="BD83" s="220">
        <f t="shared" ref="BD83:BD85" si="185">+K83*$E83/1000*$I83</f>
        <v>0</v>
      </c>
      <c r="BE83" s="220">
        <f t="shared" ref="BE83:BE85" si="186">+L83*$E83/1000*$I83</f>
        <v>0</v>
      </c>
      <c r="BF83" s="220">
        <f t="shared" ref="BF83:BF85" si="187">+M83*$E83/1000*$I83</f>
        <v>0</v>
      </c>
      <c r="BG83" s="220">
        <f t="shared" ref="BG83:BG85" si="188">+N83*$E83/1000*$I83</f>
        <v>0</v>
      </c>
      <c r="BH83" s="220">
        <f t="shared" ref="BH83:BH85" si="189">+O83*$E83/1000*$I83</f>
        <v>0</v>
      </c>
      <c r="BI83" s="220">
        <f t="shared" ref="BI83:BI85" si="190">+P83*$E83/1000*$I83</f>
        <v>0</v>
      </c>
      <c r="BJ83" s="220">
        <f t="shared" ref="BJ83:BJ85" si="191">+Q83*$E83/1000*$I83</f>
        <v>0</v>
      </c>
      <c r="BK83" s="220">
        <f t="shared" ref="BK83:BK85" si="192">+R83*$E83/1000*$I83</f>
        <v>0</v>
      </c>
      <c r="BL83" s="220">
        <f t="shared" ref="BL83:BL85" si="193">+S83*$E83/1000*$I83</f>
        <v>0</v>
      </c>
      <c r="BM83" s="220">
        <f t="shared" ref="BM83:BM85" si="194">+T83*$E83/1000*$I83</f>
        <v>0</v>
      </c>
      <c r="BN83" s="220">
        <f t="shared" ref="BN83:BN85" si="195">+U83*$E83/1000*$I83</f>
        <v>0</v>
      </c>
      <c r="BO83" s="220">
        <f t="shared" si="136"/>
        <v>0</v>
      </c>
      <c r="BP83" s="220">
        <f t="shared" si="137"/>
        <v>0</v>
      </c>
      <c r="BQ83" s="220">
        <f t="shared" si="138"/>
        <v>0</v>
      </c>
      <c r="BR83" s="220">
        <f t="shared" si="122"/>
        <v>0</v>
      </c>
      <c r="BS83" s="220">
        <f t="shared" si="123"/>
        <v>0</v>
      </c>
      <c r="BT83" s="220">
        <f t="shared" si="124"/>
        <v>0</v>
      </c>
      <c r="BU83" s="220">
        <f t="shared" si="125"/>
        <v>0</v>
      </c>
      <c r="BV83" s="220">
        <f t="shared" si="126"/>
        <v>0</v>
      </c>
      <c r="BW83" s="220">
        <f t="shared" si="127"/>
        <v>0</v>
      </c>
      <c r="BX83" s="220">
        <f t="shared" si="128"/>
        <v>0</v>
      </c>
      <c r="CA83" s="220">
        <f t="shared" ref="CA83:CA85" si="196">IF($C83="CERVECERIA Y MALTERIA.",K83*$E83/1000*(1-$I83),0)</f>
        <v>0</v>
      </c>
      <c r="CB83" s="220">
        <f t="shared" ref="CB83:CB85" si="197">IF($C83="CERVECERIA Y MALTERIA.",L83*$E83/1000*(1-$I83),0)</f>
        <v>0</v>
      </c>
      <c r="CC83" s="220">
        <f t="shared" ref="CC83:CC85" si="198">IF($C83="CERVECERIA Y MALTERIA.",M83*$E83/1000*(1-$I83),0)</f>
        <v>0</v>
      </c>
      <c r="CD83" s="220">
        <f t="shared" ref="CD83:CD85" si="199">IF($C83="CERVECERIA Y MALTERIA.",N83*$E83/1000*(1-$I83),0)</f>
        <v>0</v>
      </c>
      <c r="CE83" s="220">
        <f t="shared" ref="CE83:CE85" si="200">IF($C83="CERVECERIA Y MALTERIA.",O83*$E83/1000*(1-$I83),0)</f>
        <v>0</v>
      </c>
      <c r="CF83" s="220">
        <f t="shared" ref="CF83:CF85" si="201">IF($C83="CERVECERIA Y MALTERIA.",P83*$E83/1000*(1-$I83),0)</f>
        <v>0</v>
      </c>
      <c r="CG83" s="220">
        <f t="shared" ref="CG83:CG85" si="202">IF($C83="CERVECERIA Y MALTERIA.",Q83*$E83/1000*(1-$I83),0)</f>
        <v>0</v>
      </c>
      <c r="CH83" s="220">
        <f t="shared" ref="CH83:CH85" si="203">IF($C83="CERVECERIA Y MALTERIA.",R83*$E83/1000*(1-$I83),0)</f>
        <v>0</v>
      </c>
      <c r="CI83" s="220">
        <f t="shared" ref="CI83:CI85" si="204">IF($C83="CERVECERIA Y MALTERIA.",S83*$E83/1000*(1-$I83),0)</f>
        <v>0</v>
      </c>
      <c r="CJ83" s="220">
        <f t="shared" ref="CJ83:CJ85" si="205">IF($C83="CERVECERIA Y MALTERIA.",T83*$E83/1000*(1-$I83),0)</f>
        <v>0</v>
      </c>
      <c r="CK83" s="220">
        <f t="shared" ref="CK83:CK85" si="206">IF($C83="CERVECERIA Y MALTERIA.",U83*$E83/1000*(1-$I83),0)</f>
        <v>0</v>
      </c>
      <c r="CL83" s="220">
        <f t="shared" si="139"/>
        <v>0</v>
      </c>
      <c r="CM83" s="220">
        <f t="shared" si="140"/>
        <v>0</v>
      </c>
      <c r="CN83" s="220">
        <f t="shared" si="141"/>
        <v>0</v>
      </c>
      <c r="CO83" s="220">
        <f t="shared" si="129"/>
        <v>0</v>
      </c>
      <c r="CP83" s="220">
        <f t="shared" si="130"/>
        <v>0</v>
      </c>
      <c r="CQ83" s="220">
        <f t="shared" si="131"/>
        <v>0</v>
      </c>
      <c r="CR83" s="220">
        <f t="shared" si="132"/>
        <v>0</v>
      </c>
      <c r="CS83" s="220">
        <f t="shared" si="133"/>
        <v>0</v>
      </c>
      <c r="CT83" s="220">
        <f t="shared" si="134"/>
        <v>0</v>
      </c>
      <c r="CU83" s="220">
        <f t="shared" si="135"/>
        <v>0</v>
      </c>
    </row>
    <row r="84" spans="1:99" x14ac:dyDescent="0.35">
      <c r="A84" s="233">
        <v>5121</v>
      </c>
      <c r="B84" s="233">
        <v>20001057</v>
      </c>
      <c r="C84" s="234" t="s">
        <v>105</v>
      </c>
      <c r="D84" s="234">
        <v>50039574</v>
      </c>
      <c r="E84" s="233">
        <v>37.200000000000003</v>
      </c>
      <c r="F84" s="233" t="s">
        <v>106</v>
      </c>
      <c r="G84" s="233" t="s">
        <v>110</v>
      </c>
      <c r="H84" s="233" t="s">
        <v>70</v>
      </c>
      <c r="I84" s="235">
        <v>0</v>
      </c>
      <c r="K84" s="237">
        <v>0</v>
      </c>
      <c r="L84" s="237">
        <v>0</v>
      </c>
      <c r="M84" s="237">
        <v>0</v>
      </c>
      <c r="N84" s="237">
        <v>124</v>
      </c>
      <c r="O84" s="237">
        <v>111</v>
      </c>
      <c r="P84" s="237">
        <v>311.11111111111097</v>
      </c>
      <c r="Q84" s="237">
        <v>0</v>
      </c>
      <c r="R84" s="237">
        <v>0</v>
      </c>
      <c r="S84" s="238">
        <v>0</v>
      </c>
      <c r="T84" s="263">
        <v>0</v>
      </c>
      <c r="U84" s="262">
        <v>0</v>
      </c>
      <c r="V84" s="262">
        <v>0</v>
      </c>
      <c r="W84" s="262">
        <v>900</v>
      </c>
      <c r="X84" s="262">
        <v>0</v>
      </c>
      <c r="Y84" s="262">
        <v>0</v>
      </c>
      <c r="Z84" s="262">
        <v>0</v>
      </c>
      <c r="AA84" s="262">
        <v>0</v>
      </c>
      <c r="AB84" s="262">
        <v>1063.296</v>
      </c>
      <c r="AC84" s="262">
        <v>1063.296</v>
      </c>
      <c r="AD84" s="262">
        <v>531.64800000000002</v>
      </c>
      <c r="AE84" s="262">
        <v>1063.296</v>
      </c>
      <c r="AG84" s="220">
        <f t="shared" si="153"/>
        <v>0</v>
      </c>
      <c r="AH84" s="220">
        <f t="shared" si="154"/>
        <v>0</v>
      </c>
      <c r="AI84" s="220">
        <f t="shared" si="155"/>
        <v>0</v>
      </c>
      <c r="AJ84" s="220">
        <f t="shared" si="156"/>
        <v>4.6128</v>
      </c>
      <c r="AK84" s="220">
        <f t="shared" si="157"/>
        <v>4.1292000000000009</v>
      </c>
      <c r="AL84" s="220">
        <f t="shared" si="158"/>
        <v>11.573333333333329</v>
      </c>
      <c r="AM84" s="220">
        <f t="shared" si="159"/>
        <v>0</v>
      </c>
      <c r="AN84" s="220">
        <f t="shared" si="160"/>
        <v>0</v>
      </c>
      <c r="AO84" s="220">
        <f t="shared" si="161"/>
        <v>0</v>
      </c>
      <c r="AP84" s="220">
        <f t="shared" si="162"/>
        <v>0</v>
      </c>
      <c r="AQ84" s="220">
        <f t="shared" si="163"/>
        <v>0</v>
      </c>
      <c r="AR84" s="220">
        <f t="shared" si="164"/>
        <v>0</v>
      </c>
      <c r="AS84" s="220">
        <f t="shared" si="165"/>
        <v>33.479999999999997</v>
      </c>
      <c r="AT84" s="220">
        <f t="shared" si="166"/>
        <v>0</v>
      </c>
      <c r="AU84" s="220">
        <f t="shared" si="167"/>
        <v>0</v>
      </c>
      <c r="AV84" s="220">
        <f t="shared" si="168"/>
        <v>0</v>
      </c>
      <c r="AW84" s="220">
        <f t="shared" si="169"/>
        <v>0</v>
      </c>
      <c r="AX84" s="220">
        <f t="shared" si="170"/>
        <v>39.554611200000004</v>
      </c>
      <c r="AY84" s="220">
        <f t="shared" si="171"/>
        <v>39.554611200000004</v>
      </c>
      <c r="AZ84" s="220">
        <f t="shared" si="172"/>
        <v>19.777305600000002</v>
      </c>
      <c r="BA84" s="220">
        <f t="shared" si="173"/>
        <v>39.554611200000004</v>
      </c>
      <c r="BB84" s="219"/>
      <c r="BC84" s="219"/>
      <c r="BD84" s="220">
        <f t="shared" si="185"/>
        <v>0</v>
      </c>
      <c r="BE84" s="220">
        <f t="shared" si="186"/>
        <v>0</v>
      </c>
      <c r="BF84" s="220">
        <f t="shared" si="187"/>
        <v>0</v>
      </c>
      <c r="BG84" s="220">
        <f t="shared" si="188"/>
        <v>0</v>
      </c>
      <c r="BH84" s="220">
        <f t="shared" si="189"/>
        <v>0</v>
      </c>
      <c r="BI84" s="220">
        <f t="shared" si="190"/>
        <v>0</v>
      </c>
      <c r="BJ84" s="220">
        <f t="shared" si="191"/>
        <v>0</v>
      </c>
      <c r="BK84" s="220">
        <f t="shared" si="192"/>
        <v>0</v>
      </c>
      <c r="BL84" s="220">
        <f t="shared" si="193"/>
        <v>0</v>
      </c>
      <c r="BM84" s="220">
        <f t="shared" si="194"/>
        <v>0</v>
      </c>
      <c r="BN84" s="220">
        <f t="shared" si="195"/>
        <v>0</v>
      </c>
      <c r="BO84" s="220">
        <f t="shared" si="136"/>
        <v>0</v>
      </c>
      <c r="BP84" s="220">
        <f t="shared" si="137"/>
        <v>0</v>
      </c>
      <c r="BQ84" s="220">
        <f t="shared" si="138"/>
        <v>0</v>
      </c>
      <c r="BR84" s="220">
        <f t="shared" si="122"/>
        <v>0</v>
      </c>
      <c r="BS84" s="220">
        <f t="shared" si="123"/>
        <v>0</v>
      </c>
      <c r="BT84" s="220">
        <f t="shared" si="124"/>
        <v>0</v>
      </c>
      <c r="BU84" s="220">
        <f t="shared" si="125"/>
        <v>0</v>
      </c>
      <c r="BV84" s="220">
        <f t="shared" si="126"/>
        <v>0</v>
      </c>
      <c r="BW84" s="220">
        <f t="shared" si="127"/>
        <v>0</v>
      </c>
      <c r="BX84" s="220">
        <f t="shared" si="128"/>
        <v>0</v>
      </c>
      <c r="CA84" s="220">
        <f t="shared" si="196"/>
        <v>0</v>
      </c>
      <c r="CB84" s="220">
        <f t="shared" si="197"/>
        <v>0</v>
      </c>
      <c r="CC84" s="220">
        <f t="shared" si="198"/>
        <v>0</v>
      </c>
      <c r="CD84" s="220">
        <f t="shared" si="199"/>
        <v>0</v>
      </c>
      <c r="CE84" s="220">
        <f t="shared" si="200"/>
        <v>0</v>
      </c>
      <c r="CF84" s="220">
        <f t="shared" si="201"/>
        <v>0</v>
      </c>
      <c r="CG84" s="220">
        <f t="shared" si="202"/>
        <v>0</v>
      </c>
      <c r="CH84" s="220">
        <f t="shared" si="203"/>
        <v>0</v>
      </c>
      <c r="CI84" s="220">
        <f t="shared" si="204"/>
        <v>0</v>
      </c>
      <c r="CJ84" s="220">
        <f t="shared" si="205"/>
        <v>0</v>
      </c>
      <c r="CK84" s="220">
        <f t="shared" si="206"/>
        <v>0</v>
      </c>
      <c r="CL84" s="220">
        <f t="shared" si="139"/>
        <v>0</v>
      </c>
      <c r="CM84" s="220">
        <f t="shared" si="140"/>
        <v>0</v>
      </c>
      <c r="CN84" s="220">
        <f t="shared" si="141"/>
        <v>0</v>
      </c>
      <c r="CO84" s="220">
        <f t="shared" si="129"/>
        <v>0</v>
      </c>
      <c r="CP84" s="220">
        <f t="shared" si="130"/>
        <v>0</v>
      </c>
      <c r="CQ84" s="220">
        <f t="shared" si="131"/>
        <v>0</v>
      </c>
      <c r="CR84" s="220">
        <f t="shared" si="132"/>
        <v>0</v>
      </c>
      <c r="CS84" s="220">
        <f t="shared" si="133"/>
        <v>0</v>
      </c>
      <c r="CT84" s="220">
        <f t="shared" si="134"/>
        <v>0</v>
      </c>
      <c r="CU84" s="220">
        <f t="shared" si="135"/>
        <v>0</v>
      </c>
    </row>
    <row r="85" spans="1:99" x14ac:dyDescent="0.35">
      <c r="A85" s="233">
        <v>5121</v>
      </c>
      <c r="B85" s="233">
        <v>20001057</v>
      </c>
      <c r="C85" s="234" t="s">
        <v>105</v>
      </c>
      <c r="D85" s="234">
        <v>50037887</v>
      </c>
      <c r="E85" s="233">
        <v>37.200000000000003</v>
      </c>
      <c r="F85" s="233" t="s">
        <v>106</v>
      </c>
      <c r="G85" s="233" t="s">
        <v>110</v>
      </c>
      <c r="H85" s="233" t="s">
        <v>70</v>
      </c>
      <c r="I85" s="236">
        <v>0</v>
      </c>
      <c r="K85" s="238">
        <v>0</v>
      </c>
      <c r="L85" s="238">
        <v>0</v>
      </c>
      <c r="M85" s="238">
        <v>0</v>
      </c>
      <c r="N85" s="238">
        <v>0</v>
      </c>
      <c r="O85" s="238">
        <v>0</v>
      </c>
      <c r="P85" s="238">
        <v>0</v>
      </c>
      <c r="Q85" s="238">
        <v>0</v>
      </c>
      <c r="R85" s="237">
        <v>0</v>
      </c>
      <c r="S85" s="238">
        <v>0</v>
      </c>
      <c r="T85" s="263">
        <v>0</v>
      </c>
      <c r="U85" s="263">
        <v>0</v>
      </c>
      <c r="V85" s="263">
        <v>0</v>
      </c>
      <c r="W85" s="263">
        <v>0</v>
      </c>
      <c r="X85" s="263">
        <v>1594.944</v>
      </c>
      <c r="Y85" s="263">
        <v>1594.944</v>
      </c>
      <c r="Z85" s="263">
        <v>531.64800000000002</v>
      </c>
      <c r="AA85" s="263">
        <v>876</v>
      </c>
      <c r="AB85" s="263">
        <v>0</v>
      </c>
      <c r="AC85" s="263">
        <v>0</v>
      </c>
      <c r="AD85" s="263">
        <v>0</v>
      </c>
      <c r="AE85" s="263">
        <v>0</v>
      </c>
      <c r="AG85" s="220">
        <f t="shared" si="153"/>
        <v>0</v>
      </c>
      <c r="AH85" s="220">
        <f t="shared" si="154"/>
        <v>0</v>
      </c>
      <c r="AI85" s="220">
        <f t="shared" si="155"/>
        <v>0</v>
      </c>
      <c r="AJ85" s="220">
        <f t="shared" si="156"/>
        <v>0</v>
      </c>
      <c r="AK85" s="220">
        <f t="shared" si="157"/>
        <v>0</v>
      </c>
      <c r="AL85" s="220">
        <f t="shared" si="158"/>
        <v>0</v>
      </c>
      <c r="AM85" s="220">
        <f t="shared" si="159"/>
        <v>0</v>
      </c>
      <c r="AN85" s="220">
        <f t="shared" si="160"/>
        <v>0</v>
      </c>
      <c r="AO85" s="220">
        <f t="shared" si="161"/>
        <v>0</v>
      </c>
      <c r="AP85" s="220">
        <f t="shared" si="162"/>
        <v>0</v>
      </c>
      <c r="AQ85" s="220">
        <f t="shared" si="163"/>
        <v>0</v>
      </c>
      <c r="AR85" s="220">
        <f t="shared" si="164"/>
        <v>0</v>
      </c>
      <c r="AS85" s="220">
        <f t="shared" si="165"/>
        <v>0</v>
      </c>
      <c r="AT85" s="220">
        <f t="shared" si="166"/>
        <v>59.331916800000009</v>
      </c>
      <c r="AU85" s="220">
        <f t="shared" si="167"/>
        <v>59.331916800000009</v>
      </c>
      <c r="AV85" s="220">
        <f t="shared" si="168"/>
        <v>19.777305600000002</v>
      </c>
      <c r="AW85" s="220">
        <f t="shared" si="169"/>
        <v>32.587200000000003</v>
      </c>
      <c r="AX85" s="220">
        <f t="shared" si="170"/>
        <v>0</v>
      </c>
      <c r="AY85" s="220">
        <f t="shared" si="171"/>
        <v>0</v>
      </c>
      <c r="AZ85" s="220">
        <f t="shared" si="172"/>
        <v>0</v>
      </c>
      <c r="BA85" s="220">
        <f t="shared" si="173"/>
        <v>0</v>
      </c>
      <c r="BB85" s="219"/>
      <c r="BC85" s="219"/>
      <c r="BD85" s="220">
        <f t="shared" si="185"/>
        <v>0</v>
      </c>
      <c r="BE85" s="220">
        <f t="shared" si="186"/>
        <v>0</v>
      </c>
      <c r="BF85" s="220">
        <f t="shared" si="187"/>
        <v>0</v>
      </c>
      <c r="BG85" s="220">
        <f t="shared" si="188"/>
        <v>0</v>
      </c>
      <c r="BH85" s="220">
        <f t="shared" si="189"/>
        <v>0</v>
      </c>
      <c r="BI85" s="220">
        <f t="shared" si="190"/>
        <v>0</v>
      </c>
      <c r="BJ85" s="220">
        <f t="shared" si="191"/>
        <v>0</v>
      </c>
      <c r="BK85" s="220">
        <f t="shared" si="192"/>
        <v>0</v>
      </c>
      <c r="BL85" s="220">
        <f t="shared" si="193"/>
        <v>0</v>
      </c>
      <c r="BM85" s="220">
        <f t="shared" si="194"/>
        <v>0</v>
      </c>
      <c r="BN85" s="220">
        <f t="shared" si="195"/>
        <v>0</v>
      </c>
      <c r="BO85" s="220">
        <f t="shared" si="136"/>
        <v>0</v>
      </c>
      <c r="BP85" s="220">
        <f t="shared" si="137"/>
        <v>0</v>
      </c>
      <c r="BQ85" s="220">
        <f t="shared" si="138"/>
        <v>0</v>
      </c>
      <c r="BR85" s="220">
        <f t="shared" si="122"/>
        <v>0</v>
      </c>
      <c r="BS85" s="220">
        <f t="shared" si="123"/>
        <v>0</v>
      </c>
      <c r="BT85" s="220">
        <f t="shared" si="124"/>
        <v>0</v>
      </c>
      <c r="BU85" s="220">
        <f t="shared" si="125"/>
        <v>0</v>
      </c>
      <c r="BV85" s="220">
        <f t="shared" si="126"/>
        <v>0</v>
      </c>
      <c r="BW85" s="220">
        <f t="shared" si="127"/>
        <v>0</v>
      </c>
      <c r="BX85" s="220">
        <f t="shared" si="128"/>
        <v>0</v>
      </c>
      <c r="CA85" s="220">
        <f t="shared" si="196"/>
        <v>0</v>
      </c>
      <c r="CB85" s="220">
        <f t="shared" si="197"/>
        <v>0</v>
      </c>
      <c r="CC85" s="220">
        <f t="shared" si="198"/>
        <v>0</v>
      </c>
      <c r="CD85" s="220">
        <f t="shared" si="199"/>
        <v>0</v>
      </c>
      <c r="CE85" s="220">
        <f t="shared" si="200"/>
        <v>0</v>
      </c>
      <c r="CF85" s="220">
        <f t="shared" si="201"/>
        <v>0</v>
      </c>
      <c r="CG85" s="220">
        <f t="shared" si="202"/>
        <v>0</v>
      </c>
      <c r="CH85" s="220">
        <f t="shared" si="203"/>
        <v>0</v>
      </c>
      <c r="CI85" s="220">
        <f t="shared" si="204"/>
        <v>0</v>
      </c>
      <c r="CJ85" s="220">
        <f t="shared" si="205"/>
        <v>0</v>
      </c>
      <c r="CK85" s="220">
        <f t="shared" si="206"/>
        <v>0</v>
      </c>
      <c r="CL85" s="220">
        <f t="shared" si="139"/>
        <v>0</v>
      </c>
      <c r="CM85" s="220">
        <f t="shared" si="140"/>
        <v>0</v>
      </c>
      <c r="CN85" s="220">
        <f t="shared" si="141"/>
        <v>0</v>
      </c>
      <c r="CO85" s="220">
        <f t="shared" si="129"/>
        <v>0</v>
      </c>
      <c r="CP85" s="220">
        <f t="shared" si="130"/>
        <v>0</v>
      </c>
      <c r="CQ85" s="220">
        <f t="shared" si="131"/>
        <v>0</v>
      </c>
      <c r="CR85" s="220">
        <f t="shared" si="132"/>
        <v>0</v>
      </c>
      <c r="CS85" s="220">
        <f t="shared" si="133"/>
        <v>0</v>
      </c>
      <c r="CT85" s="220">
        <f t="shared" si="134"/>
        <v>0</v>
      </c>
      <c r="CU85" s="220">
        <f t="shared" si="135"/>
        <v>0</v>
      </c>
    </row>
    <row r="86" spans="1:99" x14ac:dyDescent="0.35">
      <c r="A86" s="233">
        <v>5121</v>
      </c>
      <c r="B86" s="233">
        <v>20001057</v>
      </c>
      <c r="C86" s="234" t="s">
        <v>105</v>
      </c>
      <c r="D86" s="234">
        <v>50032580</v>
      </c>
      <c r="E86" s="233">
        <v>37.200000000000003</v>
      </c>
      <c r="F86" s="233" t="s">
        <v>108</v>
      </c>
      <c r="G86" s="233" t="s">
        <v>107</v>
      </c>
      <c r="H86" s="233" t="s">
        <v>70</v>
      </c>
      <c r="I86" s="235">
        <v>0</v>
      </c>
      <c r="K86" s="237">
        <v>0</v>
      </c>
      <c r="L86" s="237">
        <v>0</v>
      </c>
      <c r="M86" s="237">
        <v>0</v>
      </c>
      <c r="N86" s="237">
        <v>0</v>
      </c>
      <c r="O86" s="237">
        <v>0</v>
      </c>
      <c r="P86" s="237">
        <v>0</v>
      </c>
      <c r="Q86" s="237">
        <v>44</v>
      </c>
      <c r="R86" s="237">
        <v>251.11111111111109</v>
      </c>
      <c r="S86" s="238">
        <v>373.33333333333337</v>
      </c>
      <c r="T86" s="263">
        <v>0</v>
      </c>
      <c r="U86" s="263">
        <v>0</v>
      </c>
      <c r="V86" s="263">
        <v>0</v>
      </c>
      <c r="W86" s="263">
        <v>0</v>
      </c>
      <c r="X86" s="263">
        <v>0</v>
      </c>
      <c r="Y86" s="263">
        <v>0</v>
      </c>
      <c r="Z86" s="263">
        <v>0</v>
      </c>
      <c r="AA86" s="263">
        <v>0</v>
      </c>
      <c r="AB86" s="263">
        <v>0</v>
      </c>
      <c r="AC86" s="263">
        <v>0</v>
      </c>
      <c r="AD86" s="263">
        <v>0</v>
      </c>
      <c r="AE86" s="263">
        <v>0</v>
      </c>
      <c r="AG86" s="220">
        <f t="shared" si="153"/>
        <v>0</v>
      </c>
      <c r="AH86" s="220">
        <f t="shared" si="154"/>
        <v>0</v>
      </c>
      <c r="AI86" s="220">
        <f t="shared" si="155"/>
        <v>0</v>
      </c>
      <c r="AJ86" s="220">
        <f t="shared" si="156"/>
        <v>0</v>
      </c>
      <c r="AK86" s="220">
        <f t="shared" si="157"/>
        <v>0</v>
      </c>
      <c r="AL86" s="220">
        <f t="shared" si="158"/>
        <v>0</v>
      </c>
      <c r="AM86" s="220">
        <f t="shared" si="159"/>
        <v>1.6368000000000003</v>
      </c>
      <c r="AN86" s="220">
        <f t="shared" si="160"/>
        <v>9.3413333333333348</v>
      </c>
      <c r="AO86" s="220">
        <f t="shared" si="161"/>
        <v>13.888000000000002</v>
      </c>
      <c r="AP86" s="220">
        <f t="shared" si="162"/>
        <v>0</v>
      </c>
      <c r="AQ86" s="220">
        <f t="shared" si="163"/>
        <v>0</v>
      </c>
      <c r="AR86" s="220">
        <f t="shared" si="164"/>
        <v>0</v>
      </c>
      <c r="AS86" s="220">
        <f t="shared" si="165"/>
        <v>0</v>
      </c>
      <c r="AT86" s="220">
        <f t="shared" si="166"/>
        <v>0</v>
      </c>
      <c r="AU86" s="220">
        <f t="shared" si="167"/>
        <v>0</v>
      </c>
      <c r="AV86" s="220">
        <f t="shared" si="168"/>
        <v>0</v>
      </c>
      <c r="AW86" s="220">
        <f t="shared" si="169"/>
        <v>0</v>
      </c>
      <c r="AX86" s="220">
        <f t="shared" si="170"/>
        <v>0</v>
      </c>
      <c r="AY86" s="220">
        <f t="shared" si="171"/>
        <v>0</v>
      </c>
      <c r="AZ86" s="220">
        <f t="shared" si="172"/>
        <v>0</v>
      </c>
      <c r="BA86" s="220">
        <f t="shared" si="173"/>
        <v>0</v>
      </c>
      <c r="BB86" s="219"/>
      <c r="BC86" s="219"/>
      <c r="BD86" s="220">
        <f t="shared" ref="BD86:BN89" si="207">+K86*$E86/1000*$I86</f>
        <v>0</v>
      </c>
      <c r="BE86" s="220">
        <f t="shared" si="207"/>
        <v>0</v>
      </c>
      <c r="BF86" s="220">
        <f t="shared" si="207"/>
        <v>0</v>
      </c>
      <c r="BG86" s="220">
        <f t="shared" si="207"/>
        <v>0</v>
      </c>
      <c r="BH86" s="220">
        <f t="shared" si="207"/>
        <v>0</v>
      </c>
      <c r="BI86" s="220">
        <f t="shared" si="207"/>
        <v>0</v>
      </c>
      <c r="BJ86" s="220">
        <f t="shared" si="207"/>
        <v>0</v>
      </c>
      <c r="BK86" s="220">
        <f t="shared" si="207"/>
        <v>0</v>
      </c>
      <c r="BL86" s="220">
        <f t="shared" si="207"/>
        <v>0</v>
      </c>
      <c r="BM86" s="220">
        <f t="shared" si="207"/>
        <v>0</v>
      </c>
      <c r="BN86" s="220">
        <f t="shared" si="207"/>
        <v>0</v>
      </c>
      <c r="BO86" s="220">
        <f t="shared" si="136"/>
        <v>0</v>
      </c>
      <c r="BP86" s="220">
        <f t="shared" si="137"/>
        <v>0</v>
      </c>
      <c r="BQ86" s="220">
        <f t="shared" si="138"/>
        <v>0</v>
      </c>
      <c r="BR86" s="220">
        <f t="shared" si="122"/>
        <v>0</v>
      </c>
      <c r="BS86" s="220">
        <f t="shared" si="123"/>
        <v>0</v>
      </c>
      <c r="BT86" s="220">
        <f t="shared" si="124"/>
        <v>0</v>
      </c>
      <c r="BU86" s="220">
        <f t="shared" si="125"/>
        <v>0</v>
      </c>
      <c r="BV86" s="220">
        <f t="shared" si="126"/>
        <v>0</v>
      </c>
      <c r="BW86" s="220">
        <f t="shared" si="127"/>
        <v>0</v>
      </c>
      <c r="BX86" s="220">
        <f t="shared" si="128"/>
        <v>0</v>
      </c>
      <c r="CA86" s="220">
        <f t="shared" ref="CA86:CK89" si="208">IF($C86="CERVECERIA Y MALTERIA.",K86*$E86/1000*(1-$I86),0)</f>
        <v>0</v>
      </c>
      <c r="CB86" s="220">
        <f t="shared" si="208"/>
        <v>0</v>
      </c>
      <c r="CC86" s="220">
        <f t="shared" si="208"/>
        <v>0</v>
      </c>
      <c r="CD86" s="220">
        <f t="shared" si="208"/>
        <v>0</v>
      </c>
      <c r="CE86" s="220">
        <f t="shared" si="208"/>
        <v>0</v>
      </c>
      <c r="CF86" s="220">
        <f t="shared" si="208"/>
        <v>0</v>
      </c>
      <c r="CG86" s="220">
        <f t="shared" si="208"/>
        <v>0</v>
      </c>
      <c r="CH86" s="220">
        <f t="shared" si="208"/>
        <v>0</v>
      </c>
      <c r="CI86" s="220">
        <f t="shared" si="208"/>
        <v>0</v>
      </c>
      <c r="CJ86" s="220">
        <f t="shared" si="208"/>
        <v>0</v>
      </c>
      <c r="CK86" s="220">
        <f t="shared" si="208"/>
        <v>0</v>
      </c>
      <c r="CL86" s="220">
        <f t="shared" si="139"/>
        <v>0</v>
      </c>
      <c r="CM86" s="220">
        <f t="shared" si="140"/>
        <v>0</v>
      </c>
      <c r="CN86" s="220">
        <f t="shared" si="141"/>
        <v>0</v>
      </c>
      <c r="CO86" s="220">
        <f t="shared" si="129"/>
        <v>0</v>
      </c>
      <c r="CP86" s="220">
        <f t="shared" si="130"/>
        <v>0</v>
      </c>
      <c r="CQ86" s="220">
        <f t="shared" si="131"/>
        <v>0</v>
      </c>
      <c r="CR86" s="220">
        <f t="shared" si="132"/>
        <v>0</v>
      </c>
      <c r="CS86" s="220">
        <f t="shared" si="133"/>
        <v>0</v>
      </c>
      <c r="CT86" s="220">
        <f t="shared" si="134"/>
        <v>0</v>
      </c>
      <c r="CU86" s="220">
        <f t="shared" si="135"/>
        <v>0</v>
      </c>
    </row>
    <row r="87" spans="1:99" x14ac:dyDescent="0.35">
      <c r="A87" s="233">
        <v>5121</v>
      </c>
      <c r="B87" s="233">
        <v>20001057</v>
      </c>
      <c r="C87" s="234" t="s">
        <v>105</v>
      </c>
      <c r="D87" s="234">
        <v>50032578</v>
      </c>
      <c r="E87" s="233">
        <v>37.200000000000003</v>
      </c>
      <c r="F87" s="233" t="s">
        <v>109</v>
      </c>
      <c r="G87" s="233" t="s">
        <v>107</v>
      </c>
      <c r="H87" s="233" t="s">
        <v>70</v>
      </c>
      <c r="I87" s="236">
        <v>0</v>
      </c>
      <c r="K87" s="238">
        <v>422.22222222222217</v>
      </c>
      <c r="L87" s="238">
        <v>0</v>
      </c>
      <c r="M87" s="238">
        <v>126.30722222222222</v>
      </c>
      <c r="N87" s="238">
        <v>227</v>
      </c>
      <c r="O87" s="237">
        <v>271.11111111111097</v>
      </c>
      <c r="P87" s="237">
        <v>59.319111111111098</v>
      </c>
      <c r="Q87" s="237">
        <v>169</v>
      </c>
      <c r="R87" s="237">
        <v>0</v>
      </c>
      <c r="S87" s="238">
        <v>0</v>
      </c>
      <c r="T87" s="263">
        <v>0</v>
      </c>
      <c r="U87" s="262">
        <v>0</v>
      </c>
      <c r="V87" s="262">
        <v>0</v>
      </c>
      <c r="W87" s="262">
        <v>532</v>
      </c>
      <c r="X87" s="262">
        <v>235.15200000000002</v>
      </c>
      <c r="Y87" s="262">
        <v>92.016000000000005</v>
      </c>
      <c r="Z87" s="262">
        <v>102.24000000000001</v>
      </c>
      <c r="AA87" s="262">
        <v>0</v>
      </c>
      <c r="AB87" s="262">
        <v>71.567999999999998</v>
      </c>
      <c r="AC87" s="262">
        <v>71.567999999999998</v>
      </c>
      <c r="AD87" s="262">
        <v>92.016000000000005</v>
      </c>
      <c r="AE87" s="262">
        <v>81.792000000000002</v>
      </c>
      <c r="AG87" s="220">
        <f t="shared" si="153"/>
        <v>15.706666666666665</v>
      </c>
      <c r="AH87" s="220">
        <f t="shared" si="154"/>
        <v>0</v>
      </c>
      <c r="AI87" s="220">
        <f t="shared" si="155"/>
        <v>4.698628666666667</v>
      </c>
      <c r="AJ87" s="220">
        <f t="shared" si="156"/>
        <v>8.4444000000000017</v>
      </c>
      <c r="AK87" s="220">
        <f t="shared" si="157"/>
        <v>10.085333333333329</v>
      </c>
      <c r="AL87" s="220">
        <f t="shared" si="158"/>
        <v>2.2066709333333328</v>
      </c>
      <c r="AM87" s="220">
        <f t="shared" si="159"/>
        <v>6.2868000000000004</v>
      </c>
      <c r="AN87" s="220">
        <f t="shared" si="160"/>
        <v>0</v>
      </c>
      <c r="AO87" s="220">
        <f t="shared" si="161"/>
        <v>0</v>
      </c>
      <c r="AP87" s="220">
        <f t="shared" si="162"/>
        <v>0</v>
      </c>
      <c r="AQ87" s="220">
        <f t="shared" si="163"/>
        <v>0</v>
      </c>
      <c r="AR87" s="220">
        <f t="shared" si="164"/>
        <v>0</v>
      </c>
      <c r="AS87" s="220">
        <f t="shared" si="165"/>
        <v>19.790400000000002</v>
      </c>
      <c r="AT87" s="220">
        <f t="shared" si="166"/>
        <v>8.7476544000000018</v>
      </c>
      <c r="AU87" s="220">
        <f t="shared" si="167"/>
        <v>3.4229952000000003</v>
      </c>
      <c r="AV87" s="220">
        <f t="shared" si="168"/>
        <v>3.8033280000000005</v>
      </c>
      <c r="AW87" s="220">
        <f t="shared" si="169"/>
        <v>0</v>
      </c>
      <c r="AX87" s="220">
        <f t="shared" si="170"/>
        <v>2.6623296000000001</v>
      </c>
      <c r="AY87" s="220">
        <f t="shared" si="171"/>
        <v>2.6623296000000001</v>
      </c>
      <c r="AZ87" s="220">
        <f t="shared" si="172"/>
        <v>3.4229952000000003</v>
      </c>
      <c r="BA87" s="220">
        <f t="shared" si="173"/>
        <v>3.0426624000000002</v>
      </c>
      <c r="BB87" s="219"/>
      <c r="BC87" s="219"/>
      <c r="BD87" s="220">
        <f t="shared" si="207"/>
        <v>0</v>
      </c>
      <c r="BE87" s="220">
        <f t="shared" si="207"/>
        <v>0</v>
      </c>
      <c r="BF87" s="220">
        <f t="shared" si="207"/>
        <v>0</v>
      </c>
      <c r="BG87" s="220">
        <f t="shared" si="207"/>
        <v>0</v>
      </c>
      <c r="BH87" s="220">
        <f t="shared" si="207"/>
        <v>0</v>
      </c>
      <c r="BI87" s="220">
        <f t="shared" si="207"/>
        <v>0</v>
      </c>
      <c r="BJ87" s="220">
        <f t="shared" si="207"/>
        <v>0</v>
      </c>
      <c r="BK87" s="220">
        <f t="shared" si="207"/>
        <v>0</v>
      </c>
      <c r="BL87" s="220">
        <f t="shared" si="207"/>
        <v>0</v>
      </c>
      <c r="BM87" s="220">
        <f t="shared" si="207"/>
        <v>0</v>
      </c>
      <c r="BN87" s="220">
        <f t="shared" si="207"/>
        <v>0</v>
      </c>
      <c r="BO87" s="220">
        <f t="shared" si="136"/>
        <v>0</v>
      </c>
      <c r="BP87" s="220">
        <f t="shared" si="137"/>
        <v>0</v>
      </c>
      <c r="BQ87" s="220">
        <f t="shared" si="138"/>
        <v>0</v>
      </c>
      <c r="BR87" s="220">
        <f t="shared" si="122"/>
        <v>0</v>
      </c>
      <c r="BS87" s="220">
        <f t="shared" si="123"/>
        <v>0</v>
      </c>
      <c r="BT87" s="220">
        <f t="shared" si="124"/>
        <v>0</v>
      </c>
      <c r="BU87" s="220">
        <f t="shared" si="125"/>
        <v>0</v>
      </c>
      <c r="BV87" s="220">
        <f t="shared" si="126"/>
        <v>0</v>
      </c>
      <c r="BW87" s="220">
        <f t="shared" si="127"/>
        <v>0</v>
      </c>
      <c r="BX87" s="220">
        <f t="shared" si="128"/>
        <v>0</v>
      </c>
      <c r="CA87" s="220">
        <f t="shared" si="208"/>
        <v>0</v>
      </c>
      <c r="CB87" s="220">
        <f t="shared" si="208"/>
        <v>0</v>
      </c>
      <c r="CC87" s="220">
        <f t="shared" si="208"/>
        <v>0</v>
      </c>
      <c r="CD87" s="220">
        <f t="shared" si="208"/>
        <v>0</v>
      </c>
      <c r="CE87" s="220">
        <f t="shared" si="208"/>
        <v>0</v>
      </c>
      <c r="CF87" s="220">
        <f t="shared" si="208"/>
        <v>0</v>
      </c>
      <c r="CG87" s="220">
        <f t="shared" si="208"/>
        <v>0</v>
      </c>
      <c r="CH87" s="220">
        <f t="shared" si="208"/>
        <v>0</v>
      </c>
      <c r="CI87" s="220">
        <f t="shared" si="208"/>
        <v>0</v>
      </c>
      <c r="CJ87" s="220">
        <f t="shared" si="208"/>
        <v>0</v>
      </c>
      <c r="CK87" s="220">
        <f t="shared" si="208"/>
        <v>0</v>
      </c>
      <c r="CL87" s="220">
        <f t="shared" si="139"/>
        <v>0</v>
      </c>
      <c r="CM87" s="220">
        <f t="shared" si="140"/>
        <v>0</v>
      </c>
      <c r="CN87" s="220">
        <f t="shared" si="141"/>
        <v>0</v>
      </c>
      <c r="CO87" s="220">
        <f t="shared" si="129"/>
        <v>0</v>
      </c>
      <c r="CP87" s="220">
        <f t="shared" si="130"/>
        <v>0</v>
      </c>
      <c r="CQ87" s="220">
        <f t="shared" si="131"/>
        <v>0</v>
      </c>
      <c r="CR87" s="220">
        <f t="shared" si="132"/>
        <v>0</v>
      </c>
      <c r="CS87" s="220">
        <f t="shared" si="133"/>
        <v>0</v>
      </c>
      <c r="CT87" s="220">
        <f t="shared" si="134"/>
        <v>0</v>
      </c>
      <c r="CU87" s="220">
        <f t="shared" si="135"/>
        <v>0</v>
      </c>
    </row>
    <row r="88" spans="1:99" x14ac:dyDescent="0.35">
      <c r="A88" s="233">
        <v>5121</v>
      </c>
      <c r="B88" s="233">
        <v>20001057</v>
      </c>
      <c r="C88" s="234" t="s">
        <v>105</v>
      </c>
      <c r="D88" s="234">
        <v>50035183</v>
      </c>
      <c r="E88" s="233">
        <v>46.6</v>
      </c>
      <c r="F88" s="233" t="s">
        <v>106</v>
      </c>
      <c r="G88" s="233" t="s">
        <v>107</v>
      </c>
      <c r="H88" s="233" t="s">
        <v>70</v>
      </c>
      <c r="I88" s="236">
        <v>0</v>
      </c>
      <c r="K88" s="238">
        <v>0</v>
      </c>
      <c r="L88" s="238">
        <v>0</v>
      </c>
      <c r="M88" s="238">
        <v>0</v>
      </c>
      <c r="N88" s="238">
        <v>0</v>
      </c>
      <c r="O88" s="238">
        <v>0</v>
      </c>
      <c r="P88" s="238">
        <v>0</v>
      </c>
      <c r="Q88" s="238">
        <v>0</v>
      </c>
      <c r="R88" s="237">
        <v>0</v>
      </c>
      <c r="S88" s="238">
        <v>0</v>
      </c>
      <c r="T88" s="263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Z88" s="262">
        <v>0</v>
      </c>
      <c r="AA88" s="262">
        <v>0</v>
      </c>
      <c r="AB88" s="262">
        <v>0</v>
      </c>
      <c r="AC88" s="262">
        <v>0</v>
      </c>
      <c r="AD88" s="262">
        <v>0</v>
      </c>
      <c r="AE88" s="262">
        <v>0</v>
      </c>
      <c r="AG88" s="220">
        <f t="shared" si="153"/>
        <v>0</v>
      </c>
      <c r="AH88" s="220">
        <f t="shared" si="154"/>
        <v>0</v>
      </c>
      <c r="AI88" s="220">
        <f t="shared" si="155"/>
        <v>0</v>
      </c>
      <c r="AJ88" s="220">
        <f t="shared" si="156"/>
        <v>0</v>
      </c>
      <c r="AK88" s="220">
        <f t="shared" si="157"/>
        <v>0</v>
      </c>
      <c r="AL88" s="220">
        <f t="shared" si="158"/>
        <v>0</v>
      </c>
      <c r="AM88" s="220">
        <f t="shared" si="159"/>
        <v>0</v>
      </c>
      <c r="AN88" s="220">
        <f t="shared" si="160"/>
        <v>0</v>
      </c>
      <c r="AO88" s="220">
        <f t="shared" si="161"/>
        <v>0</v>
      </c>
      <c r="AP88" s="220">
        <f t="shared" si="162"/>
        <v>0</v>
      </c>
      <c r="AQ88" s="220">
        <f t="shared" si="163"/>
        <v>0</v>
      </c>
      <c r="AR88" s="220">
        <f t="shared" si="164"/>
        <v>0</v>
      </c>
      <c r="AS88" s="220">
        <f t="shared" si="165"/>
        <v>0</v>
      </c>
      <c r="AT88" s="220">
        <f t="shared" si="166"/>
        <v>0</v>
      </c>
      <c r="AU88" s="220">
        <f t="shared" si="167"/>
        <v>0</v>
      </c>
      <c r="AV88" s="220">
        <f t="shared" si="168"/>
        <v>0</v>
      </c>
      <c r="AW88" s="220">
        <f t="shared" si="169"/>
        <v>0</v>
      </c>
      <c r="AX88" s="220">
        <f t="shared" si="170"/>
        <v>0</v>
      </c>
      <c r="AY88" s="220">
        <f t="shared" si="171"/>
        <v>0</v>
      </c>
      <c r="AZ88" s="220">
        <f t="shared" si="172"/>
        <v>0</v>
      </c>
      <c r="BA88" s="220">
        <f t="shared" si="173"/>
        <v>0</v>
      </c>
      <c r="BB88" s="219"/>
      <c r="BC88" s="219"/>
      <c r="BD88" s="220">
        <f t="shared" si="207"/>
        <v>0</v>
      </c>
      <c r="BE88" s="220">
        <f t="shared" si="207"/>
        <v>0</v>
      </c>
      <c r="BF88" s="220">
        <f t="shared" si="207"/>
        <v>0</v>
      </c>
      <c r="BG88" s="220">
        <f t="shared" si="207"/>
        <v>0</v>
      </c>
      <c r="BH88" s="220">
        <f t="shared" si="207"/>
        <v>0</v>
      </c>
      <c r="BI88" s="220">
        <f t="shared" si="207"/>
        <v>0</v>
      </c>
      <c r="BJ88" s="220">
        <f t="shared" si="207"/>
        <v>0</v>
      </c>
      <c r="BK88" s="220">
        <f t="shared" si="207"/>
        <v>0</v>
      </c>
      <c r="BL88" s="220">
        <f t="shared" si="207"/>
        <v>0</v>
      </c>
      <c r="BM88" s="220">
        <f t="shared" si="207"/>
        <v>0</v>
      </c>
      <c r="BN88" s="220">
        <f t="shared" si="207"/>
        <v>0</v>
      </c>
      <c r="BO88" s="220">
        <f t="shared" si="136"/>
        <v>0</v>
      </c>
      <c r="BP88" s="220">
        <f t="shared" si="137"/>
        <v>0</v>
      </c>
      <c r="BQ88" s="220">
        <f t="shared" si="138"/>
        <v>0</v>
      </c>
      <c r="BR88" s="220">
        <f t="shared" ref="BR88:BR112" si="209">+Y88*$E88/1000*$I88</f>
        <v>0</v>
      </c>
      <c r="BS88" s="220">
        <f t="shared" si="123"/>
        <v>0</v>
      </c>
      <c r="BT88" s="220">
        <f t="shared" si="124"/>
        <v>0</v>
      </c>
      <c r="BU88" s="220">
        <f t="shared" si="125"/>
        <v>0</v>
      </c>
      <c r="BV88" s="220">
        <f t="shared" si="126"/>
        <v>0</v>
      </c>
      <c r="BW88" s="220">
        <f t="shared" si="127"/>
        <v>0</v>
      </c>
      <c r="BX88" s="220">
        <f t="shared" si="128"/>
        <v>0</v>
      </c>
      <c r="CA88" s="220">
        <f t="shared" si="208"/>
        <v>0</v>
      </c>
      <c r="CB88" s="220">
        <f t="shared" si="208"/>
        <v>0</v>
      </c>
      <c r="CC88" s="220">
        <f t="shared" si="208"/>
        <v>0</v>
      </c>
      <c r="CD88" s="220">
        <f t="shared" si="208"/>
        <v>0</v>
      </c>
      <c r="CE88" s="220">
        <f t="shared" si="208"/>
        <v>0</v>
      </c>
      <c r="CF88" s="220">
        <f t="shared" si="208"/>
        <v>0</v>
      </c>
      <c r="CG88" s="220">
        <f t="shared" si="208"/>
        <v>0</v>
      </c>
      <c r="CH88" s="220">
        <f t="shared" si="208"/>
        <v>0</v>
      </c>
      <c r="CI88" s="220">
        <f t="shared" si="208"/>
        <v>0</v>
      </c>
      <c r="CJ88" s="220">
        <f t="shared" si="208"/>
        <v>0</v>
      </c>
      <c r="CK88" s="220">
        <f t="shared" si="208"/>
        <v>0</v>
      </c>
      <c r="CL88" s="220">
        <f t="shared" si="139"/>
        <v>0</v>
      </c>
      <c r="CM88" s="220">
        <f t="shared" si="140"/>
        <v>0</v>
      </c>
      <c r="CN88" s="220">
        <f t="shared" si="141"/>
        <v>0</v>
      </c>
      <c r="CO88" s="220">
        <f t="shared" ref="CO88:CO112" si="210">IF($C88="CERVECERIA Y MALTERIA.",Y88*$E88/1000*(1-$I88),0)</f>
        <v>0</v>
      </c>
      <c r="CP88" s="220">
        <f t="shared" si="130"/>
        <v>0</v>
      </c>
      <c r="CQ88" s="220">
        <f t="shared" si="131"/>
        <v>0</v>
      </c>
      <c r="CR88" s="220">
        <f t="shared" si="132"/>
        <v>0</v>
      </c>
      <c r="CS88" s="220">
        <f t="shared" si="133"/>
        <v>0</v>
      </c>
      <c r="CT88" s="220">
        <f t="shared" si="134"/>
        <v>0</v>
      </c>
      <c r="CU88" s="220">
        <f t="shared" si="135"/>
        <v>0</v>
      </c>
    </row>
    <row r="89" spans="1:99" x14ac:dyDescent="0.35">
      <c r="A89" s="233">
        <v>5121</v>
      </c>
      <c r="B89" s="233">
        <v>20001057</v>
      </c>
      <c r="C89" s="234" t="s">
        <v>105</v>
      </c>
      <c r="D89" s="234">
        <v>50034616</v>
      </c>
      <c r="E89" s="233">
        <v>46.6</v>
      </c>
      <c r="F89" s="233" t="s">
        <v>106</v>
      </c>
      <c r="G89" s="233" t="s">
        <v>107</v>
      </c>
      <c r="H89" s="233" t="s">
        <v>70</v>
      </c>
      <c r="I89" s="236">
        <v>0</v>
      </c>
      <c r="K89" s="238">
        <v>0</v>
      </c>
      <c r="L89" s="238">
        <v>0</v>
      </c>
      <c r="M89" s="238">
        <v>0</v>
      </c>
      <c r="N89" s="238">
        <v>0</v>
      </c>
      <c r="O89" s="238">
        <v>0</v>
      </c>
      <c r="P89" s="238">
        <v>0</v>
      </c>
      <c r="Q89" s="238">
        <v>0</v>
      </c>
      <c r="R89" s="237">
        <v>0</v>
      </c>
      <c r="S89" s="238">
        <v>0</v>
      </c>
      <c r="T89" s="263">
        <v>0</v>
      </c>
      <c r="U89" s="263">
        <v>0</v>
      </c>
      <c r="V89" s="263">
        <v>0</v>
      </c>
      <c r="W89" s="263">
        <v>1384</v>
      </c>
      <c r="X89" s="263">
        <v>400</v>
      </c>
      <c r="Y89" s="263">
        <v>0</v>
      </c>
      <c r="Z89" s="263">
        <v>0</v>
      </c>
      <c r="AA89" s="263">
        <v>0</v>
      </c>
      <c r="AB89" s="263">
        <v>0</v>
      </c>
      <c r="AC89" s="263">
        <v>0</v>
      </c>
      <c r="AD89" s="263">
        <v>0</v>
      </c>
      <c r="AE89" s="263">
        <v>0</v>
      </c>
      <c r="AG89" s="220">
        <f t="shared" si="153"/>
        <v>0</v>
      </c>
      <c r="AH89" s="220">
        <f t="shared" si="154"/>
        <v>0</v>
      </c>
      <c r="AI89" s="220">
        <f t="shared" si="155"/>
        <v>0</v>
      </c>
      <c r="AJ89" s="220">
        <f t="shared" si="156"/>
        <v>0</v>
      </c>
      <c r="AK89" s="220">
        <f t="shared" si="157"/>
        <v>0</v>
      </c>
      <c r="AL89" s="220">
        <f t="shared" si="158"/>
        <v>0</v>
      </c>
      <c r="AM89" s="220">
        <f t="shared" si="159"/>
        <v>0</v>
      </c>
      <c r="AN89" s="220">
        <f t="shared" si="160"/>
        <v>0</v>
      </c>
      <c r="AO89" s="220">
        <f t="shared" si="161"/>
        <v>0</v>
      </c>
      <c r="AP89" s="220">
        <f t="shared" si="162"/>
        <v>0</v>
      </c>
      <c r="AQ89" s="220">
        <f t="shared" si="163"/>
        <v>0</v>
      </c>
      <c r="AR89" s="220">
        <f t="shared" si="164"/>
        <v>0</v>
      </c>
      <c r="AS89" s="220">
        <f t="shared" si="165"/>
        <v>64.494399999999999</v>
      </c>
      <c r="AT89" s="220">
        <f t="shared" si="166"/>
        <v>18.64</v>
      </c>
      <c r="AU89" s="220">
        <f t="shared" si="167"/>
        <v>0</v>
      </c>
      <c r="AV89" s="220">
        <f t="shared" si="168"/>
        <v>0</v>
      </c>
      <c r="AW89" s="220">
        <f t="shared" si="169"/>
        <v>0</v>
      </c>
      <c r="AX89" s="220">
        <f t="shared" si="170"/>
        <v>0</v>
      </c>
      <c r="AY89" s="220">
        <f t="shared" si="171"/>
        <v>0</v>
      </c>
      <c r="AZ89" s="220">
        <f t="shared" si="172"/>
        <v>0</v>
      </c>
      <c r="BA89" s="220">
        <f t="shared" si="173"/>
        <v>0</v>
      </c>
      <c r="BB89" s="219"/>
      <c r="BC89" s="219"/>
      <c r="BD89" s="220">
        <f t="shared" si="207"/>
        <v>0</v>
      </c>
      <c r="BE89" s="220">
        <f t="shared" si="207"/>
        <v>0</v>
      </c>
      <c r="BF89" s="220">
        <f t="shared" si="207"/>
        <v>0</v>
      </c>
      <c r="BG89" s="220">
        <f t="shared" si="207"/>
        <v>0</v>
      </c>
      <c r="BH89" s="220">
        <f t="shared" si="207"/>
        <v>0</v>
      </c>
      <c r="BI89" s="220">
        <f t="shared" si="207"/>
        <v>0</v>
      </c>
      <c r="BJ89" s="220">
        <f t="shared" si="207"/>
        <v>0</v>
      </c>
      <c r="BK89" s="220">
        <f t="shared" si="207"/>
        <v>0</v>
      </c>
      <c r="BL89" s="220">
        <f t="shared" si="207"/>
        <v>0</v>
      </c>
      <c r="BM89" s="220">
        <f t="shared" si="207"/>
        <v>0</v>
      </c>
      <c r="BN89" s="220">
        <f t="shared" si="207"/>
        <v>0</v>
      </c>
      <c r="BO89" s="220">
        <f t="shared" si="136"/>
        <v>0</v>
      </c>
      <c r="BP89" s="220">
        <f t="shared" si="137"/>
        <v>0</v>
      </c>
      <c r="BQ89" s="220">
        <f t="shared" si="138"/>
        <v>0</v>
      </c>
      <c r="BR89" s="220">
        <f t="shared" si="209"/>
        <v>0</v>
      </c>
      <c r="BS89" s="220">
        <f t="shared" si="123"/>
        <v>0</v>
      </c>
      <c r="BT89" s="220">
        <f t="shared" si="124"/>
        <v>0</v>
      </c>
      <c r="BU89" s="220">
        <f t="shared" si="125"/>
        <v>0</v>
      </c>
      <c r="BV89" s="220">
        <f t="shared" si="126"/>
        <v>0</v>
      </c>
      <c r="BW89" s="220">
        <f t="shared" si="127"/>
        <v>0</v>
      </c>
      <c r="BX89" s="220">
        <f t="shared" si="128"/>
        <v>0</v>
      </c>
      <c r="CA89" s="220">
        <f t="shared" si="208"/>
        <v>0</v>
      </c>
      <c r="CB89" s="220">
        <f t="shared" si="208"/>
        <v>0</v>
      </c>
      <c r="CC89" s="220">
        <f t="shared" si="208"/>
        <v>0</v>
      </c>
      <c r="CD89" s="220">
        <f t="shared" si="208"/>
        <v>0</v>
      </c>
      <c r="CE89" s="220">
        <f t="shared" si="208"/>
        <v>0</v>
      </c>
      <c r="CF89" s="220">
        <f t="shared" si="208"/>
        <v>0</v>
      </c>
      <c r="CG89" s="220">
        <f t="shared" si="208"/>
        <v>0</v>
      </c>
      <c r="CH89" s="220">
        <f t="shared" si="208"/>
        <v>0</v>
      </c>
      <c r="CI89" s="220">
        <f t="shared" si="208"/>
        <v>0</v>
      </c>
      <c r="CJ89" s="220">
        <f t="shared" si="208"/>
        <v>0</v>
      </c>
      <c r="CK89" s="220">
        <f t="shared" si="208"/>
        <v>0</v>
      </c>
      <c r="CL89" s="220">
        <f t="shared" si="139"/>
        <v>0</v>
      </c>
      <c r="CM89" s="220">
        <f t="shared" si="140"/>
        <v>0</v>
      </c>
      <c r="CN89" s="220">
        <f t="shared" si="141"/>
        <v>0</v>
      </c>
      <c r="CO89" s="220">
        <f t="shared" si="210"/>
        <v>0</v>
      </c>
      <c r="CP89" s="220">
        <f t="shared" si="130"/>
        <v>0</v>
      </c>
      <c r="CQ89" s="220">
        <f t="shared" si="131"/>
        <v>0</v>
      </c>
      <c r="CR89" s="220">
        <f t="shared" si="132"/>
        <v>0</v>
      </c>
      <c r="CS89" s="220">
        <f t="shared" si="133"/>
        <v>0</v>
      </c>
      <c r="CT89" s="220">
        <f t="shared" si="134"/>
        <v>0</v>
      </c>
      <c r="CU89" s="220">
        <f t="shared" si="135"/>
        <v>0</v>
      </c>
    </row>
    <row r="90" spans="1:99" x14ac:dyDescent="0.35">
      <c r="A90" s="233">
        <v>5121</v>
      </c>
      <c r="B90" s="233">
        <v>20001057</v>
      </c>
      <c r="C90" s="234" t="s">
        <v>105</v>
      </c>
      <c r="D90" s="234">
        <v>50037042</v>
      </c>
      <c r="E90" s="233">
        <v>46.6</v>
      </c>
      <c r="F90" s="233" t="s">
        <v>106</v>
      </c>
      <c r="G90" s="233" t="s">
        <v>114</v>
      </c>
      <c r="H90" s="233" t="s">
        <v>112</v>
      </c>
      <c r="I90" s="236">
        <v>0.2</v>
      </c>
      <c r="K90" s="238">
        <v>298</v>
      </c>
      <c r="L90" s="238">
        <v>94.172874811707558</v>
      </c>
      <c r="M90" s="238">
        <v>253.33333333333337</v>
      </c>
      <c r="N90" s="238">
        <v>260</v>
      </c>
      <c r="O90" s="237">
        <v>231</v>
      </c>
      <c r="P90" s="237">
        <v>155.555555555556</v>
      </c>
      <c r="Q90" s="237">
        <v>164.444444444444</v>
      </c>
      <c r="R90" s="237">
        <v>73.836111111111038</v>
      </c>
      <c r="S90" s="238">
        <v>284.44444444444446</v>
      </c>
      <c r="T90" s="263">
        <v>304.88888888888886</v>
      </c>
      <c r="U90" s="262">
        <v>635.55555555555566</v>
      </c>
      <c r="V90" s="262">
        <v>0</v>
      </c>
      <c r="W90" s="262">
        <v>0</v>
      </c>
      <c r="X90" s="262">
        <v>0</v>
      </c>
      <c r="Y90" s="262">
        <v>0</v>
      </c>
      <c r="Z90" s="262">
        <v>0</v>
      </c>
      <c r="AA90" s="262">
        <v>0</v>
      </c>
      <c r="AB90" s="262">
        <v>0</v>
      </c>
      <c r="AC90" s="262">
        <v>0</v>
      </c>
      <c r="AD90" s="262">
        <v>0</v>
      </c>
      <c r="AE90" s="262">
        <v>0</v>
      </c>
      <c r="AG90" s="220">
        <f t="shared" si="153"/>
        <v>11.109440000000001</v>
      </c>
      <c r="AH90" s="220">
        <f t="shared" si="154"/>
        <v>3.5107647729804579</v>
      </c>
      <c r="AI90" s="220">
        <f t="shared" si="155"/>
        <v>9.4442666666666693</v>
      </c>
      <c r="AJ90" s="220">
        <f t="shared" si="156"/>
        <v>9.6928000000000001</v>
      </c>
      <c r="AK90" s="220">
        <f t="shared" si="157"/>
        <v>8.6116799999999998</v>
      </c>
      <c r="AL90" s="220">
        <f t="shared" si="158"/>
        <v>5.7991111111111282</v>
      </c>
      <c r="AM90" s="220">
        <f t="shared" si="159"/>
        <v>6.1304888888888733</v>
      </c>
      <c r="AN90" s="220">
        <f t="shared" si="160"/>
        <v>2.75261022222222</v>
      </c>
      <c r="AO90" s="220">
        <f t="shared" si="161"/>
        <v>10.604088888888889</v>
      </c>
      <c r="AP90" s="220">
        <f t="shared" si="162"/>
        <v>11.366257777777777</v>
      </c>
      <c r="AQ90" s="220">
        <f t="shared" si="163"/>
        <v>23.693511111111118</v>
      </c>
      <c r="AR90" s="220">
        <f t="shared" si="164"/>
        <v>0</v>
      </c>
      <c r="AS90" s="220">
        <f t="shared" si="165"/>
        <v>0</v>
      </c>
      <c r="AT90" s="220">
        <f t="shared" si="166"/>
        <v>0</v>
      </c>
      <c r="AU90" s="220">
        <f t="shared" si="167"/>
        <v>0</v>
      </c>
      <c r="AV90" s="220">
        <f t="shared" si="168"/>
        <v>0</v>
      </c>
      <c r="AW90" s="220">
        <f t="shared" si="169"/>
        <v>0</v>
      </c>
      <c r="AX90" s="220">
        <f t="shared" si="170"/>
        <v>0</v>
      </c>
      <c r="AY90" s="220">
        <f t="shared" si="171"/>
        <v>0</v>
      </c>
      <c r="AZ90" s="220">
        <f t="shared" si="172"/>
        <v>0</v>
      </c>
      <c r="BA90" s="220">
        <f t="shared" si="173"/>
        <v>0</v>
      </c>
      <c r="BD90" s="220">
        <f t="shared" ref="BD90" si="211">+K90*$E90/1000*$I90</f>
        <v>2.7773600000000003</v>
      </c>
      <c r="BE90" s="220">
        <f t="shared" ref="BE90" si="212">+L90*$E90/1000*$I90</f>
        <v>0.87769119324511446</v>
      </c>
      <c r="BF90" s="220">
        <f t="shared" ref="BF90" si="213">+M90*$E90/1000*$I90</f>
        <v>2.3610666666666673</v>
      </c>
      <c r="BG90" s="220">
        <f t="shared" ref="BG90" si="214">+N90*$E90/1000*$I90</f>
        <v>2.4232</v>
      </c>
      <c r="BH90" s="220">
        <f t="shared" ref="BH90" si="215">+O90*$E90/1000*$I90</f>
        <v>2.1529199999999999</v>
      </c>
      <c r="BI90" s="220">
        <f t="shared" ref="BI90" si="216">+P90*$E90/1000*$I90</f>
        <v>1.4497777777777821</v>
      </c>
      <c r="BJ90" s="220">
        <f t="shared" ref="BJ90" si="217">+Q90*$E90/1000*$I90</f>
        <v>1.5326222222222183</v>
      </c>
      <c r="BK90" s="220">
        <f t="shared" ref="BK90" si="218">+R90*$E90/1000*$I90</f>
        <v>0.68815255555555499</v>
      </c>
      <c r="BL90" s="220">
        <f t="shared" ref="BL90" si="219">+S90*$E90/1000*$I90</f>
        <v>2.6510222222222222</v>
      </c>
      <c r="BM90" s="220">
        <f t="shared" ref="BM90" si="220">+T90*$E90/1000*$I90</f>
        <v>2.8415644444444443</v>
      </c>
      <c r="BN90" s="220">
        <f t="shared" ref="BN90" si="221">+U90*$E90/1000*$I90</f>
        <v>5.9233777777777794</v>
      </c>
      <c r="BO90" s="220">
        <f t="shared" si="136"/>
        <v>0</v>
      </c>
      <c r="BP90" s="220">
        <f t="shared" si="137"/>
        <v>0</v>
      </c>
      <c r="BQ90" s="220">
        <f t="shared" si="138"/>
        <v>0</v>
      </c>
      <c r="BR90" s="220">
        <f t="shared" si="209"/>
        <v>0</v>
      </c>
      <c r="BS90" s="220">
        <f t="shared" si="123"/>
        <v>0</v>
      </c>
      <c r="BT90" s="220">
        <f t="shared" si="124"/>
        <v>0</v>
      </c>
      <c r="BU90" s="220">
        <f t="shared" si="125"/>
        <v>0</v>
      </c>
      <c r="BV90" s="220">
        <f t="shared" si="126"/>
        <v>0</v>
      </c>
      <c r="BW90" s="220">
        <f t="shared" si="127"/>
        <v>0</v>
      </c>
      <c r="BX90" s="220">
        <f t="shared" si="128"/>
        <v>0</v>
      </c>
      <c r="CA90" s="220">
        <f t="shared" ref="CA90" si="222">IF($C90="CERVECERIA Y MALTERIA.",K90*$E90/1000*(1-$I90),0)</f>
        <v>0</v>
      </c>
      <c r="CB90" s="220">
        <f t="shared" ref="CB90" si="223">IF($C90="CERVECERIA Y MALTERIA.",L90*$E90/1000*(1-$I90),0)</f>
        <v>0</v>
      </c>
      <c r="CC90" s="220">
        <f t="shared" ref="CC90" si="224">IF($C90="CERVECERIA Y MALTERIA.",M90*$E90/1000*(1-$I90),0)</f>
        <v>0</v>
      </c>
      <c r="CD90" s="220">
        <f t="shared" ref="CD90" si="225">IF($C90="CERVECERIA Y MALTERIA.",N90*$E90/1000*(1-$I90),0)</f>
        <v>0</v>
      </c>
      <c r="CE90" s="220">
        <f t="shared" ref="CE90" si="226">IF($C90="CERVECERIA Y MALTERIA.",O90*$E90/1000*(1-$I90),0)</f>
        <v>0</v>
      </c>
      <c r="CF90" s="220">
        <f t="shared" ref="CF90" si="227">IF($C90="CERVECERIA Y MALTERIA.",P90*$E90/1000*(1-$I90),0)</f>
        <v>0</v>
      </c>
      <c r="CG90" s="220">
        <f t="shared" ref="CG90" si="228">IF($C90="CERVECERIA Y MALTERIA.",Q90*$E90/1000*(1-$I90),0)</f>
        <v>0</v>
      </c>
      <c r="CH90" s="220">
        <f t="shared" ref="CH90" si="229">IF($C90="CERVECERIA Y MALTERIA.",R90*$E90/1000*(1-$I90),0)</f>
        <v>0</v>
      </c>
      <c r="CI90" s="220">
        <f t="shared" ref="CI90" si="230">IF($C90="CERVECERIA Y MALTERIA.",S90*$E90/1000*(1-$I90),0)</f>
        <v>0</v>
      </c>
      <c r="CJ90" s="220">
        <f t="shared" ref="CJ90" si="231">IF($C90="CERVECERIA Y MALTERIA.",T90*$E90/1000*(1-$I90),0)</f>
        <v>0</v>
      </c>
      <c r="CK90" s="220">
        <f t="shared" ref="CK90" si="232">IF($C90="CERVECERIA Y MALTERIA.",U90*$E90/1000*(1-$I90),0)</f>
        <v>0</v>
      </c>
      <c r="CL90" s="220">
        <f t="shared" si="139"/>
        <v>0</v>
      </c>
      <c r="CM90" s="220">
        <f t="shared" si="140"/>
        <v>0</v>
      </c>
      <c r="CN90" s="220">
        <f t="shared" si="141"/>
        <v>0</v>
      </c>
      <c r="CO90" s="220">
        <f t="shared" si="210"/>
        <v>0</v>
      </c>
      <c r="CP90" s="220">
        <f t="shared" si="130"/>
        <v>0</v>
      </c>
      <c r="CQ90" s="220">
        <f t="shared" si="131"/>
        <v>0</v>
      </c>
      <c r="CR90" s="220">
        <f t="shared" si="132"/>
        <v>0</v>
      </c>
      <c r="CS90" s="220">
        <f t="shared" si="133"/>
        <v>0</v>
      </c>
      <c r="CT90" s="220">
        <f t="shared" si="134"/>
        <v>0</v>
      </c>
      <c r="CU90" s="220">
        <f t="shared" si="135"/>
        <v>0</v>
      </c>
    </row>
    <row r="91" spans="1:99" x14ac:dyDescent="0.35">
      <c r="A91" s="233">
        <v>5121</v>
      </c>
      <c r="B91" s="233">
        <v>20001057</v>
      </c>
      <c r="C91" s="234" t="s">
        <v>105</v>
      </c>
      <c r="D91" s="234">
        <v>50030381</v>
      </c>
      <c r="E91" s="233">
        <v>46.6</v>
      </c>
      <c r="F91" s="233" t="s">
        <v>106</v>
      </c>
      <c r="G91" s="233" t="s">
        <v>115</v>
      </c>
      <c r="H91" s="233" t="s">
        <v>70</v>
      </c>
      <c r="I91" s="236">
        <v>0</v>
      </c>
      <c r="K91" s="238">
        <v>0</v>
      </c>
      <c r="L91" s="238">
        <v>0</v>
      </c>
      <c r="M91" s="238">
        <v>0</v>
      </c>
      <c r="N91" s="238">
        <v>0</v>
      </c>
      <c r="O91" s="237">
        <v>0</v>
      </c>
      <c r="P91" s="237">
        <v>0</v>
      </c>
      <c r="Q91" s="237">
        <v>0</v>
      </c>
      <c r="R91" s="237">
        <v>0</v>
      </c>
      <c r="S91" s="238">
        <v>0</v>
      </c>
      <c r="T91" s="263">
        <v>0</v>
      </c>
      <c r="U91" s="262">
        <v>0</v>
      </c>
      <c r="V91" s="262">
        <v>1056</v>
      </c>
      <c r="W91" s="262">
        <v>0</v>
      </c>
      <c r="X91" s="262">
        <v>1380.4479999999999</v>
      </c>
      <c r="Y91" s="262">
        <v>1280.4479999999999</v>
      </c>
      <c r="Z91" s="262">
        <v>853.63199999999995</v>
      </c>
      <c r="AA91" s="262">
        <v>486.23703703703723</v>
      </c>
      <c r="AB91" s="262">
        <v>853.63199999999995</v>
      </c>
      <c r="AC91" s="262">
        <v>426.81599999999997</v>
      </c>
      <c r="AD91" s="262">
        <v>853.63199999999995</v>
      </c>
      <c r="AE91" s="262">
        <v>426.81599999999997</v>
      </c>
      <c r="AG91" s="220">
        <f t="shared" si="153"/>
        <v>0</v>
      </c>
      <c r="AH91" s="220">
        <f t="shared" si="154"/>
        <v>0</v>
      </c>
      <c r="AI91" s="220">
        <f t="shared" si="155"/>
        <v>0</v>
      </c>
      <c r="AJ91" s="220">
        <f t="shared" si="156"/>
        <v>0</v>
      </c>
      <c r="AK91" s="220">
        <f t="shared" si="157"/>
        <v>0</v>
      </c>
      <c r="AL91" s="220">
        <f t="shared" si="158"/>
        <v>0</v>
      </c>
      <c r="AM91" s="220">
        <f t="shared" si="159"/>
        <v>0</v>
      </c>
      <c r="AN91" s="220">
        <f t="shared" si="160"/>
        <v>0</v>
      </c>
      <c r="AO91" s="220">
        <f t="shared" si="161"/>
        <v>0</v>
      </c>
      <c r="AP91" s="220">
        <f t="shared" si="162"/>
        <v>0</v>
      </c>
      <c r="AQ91" s="220">
        <f t="shared" si="163"/>
        <v>0</v>
      </c>
      <c r="AR91" s="220">
        <f t="shared" si="164"/>
        <v>49.209600000000002</v>
      </c>
      <c r="AS91" s="220">
        <f t="shared" si="165"/>
        <v>0</v>
      </c>
      <c r="AT91" s="220">
        <f t="shared" si="166"/>
        <v>64.328876800000003</v>
      </c>
      <c r="AU91" s="220">
        <f t="shared" si="167"/>
        <v>59.6688768</v>
      </c>
      <c r="AV91" s="220">
        <f t="shared" si="168"/>
        <v>39.779251199999997</v>
      </c>
      <c r="AW91" s="220">
        <f t="shared" si="169"/>
        <v>22.658645925925935</v>
      </c>
      <c r="AX91" s="220">
        <f t="shared" si="170"/>
        <v>39.779251199999997</v>
      </c>
      <c r="AY91" s="220">
        <f t="shared" si="171"/>
        <v>19.889625599999999</v>
      </c>
      <c r="AZ91" s="220">
        <f t="shared" si="172"/>
        <v>39.779251199999997</v>
      </c>
      <c r="BA91" s="220">
        <f t="shared" si="173"/>
        <v>19.889625599999999</v>
      </c>
      <c r="BD91" s="220">
        <f t="shared" ref="BD91" si="233">+K91*$E91/1000*$I91</f>
        <v>0</v>
      </c>
      <c r="BE91" s="220">
        <f t="shared" ref="BE91" si="234">+L91*$E91/1000*$I91</f>
        <v>0</v>
      </c>
      <c r="BF91" s="220">
        <f t="shared" ref="BF91" si="235">+M91*$E91/1000*$I91</f>
        <v>0</v>
      </c>
      <c r="BG91" s="220">
        <f t="shared" ref="BG91" si="236">+N91*$E91/1000*$I91</f>
        <v>0</v>
      </c>
      <c r="BH91" s="220">
        <f t="shared" ref="BH91" si="237">+O91*$E91/1000*$I91</f>
        <v>0</v>
      </c>
      <c r="BI91" s="220">
        <f t="shared" ref="BI91" si="238">+P91*$E91/1000*$I91</f>
        <v>0</v>
      </c>
      <c r="BJ91" s="220">
        <f t="shared" ref="BJ91" si="239">+Q91*$E91/1000*$I91</f>
        <v>0</v>
      </c>
      <c r="BK91" s="220">
        <f t="shared" ref="BK91" si="240">+R91*$E91/1000*$I91</f>
        <v>0</v>
      </c>
      <c r="BL91" s="220">
        <f t="shared" ref="BL91" si="241">+S91*$E91/1000*$I91</f>
        <v>0</v>
      </c>
      <c r="BM91" s="220">
        <f t="shared" ref="BM91" si="242">+T91*$E91/1000*$I91</f>
        <v>0</v>
      </c>
      <c r="BN91" s="220">
        <f t="shared" ref="BN91" si="243">+U91*$E91/1000*$I91</f>
        <v>0</v>
      </c>
      <c r="BO91" s="220">
        <f t="shared" ref="BO91" si="244">+V91*$E91/1000*$I91</f>
        <v>0</v>
      </c>
      <c r="BP91" s="220">
        <f t="shared" ref="BP91" si="245">+W91*$E91/1000*$I91</f>
        <v>0</v>
      </c>
      <c r="BQ91" s="220">
        <f t="shared" ref="BQ91" si="246">+X91*$E91/1000*$I91</f>
        <v>0</v>
      </c>
      <c r="BR91" s="220">
        <f t="shared" si="209"/>
        <v>0</v>
      </c>
      <c r="BS91" s="220">
        <f t="shared" si="123"/>
        <v>0</v>
      </c>
      <c r="BT91" s="220">
        <f t="shared" si="124"/>
        <v>0</v>
      </c>
      <c r="BU91" s="220">
        <f t="shared" si="125"/>
        <v>0</v>
      </c>
      <c r="BV91" s="220">
        <f t="shared" si="126"/>
        <v>0</v>
      </c>
      <c r="BW91" s="220">
        <f t="shared" si="127"/>
        <v>0</v>
      </c>
      <c r="BX91" s="220">
        <f t="shared" si="128"/>
        <v>0</v>
      </c>
      <c r="CA91" s="220">
        <f t="shared" ref="CA91" si="247">IF($C91="CERVECERIA Y MALTERIA.",K91*$E91/1000*(1-$I91),0)</f>
        <v>0</v>
      </c>
      <c r="CB91" s="220">
        <f t="shared" ref="CB91" si="248">IF($C91="CERVECERIA Y MALTERIA.",L91*$E91/1000*(1-$I91),0)</f>
        <v>0</v>
      </c>
      <c r="CC91" s="220">
        <f t="shared" ref="CC91" si="249">IF($C91="CERVECERIA Y MALTERIA.",M91*$E91/1000*(1-$I91),0)</f>
        <v>0</v>
      </c>
      <c r="CD91" s="220">
        <f t="shared" ref="CD91" si="250">IF($C91="CERVECERIA Y MALTERIA.",N91*$E91/1000*(1-$I91),0)</f>
        <v>0</v>
      </c>
      <c r="CE91" s="220">
        <f t="shared" ref="CE91" si="251">IF($C91="CERVECERIA Y MALTERIA.",O91*$E91/1000*(1-$I91),0)</f>
        <v>0</v>
      </c>
      <c r="CF91" s="220">
        <f t="shared" ref="CF91" si="252">IF($C91="CERVECERIA Y MALTERIA.",P91*$E91/1000*(1-$I91),0)</f>
        <v>0</v>
      </c>
      <c r="CG91" s="220">
        <f t="shared" ref="CG91" si="253">IF($C91="CERVECERIA Y MALTERIA.",Q91*$E91/1000*(1-$I91),0)</f>
        <v>0</v>
      </c>
      <c r="CH91" s="220">
        <f t="shared" ref="CH91" si="254">IF($C91="CERVECERIA Y MALTERIA.",R91*$E91/1000*(1-$I91),0)</f>
        <v>0</v>
      </c>
      <c r="CI91" s="220">
        <f t="shared" ref="CI91" si="255">IF($C91="CERVECERIA Y MALTERIA.",S91*$E91/1000*(1-$I91),0)</f>
        <v>0</v>
      </c>
      <c r="CJ91" s="220">
        <f t="shared" ref="CJ91" si="256">IF($C91="CERVECERIA Y MALTERIA.",T91*$E91/1000*(1-$I91),0)</f>
        <v>0</v>
      </c>
      <c r="CK91" s="220">
        <f t="shared" ref="CK91" si="257">IF($C91="CERVECERIA Y MALTERIA.",U91*$E91/1000*(1-$I91),0)</f>
        <v>0</v>
      </c>
      <c r="CL91" s="220">
        <f t="shared" ref="CL91" si="258">IF($C91="CERVECERIA Y MALTERIA.",V91*$E91/1000*(1-$I91),0)</f>
        <v>0</v>
      </c>
      <c r="CM91" s="220">
        <f t="shared" ref="CM91" si="259">IF($C91="CERVECERIA Y MALTERIA.",W91*$E91/1000*(1-$I91),0)</f>
        <v>0</v>
      </c>
      <c r="CN91" s="220">
        <f t="shared" ref="CN91" si="260">IF($C91="CERVECERIA Y MALTERIA.",X91*$E91/1000*(1-$I91),0)</f>
        <v>0</v>
      </c>
      <c r="CO91" s="220">
        <f t="shared" si="210"/>
        <v>0</v>
      </c>
      <c r="CP91" s="220">
        <f t="shared" si="130"/>
        <v>0</v>
      </c>
      <c r="CQ91" s="220">
        <f t="shared" si="131"/>
        <v>0</v>
      </c>
      <c r="CR91" s="220">
        <f t="shared" si="132"/>
        <v>0</v>
      </c>
      <c r="CS91" s="220">
        <f t="shared" si="133"/>
        <v>0</v>
      </c>
      <c r="CT91" s="220">
        <f t="shared" si="134"/>
        <v>0</v>
      </c>
      <c r="CU91" s="220">
        <f t="shared" si="135"/>
        <v>0</v>
      </c>
    </row>
    <row r="92" spans="1:99" x14ac:dyDescent="0.35">
      <c r="A92" s="233">
        <v>5121</v>
      </c>
      <c r="B92" s="233">
        <v>20001057</v>
      </c>
      <c r="C92" s="234" t="s">
        <v>105</v>
      </c>
      <c r="D92" s="234">
        <v>50021818</v>
      </c>
      <c r="E92" s="233">
        <v>46.6</v>
      </c>
      <c r="F92" s="233" t="s">
        <v>106</v>
      </c>
      <c r="G92" s="233" t="s">
        <v>115</v>
      </c>
      <c r="H92" s="233" t="s">
        <v>70</v>
      </c>
      <c r="I92" s="236">
        <v>0</v>
      </c>
      <c r="K92" s="238">
        <v>0</v>
      </c>
      <c r="L92" s="238">
        <v>0</v>
      </c>
      <c r="M92" s="238">
        <v>0</v>
      </c>
      <c r="N92" s="238">
        <v>0</v>
      </c>
      <c r="O92" s="237">
        <v>0</v>
      </c>
      <c r="P92" s="237">
        <v>0</v>
      </c>
      <c r="Q92" s="237">
        <v>0</v>
      </c>
      <c r="R92" s="237">
        <v>0</v>
      </c>
      <c r="S92" s="238">
        <v>0</v>
      </c>
      <c r="T92" s="263">
        <v>196.35466666666665</v>
      </c>
      <c r="U92" s="262">
        <v>244.44444444444443</v>
      </c>
      <c r="V92" s="262">
        <v>546</v>
      </c>
      <c r="W92" s="262">
        <v>0</v>
      </c>
      <c r="X92" s="262">
        <v>0</v>
      </c>
      <c r="Y92" s="262">
        <v>0</v>
      </c>
      <c r="Z92" s="262">
        <v>0</v>
      </c>
      <c r="AA92" s="262">
        <v>0</v>
      </c>
      <c r="AB92" s="262">
        <v>0</v>
      </c>
      <c r="AC92" s="262">
        <v>0</v>
      </c>
      <c r="AD92" s="262">
        <v>0</v>
      </c>
      <c r="AE92" s="262">
        <v>0</v>
      </c>
      <c r="AG92" s="220">
        <f t="shared" si="153"/>
        <v>0</v>
      </c>
      <c r="AH92" s="220">
        <f t="shared" si="154"/>
        <v>0</v>
      </c>
      <c r="AI92" s="220">
        <f t="shared" si="155"/>
        <v>0</v>
      </c>
      <c r="AJ92" s="220">
        <f t="shared" si="156"/>
        <v>0</v>
      </c>
      <c r="AK92" s="220">
        <f t="shared" si="157"/>
        <v>0</v>
      </c>
      <c r="AL92" s="220">
        <f t="shared" si="158"/>
        <v>0</v>
      </c>
      <c r="AM92" s="220">
        <f t="shared" si="159"/>
        <v>0</v>
      </c>
      <c r="AN92" s="220">
        <f t="shared" si="160"/>
        <v>0</v>
      </c>
      <c r="AO92" s="220">
        <f t="shared" si="161"/>
        <v>0</v>
      </c>
      <c r="AP92" s="220">
        <f t="shared" si="162"/>
        <v>9.1501274666666674</v>
      </c>
      <c r="AQ92" s="220">
        <f t="shared" si="163"/>
        <v>11.391111111111112</v>
      </c>
      <c r="AR92" s="220">
        <f t="shared" si="164"/>
        <v>25.443600000000004</v>
      </c>
      <c r="AS92" s="220">
        <f t="shared" si="165"/>
        <v>0</v>
      </c>
      <c r="AT92" s="220">
        <f t="shared" si="166"/>
        <v>0</v>
      </c>
      <c r="AU92" s="220">
        <f t="shared" si="167"/>
        <v>0</v>
      </c>
      <c r="AV92" s="220">
        <f t="shared" si="168"/>
        <v>0</v>
      </c>
      <c r="AW92" s="220">
        <f t="shared" si="169"/>
        <v>0</v>
      </c>
      <c r="AX92" s="220">
        <f t="shared" si="170"/>
        <v>0</v>
      </c>
      <c r="AY92" s="220">
        <f t="shared" si="171"/>
        <v>0</v>
      </c>
      <c r="AZ92" s="220">
        <f t="shared" si="172"/>
        <v>0</v>
      </c>
      <c r="BA92" s="220">
        <f t="shared" si="173"/>
        <v>0</v>
      </c>
      <c r="BD92" s="220">
        <f t="shared" ref="BD92:BD102" si="261">+K92*$E92/1000*$I92</f>
        <v>0</v>
      </c>
      <c r="BE92" s="220">
        <f t="shared" ref="BE92:BE102" si="262">+L92*$E92/1000*$I92</f>
        <v>0</v>
      </c>
      <c r="BF92" s="220">
        <f t="shared" ref="BF92:BF102" si="263">+M92*$E92/1000*$I92</f>
        <v>0</v>
      </c>
      <c r="BG92" s="220">
        <f t="shared" ref="BG92:BG102" si="264">+N92*$E92/1000*$I92</f>
        <v>0</v>
      </c>
      <c r="BH92" s="220">
        <f t="shared" ref="BH92:BH102" si="265">+O92*$E92/1000*$I92</f>
        <v>0</v>
      </c>
      <c r="BI92" s="220">
        <f t="shared" ref="BI92:BI102" si="266">+P92*$E92/1000*$I92</f>
        <v>0</v>
      </c>
      <c r="BJ92" s="220">
        <f t="shared" ref="BJ92:BJ102" si="267">+Q92*$E92/1000*$I92</f>
        <v>0</v>
      </c>
      <c r="BK92" s="220">
        <f t="shared" ref="BK92:BK102" si="268">+R92*$E92/1000*$I92</f>
        <v>0</v>
      </c>
      <c r="BL92" s="220">
        <f t="shared" ref="BL92:BL102" si="269">+S92*$E92/1000*$I92</f>
        <v>0</v>
      </c>
      <c r="BM92" s="220">
        <f t="shared" ref="BM92:BM102" si="270">+T92*$E92/1000*$I92</f>
        <v>0</v>
      </c>
      <c r="BN92" s="220">
        <f t="shared" ref="BN92:BN102" si="271">+U92*$E92/1000*$I92</f>
        <v>0</v>
      </c>
      <c r="BO92" s="220">
        <f t="shared" ref="BO92:BO102" si="272">+V92*$E92/1000*$I92</f>
        <v>0</v>
      </c>
      <c r="BP92" s="220">
        <f t="shared" ref="BP92:BP102" si="273">+W92*$E92/1000*$I92</f>
        <v>0</v>
      </c>
      <c r="BQ92" s="220">
        <f t="shared" ref="BQ92:BQ102" si="274">+X92*$E92/1000*$I92</f>
        <v>0</v>
      </c>
      <c r="BR92" s="220">
        <f t="shared" si="209"/>
        <v>0</v>
      </c>
      <c r="BS92" s="220">
        <f t="shared" si="123"/>
        <v>0</v>
      </c>
      <c r="BT92" s="220">
        <f t="shared" si="124"/>
        <v>0</v>
      </c>
      <c r="BU92" s="220">
        <f t="shared" si="125"/>
        <v>0</v>
      </c>
      <c r="BV92" s="220">
        <f t="shared" si="126"/>
        <v>0</v>
      </c>
      <c r="BW92" s="220">
        <f t="shared" si="127"/>
        <v>0</v>
      </c>
      <c r="BX92" s="220">
        <f t="shared" si="128"/>
        <v>0</v>
      </c>
      <c r="CA92" s="220">
        <f t="shared" ref="CA92:CA104" si="275">IF($C92="CERVECERIA Y MALTERIA.",K92*$E92/1000*(1-$I92),0)</f>
        <v>0</v>
      </c>
      <c r="CB92" s="220">
        <f t="shared" ref="CB92:CB104" si="276">IF($C92="CERVECERIA Y MALTERIA.",L92*$E92/1000*(1-$I92),0)</f>
        <v>0</v>
      </c>
      <c r="CC92" s="220">
        <f t="shared" ref="CC92:CC104" si="277">IF($C92="CERVECERIA Y MALTERIA.",M92*$E92/1000*(1-$I92),0)</f>
        <v>0</v>
      </c>
      <c r="CD92" s="220">
        <f t="shared" ref="CD92:CD104" si="278">IF($C92="CERVECERIA Y MALTERIA.",N92*$E92/1000*(1-$I92),0)</f>
        <v>0</v>
      </c>
      <c r="CE92" s="220">
        <f t="shared" ref="CE92:CE104" si="279">IF($C92="CERVECERIA Y MALTERIA.",O92*$E92/1000*(1-$I92),0)</f>
        <v>0</v>
      </c>
      <c r="CF92" s="220">
        <f t="shared" ref="CF92:CF104" si="280">IF($C92="CERVECERIA Y MALTERIA.",P92*$E92/1000*(1-$I92),0)</f>
        <v>0</v>
      </c>
      <c r="CG92" s="220">
        <f t="shared" ref="CG92:CG104" si="281">IF($C92="CERVECERIA Y MALTERIA.",Q92*$E92/1000*(1-$I92),0)</f>
        <v>0</v>
      </c>
      <c r="CH92" s="220">
        <f t="shared" ref="CH92:CH104" si="282">IF($C92="CERVECERIA Y MALTERIA.",R92*$E92/1000*(1-$I92),0)</f>
        <v>0</v>
      </c>
      <c r="CI92" s="220">
        <f t="shared" ref="CI92:CI104" si="283">IF($C92="CERVECERIA Y MALTERIA.",S92*$E92/1000*(1-$I92),0)</f>
        <v>0</v>
      </c>
      <c r="CJ92" s="220">
        <f t="shared" ref="CJ92:CJ104" si="284">IF($C92="CERVECERIA Y MALTERIA.",T92*$E92/1000*(1-$I92),0)</f>
        <v>0</v>
      </c>
      <c r="CK92" s="220">
        <f t="shared" ref="CK92:CK104" si="285">IF($C92="CERVECERIA Y MALTERIA.",U92*$E92/1000*(1-$I92),0)</f>
        <v>0</v>
      </c>
      <c r="CL92" s="220">
        <f t="shared" ref="CL92:CL104" si="286">IF($C92="CERVECERIA Y MALTERIA.",V92*$E92/1000*(1-$I92),0)</f>
        <v>0</v>
      </c>
      <c r="CM92" s="220">
        <f t="shared" ref="CM92:CM104" si="287">IF($C92="CERVECERIA Y MALTERIA.",W92*$E92/1000*(1-$I92),0)</f>
        <v>0</v>
      </c>
      <c r="CN92" s="220">
        <f t="shared" ref="CN92:CN104" si="288">IF($C92="CERVECERIA Y MALTERIA.",X92*$E92/1000*(1-$I92),0)</f>
        <v>0</v>
      </c>
      <c r="CO92" s="220">
        <f t="shared" si="210"/>
        <v>0</v>
      </c>
      <c r="CP92" s="220">
        <f t="shared" si="130"/>
        <v>0</v>
      </c>
      <c r="CQ92" s="220">
        <f t="shared" si="131"/>
        <v>0</v>
      </c>
      <c r="CR92" s="220">
        <f t="shared" si="132"/>
        <v>0</v>
      </c>
      <c r="CS92" s="220">
        <f t="shared" si="133"/>
        <v>0</v>
      </c>
      <c r="CT92" s="220">
        <f t="shared" si="134"/>
        <v>0</v>
      </c>
      <c r="CU92" s="220">
        <f t="shared" si="135"/>
        <v>0</v>
      </c>
    </row>
    <row r="93" spans="1:99" x14ac:dyDescent="0.35">
      <c r="A93" s="233">
        <v>5121</v>
      </c>
      <c r="B93" s="233">
        <v>20001057</v>
      </c>
      <c r="C93" s="234" t="s">
        <v>105</v>
      </c>
      <c r="D93" s="234">
        <v>50025345</v>
      </c>
      <c r="E93" s="233">
        <v>46.6</v>
      </c>
      <c r="F93" s="233" t="s">
        <v>106</v>
      </c>
      <c r="G93" s="233" t="s">
        <v>115</v>
      </c>
      <c r="H93" s="233" t="s">
        <v>70</v>
      </c>
      <c r="I93" s="236">
        <v>0</v>
      </c>
      <c r="K93" s="238"/>
      <c r="L93" s="238"/>
      <c r="M93" s="238"/>
      <c r="N93" s="238"/>
      <c r="O93" s="237"/>
      <c r="P93" s="237"/>
      <c r="Q93" s="237"/>
      <c r="R93" s="237"/>
      <c r="S93" s="238"/>
      <c r="T93" s="263"/>
      <c r="U93" s="262"/>
      <c r="V93" s="262">
        <v>0</v>
      </c>
      <c r="W93" s="262">
        <v>0</v>
      </c>
      <c r="X93" s="262">
        <v>0</v>
      </c>
      <c r="Y93" s="262">
        <v>0</v>
      </c>
      <c r="Z93" s="262">
        <v>0</v>
      </c>
      <c r="AA93" s="262">
        <v>0</v>
      </c>
      <c r="AB93" s="262">
        <v>0</v>
      </c>
      <c r="AC93" s="262">
        <v>0</v>
      </c>
      <c r="AD93" s="262">
        <v>0</v>
      </c>
      <c r="AE93" s="262">
        <v>0</v>
      </c>
      <c r="AG93" s="220">
        <f t="shared" si="153"/>
        <v>0</v>
      </c>
      <c r="AH93" s="220">
        <f t="shared" si="154"/>
        <v>0</v>
      </c>
      <c r="AI93" s="220">
        <f t="shared" si="155"/>
        <v>0</v>
      </c>
      <c r="AJ93" s="220">
        <f t="shared" si="156"/>
        <v>0</v>
      </c>
      <c r="AK93" s="220">
        <f t="shared" si="157"/>
        <v>0</v>
      </c>
      <c r="AL93" s="220">
        <f t="shared" si="158"/>
        <v>0</v>
      </c>
      <c r="AM93" s="220">
        <f t="shared" si="159"/>
        <v>0</v>
      </c>
      <c r="AN93" s="220">
        <f t="shared" si="160"/>
        <v>0</v>
      </c>
      <c r="AO93" s="220">
        <f t="shared" si="161"/>
        <v>0</v>
      </c>
      <c r="AP93" s="220">
        <f t="shared" si="162"/>
        <v>0</v>
      </c>
      <c r="AQ93" s="220">
        <f t="shared" si="163"/>
        <v>0</v>
      </c>
      <c r="AR93" s="220">
        <f t="shared" si="164"/>
        <v>0</v>
      </c>
      <c r="AS93" s="220">
        <f t="shared" si="165"/>
        <v>0</v>
      </c>
      <c r="AT93" s="220">
        <f t="shared" si="166"/>
        <v>0</v>
      </c>
      <c r="AU93" s="220">
        <f t="shared" si="167"/>
        <v>0</v>
      </c>
      <c r="AV93" s="220">
        <f t="shared" si="168"/>
        <v>0</v>
      </c>
      <c r="AW93" s="220">
        <f t="shared" si="169"/>
        <v>0</v>
      </c>
      <c r="AX93" s="220">
        <f t="shared" si="170"/>
        <v>0</v>
      </c>
      <c r="AY93" s="220">
        <f t="shared" si="171"/>
        <v>0</v>
      </c>
      <c r="AZ93" s="220">
        <f t="shared" si="172"/>
        <v>0</v>
      </c>
      <c r="BA93" s="220">
        <f t="shared" si="173"/>
        <v>0</v>
      </c>
      <c r="BD93" s="220">
        <f t="shared" si="261"/>
        <v>0</v>
      </c>
      <c r="BE93" s="220">
        <f t="shared" si="262"/>
        <v>0</v>
      </c>
      <c r="BF93" s="220">
        <f t="shared" si="263"/>
        <v>0</v>
      </c>
      <c r="BG93" s="220">
        <f t="shared" si="264"/>
        <v>0</v>
      </c>
      <c r="BH93" s="220">
        <f t="shared" si="265"/>
        <v>0</v>
      </c>
      <c r="BI93" s="220">
        <f t="shared" si="266"/>
        <v>0</v>
      </c>
      <c r="BJ93" s="220">
        <f t="shared" si="267"/>
        <v>0</v>
      </c>
      <c r="BK93" s="220">
        <f t="shared" si="268"/>
        <v>0</v>
      </c>
      <c r="BL93" s="220">
        <f t="shared" si="269"/>
        <v>0</v>
      </c>
      <c r="BM93" s="220">
        <f t="shared" si="270"/>
        <v>0</v>
      </c>
      <c r="BN93" s="220">
        <f t="shared" si="271"/>
        <v>0</v>
      </c>
      <c r="BO93" s="220">
        <f t="shared" si="272"/>
        <v>0</v>
      </c>
      <c r="BP93" s="220">
        <f t="shared" si="273"/>
        <v>0</v>
      </c>
      <c r="BQ93" s="220">
        <f t="shared" si="274"/>
        <v>0</v>
      </c>
      <c r="BR93" s="220">
        <f t="shared" si="209"/>
        <v>0</v>
      </c>
      <c r="BS93" s="220">
        <f t="shared" si="123"/>
        <v>0</v>
      </c>
      <c r="BT93" s="220">
        <f t="shared" si="124"/>
        <v>0</v>
      </c>
      <c r="BU93" s="220">
        <f t="shared" si="125"/>
        <v>0</v>
      </c>
      <c r="BV93" s="220">
        <f t="shared" si="126"/>
        <v>0</v>
      </c>
      <c r="BW93" s="220">
        <f t="shared" si="127"/>
        <v>0</v>
      </c>
      <c r="BX93" s="220">
        <f t="shared" si="128"/>
        <v>0</v>
      </c>
      <c r="CA93" s="220">
        <f t="shared" si="275"/>
        <v>0</v>
      </c>
      <c r="CB93" s="220">
        <f t="shared" si="276"/>
        <v>0</v>
      </c>
      <c r="CC93" s="220">
        <f t="shared" si="277"/>
        <v>0</v>
      </c>
      <c r="CD93" s="220">
        <f t="shared" si="278"/>
        <v>0</v>
      </c>
      <c r="CE93" s="220">
        <f t="shared" si="279"/>
        <v>0</v>
      </c>
      <c r="CF93" s="220">
        <f t="shared" si="280"/>
        <v>0</v>
      </c>
      <c r="CG93" s="220">
        <f t="shared" si="281"/>
        <v>0</v>
      </c>
      <c r="CH93" s="220">
        <f t="shared" si="282"/>
        <v>0</v>
      </c>
      <c r="CI93" s="220">
        <f t="shared" si="283"/>
        <v>0</v>
      </c>
      <c r="CJ93" s="220">
        <f t="shared" si="284"/>
        <v>0</v>
      </c>
      <c r="CK93" s="220">
        <f t="shared" si="285"/>
        <v>0</v>
      </c>
      <c r="CL93" s="220">
        <f t="shared" si="286"/>
        <v>0</v>
      </c>
      <c r="CM93" s="220">
        <f t="shared" si="287"/>
        <v>0</v>
      </c>
      <c r="CN93" s="220">
        <f t="shared" si="288"/>
        <v>0</v>
      </c>
      <c r="CO93" s="220">
        <f t="shared" si="210"/>
        <v>0</v>
      </c>
      <c r="CP93" s="220">
        <f t="shared" si="130"/>
        <v>0</v>
      </c>
      <c r="CQ93" s="220">
        <f t="shared" si="131"/>
        <v>0</v>
      </c>
      <c r="CR93" s="220">
        <f t="shared" si="132"/>
        <v>0</v>
      </c>
      <c r="CS93" s="220">
        <f t="shared" si="133"/>
        <v>0</v>
      </c>
      <c r="CT93" s="220">
        <f t="shared" si="134"/>
        <v>0</v>
      </c>
      <c r="CU93" s="220">
        <f t="shared" si="135"/>
        <v>0</v>
      </c>
    </row>
    <row r="94" spans="1:99" x14ac:dyDescent="0.35">
      <c r="A94" s="233">
        <v>5121</v>
      </c>
      <c r="B94" s="233">
        <v>20001057</v>
      </c>
      <c r="C94" s="234" t="s">
        <v>105</v>
      </c>
      <c r="D94" s="234">
        <v>50035308</v>
      </c>
      <c r="E94" s="233">
        <v>46.6</v>
      </c>
      <c r="F94" s="233" t="s">
        <v>109</v>
      </c>
      <c r="G94" s="233" t="s">
        <v>107</v>
      </c>
      <c r="H94" s="233" t="s">
        <v>70</v>
      </c>
      <c r="I94" s="236">
        <v>0</v>
      </c>
      <c r="K94" s="238">
        <v>0</v>
      </c>
      <c r="L94" s="238">
        <v>0</v>
      </c>
      <c r="M94" s="238">
        <v>0</v>
      </c>
      <c r="N94" s="238">
        <v>0</v>
      </c>
      <c r="O94" s="238">
        <v>0</v>
      </c>
      <c r="P94" s="238">
        <v>0</v>
      </c>
      <c r="Q94" s="238">
        <v>0</v>
      </c>
      <c r="R94" s="237">
        <v>0</v>
      </c>
      <c r="S94" s="238">
        <v>0</v>
      </c>
      <c r="T94" s="263">
        <v>0</v>
      </c>
      <c r="U94" s="262">
        <v>0</v>
      </c>
      <c r="V94" s="262">
        <v>0</v>
      </c>
      <c r="W94" s="262">
        <v>0</v>
      </c>
      <c r="X94" s="262">
        <v>0</v>
      </c>
      <c r="Y94" s="262">
        <v>0</v>
      </c>
      <c r="Z94" s="262">
        <v>0</v>
      </c>
      <c r="AA94" s="262">
        <v>0</v>
      </c>
      <c r="AB94" s="262">
        <v>0</v>
      </c>
      <c r="AC94" s="262">
        <v>0</v>
      </c>
      <c r="AD94" s="262">
        <v>0</v>
      </c>
      <c r="AE94" s="262">
        <v>0</v>
      </c>
      <c r="AG94" s="220">
        <f t="shared" si="153"/>
        <v>0</v>
      </c>
      <c r="AH94" s="220">
        <f t="shared" si="154"/>
        <v>0</v>
      </c>
      <c r="AI94" s="220">
        <f t="shared" si="155"/>
        <v>0</v>
      </c>
      <c r="AJ94" s="220">
        <f t="shared" si="156"/>
        <v>0</v>
      </c>
      <c r="AK94" s="220">
        <f t="shared" si="157"/>
        <v>0</v>
      </c>
      <c r="AL94" s="220">
        <f t="shared" si="158"/>
        <v>0</v>
      </c>
      <c r="AM94" s="220">
        <f t="shared" si="159"/>
        <v>0</v>
      </c>
      <c r="AN94" s="220">
        <f t="shared" si="160"/>
        <v>0</v>
      </c>
      <c r="AO94" s="220">
        <f t="shared" si="161"/>
        <v>0</v>
      </c>
      <c r="AP94" s="220">
        <f t="shared" si="162"/>
        <v>0</v>
      </c>
      <c r="AQ94" s="220">
        <f t="shared" si="163"/>
        <v>0</v>
      </c>
      <c r="AR94" s="220">
        <f t="shared" si="164"/>
        <v>0</v>
      </c>
      <c r="AS94" s="220">
        <f t="shared" si="165"/>
        <v>0</v>
      </c>
      <c r="AT94" s="220">
        <f t="shared" si="166"/>
        <v>0</v>
      </c>
      <c r="AU94" s="220">
        <f t="shared" si="167"/>
        <v>0</v>
      </c>
      <c r="AV94" s="220">
        <f t="shared" si="168"/>
        <v>0</v>
      </c>
      <c r="AW94" s="220">
        <f t="shared" si="169"/>
        <v>0</v>
      </c>
      <c r="AX94" s="220">
        <f t="shared" si="170"/>
        <v>0</v>
      </c>
      <c r="AY94" s="220">
        <f t="shared" si="171"/>
        <v>0</v>
      </c>
      <c r="AZ94" s="220">
        <f t="shared" si="172"/>
        <v>0</v>
      </c>
      <c r="BA94" s="220">
        <f t="shared" si="173"/>
        <v>0</v>
      </c>
      <c r="BB94" s="219"/>
      <c r="BC94" s="219"/>
      <c r="BD94" s="220">
        <f t="shared" si="261"/>
        <v>0</v>
      </c>
      <c r="BE94" s="220">
        <f t="shared" si="262"/>
        <v>0</v>
      </c>
      <c r="BF94" s="220">
        <f t="shared" si="263"/>
        <v>0</v>
      </c>
      <c r="BG94" s="220">
        <f t="shared" si="264"/>
        <v>0</v>
      </c>
      <c r="BH94" s="220">
        <f t="shared" si="265"/>
        <v>0</v>
      </c>
      <c r="BI94" s="220">
        <f t="shared" si="266"/>
        <v>0</v>
      </c>
      <c r="BJ94" s="220">
        <f t="shared" si="267"/>
        <v>0</v>
      </c>
      <c r="BK94" s="220">
        <f t="shared" si="268"/>
        <v>0</v>
      </c>
      <c r="BL94" s="220">
        <f t="shared" si="269"/>
        <v>0</v>
      </c>
      <c r="BM94" s="220">
        <f t="shared" si="270"/>
        <v>0</v>
      </c>
      <c r="BN94" s="220">
        <f t="shared" si="271"/>
        <v>0</v>
      </c>
      <c r="BO94" s="220">
        <f t="shared" si="272"/>
        <v>0</v>
      </c>
      <c r="BP94" s="220">
        <f t="shared" si="273"/>
        <v>0</v>
      </c>
      <c r="BQ94" s="220">
        <f t="shared" si="274"/>
        <v>0</v>
      </c>
      <c r="BR94" s="220">
        <f t="shared" si="209"/>
        <v>0</v>
      </c>
      <c r="BS94" s="220">
        <f t="shared" si="123"/>
        <v>0</v>
      </c>
      <c r="BT94" s="220">
        <f t="shared" si="124"/>
        <v>0</v>
      </c>
      <c r="BU94" s="220">
        <f t="shared" si="125"/>
        <v>0</v>
      </c>
      <c r="BV94" s="220">
        <f t="shared" si="126"/>
        <v>0</v>
      </c>
      <c r="BW94" s="220">
        <f t="shared" si="127"/>
        <v>0</v>
      </c>
      <c r="BX94" s="220">
        <f t="shared" si="128"/>
        <v>0</v>
      </c>
      <c r="CA94" s="220">
        <f t="shared" si="275"/>
        <v>0</v>
      </c>
      <c r="CB94" s="220">
        <f t="shared" si="276"/>
        <v>0</v>
      </c>
      <c r="CC94" s="220">
        <f t="shared" si="277"/>
        <v>0</v>
      </c>
      <c r="CD94" s="220">
        <f t="shared" si="278"/>
        <v>0</v>
      </c>
      <c r="CE94" s="220">
        <f t="shared" si="279"/>
        <v>0</v>
      </c>
      <c r="CF94" s="220">
        <f t="shared" si="280"/>
        <v>0</v>
      </c>
      <c r="CG94" s="220">
        <f t="shared" si="281"/>
        <v>0</v>
      </c>
      <c r="CH94" s="220">
        <f t="shared" si="282"/>
        <v>0</v>
      </c>
      <c r="CI94" s="220">
        <f t="shared" si="283"/>
        <v>0</v>
      </c>
      <c r="CJ94" s="220">
        <f t="shared" si="284"/>
        <v>0</v>
      </c>
      <c r="CK94" s="220">
        <f t="shared" si="285"/>
        <v>0</v>
      </c>
      <c r="CL94" s="220">
        <f t="shared" si="286"/>
        <v>0</v>
      </c>
      <c r="CM94" s="220">
        <f t="shared" si="287"/>
        <v>0</v>
      </c>
      <c r="CN94" s="220">
        <f t="shared" si="288"/>
        <v>0</v>
      </c>
      <c r="CO94" s="220">
        <f t="shared" si="210"/>
        <v>0</v>
      </c>
      <c r="CP94" s="220">
        <f t="shared" si="130"/>
        <v>0</v>
      </c>
      <c r="CQ94" s="220">
        <f t="shared" si="131"/>
        <v>0</v>
      </c>
      <c r="CR94" s="220">
        <f t="shared" si="132"/>
        <v>0</v>
      </c>
      <c r="CS94" s="220">
        <f t="shared" si="133"/>
        <v>0</v>
      </c>
      <c r="CT94" s="220">
        <f t="shared" si="134"/>
        <v>0</v>
      </c>
      <c r="CU94" s="220">
        <f t="shared" si="135"/>
        <v>0</v>
      </c>
    </row>
    <row r="95" spans="1:99" x14ac:dyDescent="0.35">
      <c r="A95" s="233">
        <v>5121</v>
      </c>
      <c r="B95" s="233">
        <v>20001057</v>
      </c>
      <c r="C95" s="234" t="s">
        <v>105</v>
      </c>
      <c r="D95" s="234">
        <v>50034612</v>
      </c>
      <c r="E95" s="233">
        <v>46.6</v>
      </c>
      <c r="F95" s="233" t="s">
        <v>109</v>
      </c>
      <c r="G95" s="233" t="s">
        <v>107</v>
      </c>
      <c r="H95" s="233" t="s">
        <v>70</v>
      </c>
      <c r="I95" s="236">
        <v>0</v>
      </c>
      <c r="K95" s="238">
        <v>916</v>
      </c>
      <c r="L95" s="238">
        <v>424.03266880876214</v>
      </c>
      <c r="M95" s="238">
        <v>517.77777777777783</v>
      </c>
      <c r="N95" s="238">
        <v>156</v>
      </c>
      <c r="O95" s="237">
        <v>200</v>
      </c>
      <c r="P95" s="237">
        <v>0</v>
      </c>
      <c r="Q95" s="237">
        <v>0</v>
      </c>
      <c r="R95" s="237">
        <v>0</v>
      </c>
      <c r="S95" s="238">
        <v>0</v>
      </c>
      <c r="T95" s="263">
        <v>460</v>
      </c>
      <c r="U95" s="262">
        <v>666.66666666666663</v>
      </c>
      <c r="V95" s="262">
        <v>0</v>
      </c>
      <c r="W95" s="262">
        <v>0</v>
      </c>
      <c r="X95" s="262">
        <v>0</v>
      </c>
      <c r="Y95" s="262">
        <v>0</v>
      </c>
      <c r="Z95" s="262">
        <v>0</v>
      </c>
      <c r="AA95" s="262">
        <v>0</v>
      </c>
      <c r="AB95" s="262">
        <v>0</v>
      </c>
      <c r="AC95" s="262">
        <v>0</v>
      </c>
      <c r="AD95" s="262">
        <v>0</v>
      </c>
      <c r="AE95" s="262">
        <v>0</v>
      </c>
      <c r="AG95" s="220">
        <f t="shared" si="153"/>
        <v>42.685600000000001</v>
      </c>
      <c r="AH95" s="220">
        <f t="shared" si="154"/>
        <v>19.759922366488318</v>
      </c>
      <c r="AI95" s="220">
        <f t="shared" si="155"/>
        <v>24.128444444444447</v>
      </c>
      <c r="AJ95" s="220">
        <f t="shared" si="156"/>
        <v>7.2696000000000005</v>
      </c>
      <c r="AK95" s="220">
        <f t="shared" si="157"/>
        <v>9.32</v>
      </c>
      <c r="AL95" s="220">
        <f t="shared" si="158"/>
        <v>0</v>
      </c>
      <c r="AM95" s="220">
        <f t="shared" si="159"/>
        <v>0</v>
      </c>
      <c r="AN95" s="220">
        <f t="shared" si="160"/>
        <v>0</v>
      </c>
      <c r="AO95" s="220">
        <f t="shared" si="161"/>
        <v>0</v>
      </c>
      <c r="AP95" s="220">
        <f t="shared" si="162"/>
        <v>21.436</v>
      </c>
      <c r="AQ95" s="220">
        <f t="shared" si="163"/>
        <v>31.066666666666663</v>
      </c>
      <c r="AR95" s="220">
        <f t="shared" si="164"/>
        <v>0</v>
      </c>
      <c r="AS95" s="220">
        <f t="shared" si="165"/>
        <v>0</v>
      </c>
      <c r="AT95" s="220">
        <f t="shared" si="166"/>
        <v>0</v>
      </c>
      <c r="AU95" s="220">
        <f t="shared" si="167"/>
        <v>0</v>
      </c>
      <c r="AV95" s="220">
        <f t="shared" si="168"/>
        <v>0</v>
      </c>
      <c r="AW95" s="220">
        <f t="shared" si="169"/>
        <v>0</v>
      </c>
      <c r="AX95" s="220">
        <f t="shared" si="170"/>
        <v>0</v>
      </c>
      <c r="AY95" s="220">
        <f t="shared" si="171"/>
        <v>0</v>
      </c>
      <c r="AZ95" s="220">
        <f t="shared" si="172"/>
        <v>0</v>
      </c>
      <c r="BA95" s="220">
        <f t="shared" si="173"/>
        <v>0</v>
      </c>
      <c r="BB95" s="219"/>
      <c r="BC95" s="219"/>
      <c r="BD95" s="220">
        <f t="shared" si="261"/>
        <v>0</v>
      </c>
      <c r="BE95" s="220">
        <f t="shared" si="262"/>
        <v>0</v>
      </c>
      <c r="BF95" s="220">
        <f t="shared" si="263"/>
        <v>0</v>
      </c>
      <c r="BG95" s="220">
        <f t="shared" si="264"/>
        <v>0</v>
      </c>
      <c r="BH95" s="220">
        <f t="shared" si="265"/>
        <v>0</v>
      </c>
      <c r="BI95" s="220">
        <f t="shared" si="266"/>
        <v>0</v>
      </c>
      <c r="BJ95" s="220">
        <f t="shared" si="267"/>
        <v>0</v>
      </c>
      <c r="BK95" s="220">
        <f t="shared" si="268"/>
        <v>0</v>
      </c>
      <c r="BL95" s="220">
        <f t="shared" si="269"/>
        <v>0</v>
      </c>
      <c r="BM95" s="220">
        <f t="shared" si="270"/>
        <v>0</v>
      </c>
      <c r="BN95" s="220">
        <f t="shared" si="271"/>
        <v>0</v>
      </c>
      <c r="BO95" s="220">
        <f t="shared" si="272"/>
        <v>0</v>
      </c>
      <c r="BP95" s="220">
        <f t="shared" si="273"/>
        <v>0</v>
      </c>
      <c r="BQ95" s="220">
        <f t="shared" si="274"/>
        <v>0</v>
      </c>
      <c r="BR95" s="220">
        <f t="shared" si="209"/>
        <v>0</v>
      </c>
      <c r="BS95" s="220">
        <f t="shared" si="123"/>
        <v>0</v>
      </c>
      <c r="BT95" s="220">
        <f t="shared" si="124"/>
        <v>0</v>
      </c>
      <c r="BU95" s="220">
        <f t="shared" si="125"/>
        <v>0</v>
      </c>
      <c r="BV95" s="220">
        <f t="shared" si="126"/>
        <v>0</v>
      </c>
      <c r="BW95" s="220">
        <f t="shared" si="127"/>
        <v>0</v>
      </c>
      <c r="BX95" s="220">
        <f t="shared" si="128"/>
        <v>0</v>
      </c>
      <c r="CA95" s="220">
        <f t="shared" si="275"/>
        <v>0</v>
      </c>
      <c r="CB95" s="220">
        <f t="shared" si="276"/>
        <v>0</v>
      </c>
      <c r="CC95" s="220">
        <f t="shared" si="277"/>
        <v>0</v>
      </c>
      <c r="CD95" s="220">
        <f t="shared" si="278"/>
        <v>0</v>
      </c>
      <c r="CE95" s="220">
        <f t="shared" si="279"/>
        <v>0</v>
      </c>
      <c r="CF95" s="220">
        <f t="shared" si="280"/>
        <v>0</v>
      </c>
      <c r="CG95" s="220">
        <f t="shared" si="281"/>
        <v>0</v>
      </c>
      <c r="CH95" s="220">
        <f t="shared" si="282"/>
        <v>0</v>
      </c>
      <c r="CI95" s="220">
        <f t="shared" si="283"/>
        <v>0</v>
      </c>
      <c r="CJ95" s="220">
        <f t="shared" si="284"/>
        <v>0</v>
      </c>
      <c r="CK95" s="220">
        <f t="shared" si="285"/>
        <v>0</v>
      </c>
      <c r="CL95" s="220">
        <f t="shared" si="286"/>
        <v>0</v>
      </c>
      <c r="CM95" s="220">
        <f t="shared" si="287"/>
        <v>0</v>
      </c>
      <c r="CN95" s="220">
        <f t="shared" si="288"/>
        <v>0</v>
      </c>
      <c r="CO95" s="220">
        <f t="shared" si="210"/>
        <v>0</v>
      </c>
      <c r="CP95" s="220">
        <f t="shared" si="130"/>
        <v>0</v>
      </c>
      <c r="CQ95" s="220">
        <f t="shared" si="131"/>
        <v>0</v>
      </c>
      <c r="CR95" s="220">
        <f t="shared" si="132"/>
        <v>0</v>
      </c>
      <c r="CS95" s="220">
        <f t="shared" si="133"/>
        <v>0</v>
      </c>
      <c r="CT95" s="220">
        <f t="shared" si="134"/>
        <v>0</v>
      </c>
      <c r="CU95" s="220">
        <f t="shared" si="135"/>
        <v>0</v>
      </c>
    </row>
    <row r="96" spans="1:99" x14ac:dyDescent="0.35">
      <c r="A96" s="233">
        <v>5121</v>
      </c>
      <c r="B96" s="233">
        <v>20001057</v>
      </c>
      <c r="C96" s="234" t="s">
        <v>105</v>
      </c>
      <c r="D96" s="234">
        <v>50033718</v>
      </c>
      <c r="E96" s="233">
        <v>46.6</v>
      </c>
      <c r="F96" s="233" t="s">
        <v>109</v>
      </c>
      <c r="G96" s="233" t="s">
        <v>114</v>
      </c>
      <c r="H96" s="233" t="s">
        <v>112</v>
      </c>
      <c r="I96" s="236">
        <v>0.2</v>
      </c>
      <c r="K96" s="238">
        <v>0</v>
      </c>
      <c r="L96" s="238">
        <v>0</v>
      </c>
      <c r="M96" s="238">
        <v>0</v>
      </c>
      <c r="N96" s="238">
        <v>0</v>
      </c>
      <c r="O96" s="237">
        <v>0</v>
      </c>
      <c r="P96" s="237">
        <v>0</v>
      </c>
      <c r="Q96" s="237">
        <v>0</v>
      </c>
      <c r="R96" s="237">
        <v>0</v>
      </c>
      <c r="S96" s="238">
        <v>0</v>
      </c>
      <c r="T96" s="263">
        <v>604.44444444444446</v>
      </c>
      <c r="U96" s="262">
        <v>840</v>
      </c>
      <c r="V96" s="262">
        <v>1055.808</v>
      </c>
      <c r="W96" s="262">
        <v>0</v>
      </c>
      <c r="X96" s="262">
        <v>0</v>
      </c>
      <c r="Y96" s="262">
        <v>0</v>
      </c>
      <c r="Z96" s="262">
        <v>0</v>
      </c>
      <c r="AA96" s="262">
        <v>0</v>
      </c>
      <c r="AB96" s="262">
        <v>0</v>
      </c>
      <c r="AC96" s="262">
        <v>0</v>
      </c>
      <c r="AD96" s="262">
        <v>0</v>
      </c>
      <c r="AE96" s="262">
        <v>0</v>
      </c>
      <c r="AG96" s="220">
        <f t="shared" si="153"/>
        <v>0</v>
      </c>
      <c r="AH96" s="220">
        <f t="shared" si="154"/>
        <v>0</v>
      </c>
      <c r="AI96" s="220">
        <f t="shared" si="155"/>
        <v>0</v>
      </c>
      <c r="AJ96" s="220">
        <f t="shared" si="156"/>
        <v>0</v>
      </c>
      <c r="AK96" s="220">
        <f t="shared" si="157"/>
        <v>0</v>
      </c>
      <c r="AL96" s="220">
        <f t="shared" si="158"/>
        <v>0</v>
      </c>
      <c r="AM96" s="220">
        <f t="shared" si="159"/>
        <v>0</v>
      </c>
      <c r="AN96" s="220">
        <f t="shared" si="160"/>
        <v>0</v>
      </c>
      <c r="AO96" s="220">
        <f t="shared" si="161"/>
        <v>0</v>
      </c>
      <c r="AP96" s="220">
        <f t="shared" si="162"/>
        <v>22.533688888888889</v>
      </c>
      <c r="AQ96" s="220">
        <f t="shared" si="163"/>
        <v>31.315200000000001</v>
      </c>
      <c r="AR96" s="220">
        <f t="shared" si="164"/>
        <v>39.360522240000002</v>
      </c>
      <c r="AS96" s="220">
        <f t="shared" si="165"/>
        <v>0</v>
      </c>
      <c r="AT96" s="220">
        <f t="shared" si="166"/>
        <v>0</v>
      </c>
      <c r="AU96" s="220">
        <f t="shared" si="167"/>
        <v>0</v>
      </c>
      <c r="AV96" s="220">
        <f t="shared" si="168"/>
        <v>0</v>
      </c>
      <c r="AW96" s="220">
        <f t="shared" si="169"/>
        <v>0</v>
      </c>
      <c r="AX96" s="220">
        <f t="shared" si="170"/>
        <v>0</v>
      </c>
      <c r="AY96" s="220">
        <f t="shared" si="171"/>
        <v>0</v>
      </c>
      <c r="AZ96" s="220">
        <f t="shared" si="172"/>
        <v>0</v>
      </c>
      <c r="BA96" s="220">
        <f t="shared" si="173"/>
        <v>0</v>
      </c>
      <c r="BD96" s="220">
        <f t="shared" si="261"/>
        <v>0</v>
      </c>
      <c r="BE96" s="220">
        <f t="shared" si="262"/>
        <v>0</v>
      </c>
      <c r="BF96" s="220">
        <f t="shared" si="263"/>
        <v>0</v>
      </c>
      <c r="BG96" s="220">
        <f t="shared" si="264"/>
        <v>0</v>
      </c>
      <c r="BH96" s="220">
        <f t="shared" si="265"/>
        <v>0</v>
      </c>
      <c r="BI96" s="220">
        <f t="shared" si="266"/>
        <v>0</v>
      </c>
      <c r="BJ96" s="220">
        <f t="shared" si="267"/>
        <v>0</v>
      </c>
      <c r="BK96" s="220">
        <f t="shared" si="268"/>
        <v>0</v>
      </c>
      <c r="BL96" s="220">
        <f t="shared" si="269"/>
        <v>0</v>
      </c>
      <c r="BM96" s="220">
        <f t="shared" si="270"/>
        <v>5.6334222222222223</v>
      </c>
      <c r="BN96" s="220">
        <f t="shared" si="271"/>
        <v>7.8288000000000002</v>
      </c>
      <c r="BO96" s="220">
        <f t="shared" si="272"/>
        <v>9.8401305600000004</v>
      </c>
      <c r="BP96" s="220">
        <f t="shared" si="273"/>
        <v>0</v>
      </c>
      <c r="BQ96" s="220">
        <f t="shared" si="274"/>
        <v>0</v>
      </c>
      <c r="BR96" s="220">
        <f t="shared" si="209"/>
        <v>0</v>
      </c>
      <c r="BS96" s="220">
        <f t="shared" si="123"/>
        <v>0</v>
      </c>
      <c r="BT96" s="220">
        <f t="shared" si="124"/>
        <v>0</v>
      </c>
      <c r="BU96" s="220">
        <f t="shared" si="125"/>
        <v>0</v>
      </c>
      <c r="BV96" s="220">
        <f t="shared" si="126"/>
        <v>0</v>
      </c>
      <c r="BW96" s="220">
        <f t="shared" si="127"/>
        <v>0</v>
      </c>
      <c r="BX96" s="220">
        <f t="shared" si="128"/>
        <v>0</v>
      </c>
      <c r="CA96" s="220">
        <f t="shared" si="275"/>
        <v>0</v>
      </c>
      <c r="CB96" s="220">
        <f t="shared" si="276"/>
        <v>0</v>
      </c>
      <c r="CC96" s="220">
        <f t="shared" si="277"/>
        <v>0</v>
      </c>
      <c r="CD96" s="220">
        <f t="shared" si="278"/>
        <v>0</v>
      </c>
      <c r="CE96" s="220">
        <f t="shared" si="279"/>
        <v>0</v>
      </c>
      <c r="CF96" s="220">
        <f t="shared" si="280"/>
        <v>0</v>
      </c>
      <c r="CG96" s="220">
        <f t="shared" si="281"/>
        <v>0</v>
      </c>
      <c r="CH96" s="220">
        <f t="shared" si="282"/>
        <v>0</v>
      </c>
      <c r="CI96" s="220">
        <f t="shared" si="283"/>
        <v>0</v>
      </c>
      <c r="CJ96" s="220">
        <f t="shared" si="284"/>
        <v>0</v>
      </c>
      <c r="CK96" s="220">
        <f t="shared" si="285"/>
        <v>0</v>
      </c>
      <c r="CL96" s="220">
        <f t="shared" si="286"/>
        <v>0</v>
      </c>
      <c r="CM96" s="220">
        <f t="shared" si="287"/>
        <v>0</v>
      </c>
      <c r="CN96" s="220">
        <f t="shared" si="288"/>
        <v>0</v>
      </c>
      <c r="CO96" s="220">
        <f t="shared" si="210"/>
        <v>0</v>
      </c>
      <c r="CP96" s="220">
        <f t="shared" si="130"/>
        <v>0</v>
      </c>
      <c r="CQ96" s="220">
        <f t="shared" si="131"/>
        <v>0</v>
      </c>
      <c r="CR96" s="220">
        <f t="shared" si="132"/>
        <v>0</v>
      </c>
      <c r="CS96" s="220">
        <f t="shared" si="133"/>
        <v>0</v>
      </c>
      <c r="CT96" s="220">
        <f t="shared" si="134"/>
        <v>0</v>
      </c>
      <c r="CU96" s="220">
        <f t="shared" si="135"/>
        <v>0</v>
      </c>
    </row>
    <row r="97" spans="1:99" x14ac:dyDescent="0.35">
      <c r="A97" s="233">
        <v>5121</v>
      </c>
      <c r="B97" s="233">
        <v>20001057</v>
      </c>
      <c r="C97" s="234" t="s">
        <v>105</v>
      </c>
      <c r="D97" s="234">
        <v>50033718</v>
      </c>
      <c r="E97" s="233">
        <v>46.6</v>
      </c>
      <c r="F97" s="233" t="s">
        <v>109</v>
      </c>
      <c r="G97" s="233" t="s">
        <v>114</v>
      </c>
      <c r="H97" s="233" t="s">
        <v>112</v>
      </c>
      <c r="I97" s="236">
        <v>0.2</v>
      </c>
      <c r="K97" s="238">
        <v>0</v>
      </c>
      <c r="L97" s="238">
        <v>0</v>
      </c>
      <c r="M97" s="238">
        <v>0</v>
      </c>
      <c r="N97" s="238">
        <v>0</v>
      </c>
      <c r="O97" s="237">
        <v>0</v>
      </c>
      <c r="P97" s="237">
        <v>0</v>
      </c>
      <c r="Q97" s="237">
        <v>0</v>
      </c>
      <c r="R97" s="237">
        <v>0</v>
      </c>
      <c r="S97" s="238">
        <v>0</v>
      </c>
      <c r="T97" s="263">
        <v>255.55555555555554</v>
      </c>
      <c r="U97" s="262">
        <v>357.77777777777771</v>
      </c>
      <c r="V97" s="262">
        <v>1056</v>
      </c>
      <c r="W97" s="262">
        <v>0</v>
      </c>
      <c r="X97" s="262">
        <v>0</v>
      </c>
      <c r="Y97" s="262">
        <v>0</v>
      </c>
      <c r="Z97" s="262">
        <v>0</v>
      </c>
      <c r="AA97" s="262">
        <v>0</v>
      </c>
      <c r="AB97" s="262">
        <v>0</v>
      </c>
      <c r="AC97" s="262">
        <v>0</v>
      </c>
      <c r="AD97" s="262">
        <v>0</v>
      </c>
      <c r="AE97" s="262">
        <v>0</v>
      </c>
      <c r="AG97" s="220">
        <f t="shared" si="153"/>
        <v>0</v>
      </c>
      <c r="AH97" s="220">
        <f t="shared" si="154"/>
        <v>0</v>
      </c>
      <c r="AI97" s="220">
        <f t="shared" si="155"/>
        <v>0</v>
      </c>
      <c r="AJ97" s="220">
        <f t="shared" si="156"/>
        <v>0</v>
      </c>
      <c r="AK97" s="220">
        <f t="shared" si="157"/>
        <v>0</v>
      </c>
      <c r="AL97" s="220">
        <f t="shared" si="158"/>
        <v>0</v>
      </c>
      <c r="AM97" s="220">
        <f t="shared" si="159"/>
        <v>0</v>
      </c>
      <c r="AN97" s="220">
        <f t="shared" si="160"/>
        <v>0</v>
      </c>
      <c r="AO97" s="220">
        <f t="shared" si="161"/>
        <v>0</v>
      </c>
      <c r="AP97" s="220">
        <f t="shared" si="162"/>
        <v>9.5271111111111111</v>
      </c>
      <c r="AQ97" s="220">
        <f t="shared" si="163"/>
        <v>13.337955555555553</v>
      </c>
      <c r="AR97" s="220">
        <f t="shared" si="164"/>
        <v>39.367680000000007</v>
      </c>
      <c r="AS97" s="220">
        <f t="shared" si="165"/>
        <v>0</v>
      </c>
      <c r="AT97" s="220">
        <f t="shared" si="166"/>
        <v>0</v>
      </c>
      <c r="AU97" s="220">
        <f t="shared" si="167"/>
        <v>0</v>
      </c>
      <c r="AV97" s="220">
        <f t="shared" si="168"/>
        <v>0</v>
      </c>
      <c r="AW97" s="220">
        <f t="shared" si="169"/>
        <v>0</v>
      </c>
      <c r="AX97" s="220">
        <f t="shared" si="170"/>
        <v>0</v>
      </c>
      <c r="AY97" s="220">
        <f t="shared" si="171"/>
        <v>0</v>
      </c>
      <c r="AZ97" s="220">
        <f t="shared" si="172"/>
        <v>0</v>
      </c>
      <c r="BA97" s="220">
        <f t="shared" si="173"/>
        <v>0</v>
      </c>
      <c r="BD97" s="220">
        <f t="shared" ref="BD97:BD98" si="289">+K97*$E97/1000*$I97</f>
        <v>0</v>
      </c>
      <c r="BE97" s="220">
        <f t="shared" ref="BE97:BE98" si="290">+L97*$E97/1000*$I97</f>
        <v>0</v>
      </c>
      <c r="BF97" s="220">
        <f t="shared" ref="BF97:BF98" si="291">+M97*$E97/1000*$I97</f>
        <v>0</v>
      </c>
      <c r="BG97" s="220">
        <f t="shared" ref="BG97:BG98" si="292">+N97*$E97/1000*$I97</f>
        <v>0</v>
      </c>
      <c r="BH97" s="220">
        <f t="shared" ref="BH97:BH98" si="293">+O97*$E97/1000*$I97</f>
        <v>0</v>
      </c>
      <c r="BI97" s="220">
        <f t="shared" ref="BI97:BI98" si="294">+P97*$E97/1000*$I97</f>
        <v>0</v>
      </c>
      <c r="BJ97" s="220">
        <f t="shared" ref="BJ97:BJ98" si="295">+Q97*$E97/1000*$I97</f>
        <v>0</v>
      </c>
      <c r="BK97" s="220">
        <f t="shared" ref="BK97:BK98" si="296">+R97*$E97/1000*$I97</f>
        <v>0</v>
      </c>
      <c r="BL97" s="220">
        <f t="shared" ref="BL97:BL98" si="297">+S97*$E97/1000*$I97</f>
        <v>0</v>
      </c>
      <c r="BM97" s="220">
        <f t="shared" ref="BM97:BM98" si="298">+T97*$E97/1000*$I97</f>
        <v>2.3817777777777778</v>
      </c>
      <c r="BN97" s="220">
        <f t="shared" ref="BN97:BN98" si="299">+U97*$E97/1000*$I97</f>
        <v>3.3344888888888882</v>
      </c>
      <c r="BO97" s="220">
        <f t="shared" ref="BO97:BO98" si="300">+V97*$E97/1000*$I97</f>
        <v>9.8419200000000018</v>
      </c>
      <c r="BP97" s="220">
        <f t="shared" ref="BP97:BP98" si="301">+W97*$E97/1000*$I97</f>
        <v>0</v>
      </c>
      <c r="BQ97" s="220">
        <f t="shared" ref="BQ97:BQ98" si="302">+X97*$E97/1000*$I97</f>
        <v>0</v>
      </c>
      <c r="BR97" s="220">
        <f t="shared" ref="BR97:BR98" si="303">+Y97*$E97/1000*$I97</f>
        <v>0</v>
      </c>
      <c r="BS97" s="220">
        <f t="shared" ref="BS97:BS98" si="304">+Z97*$E97/1000*$I97</f>
        <v>0</v>
      </c>
      <c r="BT97" s="220">
        <f t="shared" ref="BT97:BT98" si="305">+AA97*$E97/1000*$I97</f>
        <v>0</v>
      </c>
      <c r="BU97" s="220">
        <f t="shared" ref="BU97:BU98" si="306">+AB97*$E97/1000*$I97</f>
        <v>0</v>
      </c>
      <c r="BV97" s="220">
        <f t="shared" ref="BV97:BV98" si="307">+AC97*$E97/1000*$I97</f>
        <v>0</v>
      </c>
      <c r="BW97" s="220">
        <f t="shared" ref="BW97:BW98" si="308">+AD97*$E97/1000*$I97</f>
        <v>0</v>
      </c>
      <c r="BX97" s="220">
        <f t="shared" ref="BX97:BX98" si="309">+AE97*$E97/1000*$I97</f>
        <v>0</v>
      </c>
      <c r="CA97" s="220">
        <f t="shared" ref="CA97:CA98" si="310">IF($C97="CERVECERIA Y MALTERIA.",K97*$E97/1000*(1-$I97),0)</f>
        <v>0</v>
      </c>
      <c r="CB97" s="220">
        <f t="shared" ref="CB97:CB98" si="311">IF($C97="CERVECERIA Y MALTERIA.",L97*$E97/1000*(1-$I97),0)</f>
        <v>0</v>
      </c>
      <c r="CC97" s="220">
        <f t="shared" ref="CC97:CC98" si="312">IF($C97="CERVECERIA Y MALTERIA.",M97*$E97/1000*(1-$I97),0)</f>
        <v>0</v>
      </c>
      <c r="CD97" s="220">
        <f t="shared" ref="CD97:CD98" si="313">IF($C97="CERVECERIA Y MALTERIA.",N97*$E97/1000*(1-$I97),0)</f>
        <v>0</v>
      </c>
      <c r="CE97" s="220">
        <f t="shared" ref="CE97:CE98" si="314">IF($C97="CERVECERIA Y MALTERIA.",O97*$E97/1000*(1-$I97),0)</f>
        <v>0</v>
      </c>
      <c r="CF97" s="220">
        <f t="shared" ref="CF97:CF98" si="315">IF($C97="CERVECERIA Y MALTERIA.",P97*$E97/1000*(1-$I97),0)</f>
        <v>0</v>
      </c>
      <c r="CG97" s="220">
        <f t="shared" ref="CG97:CG98" si="316">IF($C97="CERVECERIA Y MALTERIA.",Q97*$E97/1000*(1-$I97),0)</f>
        <v>0</v>
      </c>
      <c r="CH97" s="220">
        <f t="shared" ref="CH97:CH98" si="317">IF($C97="CERVECERIA Y MALTERIA.",R97*$E97/1000*(1-$I97),0)</f>
        <v>0</v>
      </c>
      <c r="CI97" s="220">
        <f t="shared" ref="CI97:CI98" si="318">IF($C97="CERVECERIA Y MALTERIA.",S97*$E97/1000*(1-$I97),0)</f>
        <v>0</v>
      </c>
      <c r="CJ97" s="220">
        <f t="shared" ref="CJ97:CJ98" si="319">IF($C97="CERVECERIA Y MALTERIA.",T97*$E97/1000*(1-$I97),0)</f>
        <v>0</v>
      </c>
      <c r="CK97" s="220">
        <f t="shared" ref="CK97:CK98" si="320">IF($C97="CERVECERIA Y MALTERIA.",U97*$E97/1000*(1-$I97),0)</f>
        <v>0</v>
      </c>
      <c r="CL97" s="220">
        <f t="shared" ref="CL97:CL98" si="321">IF($C97="CERVECERIA Y MALTERIA.",V97*$E97/1000*(1-$I97),0)</f>
        <v>0</v>
      </c>
      <c r="CM97" s="220">
        <f t="shared" ref="CM97:CM98" si="322">IF($C97="CERVECERIA Y MALTERIA.",W97*$E97/1000*(1-$I97),0)</f>
        <v>0</v>
      </c>
      <c r="CN97" s="220">
        <f t="shared" ref="CN97:CN98" si="323">IF($C97="CERVECERIA Y MALTERIA.",X97*$E97/1000*(1-$I97),0)</f>
        <v>0</v>
      </c>
      <c r="CO97" s="220">
        <f t="shared" ref="CO97:CO98" si="324">IF($C97="CERVECERIA Y MALTERIA.",Y97*$E97/1000*(1-$I97),0)</f>
        <v>0</v>
      </c>
      <c r="CP97" s="220">
        <f t="shared" ref="CP97:CP98" si="325">IF($C97="CERVECERIA Y MALTERIA.",Z97*$E97/1000*(1-$I97),0)</f>
        <v>0</v>
      </c>
      <c r="CQ97" s="220">
        <f t="shared" ref="CQ97:CQ98" si="326">IF($C97="CERVECERIA Y MALTERIA.",AA97*$E97/1000*(1-$I97),0)</f>
        <v>0</v>
      </c>
      <c r="CR97" s="220">
        <f t="shared" ref="CR97:CR98" si="327">IF($C97="CERVECERIA Y MALTERIA.",AB97*$E97/1000*(1-$I97),0)</f>
        <v>0</v>
      </c>
      <c r="CS97" s="220">
        <f t="shared" ref="CS97:CS98" si="328">IF($C97="CERVECERIA Y MALTERIA.",AC97*$E97/1000*(1-$I97),0)</f>
        <v>0</v>
      </c>
      <c r="CT97" s="220">
        <f t="shared" ref="CT97:CT98" si="329">IF($C97="CERVECERIA Y MALTERIA.",AD97*$E97/1000*(1-$I97),0)</f>
        <v>0</v>
      </c>
      <c r="CU97" s="220">
        <f t="shared" ref="CU97:CU98" si="330">IF($C97="CERVECERIA Y MALTERIA.",AE97*$E97/1000*(1-$I97),0)</f>
        <v>0</v>
      </c>
    </row>
    <row r="98" spans="1:99" x14ac:dyDescent="0.35">
      <c r="A98" s="233">
        <v>5121</v>
      </c>
      <c r="B98" s="233">
        <v>20001057</v>
      </c>
      <c r="C98" s="234" t="s">
        <v>105</v>
      </c>
      <c r="D98" s="234">
        <v>50032583</v>
      </c>
      <c r="E98" s="233">
        <v>54.7</v>
      </c>
      <c r="F98" s="233" t="s">
        <v>106</v>
      </c>
      <c r="G98" s="233" t="s">
        <v>107</v>
      </c>
      <c r="H98" s="233" t="s">
        <v>70</v>
      </c>
      <c r="I98" s="236">
        <v>0</v>
      </c>
      <c r="K98" s="238"/>
      <c r="L98" s="238"/>
      <c r="M98" s="238"/>
      <c r="N98" s="238"/>
      <c r="O98" s="237"/>
      <c r="P98" s="237"/>
      <c r="Q98" s="237"/>
      <c r="R98" s="237"/>
      <c r="S98" s="238"/>
      <c r="T98" s="263"/>
      <c r="U98" s="262"/>
      <c r="V98" s="262">
        <v>317</v>
      </c>
      <c r="W98" s="262">
        <v>525</v>
      </c>
      <c r="X98" s="262">
        <v>0</v>
      </c>
      <c r="Y98" s="262">
        <v>0</v>
      </c>
      <c r="Z98" s="262">
        <v>0</v>
      </c>
      <c r="AA98" s="262">
        <v>0</v>
      </c>
      <c r="AB98" s="262">
        <v>0</v>
      </c>
      <c r="AC98" s="262">
        <v>0</v>
      </c>
      <c r="AD98" s="262">
        <v>0</v>
      </c>
      <c r="AE98" s="262">
        <v>0</v>
      </c>
      <c r="AG98" s="220">
        <f t="shared" si="153"/>
        <v>0</v>
      </c>
      <c r="AH98" s="220">
        <f t="shared" si="154"/>
        <v>0</v>
      </c>
      <c r="AI98" s="220">
        <f t="shared" si="155"/>
        <v>0</v>
      </c>
      <c r="AJ98" s="220">
        <f t="shared" si="156"/>
        <v>0</v>
      </c>
      <c r="AK98" s="220">
        <f t="shared" si="157"/>
        <v>0</v>
      </c>
      <c r="AL98" s="220">
        <f t="shared" si="158"/>
        <v>0</v>
      </c>
      <c r="AM98" s="220">
        <f t="shared" si="159"/>
        <v>0</v>
      </c>
      <c r="AN98" s="220">
        <f t="shared" si="160"/>
        <v>0</v>
      </c>
      <c r="AO98" s="220">
        <f t="shared" si="161"/>
        <v>0</v>
      </c>
      <c r="AP98" s="220">
        <f t="shared" si="162"/>
        <v>0</v>
      </c>
      <c r="AQ98" s="220">
        <f t="shared" si="163"/>
        <v>0</v>
      </c>
      <c r="AR98" s="220">
        <f t="shared" si="164"/>
        <v>17.3399</v>
      </c>
      <c r="AS98" s="220">
        <f t="shared" si="165"/>
        <v>28.717500000000001</v>
      </c>
      <c r="AT98" s="220">
        <f t="shared" si="166"/>
        <v>0</v>
      </c>
      <c r="AU98" s="220">
        <f t="shared" si="167"/>
        <v>0</v>
      </c>
      <c r="AV98" s="220">
        <f t="shared" si="168"/>
        <v>0</v>
      </c>
      <c r="AW98" s="220">
        <f t="shared" si="169"/>
        <v>0</v>
      </c>
      <c r="AX98" s="220">
        <f t="shared" si="170"/>
        <v>0</v>
      </c>
      <c r="AY98" s="220">
        <f t="shared" si="171"/>
        <v>0</v>
      </c>
      <c r="AZ98" s="220">
        <f t="shared" si="172"/>
        <v>0</v>
      </c>
      <c r="BA98" s="220">
        <f t="shared" si="173"/>
        <v>0</v>
      </c>
      <c r="BD98" s="220">
        <f t="shared" si="289"/>
        <v>0</v>
      </c>
      <c r="BE98" s="220">
        <f t="shared" si="290"/>
        <v>0</v>
      </c>
      <c r="BF98" s="220">
        <f t="shared" si="291"/>
        <v>0</v>
      </c>
      <c r="BG98" s="220">
        <f t="shared" si="292"/>
        <v>0</v>
      </c>
      <c r="BH98" s="220">
        <f t="shared" si="293"/>
        <v>0</v>
      </c>
      <c r="BI98" s="220">
        <f t="shared" si="294"/>
        <v>0</v>
      </c>
      <c r="BJ98" s="220">
        <f t="shared" si="295"/>
        <v>0</v>
      </c>
      <c r="BK98" s="220">
        <f t="shared" si="296"/>
        <v>0</v>
      </c>
      <c r="BL98" s="220">
        <f t="shared" si="297"/>
        <v>0</v>
      </c>
      <c r="BM98" s="220">
        <f t="shared" si="298"/>
        <v>0</v>
      </c>
      <c r="BN98" s="220">
        <f t="shared" si="299"/>
        <v>0</v>
      </c>
      <c r="BO98" s="220">
        <f t="shared" si="300"/>
        <v>0</v>
      </c>
      <c r="BP98" s="220">
        <f t="shared" si="301"/>
        <v>0</v>
      </c>
      <c r="BQ98" s="220">
        <f t="shared" si="302"/>
        <v>0</v>
      </c>
      <c r="BR98" s="220">
        <f t="shared" si="303"/>
        <v>0</v>
      </c>
      <c r="BS98" s="220">
        <f t="shared" si="304"/>
        <v>0</v>
      </c>
      <c r="BT98" s="220">
        <f t="shared" si="305"/>
        <v>0</v>
      </c>
      <c r="BU98" s="220">
        <f t="shared" si="306"/>
        <v>0</v>
      </c>
      <c r="BV98" s="220">
        <f t="shared" si="307"/>
        <v>0</v>
      </c>
      <c r="BW98" s="220">
        <f t="shared" si="308"/>
        <v>0</v>
      </c>
      <c r="BX98" s="220">
        <f t="shared" si="309"/>
        <v>0</v>
      </c>
      <c r="CA98" s="220">
        <f t="shared" si="310"/>
        <v>0</v>
      </c>
      <c r="CB98" s="220">
        <f t="shared" si="311"/>
        <v>0</v>
      </c>
      <c r="CC98" s="220">
        <f t="shared" si="312"/>
        <v>0</v>
      </c>
      <c r="CD98" s="220">
        <f t="shared" si="313"/>
        <v>0</v>
      </c>
      <c r="CE98" s="220">
        <f t="shared" si="314"/>
        <v>0</v>
      </c>
      <c r="CF98" s="220">
        <f t="shared" si="315"/>
        <v>0</v>
      </c>
      <c r="CG98" s="220">
        <f t="shared" si="316"/>
        <v>0</v>
      </c>
      <c r="CH98" s="220">
        <f t="shared" si="317"/>
        <v>0</v>
      </c>
      <c r="CI98" s="220">
        <f t="shared" si="318"/>
        <v>0</v>
      </c>
      <c r="CJ98" s="220">
        <f t="shared" si="319"/>
        <v>0</v>
      </c>
      <c r="CK98" s="220">
        <f t="shared" si="320"/>
        <v>0</v>
      </c>
      <c r="CL98" s="220">
        <f t="shared" si="321"/>
        <v>0</v>
      </c>
      <c r="CM98" s="220">
        <f t="shared" si="322"/>
        <v>0</v>
      </c>
      <c r="CN98" s="220">
        <f t="shared" si="323"/>
        <v>0</v>
      </c>
      <c r="CO98" s="220">
        <f t="shared" si="324"/>
        <v>0</v>
      </c>
      <c r="CP98" s="220">
        <f t="shared" si="325"/>
        <v>0</v>
      </c>
      <c r="CQ98" s="220">
        <f t="shared" si="326"/>
        <v>0</v>
      </c>
      <c r="CR98" s="220">
        <f t="shared" si="327"/>
        <v>0</v>
      </c>
      <c r="CS98" s="220">
        <f t="shared" si="328"/>
        <v>0</v>
      </c>
      <c r="CT98" s="220">
        <f t="shared" si="329"/>
        <v>0</v>
      </c>
      <c r="CU98" s="220">
        <f t="shared" si="330"/>
        <v>0</v>
      </c>
    </row>
    <row r="99" spans="1:99" x14ac:dyDescent="0.35">
      <c r="A99" s="233">
        <v>5121</v>
      </c>
      <c r="B99" s="233">
        <v>20001057</v>
      </c>
      <c r="C99" s="234" t="s">
        <v>105</v>
      </c>
      <c r="D99" s="234">
        <v>50024497</v>
      </c>
      <c r="E99" s="233">
        <v>54.7</v>
      </c>
      <c r="F99" s="233" t="s">
        <v>106</v>
      </c>
      <c r="G99" s="233" t="s">
        <v>115</v>
      </c>
      <c r="H99" s="233" t="s">
        <v>70</v>
      </c>
      <c r="I99" s="236">
        <v>0</v>
      </c>
      <c r="K99" s="238">
        <v>0</v>
      </c>
      <c r="L99" s="238">
        <v>0</v>
      </c>
      <c r="M99" s="238">
        <v>0</v>
      </c>
      <c r="N99" s="238">
        <v>0</v>
      </c>
      <c r="O99" s="237">
        <v>0</v>
      </c>
      <c r="P99" s="237">
        <v>0</v>
      </c>
      <c r="Q99" s="237">
        <v>0</v>
      </c>
      <c r="R99" s="237">
        <v>2366.2080000000001</v>
      </c>
      <c r="S99" s="238">
        <v>1183.104</v>
      </c>
      <c r="T99" s="263">
        <v>0</v>
      </c>
      <c r="U99" s="262">
        <v>0</v>
      </c>
      <c r="V99" s="262">
        <v>0</v>
      </c>
      <c r="W99" s="262">
        <v>0</v>
      </c>
      <c r="X99" s="262">
        <v>626.38400000000001</v>
      </c>
      <c r="Y99" s="262">
        <v>270.71999999999997</v>
      </c>
      <c r="Z99" s="262">
        <v>0</v>
      </c>
      <c r="AA99" s="262">
        <v>101.023333333333</v>
      </c>
      <c r="AB99" s="262">
        <v>0</v>
      </c>
      <c r="AC99" s="262">
        <v>0</v>
      </c>
      <c r="AD99" s="262">
        <v>74.447999999999993</v>
      </c>
      <c r="AE99" s="262">
        <v>135.35999999999999</v>
      </c>
      <c r="AG99" s="220">
        <f t="shared" si="153"/>
        <v>0</v>
      </c>
      <c r="AH99" s="220">
        <f t="shared" si="154"/>
        <v>0</v>
      </c>
      <c r="AI99" s="220">
        <f t="shared" si="155"/>
        <v>0</v>
      </c>
      <c r="AJ99" s="220">
        <f t="shared" si="156"/>
        <v>0</v>
      </c>
      <c r="AK99" s="220">
        <f t="shared" si="157"/>
        <v>0</v>
      </c>
      <c r="AL99" s="220">
        <f t="shared" si="158"/>
        <v>0</v>
      </c>
      <c r="AM99" s="220">
        <f t="shared" si="159"/>
        <v>0</v>
      </c>
      <c r="AN99" s="220">
        <f t="shared" si="160"/>
        <v>129.4315776</v>
      </c>
      <c r="AO99" s="220">
        <f t="shared" si="161"/>
        <v>64.715788799999999</v>
      </c>
      <c r="AP99" s="220">
        <f t="shared" si="162"/>
        <v>0</v>
      </c>
      <c r="AQ99" s="220">
        <f t="shared" si="163"/>
        <v>0</v>
      </c>
      <c r="AR99" s="220">
        <f t="shared" si="164"/>
        <v>0</v>
      </c>
      <c r="AS99" s="220">
        <f t="shared" si="165"/>
        <v>0</v>
      </c>
      <c r="AT99" s="220">
        <f t="shared" si="166"/>
        <v>34.263204799999997</v>
      </c>
      <c r="AU99" s="220">
        <f t="shared" si="167"/>
        <v>14.808384</v>
      </c>
      <c r="AV99" s="220">
        <f t="shared" si="168"/>
        <v>0</v>
      </c>
      <c r="AW99" s="220">
        <f t="shared" si="169"/>
        <v>5.5259763333333156</v>
      </c>
      <c r="AX99" s="220">
        <f t="shared" si="170"/>
        <v>0</v>
      </c>
      <c r="AY99" s="220">
        <f t="shared" si="171"/>
        <v>0</v>
      </c>
      <c r="AZ99" s="220">
        <f t="shared" si="172"/>
        <v>4.0723056</v>
      </c>
      <c r="BA99" s="220">
        <f t="shared" si="173"/>
        <v>7.4041920000000001</v>
      </c>
      <c r="BD99" s="220">
        <f t="shared" si="261"/>
        <v>0</v>
      </c>
      <c r="BE99" s="220">
        <f t="shared" si="262"/>
        <v>0</v>
      </c>
      <c r="BF99" s="220">
        <f t="shared" si="263"/>
        <v>0</v>
      </c>
      <c r="BG99" s="220">
        <f t="shared" si="264"/>
        <v>0</v>
      </c>
      <c r="BH99" s="220">
        <f t="shared" si="265"/>
        <v>0</v>
      </c>
      <c r="BI99" s="220">
        <f t="shared" si="266"/>
        <v>0</v>
      </c>
      <c r="BJ99" s="220">
        <f t="shared" si="267"/>
        <v>0</v>
      </c>
      <c r="BK99" s="220">
        <f t="shared" si="268"/>
        <v>0</v>
      </c>
      <c r="BL99" s="220">
        <f t="shared" si="269"/>
        <v>0</v>
      </c>
      <c r="BM99" s="220">
        <f t="shared" si="270"/>
        <v>0</v>
      </c>
      <c r="BN99" s="220">
        <f t="shared" si="271"/>
        <v>0</v>
      </c>
      <c r="BO99" s="220">
        <f t="shared" si="272"/>
        <v>0</v>
      </c>
      <c r="BP99" s="220">
        <f t="shared" si="273"/>
        <v>0</v>
      </c>
      <c r="BQ99" s="220">
        <f t="shared" si="274"/>
        <v>0</v>
      </c>
      <c r="BR99" s="220">
        <f t="shared" si="209"/>
        <v>0</v>
      </c>
      <c r="BS99" s="220">
        <f t="shared" si="123"/>
        <v>0</v>
      </c>
      <c r="BT99" s="220">
        <f t="shared" si="124"/>
        <v>0</v>
      </c>
      <c r="BU99" s="220">
        <f t="shared" si="125"/>
        <v>0</v>
      </c>
      <c r="BV99" s="220">
        <f t="shared" si="126"/>
        <v>0</v>
      </c>
      <c r="BW99" s="220">
        <f t="shared" si="127"/>
        <v>0</v>
      </c>
      <c r="BX99" s="220">
        <f t="shared" si="128"/>
        <v>0</v>
      </c>
      <c r="CA99" s="220">
        <f t="shared" si="275"/>
        <v>0</v>
      </c>
      <c r="CB99" s="220">
        <f t="shared" si="276"/>
        <v>0</v>
      </c>
      <c r="CC99" s="220">
        <f t="shared" si="277"/>
        <v>0</v>
      </c>
      <c r="CD99" s="220">
        <f t="shared" si="278"/>
        <v>0</v>
      </c>
      <c r="CE99" s="220">
        <f t="shared" si="279"/>
        <v>0</v>
      </c>
      <c r="CF99" s="220">
        <f t="shared" si="280"/>
        <v>0</v>
      </c>
      <c r="CG99" s="220">
        <f t="shared" si="281"/>
        <v>0</v>
      </c>
      <c r="CH99" s="220">
        <f t="shared" si="282"/>
        <v>0</v>
      </c>
      <c r="CI99" s="220">
        <f t="shared" si="283"/>
        <v>0</v>
      </c>
      <c r="CJ99" s="220">
        <f t="shared" si="284"/>
        <v>0</v>
      </c>
      <c r="CK99" s="220">
        <f t="shared" si="285"/>
        <v>0</v>
      </c>
      <c r="CL99" s="220">
        <f t="shared" si="286"/>
        <v>0</v>
      </c>
      <c r="CM99" s="220">
        <f t="shared" si="287"/>
        <v>0</v>
      </c>
      <c r="CN99" s="220">
        <f t="shared" si="288"/>
        <v>0</v>
      </c>
      <c r="CO99" s="220">
        <f t="shared" si="210"/>
        <v>0</v>
      </c>
      <c r="CP99" s="220">
        <f t="shared" si="130"/>
        <v>0</v>
      </c>
      <c r="CQ99" s="220">
        <f t="shared" si="131"/>
        <v>0</v>
      </c>
      <c r="CR99" s="220">
        <f t="shared" si="132"/>
        <v>0</v>
      </c>
      <c r="CS99" s="220">
        <f t="shared" si="133"/>
        <v>0</v>
      </c>
      <c r="CT99" s="220">
        <f t="shared" si="134"/>
        <v>0</v>
      </c>
      <c r="CU99" s="220">
        <f t="shared" si="135"/>
        <v>0</v>
      </c>
    </row>
    <row r="100" spans="1:99" x14ac:dyDescent="0.35">
      <c r="A100" s="233">
        <v>5121</v>
      </c>
      <c r="B100" s="233">
        <v>20001057</v>
      </c>
      <c r="C100" s="234" t="s">
        <v>105</v>
      </c>
      <c r="D100" s="234">
        <v>50032584</v>
      </c>
      <c r="E100" s="233">
        <v>54.7</v>
      </c>
      <c r="F100" s="233" t="s">
        <v>109</v>
      </c>
      <c r="G100" s="233" t="s">
        <v>107</v>
      </c>
      <c r="H100" s="233" t="s">
        <v>70</v>
      </c>
      <c r="I100" s="236">
        <v>0</v>
      </c>
      <c r="K100" s="238">
        <v>0</v>
      </c>
      <c r="L100" s="238">
        <v>0</v>
      </c>
      <c r="M100" s="238">
        <v>0</v>
      </c>
      <c r="N100" s="238">
        <v>0</v>
      </c>
      <c r="O100" s="237">
        <v>0</v>
      </c>
      <c r="P100" s="237">
        <v>0</v>
      </c>
      <c r="Q100" s="237">
        <v>0</v>
      </c>
      <c r="R100" s="237">
        <v>0</v>
      </c>
      <c r="S100" s="238">
        <v>0</v>
      </c>
      <c r="T100" s="263">
        <v>0</v>
      </c>
      <c r="U100" s="262">
        <v>0</v>
      </c>
      <c r="V100" s="262">
        <v>0</v>
      </c>
      <c r="W100" s="262">
        <v>0</v>
      </c>
      <c r="X100" s="262">
        <v>0</v>
      </c>
      <c r="Y100" s="262">
        <v>0</v>
      </c>
      <c r="Z100" s="262">
        <v>0</v>
      </c>
      <c r="AA100" s="262">
        <v>0</v>
      </c>
      <c r="AB100" s="262">
        <v>0</v>
      </c>
      <c r="AC100" s="262">
        <v>0</v>
      </c>
      <c r="AD100" s="262">
        <v>0</v>
      </c>
      <c r="AE100" s="262">
        <v>0</v>
      </c>
      <c r="AG100" s="220">
        <f t="shared" si="153"/>
        <v>0</v>
      </c>
      <c r="AH100" s="220">
        <f t="shared" si="154"/>
        <v>0</v>
      </c>
      <c r="AI100" s="220">
        <f t="shared" si="155"/>
        <v>0</v>
      </c>
      <c r="AJ100" s="220">
        <f t="shared" si="156"/>
        <v>0</v>
      </c>
      <c r="AK100" s="220">
        <f t="shared" si="157"/>
        <v>0</v>
      </c>
      <c r="AL100" s="220">
        <f t="shared" si="158"/>
        <v>0</v>
      </c>
      <c r="AM100" s="220">
        <f t="shared" si="159"/>
        <v>0</v>
      </c>
      <c r="AN100" s="220">
        <f t="shared" si="160"/>
        <v>0</v>
      </c>
      <c r="AO100" s="220">
        <f t="shared" si="161"/>
        <v>0</v>
      </c>
      <c r="AP100" s="220">
        <f t="shared" si="162"/>
        <v>0</v>
      </c>
      <c r="AQ100" s="220">
        <f t="shared" si="163"/>
        <v>0</v>
      </c>
      <c r="AR100" s="220">
        <f t="shared" si="164"/>
        <v>0</v>
      </c>
      <c r="AS100" s="220">
        <f t="shared" si="165"/>
        <v>0</v>
      </c>
      <c r="AT100" s="220">
        <f t="shared" si="166"/>
        <v>0</v>
      </c>
      <c r="AU100" s="220">
        <f t="shared" si="167"/>
        <v>0</v>
      </c>
      <c r="AV100" s="220">
        <f t="shared" si="168"/>
        <v>0</v>
      </c>
      <c r="AW100" s="220">
        <f t="shared" si="169"/>
        <v>0</v>
      </c>
      <c r="AX100" s="220">
        <f t="shared" si="170"/>
        <v>0</v>
      </c>
      <c r="AY100" s="220">
        <f t="shared" si="171"/>
        <v>0</v>
      </c>
      <c r="AZ100" s="220">
        <f t="shared" si="172"/>
        <v>0</v>
      </c>
      <c r="BA100" s="220">
        <f t="shared" si="173"/>
        <v>0</v>
      </c>
      <c r="BD100" s="220">
        <f t="shared" si="261"/>
        <v>0</v>
      </c>
      <c r="BE100" s="220">
        <f t="shared" si="262"/>
        <v>0</v>
      </c>
      <c r="BF100" s="220">
        <f t="shared" si="263"/>
        <v>0</v>
      </c>
      <c r="BG100" s="220">
        <f t="shared" si="264"/>
        <v>0</v>
      </c>
      <c r="BH100" s="220">
        <f t="shared" si="265"/>
        <v>0</v>
      </c>
      <c r="BI100" s="220">
        <f t="shared" si="266"/>
        <v>0</v>
      </c>
      <c r="BJ100" s="220">
        <f t="shared" si="267"/>
        <v>0</v>
      </c>
      <c r="BK100" s="220">
        <f t="shared" si="268"/>
        <v>0</v>
      </c>
      <c r="BL100" s="220">
        <f t="shared" si="269"/>
        <v>0</v>
      </c>
      <c r="BM100" s="220">
        <f t="shared" si="270"/>
        <v>0</v>
      </c>
      <c r="BN100" s="220">
        <f t="shared" si="271"/>
        <v>0</v>
      </c>
      <c r="BO100" s="220">
        <f t="shared" si="272"/>
        <v>0</v>
      </c>
      <c r="BP100" s="220">
        <f t="shared" si="273"/>
        <v>0</v>
      </c>
      <c r="BQ100" s="220">
        <f t="shared" si="274"/>
        <v>0</v>
      </c>
      <c r="BR100" s="220">
        <f t="shared" si="209"/>
        <v>0</v>
      </c>
      <c r="BS100" s="220">
        <f t="shared" si="123"/>
        <v>0</v>
      </c>
      <c r="BT100" s="220">
        <f t="shared" si="124"/>
        <v>0</v>
      </c>
      <c r="BU100" s="220">
        <f t="shared" si="125"/>
        <v>0</v>
      </c>
      <c r="BV100" s="220">
        <f t="shared" si="126"/>
        <v>0</v>
      </c>
      <c r="BW100" s="220">
        <f t="shared" si="127"/>
        <v>0</v>
      </c>
      <c r="BX100" s="220">
        <f t="shared" si="128"/>
        <v>0</v>
      </c>
      <c r="CA100" s="220">
        <f t="shared" si="275"/>
        <v>0</v>
      </c>
      <c r="CB100" s="220">
        <f t="shared" si="276"/>
        <v>0</v>
      </c>
      <c r="CC100" s="220">
        <f t="shared" si="277"/>
        <v>0</v>
      </c>
      <c r="CD100" s="220">
        <f t="shared" si="278"/>
        <v>0</v>
      </c>
      <c r="CE100" s="220">
        <f t="shared" si="279"/>
        <v>0</v>
      </c>
      <c r="CF100" s="220">
        <f t="shared" si="280"/>
        <v>0</v>
      </c>
      <c r="CG100" s="220">
        <f t="shared" si="281"/>
        <v>0</v>
      </c>
      <c r="CH100" s="220">
        <f t="shared" si="282"/>
        <v>0</v>
      </c>
      <c r="CI100" s="220">
        <f t="shared" si="283"/>
        <v>0</v>
      </c>
      <c r="CJ100" s="220">
        <f t="shared" si="284"/>
        <v>0</v>
      </c>
      <c r="CK100" s="220">
        <f t="shared" si="285"/>
        <v>0</v>
      </c>
      <c r="CL100" s="220">
        <f t="shared" si="286"/>
        <v>0</v>
      </c>
      <c r="CM100" s="220">
        <f t="shared" si="287"/>
        <v>0</v>
      </c>
      <c r="CN100" s="220">
        <f t="shared" si="288"/>
        <v>0</v>
      </c>
      <c r="CO100" s="220">
        <f t="shared" si="210"/>
        <v>0</v>
      </c>
      <c r="CP100" s="220">
        <f t="shared" si="130"/>
        <v>0</v>
      </c>
      <c r="CQ100" s="220">
        <f t="shared" si="131"/>
        <v>0</v>
      </c>
      <c r="CR100" s="220">
        <f t="shared" si="132"/>
        <v>0</v>
      </c>
      <c r="CS100" s="220">
        <f t="shared" si="133"/>
        <v>0</v>
      </c>
      <c r="CT100" s="220">
        <f t="shared" si="134"/>
        <v>0</v>
      </c>
      <c r="CU100" s="220">
        <f t="shared" si="135"/>
        <v>0</v>
      </c>
    </row>
    <row r="101" spans="1:99" x14ac:dyDescent="0.35">
      <c r="A101" s="233">
        <v>5121</v>
      </c>
      <c r="B101" s="233">
        <v>20000340</v>
      </c>
      <c r="C101" s="234" t="s">
        <v>117</v>
      </c>
      <c r="D101" s="234">
        <v>50030311</v>
      </c>
      <c r="E101" s="233">
        <v>24</v>
      </c>
      <c r="F101" s="233" t="s">
        <v>106</v>
      </c>
      <c r="G101" s="233" t="s">
        <v>118</v>
      </c>
      <c r="H101" s="233" t="s">
        <v>70</v>
      </c>
      <c r="I101" s="236">
        <v>0</v>
      </c>
      <c r="K101" s="238">
        <v>0</v>
      </c>
      <c r="L101" s="238">
        <v>0</v>
      </c>
      <c r="M101" s="238">
        <v>0</v>
      </c>
      <c r="N101" s="238">
        <v>0</v>
      </c>
      <c r="O101" s="237">
        <v>0</v>
      </c>
      <c r="P101" s="237">
        <v>0</v>
      </c>
      <c r="Q101" s="237">
        <v>0</v>
      </c>
      <c r="R101" s="237">
        <v>0</v>
      </c>
      <c r="S101" s="238">
        <v>0</v>
      </c>
      <c r="T101" s="263">
        <v>0</v>
      </c>
      <c r="U101" s="262">
        <v>0</v>
      </c>
      <c r="V101" s="262">
        <v>0</v>
      </c>
      <c r="W101" s="262">
        <v>0</v>
      </c>
      <c r="X101" s="262">
        <v>0</v>
      </c>
      <c r="Y101" s="262">
        <v>0</v>
      </c>
      <c r="Z101" s="262">
        <v>0</v>
      </c>
      <c r="AA101" s="262">
        <v>0</v>
      </c>
      <c r="AB101" s="262">
        <v>0</v>
      </c>
      <c r="AC101" s="262">
        <v>0</v>
      </c>
      <c r="AD101" s="262">
        <v>0</v>
      </c>
      <c r="AE101" s="262">
        <v>0</v>
      </c>
      <c r="AG101" s="220">
        <f t="shared" ref="AG101:AG112" si="331">IF($C101="CERVECERIA Y MALTERIA",K101*$E101/1000*(1-$I101),0)</f>
        <v>0</v>
      </c>
      <c r="AH101" s="220">
        <f t="shared" ref="AH101:AH112" si="332">IF($C101="CERVECERIA Y MALTERIA",L101*$E101/1000*(1-$I101),0)</f>
        <v>0</v>
      </c>
      <c r="AI101" s="220">
        <f t="shared" ref="AI101:AI112" si="333">IF($C101="CERVECERIA Y MALTERIA",M101*$E101/1000*(1-$I101),0)</f>
        <v>0</v>
      </c>
      <c r="AJ101" s="220">
        <f t="shared" ref="AJ101:AJ112" si="334">IF($C101="CERVECERIA Y MALTERIA",N101*$E101/1000*(1-$I101),0)</f>
        <v>0</v>
      </c>
      <c r="AK101" s="220">
        <f t="shared" ref="AK101:AK112" si="335">IF($C101="CERVECERIA Y MALTERIA",O101*$E101/1000*(1-$I101),0)</f>
        <v>0</v>
      </c>
      <c r="AL101" s="220">
        <f t="shared" ref="AL101:AL112" si="336">IF($C101="CERVECERIA Y MALTERIA",P101*$E101/1000*(1-$I101),0)</f>
        <v>0</v>
      </c>
      <c r="AM101" s="220">
        <f t="shared" ref="AM101:AM112" si="337">IF($C101="CERVECERIA Y MALTERIA",Q101*$E101/1000*(1-$I101),0)</f>
        <v>0</v>
      </c>
      <c r="AN101" s="220">
        <f t="shared" ref="AN101:AN112" si="338">IF($C101="CERVECERIA Y MALTERIA",R101*$E101/1000*(1-$I101),0)</f>
        <v>0</v>
      </c>
      <c r="AO101" s="220">
        <f t="shared" ref="AO101:AO112" si="339">IF($C101="CERVECERIA Y MALTERIA",S101*$E101/1000*(1-$I101),0)</f>
        <v>0</v>
      </c>
      <c r="AP101" s="220">
        <f t="shared" ref="AP101:AP112" si="340">IF($C101="CERVECERIA Y MALTERIA",T101*$E101/1000*(1-$I101),0)</f>
        <v>0</v>
      </c>
      <c r="AQ101" s="220">
        <f t="shared" ref="AQ101:AQ112" si="341">IF($C101="CERVECERIA Y MALTERIA",U101*$E101/1000*(1-$I101),0)</f>
        <v>0</v>
      </c>
      <c r="AR101" s="220">
        <f t="shared" ref="AR101:AR112" si="342">IF($C101="CERVECERIA Y MALTERIA",V101*$E101/1000*(1-$I101),0)</f>
        <v>0</v>
      </c>
      <c r="AS101" s="220">
        <f t="shared" ref="AS101:AS112" si="343">IF($C101="CERVECERIA Y MALTERIA",W101*$E101/1000*(1-$I101),0)</f>
        <v>0</v>
      </c>
      <c r="AT101" s="220">
        <f t="shared" ref="AT101:AT112" si="344">IF($C101="CERVECERIA Y MALTERIA",X101*$E101/1000*(1-$I101),0)</f>
        <v>0</v>
      </c>
      <c r="AU101" s="220">
        <f t="shared" ref="AU101:AU112" si="345">IF($C101="CERVECERIA Y MALTERIA",Y101*$E101/1000*(1-$I101),0)</f>
        <v>0</v>
      </c>
      <c r="AV101" s="220">
        <f t="shared" ref="AV101:AV112" si="346">IF($C101="CERVECERIA Y MALTERIA",Z101*$E101/1000*(1-$I101),0)</f>
        <v>0</v>
      </c>
      <c r="AW101" s="220">
        <f t="shared" ref="AW101:AW112" si="347">IF($C101="CERVECERIA Y MALTERIA",AA101*$E101/1000*(1-$I101),0)</f>
        <v>0</v>
      </c>
      <c r="AX101" s="220">
        <f t="shared" ref="AX101:AX112" si="348">IF($C101="CERVECERIA Y MALTERIA",AB101*$E101/1000*(1-$I101),0)</f>
        <v>0</v>
      </c>
      <c r="AY101" s="220">
        <f t="shared" ref="AY101:AY112" si="349">IF($C101="CERVECERIA Y MALTERIA",AC101*$E101/1000*(1-$I101),0)</f>
        <v>0</v>
      </c>
      <c r="AZ101" s="220">
        <f t="shared" ref="AZ101:AZ112" si="350">IF($C101="CERVECERIA Y MALTERIA",AD101*$E101/1000*(1-$I101),0)</f>
        <v>0</v>
      </c>
      <c r="BA101" s="220">
        <f t="shared" ref="BA101:BA112" si="351">IF($C101="CERVECERIA Y MALTERIA",AE101*$E101/1000*(1-$I101),0)</f>
        <v>0</v>
      </c>
      <c r="BD101" s="220">
        <f t="shared" si="261"/>
        <v>0</v>
      </c>
      <c r="BE101" s="220">
        <f t="shared" si="262"/>
        <v>0</v>
      </c>
      <c r="BF101" s="220">
        <f t="shared" si="263"/>
        <v>0</v>
      </c>
      <c r="BG101" s="220">
        <f t="shared" si="264"/>
        <v>0</v>
      </c>
      <c r="BH101" s="220">
        <f t="shared" si="265"/>
        <v>0</v>
      </c>
      <c r="BI101" s="220">
        <f t="shared" si="266"/>
        <v>0</v>
      </c>
      <c r="BJ101" s="220">
        <f t="shared" si="267"/>
        <v>0</v>
      </c>
      <c r="BK101" s="220">
        <f t="shared" si="268"/>
        <v>0</v>
      </c>
      <c r="BL101" s="220">
        <f t="shared" si="269"/>
        <v>0</v>
      </c>
      <c r="BM101" s="220">
        <f t="shared" si="270"/>
        <v>0</v>
      </c>
      <c r="BN101" s="220">
        <f t="shared" si="271"/>
        <v>0</v>
      </c>
      <c r="BO101" s="220">
        <f t="shared" si="272"/>
        <v>0</v>
      </c>
      <c r="BP101" s="220">
        <f t="shared" si="273"/>
        <v>0</v>
      </c>
      <c r="BQ101" s="220">
        <f t="shared" si="274"/>
        <v>0</v>
      </c>
      <c r="BR101" s="220">
        <f t="shared" si="209"/>
        <v>0</v>
      </c>
      <c r="BS101" s="220">
        <f t="shared" si="123"/>
        <v>0</v>
      </c>
      <c r="BT101" s="220">
        <f t="shared" si="124"/>
        <v>0</v>
      </c>
      <c r="BU101" s="220">
        <f t="shared" si="125"/>
        <v>0</v>
      </c>
      <c r="BV101" s="220">
        <f t="shared" si="126"/>
        <v>0</v>
      </c>
      <c r="BW101" s="220">
        <f t="shared" si="127"/>
        <v>0</v>
      </c>
      <c r="BX101" s="220">
        <f t="shared" si="128"/>
        <v>0</v>
      </c>
      <c r="CA101" s="220">
        <f t="shared" si="275"/>
        <v>0</v>
      </c>
      <c r="CB101" s="220">
        <f t="shared" si="276"/>
        <v>0</v>
      </c>
      <c r="CC101" s="220">
        <f t="shared" si="277"/>
        <v>0</v>
      </c>
      <c r="CD101" s="220">
        <f t="shared" si="278"/>
        <v>0</v>
      </c>
      <c r="CE101" s="220">
        <f t="shared" si="279"/>
        <v>0</v>
      </c>
      <c r="CF101" s="220">
        <f t="shared" si="280"/>
        <v>0</v>
      </c>
      <c r="CG101" s="220">
        <f t="shared" si="281"/>
        <v>0</v>
      </c>
      <c r="CH101" s="220">
        <f t="shared" si="282"/>
        <v>0</v>
      </c>
      <c r="CI101" s="220">
        <f t="shared" si="283"/>
        <v>0</v>
      </c>
      <c r="CJ101" s="220">
        <f t="shared" si="284"/>
        <v>0</v>
      </c>
      <c r="CK101" s="220">
        <f t="shared" si="285"/>
        <v>0</v>
      </c>
      <c r="CL101" s="220">
        <f t="shared" si="286"/>
        <v>0</v>
      </c>
      <c r="CM101" s="220">
        <f t="shared" si="287"/>
        <v>0</v>
      </c>
      <c r="CN101" s="220">
        <f t="shared" si="288"/>
        <v>0</v>
      </c>
      <c r="CO101" s="220">
        <f t="shared" si="210"/>
        <v>0</v>
      </c>
      <c r="CP101" s="220">
        <f t="shared" si="130"/>
        <v>0</v>
      </c>
      <c r="CQ101" s="220">
        <f t="shared" si="131"/>
        <v>0</v>
      </c>
      <c r="CR101" s="220">
        <f t="shared" si="132"/>
        <v>0</v>
      </c>
      <c r="CS101" s="220">
        <f t="shared" si="133"/>
        <v>0</v>
      </c>
      <c r="CT101" s="220">
        <f t="shared" si="134"/>
        <v>0</v>
      </c>
      <c r="CU101" s="220">
        <f t="shared" si="135"/>
        <v>0</v>
      </c>
    </row>
    <row r="102" spans="1:99" x14ac:dyDescent="0.35">
      <c r="A102" s="233">
        <v>5101</v>
      </c>
      <c r="B102" s="233">
        <v>20000340</v>
      </c>
      <c r="C102" s="234" t="s">
        <v>117</v>
      </c>
      <c r="D102" s="234">
        <v>50025163</v>
      </c>
      <c r="E102" s="233">
        <v>30</v>
      </c>
      <c r="F102" s="233" t="s">
        <v>106</v>
      </c>
      <c r="G102" s="233" t="s">
        <v>118</v>
      </c>
      <c r="H102" s="233" t="s">
        <v>70</v>
      </c>
      <c r="I102" s="236">
        <v>0</v>
      </c>
      <c r="K102" s="238">
        <v>2000</v>
      </c>
      <c r="L102" s="238">
        <v>0</v>
      </c>
      <c r="M102" s="238">
        <v>0</v>
      </c>
      <c r="N102" s="238">
        <v>0</v>
      </c>
      <c r="O102" s="237">
        <v>3831.1333333333296</v>
      </c>
      <c r="P102" s="237">
        <v>0</v>
      </c>
      <c r="Q102" s="237">
        <v>5560</v>
      </c>
      <c r="R102" s="237">
        <v>0</v>
      </c>
      <c r="S102" s="238">
        <v>0</v>
      </c>
      <c r="T102" s="263">
        <v>0</v>
      </c>
      <c r="U102" s="262">
        <v>1567.6800000000003</v>
      </c>
      <c r="V102" s="262">
        <v>3639.1680000000001</v>
      </c>
      <c r="W102" s="262">
        <v>4245.6959999999999</v>
      </c>
      <c r="X102" s="262">
        <v>1600</v>
      </c>
      <c r="Y102" s="262">
        <v>0</v>
      </c>
      <c r="Z102" s="262">
        <v>0</v>
      </c>
      <c r="AA102" s="262">
        <v>0</v>
      </c>
      <c r="AB102" s="262">
        <v>3639.1680000000001</v>
      </c>
      <c r="AC102" s="262">
        <v>0</v>
      </c>
      <c r="AD102" s="262">
        <v>0</v>
      </c>
      <c r="AE102" s="262">
        <v>0</v>
      </c>
      <c r="AG102" s="220">
        <f t="shared" si="331"/>
        <v>0</v>
      </c>
      <c r="AH102" s="220">
        <f t="shared" si="332"/>
        <v>0</v>
      </c>
      <c r="AI102" s="220">
        <f t="shared" si="333"/>
        <v>0</v>
      </c>
      <c r="AJ102" s="220">
        <f t="shared" si="334"/>
        <v>0</v>
      </c>
      <c r="AK102" s="220">
        <f t="shared" si="335"/>
        <v>0</v>
      </c>
      <c r="AL102" s="220">
        <f t="shared" si="336"/>
        <v>0</v>
      </c>
      <c r="AM102" s="220">
        <f t="shared" si="337"/>
        <v>0</v>
      </c>
      <c r="AN102" s="220">
        <f t="shared" si="338"/>
        <v>0</v>
      </c>
      <c r="AO102" s="220">
        <f t="shared" si="339"/>
        <v>0</v>
      </c>
      <c r="AP102" s="220">
        <f t="shared" si="340"/>
        <v>0</v>
      </c>
      <c r="AQ102" s="220">
        <f t="shared" si="341"/>
        <v>0</v>
      </c>
      <c r="AR102" s="220">
        <f t="shared" si="342"/>
        <v>0</v>
      </c>
      <c r="AS102" s="220">
        <f t="shared" si="343"/>
        <v>0</v>
      </c>
      <c r="AT102" s="220">
        <f t="shared" si="344"/>
        <v>0</v>
      </c>
      <c r="AU102" s="220">
        <f t="shared" si="345"/>
        <v>0</v>
      </c>
      <c r="AV102" s="220">
        <f t="shared" si="346"/>
        <v>0</v>
      </c>
      <c r="AW102" s="220">
        <f t="shared" si="347"/>
        <v>0</v>
      </c>
      <c r="AX102" s="220">
        <f t="shared" si="348"/>
        <v>0</v>
      </c>
      <c r="AY102" s="220">
        <f t="shared" si="349"/>
        <v>0</v>
      </c>
      <c r="AZ102" s="220">
        <f t="shared" si="350"/>
        <v>0</v>
      </c>
      <c r="BA102" s="220">
        <f t="shared" si="351"/>
        <v>0</v>
      </c>
      <c r="BD102" s="220">
        <f t="shared" si="261"/>
        <v>0</v>
      </c>
      <c r="BE102" s="220">
        <f t="shared" si="262"/>
        <v>0</v>
      </c>
      <c r="BF102" s="220">
        <f t="shared" si="263"/>
        <v>0</v>
      </c>
      <c r="BG102" s="220">
        <f t="shared" si="264"/>
        <v>0</v>
      </c>
      <c r="BH102" s="220">
        <f t="shared" si="265"/>
        <v>0</v>
      </c>
      <c r="BI102" s="220">
        <f t="shared" si="266"/>
        <v>0</v>
      </c>
      <c r="BJ102" s="220">
        <f t="shared" si="267"/>
        <v>0</v>
      </c>
      <c r="BK102" s="220">
        <f t="shared" si="268"/>
        <v>0</v>
      </c>
      <c r="BL102" s="220">
        <f t="shared" si="269"/>
        <v>0</v>
      </c>
      <c r="BM102" s="220">
        <f t="shared" si="270"/>
        <v>0</v>
      </c>
      <c r="BN102" s="220">
        <f t="shared" si="271"/>
        <v>0</v>
      </c>
      <c r="BO102" s="220">
        <f t="shared" si="272"/>
        <v>0</v>
      </c>
      <c r="BP102" s="220">
        <f t="shared" si="273"/>
        <v>0</v>
      </c>
      <c r="BQ102" s="220">
        <f t="shared" si="274"/>
        <v>0</v>
      </c>
      <c r="BR102" s="220">
        <f t="shared" si="209"/>
        <v>0</v>
      </c>
      <c r="BS102" s="220">
        <f t="shared" si="123"/>
        <v>0</v>
      </c>
      <c r="BT102" s="220">
        <f t="shared" si="124"/>
        <v>0</v>
      </c>
      <c r="BU102" s="220">
        <f t="shared" si="125"/>
        <v>0</v>
      </c>
      <c r="BV102" s="220">
        <f t="shared" si="126"/>
        <v>0</v>
      </c>
      <c r="BW102" s="220">
        <f t="shared" si="127"/>
        <v>0</v>
      </c>
      <c r="BX102" s="220">
        <f t="shared" si="128"/>
        <v>0</v>
      </c>
      <c r="CA102" s="220">
        <f t="shared" si="275"/>
        <v>60</v>
      </c>
      <c r="CB102" s="220">
        <f t="shared" si="276"/>
        <v>0</v>
      </c>
      <c r="CC102" s="220">
        <f t="shared" si="277"/>
        <v>0</v>
      </c>
      <c r="CD102" s="220">
        <f t="shared" si="278"/>
        <v>0</v>
      </c>
      <c r="CE102" s="220">
        <f t="shared" si="279"/>
        <v>114.93399999999988</v>
      </c>
      <c r="CF102" s="220">
        <f t="shared" si="280"/>
        <v>0</v>
      </c>
      <c r="CG102" s="220">
        <f t="shared" si="281"/>
        <v>166.8</v>
      </c>
      <c r="CH102" s="220">
        <f t="shared" si="282"/>
        <v>0</v>
      </c>
      <c r="CI102" s="220">
        <f t="shared" si="283"/>
        <v>0</v>
      </c>
      <c r="CJ102" s="220">
        <f t="shared" si="284"/>
        <v>0</v>
      </c>
      <c r="CK102" s="220">
        <f t="shared" si="285"/>
        <v>47.030400000000007</v>
      </c>
      <c r="CL102" s="220">
        <f t="shared" si="286"/>
        <v>109.17504000000001</v>
      </c>
      <c r="CM102" s="220">
        <f t="shared" si="287"/>
        <v>127.37088</v>
      </c>
      <c r="CN102" s="220">
        <f t="shared" si="288"/>
        <v>48</v>
      </c>
      <c r="CO102" s="220">
        <f t="shared" si="210"/>
        <v>0</v>
      </c>
      <c r="CP102" s="220">
        <f t="shared" si="130"/>
        <v>0</v>
      </c>
      <c r="CQ102" s="220">
        <f t="shared" si="131"/>
        <v>0</v>
      </c>
      <c r="CR102" s="220">
        <f t="shared" si="132"/>
        <v>109.17504000000001</v>
      </c>
      <c r="CS102" s="220">
        <f t="shared" si="133"/>
        <v>0</v>
      </c>
      <c r="CT102" s="220">
        <f t="shared" si="134"/>
        <v>0</v>
      </c>
      <c r="CU102" s="220">
        <f t="shared" si="135"/>
        <v>0</v>
      </c>
    </row>
    <row r="103" spans="1:99" x14ac:dyDescent="0.35">
      <c r="A103" s="233">
        <v>5101</v>
      </c>
      <c r="B103" s="233">
        <v>20000340</v>
      </c>
      <c r="C103" s="234" t="s">
        <v>117</v>
      </c>
      <c r="D103" s="234">
        <v>50037786</v>
      </c>
      <c r="E103" s="233">
        <v>30</v>
      </c>
      <c r="F103" s="233" t="s">
        <v>106</v>
      </c>
      <c r="G103" s="233" t="s">
        <v>119</v>
      </c>
      <c r="H103" s="233" t="s">
        <v>112</v>
      </c>
      <c r="I103" s="236">
        <v>0.4</v>
      </c>
      <c r="K103" s="238">
        <v>0</v>
      </c>
      <c r="L103" s="238">
        <v>0</v>
      </c>
      <c r="M103" s="238">
        <v>0</v>
      </c>
      <c r="N103" s="238">
        <v>0</v>
      </c>
      <c r="O103" s="237">
        <v>0</v>
      </c>
      <c r="P103" s="237">
        <v>0</v>
      </c>
      <c r="Q103" s="237">
        <v>0</v>
      </c>
      <c r="R103" s="237">
        <v>4634.7666666666701</v>
      </c>
      <c r="S103" s="238">
        <v>4640</v>
      </c>
      <c r="T103" s="263">
        <v>0</v>
      </c>
      <c r="U103" s="262">
        <v>0</v>
      </c>
      <c r="V103" s="262">
        <v>0</v>
      </c>
      <c r="W103" s="262">
        <v>0</v>
      </c>
      <c r="X103" s="262">
        <v>373.24799999999999</v>
      </c>
      <c r="Y103" s="262">
        <v>1816</v>
      </c>
      <c r="Z103" s="262">
        <v>1799</v>
      </c>
      <c r="AA103" s="262">
        <v>0</v>
      </c>
      <c r="AB103" s="262">
        <v>0</v>
      </c>
      <c r="AC103" s="262">
        <v>0</v>
      </c>
      <c r="AD103" s="262">
        <v>0</v>
      </c>
      <c r="AE103" s="262">
        <v>1435.5</v>
      </c>
      <c r="AG103" s="220">
        <f t="shared" si="331"/>
        <v>0</v>
      </c>
      <c r="AH103" s="220">
        <f t="shared" si="332"/>
        <v>0</v>
      </c>
      <c r="AI103" s="220">
        <f t="shared" si="333"/>
        <v>0</v>
      </c>
      <c r="AJ103" s="220">
        <f t="shared" si="334"/>
        <v>0</v>
      </c>
      <c r="AK103" s="220">
        <f t="shared" si="335"/>
        <v>0</v>
      </c>
      <c r="AL103" s="220">
        <f t="shared" si="336"/>
        <v>0</v>
      </c>
      <c r="AM103" s="220">
        <f t="shared" si="337"/>
        <v>0</v>
      </c>
      <c r="AN103" s="220">
        <f t="shared" si="338"/>
        <v>0</v>
      </c>
      <c r="AO103" s="220">
        <f t="shared" si="339"/>
        <v>0</v>
      </c>
      <c r="AP103" s="220">
        <f t="shared" si="340"/>
        <v>0</v>
      </c>
      <c r="AQ103" s="220">
        <f t="shared" si="341"/>
        <v>0</v>
      </c>
      <c r="AR103" s="220">
        <f t="shared" si="342"/>
        <v>0</v>
      </c>
      <c r="AS103" s="220">
        <f t="shared" si="343"/>
        <v>0</v>
      </c>
      <c r="AT103" s="220">
        <f t="shared" si="344"/>
        <v>0</v>
      </c>
      <c r="AU103" s="220">
        <f t="shared" si="345"/>
        <v>0</v>
      </c>
      <c r="AV103" s="220">
        <f t="shared" si="346"/>
        <v>0</v>
      </c>
      <c r="AW103" s="220">
        <f t="shared" si="347"/>
        <v>0</v>
      </c>
      <c r="AX103" s="220">
        <f t="shared" si="348"/>
        <v>0</v>
      </c>
      <c r="AY103" s="220">
        <f t="shared" si="349"/>
        <v>0</v>
      </c>
      <c r="AZ103" s="220">
        <f t="shared" si="350"/>
        <v>0</v>
      </c>
      <c r="BA103" s="220">
        <f t="shared" si="351"/>
        <v>0</v>
      </c>
      <c r="BD103" s="220">
        <f t="shared" ref="BD103:BQ108" si="352">+K103*$E103/1000*$I103</f>
        <v>0</v>
      </c>
      <c r="BE103" s="220">
        <f t="shared" si="352"/>
        <v>0</v>
      </c>
      <c r="BF103" s="220">
        <f t="shared" si="352"/>
        <v>0</v>
      </c>
      <c r="BG103" s="220">
        <f t="shared" si="352"/>
        <v>0</v>
      </c>
      <c r="BH103" s="220">
        <f t="shared" si="352"/>
        <v>0</v>
      </c>
      <c r="BI103" s="220">
        <f t="shared" si="352"/>
        <v>0</v>
      </c>
      <c r="BJ103" s="220">
        <f t="shared" si="352"/>
        <v>0</v>
      </c>
      <c r="BK103" s="220">
        <f t="shared" si="352"/>
        <v>55.617200000000054</v>
      </c>
      <c r="BL103" s="220">
        <f t="shared" si="352"/>
        <v>55.68</v>
      </c>
      <c r="BM103" s="220">
        <f t="shared" si="352"/>
        <v>0</v>
      </c>
      <c r="BN103" s="220">
        <f t="shared" si="352"/>
        <v>0</v>
      </c>
      <c r="BO103" s="220">
        <f t="shared" si="352"/>
        <v>0</v>
      </c>
      <c r="BP103" s="220">
        <f t="shared" si="352"/>
        <v>0</v>
      </c>
      <c r="BQ103" s="220">
        <f t="shared" si="352"/>
        <v>4.4789760000000003</v>
      </c>
      <c r="BR103" s="220">
        <f t="shared" si="209"/>
        <v>21.792000000000002</v>
      </c>
      <c r="BS103" s="220">
        <f t="shared" si="123"/>
        <v>21.588000000000001</v>
      </c>
      <c r="BT103" s="220">
        <f t="shared" si="124"/>
        <v>0</v>
      </c>
      <c r="BU103" s="220">
        <f t="shared" si="125"/>
        <v>0</v>
      </c>
      <c r="BV103" s="220">
        <f t="shared" si="126"/>
        <v>0</v>
      </c>
      <c r="BW103" s="220">
        <f t="shared" si="127"/>
        <v>0</v>
      </c>
      <c r="BX103" s="220">
        <f t="shared" si="128"/>
        <v>17.225999999999999</v>
      </c>
      <c r="CA103" s="220">
        <f t="shared" si="275"/>
        <v>0</v>
      </c>
      <c r="CB103" s="220">
        <f t="shared" si="276"/>
        <v>0</v>
      </c>
      <c r="CC103" s="220">
        <f t="shared" si="277"/>
        <v>0</v>
      </c>
      <c r="CD103" s="220">
        <f t="shared" si="278"/>
        <v>0</v>
      </c>
      <c r="CE103" s="220">
        <f t="shared" si="279"/>
        <v>0</v>
      </c>
      <c r="CF103" s="220">
        <f t="shared" si="280"/>
        <v>0</v>
      </c>
      <c r="CG103" s="220">
        <f t="shared" si="281"/>
        <v>0</v>
      </c>
      <c r="CH103" s="220">
        <f t="shared" si="282"/>
        <v>83.425800000000066</v>
      </c>
      <c r="CI103" s="220">
        <f t="shared" si="283"/>
        <v>83.52</v>
      </c>
      <c r="CJ103" s="220">
        <f t="shared" si="284"/>
        <v>0</v>
      </c>
      <c r="CK103" s="220">
        <f t="shared" si="285"/>
        <v>0</v>
      </c>
      <c r="CL103" s="220">
        <f t="shared" si="286"/>
        <v>0</v>
      </c>
      <c r="CM103" s="220">
        <f t="shared" si="287"/>
        <v>0</v>
      </c>
      <c r="CN103" s="220">
        <f t="shared" si="288"/>
        <v>6.718464</v>
      </c>
      <c r="CO103" s="220">
        <f t="shared" si="210"/>
        <v>32.687999999999995</v>
      </c>
      <c r="CP103" s="220">
        <f t="shared" si="130"/>
        <v>32.381999999999998</v>
      </c>
      <c r="CQ103" s="220">
        <f t="shared" si="131"/>
        <v>0</v>
      </c>
      <c r="CR103" s="220">
        <f t="shared" si="132"/>
        <v>0</v>
      </c>
      <c r="CS103" s="220">
        <f t="shared" si="133"/>
        <v>0</v>
      </c>
      <c r="CT103" s="220">
        <f t="shared" si="134"/>
        <v>0</v>
      </c>
      <c r="CU103" s="220">
        <f t="shared" si="135"/>
        <v>25.838999999999999</v>
      </c>
    </row>
    <row r="104" spans="1:99" x14ac:dyDescent="0.35">
      <c r="A104" s="233">
        <v>5101</v>
      </c>
      <c r="B104" s="233">
        <v>20000340</v>
      </c>
      <c r="C104" s="234" t="s">
        <v>117</v>
      </c>
      <c r="D104" s="234">
        <v>50029817</v>
      </c>
      <c r="E104" s="233">
        <v>30</v>
      </c>
      <c r="F104" s="233" t="s">
        <v>106</v>
      </c>
      <c r="G104" s="233" t="s">
        <v>120</v>
      </c>
      <c r="H104" s="233" t="s">
        <v>112</v>
      </c>
      <c r="I104" s="236">
        <v>0.3</v>
      </c>
      <c r="K104" s="238">
        <v>2000</v>
      </c>
      <c r="L104" s="238">
        <v>6009.6965963252251</v>
      </c>
      <c r="M104" s="238">
        <v>6000</v>
      </c>
      <c r="N104" s="238">
        <v>4360</v>
      </c>
      <c r="O104" s="237">
        <v>1572</v>
      </c>
      <c r="P104" s="237">
        <v>3902.7</v>
      </c>
      <c r="Q104" s="237">
        <v>0</v>
      </c>
      <c r="R104" s="237">
        <v>0</v>
      </c>
      <c r="S104" s="238">
        <v>0</v>
      </c>
      <c r="T104" s="263">
        <v>90.800000000000011</v>
      </c>
      <c r="U104" s="262">
        <v>512.66666666666674</v>
      </c>
      <c r="V104" s="262">
        <v>0</v>
      </c>
      <c r="W104" s="262">
        <v>0</v>
      </c>
      <c r="X104" s="262">
        <v>0</v>
      </c>
      <c r="Y104" s="262">
        <v>0</v>
      </c>
      <c r="Z104" s="262">
        <v>0</v>
      </c>
      <c r="AA104" s="262">
        <v>0</v>
      </c>
      <c r="AB104" s="262">
        <v>0</v>
      </c>
      <c r="AC104" s="262">
        <v>0</v>
      </c>
      <c r="AD104" s="262">
        <v>0</v>
      </c>
      <c r="AE104" s="262">
        <v>0</v>
      </c>
      <c r="AG104" s="220">
        <f t="shared" si="331"/>
        <v>0</v>
      </c>
      <c r="AH104" s="220">
        <f t="shared" si="332"/>
        <v>0</v>
      </c>
      <c r="AI104" s="220">
        <f t="shared" si="333"/>
        <v>0</v>
      </c>
      <c r="AJ104" s="220">
        <f t="shared" si="334"/>
        <v>0</v>
      </c>
      <c r="AK104" s="220">
        <f t="shared" si="335"/>
        <v>0</v>
      </c>
      <c r="AL104" s="220">
        <f t="shared" si="336"/>
        <v>0</v>
      </c>
      <c r="AM104" s="220">
        <f t="shared" si="337"/>
        <v>0</v>
      </c>
      <c r="AN104" s="220">
        <f t="shared" si="338"/>
        <v>0</v>
      </c>
      <c r="AO104" s="220">
        <f t="shared" si="339"/>
        <v>0</v>
      </c>
      <c r="AP104" s="220">
        <f t="shared" si="340"/>
        <v>0</v>
      </c>
      <c r="AQ104" s="220">
        <f t="shared" si="341"/>
        <v>0</v>
      </c>
      <c r="AR104" s="220">
        <f t="shared" si="342"/>
        <v>0</v>
      </c>
      <c r="AS104" s="220">
        <f t="shared" si="343"/>
        <v>0</v>
      </c>
      <c r="AT104" s="220">
        <f t="shared" si="344"/>
        <v>0</v>
      </c>
      <c r="AU104" s="220">
        <f t="shared" si="345"/>
        <v>0</v>
      </c>
      <c r="AV104" s="220">
        <f t="shared" si="346"/>
        <v>0</v>
      </c>
      <c r="AW104" s="220">
        <f t="shared" si="347"/>
        <v>0</v>
      </c>
      <c r="AX104" s="220">
        <f t="shared" si="348"/>
        <v>0</v>
      </c>
      <c r="AY104" s="220">
        <f t="shared" si="349"/>
        <v>0</v>
      </c>
      <c r="AZ104" s="220">
        <f t="shared" si="350"/>
        <v>0</v>
      </c>
      <c r="BA104" s="220">
        <f t="shared" si="351"/>
        <v>0</v>
      </c>
      <c r="BD104" s="220">
        <f t="shared" si="352"/>
        <v>18</v>
      </c>
      <c r="BE104" s="220">
        <f t="shared" si="352"/>
        <v>54.087269366927018</v>
      </c>
      <c r="BF104" s="220">
        <f t="shared" si="352"/>
        <v>54</v>
      </c>
      <c r="BG104" s="220">
        <f t="shared" si="352"/>
        <v>39.24</v>
      </c>
      <c r="BH104" s="220">
        <f t="shared" si="352"/>
        <v>14.147999999999998</v>
      </c>
      <c r="BI104" s="220">
        <f t="shared" si="352"/>
        <v>35.124299999999998</v>
      </c>
      <c r="BJ104" s="220">
        <f t="shared" si="352"/>
        <v>0</v>
      </c>
      <c r="BK104" s="220">
        <f t="shared" si="352"/>
        <v>0</v>
      </c>
      <c r="BL104" s="220">
        <f t="shared" si="352"/>
        <v>0</v>
      </c>
      <c r="BM104" s="220">
        <f t="shared" si="352"/>
        <v>0.81720000000000015</v>
      </c>
      <c r="BN104" s="220">
        <f t="shared" si="352"/>
        <v>4.6140000000000008</v>
      </c>
      <c r="BO104" s="220">
        <f t="shared" si="352"/>
        <v>0</v>
      </c>
      <c r="BP104" s="220">
        <f t="shared" si="352"/>
        <v>0</v>
      </c>
      <c r="BQ104" s="220">
        <f t="shared" si="352"/>
        <v>0</v>
      </c>
      <c r="BR104" s="220">
        <f t="shared" si="209"/>
        <v>0</v>
      </c>
      <c r="BS104" s="220">
        <f t="shared" si="123"/>
        <v>0</v>
      </c>
      <c r="BT104" s="220">
        <f t="shared" si="124"/>
        <v>0</v>
      </c>
      <c r="BU104" s="220">
        <f t="shared" si="125"/>
        <v>0</v>
      </c>
      <c r="BV104" s="220">
        <f t="shared" si="126"/>
        <v>0</v>
      </c>
      <c r="BW104" s="220">
        <f t="shared" si="127"/>
        <v>0</v>
      </c>
      <c r="BX104" s="220">
        <f t="shared" si="128"/>
        <v>0</v>
      </c>
      <c r="CA104" s="220">
        <f t="shared" si="275"/>
        <v>42</v>
      </c>
      <c r="CB104" s="220">
        <f t="shared" si="276"/>
        <v>126.2036285228297</v>
      </c>
      <c r="CC104" s="220">
        <f t="shared" si="277"/>
        <v>125.99999999999999</v>
      </c>
      <c r="CD104" s="220">
        <f t="shared" si="278"/>
        <v>91.56</v>
      </c>
      <c r="CE104" s="220">
        <f t="shared" si="279"/>
        <v>33.011999999999993</v>
      </c>
      <c r="CF104" s="220">
        <f t="shared" si="280"/>
        <v>81.956699999999998</v>
      </c>
      <c r="CG104" s="220">
        <f t="shared" si="281"/>
        <v>0</v>
      </c>
      <c r="CH104" s="220">
        <f t="shared" si="282"/>
        <v>0</v>
      </c>
      <c r="CI104" s="220">
        <f t="shared" si="283"/>
        <v>0</v>
      </c>
      <c r="CJ104" s="220">
        <f t="shared" si="284"/>
        <v>1.9068000000000003</v>
      </c>
      <c r="CK104" s="220">
        <f t="shared" si="285"/>
        <v>10.766000000000002</v>
      </c>
      <c r="CL104" s="220">
        <f t="shared" si="286"/>
        <v>0</v>
      </c>
      <c r="CM104" s="220">
        <f t="shared" si="287"/>
        <v>0</v>
      </c>
      <c r="CN104" s="220">
        <f t="shared" si="288"/>
        <v>0</v>
      </c>
      <c r="CO104" s="220">
        <f t="shared" si="210"/>
        <v>0</v>
      </c>
      <c r="CP104" s="220">
        <f t="shared" si="130"/>
        <v>0</v>
      </c>
      <c r="CQ104" s="220">
        <f t="shared" si="131"/>
        <v>0</v>
      </c>
      <c r="CR104" s="220">
        <f t="shared" si="132"/>
        <v>0</v>
      </c>
      <c r="CS104" s="220">
        <f t="shared" si="133"/>
        <v>0</v>
      </c>
      <c r="CT104" s="220">
        <f t="shared" si="134"/>
        <v>0</v>
      </c>
      <c r="CU104" s="220">
        <f t="shared" si="135"/>
        <v>0</v>
      </c>
    </row>
    <row r="105" spans="1:99" x14ac:dyDescent="0.35">
      <c r="A105" s="233">
        <v>5101</v>
      </c>
      <c r="B105" s="233">
        <v>20000340</v>
      </c>
      <c r="C105" s="234" t="s">
        <v>117</v>
      </c>
      <c r="D105" s="234">
        <v>50039506</v>
      </c>
      <c r="E105" s="233">
        <v>30</v>
      </c>
      <c r="F105" s="233" t="s">
        <v>106</v>
      </c>
      <c r="G105" s="233" t="s">
        <v>121</v>
      </c>
      <c r="H105" s="233" t="s">
        <v>70</v>
      </c>
      <c r="I105" s="236">
        <v>0</v>
      </c>
      <c r="K105" s="238">
        <v>0</v>
      </c>
      <c r="L105" s="238">
        <v>0</v>
      </c>
      <c r="M105" s="238">
        <v>0</v>
      </c>
      <c r="N105" s="238">
        <v>0</v>
      </c>
      <c r="O105" s="237">
        <v>0</v>
      </c>
      <c r="P105" s="237">
        <v>0</v>
      </c>
      <c r="Q105" s="237">
        <v>0</v>
      </c>
      <c r="R105" s="237">
        <v>1789.55866666667</v>
      </c>
      <c r="S105" s="238">
        <v>3456.8959999999997</v>
      </c>
      <c r="T105" s="263">
        <v>0</v>
      </c>
      <c r="U105" s="262">
        <v>0</v>
      </c>
      <c r="V105" s="262">
        <v>0</v>
      </c>
      <c r="W105" s="262">
        <v>0</v>
      </c>
      <c r="X105" s="262">
        <v>0</v>
      </c>
      <c r="Y105" s="262">
        <v>0</v>
      </c>
      <c r="Z105" s="262">
        <v>0</v>
      </c>
      <c r="AA105" s="262">
        <v>0</v>
      </c>
      <c r="AB105" s="262">
        <v>0</v>
      </c>
      <c r="AC105" s="262">
        <v>1213.056</v>
      </c>
      <c r="AD105" s="262">
        <v>1819.5840000000001</v>
      </c>
      <c r="AE105" s="262">
        <v>5458.7520000000004</v>
      </c>
      <c r="AG105" s="220">
        <f t="shared" si="331"/>
        <v>0</v>
      </c>
      <c r="AH105" s="220">
        <f t="shared" si="332"/>
        <v>0</v>
      </c>
      <c r="AI105" s="220">
        <f t="shared" si="333"/>
        <v>0</v>
      </c>
      <c r="AJ105" s="220">
        <f t="shared" si="334"/>
        <v>0</v>
      </c>
      <c r="AK105" s="220">
        <f t="shared" si="335"/>
        <v>0</v>
      </c>
      <c r="AL105" s="220">
        <f t="shared" si="336"/>
        <v>0</v>
      </c>
      <c r="AM105" s="220">
        <f t="shared" si="337"/>
        <v>0</v>
      </c>
      <c r="AN105" s="220">
        <f t="shared" si="338"/>
        <v>0</v>
      </c>
      <c r="AO105" s="220">
        <f t="shared" si="339"/>
        <v>0</v>
      </c>
      <c r="AP105" s="220">
        <f t="shared" si="340"/>
        <v>0</v>
      </c>
      <c r="AQ105" s="220">
        <f t="shared" si="341"/>
        <v>0</v>
      </c>
      <c r="AR105" s="220">
        <f t="shared" si="342"/>
        <v>0</v>
      </c>
      <c r="AS105" s="220">
        <f t="shared" si="343"/>
        <v>0</v>
      </c>
      <c r="AT105" s="220">
        <f t="shared" si="344"/>
        <v>0</v>
      </c>
      <c r="AU105" s="220">
        <f t="shared" si="345"/>
        <v>0</v>
      </c>
      <c r="AV105" s="220">
        <f t="shared" si="346"/>
        <v>0</v>
      </c>
      <c r="AW105" s="220">
        <f t="shared" si="347"/>
        <v>0</v>
      </c>
      <c r="AX105" s="220">
        <f t="shared" si="348"/>
        <v>0</v>
      </c>
      <c r="AY105" s="220">
        <f t="shared" si="349"/>
        <v>0</v>
      </c>
      <c r="AZ105" s="220">
        <f t="shared" si="350"/>
        <v>0</v>
      </c>
      <c r="BA105" s="220">
        <f t="shared" si="351"/>
        <v>0</v>
      </c>
      <c r="BD105" s="220">
        <f t="shared" si="352"/>
        <v>0</v>
      </c>
      <c r="BE105" s="220">
        <f t="shared" si="352"/>
        <v>0</v>
      </c>
      <c r="BF105" s="220">
        <f t="shared" si="352"/>
        <v>0</v>
      </c>
      <c r="BG105" s="220">
        <f t="shared" si="352"/>
        <v>0</v>
      </c>
      <c r="BH105" s="220">
        <f t="shared" si="352"/>
        <v>0</v>
      </c>
      <c r="BI105" s="220">
        <f t="shared" si="352"/>
        <v>0</v>
      </c>
      <c r="BJ105" s="220">
        <f t="shared" si="352"/>
        <v>0</v>
      </c>
      <c r="BK105" s="220">
        <f t="shared" si="352"/>
        <v>0</v>
      </c>
      <c r="BL105" s="220">
        <f t="shared" si="352"/>
        <v>0</v>
      </c>
      <c r="BM105" s="220">
        <f t="shared" si="352"/>
        <v>0</v>
      </c>
      <c r="BN105" s="220">
        <f t="shared" si="352"/>
        <v>0</v>
      </c>
      <c r="BO105" s="220">
        <f t="shared" si="352"/>
        <v>0</v>
      </c>
      <c r="BP105" s="220">
        <f t="shared" si="352"/>
        <v>0</v>
      </c>
      <c r="BQ105" s="220">
        <f t="shared" si="352"/>
        <v>0</v>
      </c>
      <c r="BR105" s="220">
        <f t="shared" si="209"/>
        <v>0</v>
      </c>
      <c r="BS105" s="220">
        <f t="shared" si="123"/>
        <v>0</v>
      </c>
      <c r="BT105" s="220">
        <f t="shared" si="124"/>
        <v>0</v>
      </c>
      <c r="BU105" s="220">
        <f t="shared" si="125"/>
        <v>0</v>
      </c>
      <c r="BV105" s="220">
        <f t="shared" si="126"/>
        <v>0</v>
      </c>
      <c r="BW105" s="220">
        <f t="shared" si="127"/>
        <v>0</v>
      </c>
      <c r="BX105" s="220">
        <f t="shared" si="128"/>
        <v>0</v>
      </c>
      <c r="CA105" s="220">
        <f t="shared" ref="CA105:CN108" si="353">IF($C105="CERVECERIA Y MALTERIA.",K105*$E105/1000*(1-$I105),0)</f>
        <v>0</v>
      </c>
      <c r="CB105" s="220">
        <f t="shared" si="353"/>
        <v>0</v>
      </c>
      <c r="CC105" s="220">
        <f t="shared" si="353"/>
        <v>0</v>
      </c>
      <c r="CD105" s="220">
        <f t="shared" si="353"/>
        <v>0</v>
      </c>
      <c r="CE105" s="220">
        <f t="shared" si="353"/>
        <v>0</v>
      </c>
      <c r="CF105" s="220">
        <f t="shared" si="353"/>
        <v>0</v>
      </c>
      <c r="CG105" s="220">
        <f t="shared" si="353"/>
        <v>0</v>
      </c>
      <c r="CH105" s="220">
        <f t="shared" si="353"/>
        <v>53.686760000000099</v>
      </c>
      <c r="CI105" s="220">
        <f t="shared" si="353"/>
        <v>103.70687999999998</v>
      </c>
      <c r="CJ105" s="220">
        <f t="shared" si="353"/>
        <v>0</v>
      </c>
      <c r="CK105" s="220">
        <f t="shared" si="353"/>
        <v>0</v>
      </c>
      <c r="CL105" s="220">
        <f t="shared" si="353"/>
        <v>0</v>
      </c>
      <c r="CM105" s="220">
        <f t="shared" si="353"/>
        <v>0</v>
      </c>
      <c r="CN105" s="220">
        <f t="shared" si="353"/>
        <v>0</v>
      </c>
      <c r="CO105" s="220">
        <f t="shared" si="210"/>
        <v>0</v>
      </c>
      <c r="CP105" s="220">
        <f t="shared" si="130"/>
        <v>0</v>
      </c>
      <c r="CQ105" s="220">
        <f t="shared" si="131"/>
        <v>0</v>
      </c>
      <c r="CR105" s="220">
        <f t="shared" si="132"/>
        <v>0</v>
      </c>
      <c r="CS105" s="220">
        <f t="shared" si="133"/>
        <v>36.391680000000001</v>
      </c>
      <c r="CT105" s="220">
        <f t="shared" si="134"/>
        <v>54.587520000000005</v>
      </c>
      <c r="CU105" s="220">
        <f t="shared" si="135"/>
        <v>163.76256000000001</v>
      </c>
    </row>
    <row r="106" spans="1:99" x14ac:dyDescent="0.35">
      <c r="A106" s="233">
        <v>5101</v>
      </c>
      <c r="B106" s="233">
        <v>20000340</v>
      </c>
      <c r="C106" s="234" t="s">
        <v>117</v>
      </c>
      <c r="D106" s="234">
        <v>50038523</v>
      </c>
      <c r="E106" s="233">
        <v>30</v>
      </c>
      <c r="F106" s="233" t="s">
        <v>106</v>
      </c>
      <c r="G106" s="233" t="s">
        <v>121</v>
      </c>
      <c r="H106" s="233" t="s">
        <v>70</v>
      </c>
      <c r="I106" s="236">
        <v>0</v>
      </c>
      <c r="K106" s="238">
        <v>6000</v>
      </c>
      <c r="L106" s="238">
        <v>6009.6965963252251</v>
      </c>
      <c r="M106" s="238">
        <v>4000</v>
      </c>
      <c r="N106" s="238">
        <v>4360</v>
      </c>
      <c r="O106" s="237">
        <v>5331.1333333333296</v>
      </c>
      <c r="P106" s="237">
        <v>3902.7</v>
      </c>
      <c r="Q106" s="237">
        <v>5560</v>
      </c>
      <c r="R106" s="237">
        <v>479</v>
      </c>
      <c r="S106" s="238">
        <v>0</v>
      </c>
      <c r="T106" s="263">
        <v>6000</v>
      </c>
      <c r="U106" s="262">
        <v>4432.32</v>
      </c>
      <c r="V106" s="262">
        <v>0</v>
      </c>
      <c r="W106" s="262">
        <v>0</v>
      </c>
      <c r="X106" s="262">
        <v>2578.9760000000001</v>
      </c>
      <c r="Y106" s="262">
        <v>4852.2240000000002</v>
      </c>
      <c r="Z106" s="262">
        <v>4245.6959999999999</v>
      </c>
      <c r="AA106" s="262">
        <v>3653.333333333333</v>
      </c>
      <c r="AB106" s="262">
        <v>0</v>
      </c>
      <c r="AC106" s="262">
        <v>0</v>
      </c>
      <c r="AD106" s="262">
        <v>0</v>
      </c>
      <c r="AE106" s="262">
        <v>0</v>
      </c>
      <c r="AG106" s="220">
        <f t="shared" si="331"/>
        <v>0</v>
      </c>
      <c r="AH106" s="220">
        <f t="shared" si="332"/>
        <v>0</v>
      </c>
      <c r="AI106" s="220">
        <f t="shared" si="333"/>
        <v>0</v>
      </c>
      <c r="AJ106" s="220">
        <f t="shared" si="334"/>
        <v>0</v>
      </c>
      <c r="AK106" s="220">
        <f t="shared" si="335"/>
        <v>0</v>
      </c>
      <c r="AL106" s="220">
        <f t="shared" si="336"/>
        <v>0</v>
      </c>
      <c r="AM106" s="220">
        <f t="shared" si="337"/>
        <v>0</v>
      </c>
      <c r="AN106" s="220">
        <f t="shared" si="338"/>
        <v>0</v>
      </c>
      <c r="AO106" s="220">
        <f t="shared" si="339"/>
        <v>0</v>
      </c>
      <c r="AP106" s="220">
        <f t="shared" si="340"/>
        <v>0</v>
      </c>
      <c r="AQ106" s="220">
        <f t="shared" si="341"/>
        <v>0</v>
      </c>
      <c r="AR106" s="220">
        <f t="shared" si="342"/>
        <v>0</v>
      </c>
      <c r="AS106" s="220">
        <f t="shared" si="343"/>
        <v>0</v>
      </c>
      <c r="AT106" s="220">
        <f t="shared" si="344"/>
        <v>0</v>
      </c>
      <c r="AU106" s="220">
        <f t="shared" si="345"/>
        <v>0</v>
      </c>
      <c r="AV106" s="220">
        <f t="shared" si="346"/>
        <v>0</v>
      </c>
      <c r="AW106" s="220">
        <f t="shared" si="347"/>
        <v>0</v>
      </c>
      <c r="AX106" s="220">
        <f t="shared" si="348"/>
        <v>0</v>
      </c>
      <c r="AY106" s="220">
        <f t="shared" si="349"/>
        <v>0</v>
      </c>
      <c r="AZ106" s="220">
        <f t="shared" si="350"/>
        <v>0</v>
      </c>
      <c r="BA106" s="220">
        <f t="shared" si="351"/>
        <v>0</v>
      </c>
      <c r="BD106" s="220">
        <f t="shared" si="352"/>
        <v>0</v>
      </c>
      <c r="BE106" s="220">
        <f t="shared" si="352"/>
        <v>0</v>
      </c>
      <c r="BF106" s="220">
        <f t="shared" si="352"/>
        <v>0</v>
      </c>
      <c r="BG106" s="220">
        <f t="shared" si="352"/>
        <v>0</v>
      </c>
      <c r="BH106" s="220">
        <f t="shared" si="352"/>
        <v>0</v>
      </c>
      <c r="BI106" s="220">
        <f t="shared" si="352"/>
        <v>0</v>
      </c>
      <c r="BJ106" s="220">
        <f t="shared" si="352"/>
        <v>0</v>
      </c>
      <c r="BK106" s="220">
        <f t="shared" si="352"/>
        <v>0</v>
      </c>
      <c r="BL106" s="220">
        <f t="shared" si="352"/>
        <v>0</v>
      </c>
      <c r="BM106" s="220">
        <f t="shared" si="352"/>
        <v>0</v>
      </c>
      <c r="BN106" s="220">
        <f t="shared" si="352"/>
        <v>0</v>
      </c>
      <c r="BO106" s="220">
        <f t="shared" si="352"/>
        <v>0</v>
      </c>
      <c r="BP106" s="220">
        <f t="shared" si="352"/>
        <v>0</v>
      </c>
      <c r="BQ106" s="220">
        <f t="shared" si="352"/>
        <v>0</v>
      </c>
      <c r="BR106" s="220">
        <f t="shared" si="209"/>
        <v>0</v>
      </c>
      <c r="BS106" s="220">
        <f t="shared" si="123"/>
        <v>0</v>
      </c>
      <c r="BT106" s="220">
        <f t="shared" si="124"/>
        <v>0</v>
      </c>
      <c r="BU106" s="220">
        <f t="shared" si="125"/>
        <v>0</v>
      </c>
      <c r="BV106" s="220">
        <f t="shared" si="126"/>
        <v>0</v>
      </c>
      <c r="BW106" s="220">
        <f t="shared" si="127"/>
        <v>0</v>
      </c>
      <c r="BX106" s="220">
        <f t="shared" si="128"/>
        <v>0</v>
      </c>
      <c r="CA106" s="220">
        <f t="shared" si="353"/>
        <v>180</v>
      </c>
      <c r="CB106" s="220">
        <f t="shared" si="353"/>
        <v>180.29089788975674</v>
      </c>
      <c r="CC106" s="220">
        <f t="shared" si="353"/>
        <v>120</v>
      </c>
      <c r="CD106" s="220">
        <f t="shared" si="353"/>
        <v>130.80000000000001</v>
      </c>
      <c r="CE106" s="220">
        <f t="shared" si="353"/>
        <v>159.93399999999988</v>
      </c>
      <c r="CF106" s="220">
        <f t="shared" si="353"/>
        <v>117.081</v>
      </c>
      <c r="CG106" s="220">
        <f t="shared" si="353"/>
        <v>166.8</v>
      </c>
      <c r="CH106" s="220">
        <f t="shared" si="353"/>
        <v>14.37</v>
      </c>
      <c r="CI106" s="220">
        <f t="shared" si="353"/>
        <v>0</v>
      </c>
      <c r="CJ106" s="220">
        <f t="shared" si="353"/>
        <v>180</v>
      </c>
      <c r="CK106" s="220">
        <f t="shared" si="353"/>
        <v>132.96959999999999</v>
      </c>
      <c r="CL106" s="220">
        <f t="shared" si="353"/>
        <v>0</v>
      </c>
      <c r="CM106" s="220">
        <f t="shared" si="353"/>
        <v>0</v>
      </c>
      <c r="CN106" s="220">
        <f t="shared" si="353"/>
        <v>77.369280000000003</v>
      </c>
      <c r="CO106" s="220">
        <f t="shared" si="210"/>
        <v>145.56672</v>
      </c>
      <c r="CP106" s="220">
        <f t="shared" si="130"/>
        <v>127.37088</v>
      </c>
      <c r="CQ106" s="220">
        <f t="shared" si="131"/>
        <v>109.59999999999998</v>
      </c>
      <c r="CR106" s="220">
        <f t="shared" si="132"/>
        <v>0</v>
      </c>
      <c r="CS106" s="220">
        <f t="shared" si="133"/>
        <v>0</v>
      </c>
      <c r="CT106" s="220">
        <f t="shared" si="134"/>
        <v>0</v>
      </c>
      <c r="CU106" s="220">
        <f t="shared" si="135"/>
        <v>0</v>
      </c>
    </row>
    <row r="107" spans="1:99" x14ac:dyDescent="0.35">
      <c r="A107" s="233">
        <v>5101</v>
      </c>
      <c r="B107" s="233">
        <v>20000340</v>
      </c>
      <c r="C107" s="234" t="s">
        <v>117</v>
      </c>
      <c r="D107" s="234">
        <v>50036718</v>
      </c>
      <c r="E107" s="233">
        <v>34</v>
      </c>
      <c r="F107" s="233" t="s">
        <v>106</v>
      </c>
      <c r="G107" s="233" t="s">
        <v>118</v>
      </c>
      <c r="H107" s="233" t="s">
        <v>70</v>
      </c>
      <c r="I107" s="236">
        <v>0</v>
      </c>
      <c r="K107" s="238">
        <v>0</v>
      </c>
      <c r="L107" s="238">
        <v>0</v>
      </c>
      <c r="M107" s="238">
        <v>0</v>
      </c>
      <c r="N107" s="238">
        <v>0</v>
      </c>
      <c r="O107" s="237">
        <v>0</v>
      </c>
      <c r="P107" s="237">
        <v>0</v>
      </c>
      <c r="Q107" s="237">
        <v>0</v>
      </c>
      <c r="R107" s="237">
        <v>0</v>
      </c>
      <c r="S107" s="238">
        <v>586.66666666666674</v>
      </c>
      <c r="T107" s="263">
        <v>0</v>
      </c>
      <c r="U107" s="262">
        <v>0</v>
      </c>
      <c r="V107" s="262">
        <v>0</v>
      </c>
      <c r="W107" s="262">
        <v>0</v>
      </c>
      <c r="X107" s="262">
        <v>0</v>
      </c>
      <c r="Y107" s="262">
        <v>0</v>
      </c>
      <c r="Z107" s="262">
        <v>0</v>
      </c>
      <c r="AA107" s="262">
        <v>0</v>
      </c>
      <c r="AB107" s="262">
        <v>0</v>
      </c>
      <c r="AC107" s="262">
        <v>0</v>
      </c>
      <c r="AD107" s="262">
        <v>0</v>
      </c>
      <c r="AE107" s="262">
        <v>0</v>
      </c>
      <c r="AG107" s="220">
        <f t="shared" si="331"/>
        <v>0</v>
      </c>
      <c r="AH107" s="220">
        <f t="shared" si="332"/>
        <v>0</v>
      </c>
      <c r="AI107" s="220">
        <f t="shared" si="333"/>
        <v>0</v>
      </c>
      <c r="AJ107" s="220">
        <f t="shared" si="334"/>
        <v>0</v>
      </c>
      <c r="AK107" s="220">
        <f t="shared" si="335"/>
        <v>0</v>
      </c>
      <c r="AL107" s="220">
        <f t="shared" si="336"/>
        <v>0</v>
      </c>
      <c r="AM107" s="220">
        <f t="shared" si="337"/>
        <v>0</v>
      </c>
      <c r="AN107" s="220">
        <f t="shared" si="338"/>
        <v>0</v>
      </c>
      <c r="AO107" s="220">
        <f t="shared" si="339"/>
        <v>0</v>
      </c>
      <c r="AP107" s="220">
        <f t="shared" si="340"/>
        <v>0</v>
      </c>
      <c r="AQ107" s="220">
        <f t="shared" si="341"/>
        <v>0</v>
      </c>
      <c r="AR107" s="220">
        <f t="shared" si="342"/>
        <v>0</v>
      </c>
      <c r="AS107" s="220">
        <f t="shared" si="343"/>
        <v>0</v>
      </c>
      <c r="AT107" s="220">
        <f t="shared" si="344"/>
        <v>0</v>
      </c>
      <c r="AU107" s="220">
        <f t="shared" si="345"/>
        <v>0</v>
      </c>
      <c r="AV107" s="220">
        <f t="shared" si="346"/>
        <v>0</v>
      </c>
      <c r="AW107" s="220">
        <f t="shared" si="347"/>
        <v>0</v>
      </c>
      <c r="AX107" s="220">
        <f t="shared" si="348"/>
        <v>0</v>
      </c>
      <c r="AY107" s="220">
        <f t="shared" si="349"/>
        <v>0</v>
      </c>
      <c r="AZ107" s="220">
        <f t="shared" si="350"/>
        <v>0</v>
      </c>
      <c r="BA107" s="220">
        <f t="shared" si="351"/>
        <v>0</v>
      </c>
      <c r="BD107" s="220">
        <f t="shared" si="352"/>
        <v>0</v>
      </c>
      <c r="BE107" s="220">
        <f t="shared" si="352"/>
        <v>0</v>
      </c>
      <c r="BF107" s="220">
        <f t="shared" si="352"/>
        <v>0</v>
      </c>
      <c r="BG107" s="220">
        <f t="shared" si="352"/>
        <v>0</v>
      </c>
      <c r="BH107" s="220">
        <f t="shared" si="352"/>
        <v>0</v>
      </c>
      <c r="BI107" s="220">
        <f t="shared" si="352"/>
        <v>0</v>
      </c>
      <c r="BJ107" s="220">
        <f t="shared" si="352"/>
        <v>0</v>
      </c>
      <c r="BK107" s="220">
        <f t="shared" si="352"/>
        <v>0</v>
      </c>
      <c r="BL107" s="220">
        <f t="shared" si="352"/>
        <v>0</v>
      </c>
      <c r="BM107" s="220">
        <f t="shared" si="352"/>
        <v>0</v>
      </c>
      <c r="BN107" s="220">
        <f t="shared" si="352"/>
        <v>0</v>
      </c>
      <c r="BO107" s="220">
        <f t="shared" si="352"/>
        <v>0</v>
      </c>
      <c r="BP107" s="220">
        <f t="shared" si="352"/>
        <v>0</v>
      </c>
      <c r="BQ107" s="220">
        <f t="shared" si="352"/>
        <v>0</v>
      </c>
      <c r="BR107" s="220">
        <f t="shared" si="209"/>
        <v>0</v>
      </c>
      <c r="BS107" s="220">
        <f t="shared" si="123"/>
        <v>0</v>
      </c>
      <c r="BT107" s="220">
        <f t="shared" si="124"/>
        <v>0</v>
      </c>
      <c r="BU107" s="220">
        <f t="shared" si="125"/>
        <v>0</v>
      </c>
      <c r="BV107" s="220">
        <f t="shared" si="126"/>
        <v>0</v>
      </c>
      <c r="BW107" s="220">
        <f t="shared" si="127"/>
        <v>0</v>
      </c>
      <c r="BX107" s="220">
        <f t="shared" si="128"/>
        <v>0</v>
      </c>
      <c r="CA107" s="220">
        <f t="shared" si="353"/>
        <v>0</v>
      </c>
      <c r="CB107" s="220">
        <f t="shared" si="353"/>
        <v>0</v>
      </c>
      <c r="CC107" s="220">
        <f t="shared" si="353"/>
        <v>0</v>
      </c>
      <c r="CD107" s="220">
        <f t="shared" si="353"/>
        <v>0</v>
      </c>
      <c r="CE107" s="220">
        <f t="shared" si="353"/>
        <v>0</v>
      </c>
      <c r="CF107" s="220">
        <f t="shared" si="353"/>
        <v>0</v>
      </c>
      <c r="CG107" s="220">
        <f t="shared" si="353"/>
        <v>0</v>
      </c>
      <c r="CH107" s="220">
        <f t="shared" si="353"/>
        <v>0</v>
      </c>
      <c r="CI107" s="220">
        <f t="shared" si="353"/>
        <v>19.946666666666669</v>
      </c>
      <c r="CJ107" s="220">
        <f t="shared" si="353"/>
        <v>0</v>
      </c>
      <c r="CK107" s="220">
        <f t="shared" si="353"/>
        <v>0</v>
      </c>
      <c r="CL107" s="220">
        <f t="shared" si="353"/>
        <v>0</v>
      </c>
      <c r="CM107" s="220">
        <f t="shared" si="353"/>
        <v>0</v>
      </c>
      <c r="CN107" s="220">
        <f t="shared" si="353"/>
        <v>0</v>
      </c>
      <c r="CO107" s="220">
        <f t="shared" si="210"/>
        <v>0</v>
      </c>
      <c r="CP107" s="220">
        <f t="shared" si="130"/>
        <v>0</v>
      </c>
      <c r="CQ107" s="220">
        <f t="shared" si="131"/>
        <v>0</v>
      </c>
      <c r="CR107" s="220">
        <f t="shared" si="132"/>
        <v>0</v>
      </c>
      <c r="CS107" s="220">
        <f t="shared" si="133"/>
        <v>0</v>
      </c>
      <c r="CT107" s="220">
        <f t="shared" si="134"/>
        <v>0</v>
      </c>
      <c r="CU107" s="220">
        <f t="shared" si="135"/>
        <v>0</v>
      </c>
    </row>
    <row r="108" spans="1:99" x14ac:dyDescent="0.35">
      <c r="A108" s="233">
        <v>5101</v>
      </c>
      <c r="B108" s="233">
        <v>20000340</v>
      </c>
      <c r="C108" s="234" t="s">
        <v>117</v>
      </c>
      <c r="D108" s="234">
        <v>50039509</v>
      </c>
      <c r="E108" s="233">
        <v>34</v>
      </c>
      <c r="F108" s="233" t="s">
        <v>106</v>
      </c>
      <c r="G108" s="233" t="s">
        <v>121</v>
      </c>
      <c r="H108" s="233" t="s">
        <v>70</v>
      </c>
      <c r="I108" s="236">
        <v>0</v>
      </c>
      <c r="K108" s="238">
        <v>1095</v>
      </c>
      <c r="L108" s="238">
        <v>555.65296485996669</v>
      </c>
      <c r="M108" s="238">
        <v>0</v>
      </c>
      <c r="N108" s="238">
        <v>1618</v>
      </c>
      <c r="O108" s="238">
        <v>471.11111111111097</v>
      </c>
      <c r="P108" s="238">
        <v>72.274666666666704</v>
      </c>
      <c r="Q108" s="238">
        <v>355.55555555555497</v>
      </c>
      <c r="R108" s="238">
        <v>782.2222222222224</v>
      </c>
      <c r="S108" s="238">
        <v>0</v>
      </c>
      <c r="T108" s="263">
        <v>2426.6666666666679</v>
      </c>
      <c r="U108" s="263">
        <v>437.61000000000058</v>
      </c>
      <c r="V108" s="263">
        <v>0</v>
      </c>
      <c r="W108" s="263">
        <v>0</v>
      </c>
      <c r="X108" s="263">
        <v>0</v>
      </c>
      <c r="Y108" s="263">
        <v>0</v>
      </c>
      <c r="Z108" s="263">
        <v>0</v>
      </c>
      <c r="AA108" s="263">
        <v>0</v>
      </c>
      <c r="AB108" s="263">
        <v>0</v>
      </c>
      <c r="AC108" s="263">
        <v>0</v>
      </c>
      <c r="AD108" s="263">
        <v>0</v>
      </c>
      <c r="AE108" s="263">
        <v>0</v>
      </c>
      <c r="AG108" s="220">
        <f t="shared" si="331"/>
        <v>0</v>
      </c>
      <c r="AH108" s="220">
        <f t="shared" si="332"/>
        <v>0</v>
      </c>
      <c r="AI108" s="220">
        <f t="shared" si="333"/>
        <v>0</v>
      </c>
      <c r="AJ108" s="220">
        <f t="shared" si="334"/>
        <v>0</v>
      </c>
      <c r="AK108" s="220">
        <f t="shared" si="335"/>
        <v>0</v>
      </c>
      <c r="AL108" s="220">
        <f t="shared" si="336"/>
        <v>0</v>
      </c>
      <c r="AM108" s="220">
        <f t="shared" si="337"/>
        <v>0</v>
      </c>
      <c r="AN108" s="220">
        <f t="shared" si="338"/>
        <v>0</v>
      </c>
      <c r="AO108" s="220">
        <f t="shared" si="339"/>
        <v>0</v>
      </c>
      <c r="AP108" s="220">
        <f t="shared" si="340"/>
        <v>0</v>
      </c>
      <c r="AQ108" s="220">
        <f t="shared" si="341"/>
        <v>0</v>
      </c>
      <c r="AR108" s="220">
        <f t="shared" si="342"/>
        <v>0</v>
      </c>
      <c r="AS108" s="220">
        <f t="shared" si="343"/>
        <v>0</v>
      </c>
      <c r="AT108" s="220">
        <f t="shared" si="344"/>
        <v>0</v>
      </c>
      <c r="AU108" s="220">
        <f t="shared" si="345"/>
        <v>0</v>
      </c>
      <c r="AV108" s="220">
        <f t="shared" si="346"/>
        <v>0</v>
      </c>
      <c r="AW108" s="220">
        <f t="shared" si="347"/>
        <v>0</v>
      </c>
      <c r="AX108" s="220">
        <f t="shared" si="348"/>
        <v>0</v>
      </c>
      <c r="AY108" s="220">
        <f t="shared" si="349"/>
        <v>0</v>
      </c>
      <c r="AZ108" s="220">
        <f t="shared" si="350"/>
        <v>0</v>
      </c>
      <c r="BA108" s="220">
        <f t="shared" si="351"/>
        <v>0</v>
      </c>
      <c r="BD108" s="220">
        <f t="shared" si="352"/>
        <v>0</v>
      </c>
      <c r="BE108" s="220">
        <f t="shared" si="352"/>
        <v>0</v>
      </c>
      <c r="BF108" s="220">
        <f t="shared" si="352"/>
        <v>0</v>
      </c>
      <c r="BG108" s="220">
        <f t="shared" si="352"/>
        <v>0</v>
      </c>
      <c r="BH108" s="220">
        <f t="shared" si="352"/>
        <v>0</v>
      </c>
      <c r="BI108" s="220">
        <f t="shared" si="352"/>
        <v>0</v>
      </c>
      <c r="BJ108" s="220">
        <f t="shared" si="352"/>
        <v>0</v>
      </c>
      <c r="BK108" s="220">
        <f t="shared" si="352"/>
        <v>0</v>
      </c>
      <c r="BL108" s="220">
        <f t="shared" si="352"/>
        <v>0</v>
      </c>
      <c r="BM108" s="220">
        <f t="shared" si="352"/>
        <v>0</v>
      </c>
      <c r="BN108" s="220">
        <f t="shared" si="352"/>
        <v>0</v>
      </c>
      <c r="BO108" s="220">
        <f t="shared" si="352"/>
        <v>0</v>
      </c>
      <c r="BP108" s="220">
        <f t="shared" si="352"/>
        <v>0</v>
      </c>
      <c r="BQ108" s="220">
        <f t="shared" si="352"/>
        <v>0</v>
      </c>
      <c r="BR108" s="220">
        <f t="shared" si="209"/>
        <v>0</v>
      </c>
      <c r="BS108" s="220">
        <f t="shared" si="123"/>
        <v>0</v>
      </c>
      <c r="BT108" s="220">
        <f t="shared" si="124"/>
        <v>0</v>
      </c>
      <c r="BU108" s="220">
        <f t="shared" si="125"/>
        <v>0</v>
      </c>
      <c r="BV108" s="220">
        <f t="shared" si="126"/>
        <v>0</v>
      </c>
      <c r="BW108" s="220">
        <f t="shared" si="127"/>
        <v>0</v>
      </c>
      <c r="BX108" s="220">
        <f t="shared" si="128"/>
        <v>0</v>
      </c>
      <c r="CA108" s="220">
        <f t="shared" si="353"/>
        <v>37.229999999999997</v>
      </c>
      <c r="CB108" s="220">
        <f t="shared" si="353"/>
        <v>18.892200805238865</v>
      </c>
      <c r="CC108" s="220">
        <f t="shared" si="353"/>
        <v>0</v>
      </c>
      <c r="CD108" s="220">
        <f t="shared" si="353"/>
        <v>55.012</v>
      </c>
      <c r="CE108" s="220">
        <f t="shared" si="353"/>
        <v>16.017777777777773</v>
      </c>
      <c r="CF108" s="220">
        <f t="shared" si="353"/>
        <v>2.4573386666666681</v>
      </c>
      <c r="CG108" s="220">
        <f t="shared" si="353"/>
        <v>12.088888888888869</v>
      </c>
      <c r="CH108" s="220">
        <f t="shared" si="353"/>
        <v>26.595555555555563</v>
      </c>
      <c r="CI108" s="220">
        <f t="shared" si="353"/>
        <v>0</v>
      </c>
      <c r="CJ108" s="220">
        <f t="shared" si="353"/>
        <v>82.506666666666717</v>
      </c>
      <c r="CK108" s="220">
        <f t="shared" si="353"/>
        <v>14.87874000000002</v>
      </c>
      <c r="CL108" s="220">
        <f t="shared" si="353"/>
        <v>0</v>
      </c>
      <c r="CM108" s="220">
        <f t="shared" si="353"/>
        <v>0</v>
      </c>
      <c r="CN108" s="220">
        <f t="shared" si="353"/>
        <v>0</v>
      </c>
      <c r="CO108" s="220">
        <f t="shared" si="210"/>
        <v>0</v>
      </c>
      <c r="CP108" s="220">
        <f t="shared" si="130"/>
        <v>0</v>
      </c>
      <c r="CQ108" s="220">
        <f t="shared" si="131"/>
        <v>0</v>
      </c>
      <c r="CR108" s="220">
        <f t="shared" si="132"/>
        <v>0</v>
      </c>
      <c r="CS108" s="220">
        <f t="shared" si="133"/>
        <v>0</v>
      </c>
      <c r="CT108" s="220">
        <f t="shared" si="134"/>
        <v>0</v>
      </c>
      <c r="CU108" s="220">
        <f t="shared" si="135"/>
        <v>0</v>
      </c>
    </row>
    <row r="109" spans="1:99" x14ac:dyDescent="0.35">
      <c r="A109" s="233">
        <v>5121</v>
      </c>
      <c r="B109" s="233">
        <v>20000340</v>
      </c>
      <c r="C109" s="234" t="s">
        <v>117</v>
      </c>
      <c r="D109" s="234">
        <v>50029843</v>
      </c>
      <c r="E109" s="233">
        <v>44.8</v>
      </c>
      <c r="F109" s="233" t="s">
        <v>106</v>
      </c>
      <c r="G109" s="233" t="s">
        <v>118</v>
      </c>
      <c r="H109" s="233" t="s">
        <v>70</v>
      </c>
      <c r="I109" s="236">
        <v>0</v>
      </c>
      <c r="T109" s="263">
        <v>0</v>
      </c>
      <c r="U109" s="263">
        <v>0</v>
      </c>
      <c r="V109" s="263">
        <v>0</v>
      </c>
      <c r="W109" s="263">
        <v>0</v>
      </c>
      <c r="X109" s="263">
        <v>419.32799999999997</v>
      </c>
      <c r="Y109" s="263">
        <v>838.65599999999995</v>
      </c>
      <c r="Z109" s="263">
        <v>0</v>
      </c>
      <c r="AA109" s="263">
        <v>0</v>
      </c>
      <c r="AB109" s="263">
        <v>0</v>
      </c>
      <c r="AC109" s="263">
        <v>0</v>
      </c>
      <c r="AD109" s="263">
        <v>0</v>
      </c>
      <c r="AE109" s="263">
        <v>0</v>
      </c>
      <c r="AG109" s="220">
        <f t="shared" si="331"/>
        <v>0</v>
      </c>
      <c r="AH109" s="220">
        <f t="shared" si="332"/>
        <v>0</v>
      </c>
      <c r="AI109" s="220">
        <f t="shared" si="333"/>
        <v>0</v>
      </c>
      <c r="AJ109" s="220">
        <f t="shared" si="334"/>
        <v>0</v>
      </c>
      <c r="AK109" s="220">
        <f t="shared" si="335"/>
        <v>0</v>
      </c>
      <c r="AL109" s="220">
        <f t="shared" si="336"/>
        <v>0</v>
      </c>
      <c r="AM109" s="220">
        <f t="shared" si="337"/>
        <v>0</v>
      </c>
      <c r="AN109" s="220">
        <f t="shared" si="338"/>
        <v>0</v>
      </c>
      <c r="AO109" s="220">
        <f t="shared" si="339"/>
        <v>0</v>
      </c>
      <c r="AP109" s="220">
        <f t="shared" si="340"/>
        <v>0</v>
      </c>
      <c r="AQ109" s="220">
        <f t="shared" si="341"/>
        <v>0</v>
      </c>
      <c r="AR109" s="220">
        <f t="shared" si="342"/>
        <v>0</v>
      </c>
      <c r="AS109" s="220">
        <f t="shared" si="343"/>
        <v>0</v>
      </c>
      <c r="AT109" s="220">
        <f t="shared" si="344"/>
        <v>0</v>
      </c>
      <c r="AU109" s="220">
        <f t="shared" si="345"/>
        <v>0</v>
      </c>
      <c r="AV109" s="220">
        <f t="shared" si="346"/>
        <v>0</v>
      </c>
      <c r="AW109" s="220">
        <f t="shared" si="347"/>
        <v>0</v>
      </c>
      <c r="AX109" s="220">
        <f t="shared" si="348"/>
        <v>0</v>
      </c>
      <c r="AY109" s="220">
        <f t="shared" si="349"/>
        <v>0</v>
      </c>
      <c r="AZ109" s="220">
        <f t="shared" si="350"/>
        <v>0</v>
      </c>
      <c r="BA109" s="220">
        <f t="shared" si="351"/>
        <v>0</v>
      </c>
      <c r="BD109" s="220">
        <f t="shared" ref="BD109:BQ112" si="354">+K109*$E109/1000*$I109</f>
        <v>0</v>
      </c>
      <c r="BE109" s="220">
        <f t="shared" si="354"/>
        <v>0</v>
      </c>
      <c r="BF109" s="220">
        <f t="shared" si="354"/>
        <v>0</v>
      </c>
      <c r="BG109" s="220">
        <f t="shared" si="354"/>
        <v>0</v>
      </c>
      <c r="BH109" s="220">
        <f t="shared" si="354"/>
        <v>0</v>
      </c>
      <c r="BI109" s="220">
        <f t="shared" si="354"/>
        <v>0</v>
      </c>
      <c r="BJ109" s="220">
        <f t="shared" si="354"/>
        <v>0</v>
      </c>
      <c r="BK109" s="220">
        <f t="shared" si="354"/>
        <v>0</v>
      </c>
      <c r="BL109" s="220">
        <f t="shared" si="354"/>
        <v>0</v>
      </c>
      <c r="BM109" s="220">
        <f t="shared" si="354"/>
        <v>0</v>
      </c>
      <c r="BN109" s="220">
        <f t="shared" si="354"/>
        <v>0</v>
      </c>
      <c r="BO109" s="220">
        <f t="shared" si="354"/>
        <v>0</v>
      </c>
      <c r="BP109" s="220">
        <f t="shared" si="354"/>
        <v>0</v>
      </c>
      <c r="BQ109" s="220">
        <f t="shared" si="354"/>
        <v>0</v>
      </c>
      <c r="BR109" s="220">
        <f t="shared" si="209"/>
        <v>0</v>
      </c>
      <c r="BS109" s="220">
        <f t="shared" si="123"/>
        <v>0</v>
      </c>
      <c r="BT109" s="220">
        <f t="shared" si="124"/>
        <v>0</v>
      </c>
      <c r="BU109" s="220">
        <f t="shared" si="125"/>
        <v>0</v>
      </c>
      <c r="BV109" s="220">
        <f t="shared" si="126"/>
        <v>0</v>
      </c>
      <c r="BW109" s="220">
        <f t="shared" si="127"/>
        <v>0</v>
      </c>
      <c r="BX109" s="220">
        <f t="shared" si="128"/>
        <v>0</v>
      </c>
      <c r="CA109" s="220">
        <f t="shared" ref="CA109:CN112" si="355">IF($C109="CERVECERIA Y MALTERIA.",K109*$E109/1000*(1-$I109),0)</f>
        <v>0</v>
      </c>
      <c r="CB109" s="220">
        <f t="shared" si="355"/>
        <v>0</v>
      </c>
      <c r="CC109" s="220">
        <f t="shared" si="355"/>
        <v>0</v>
      </c>
      <c r="CD109" s="220">
        <f t="shared" si="355"/>
        <v>0</v>
      </c>
      <c r="CE109" s="220">
        <f t="shared" si="355"/>
        <v>0</v>
      </c>
      <c r="CF109" s="220">
        <f t="shared" si="355"/>
        <v>0</v>
      </c>
      <c r="CG109" s="220">
        <f t="shared" si="355"/>
        <v>0</v>
      </c>
      <c r="CH109" s="220">
        <f t="shared" si="355"/>
        <v>0</v>
      </c>
      <c r="CI109" s="220">
        <f t="shared" si="355"/>
        <v>0</v>
      </c>
      <c r="CJ109" s="220">
        <f t="shared" si="355"/>
        <v>0</v>
      </c>
      <c r="CK109" s="220">
        <f t="shared" si="355"/>
        <v>0</v>
      </c>
      <c r="CL109" s="220">
        <f t="shared" si="355"/>
        <v>0</v>
      </c>
      <c r="CM109" s="220">
        <f t="shared" si="355"/>
        <v>0</v>
      </c>
      <c r="CN109" s="220">
        <f t="shared" si="355"/>
        <v>18.785894399999997</v>
      </c>
      <c r="CO109" s="220">
        <f t="shared" si="210"/>
        <v>37.571788799999993</v>
      </c>
      <c r="CP109" s="220">
        <f t="shared" si="130"/>
        <v>0</v>
      </c>
      <c r="CQ109" s="220">
        <f t="shared" si="131"/>
        <v>0</v>
      </c>
      <c r="CR109" s="220">
        <f t="shared" si="132"/>
        <v>0</v>
      </c>
      <c r="CS109" s="220">
        <f t="shared" si="133"/>
        <v>0</v>
      </c>
      <c r="CT109" s="220">
        <f t="shared" si="134"/>
        <v>0</v>
      </c>
      <c r="CU109" s="220">
        <f t="shared" si="135"/>
        <v>0</v>
      </c>
    </row>
    <row r="110" spans="1:99" x14ac:dyDescent="0.35">
      <c r="A110" s="233">
        <v>5121</v>
      </c>
      <c r="B110" s="233">
        <v>20000340</v>
      </c>
      <c r="C110" s="234" t="s">
        <v>117</v>
      </c>
      <c r="D110" s="234">
        <v>50032514</v>
      </c>
      <c r="E110" s="233">
        <v>44.8</v>
      </c>
      <c r="F110" s="233" t="s">
        <v>106</v>
      </c>
      <c r="G110" s="233" t="s">
        <v>121</v>
      </c>
      <c r="H110" s="233" t="s">
        <v>70</v>
      </c>
      <c r="I110" s="236">
        <v>0</v>
      </c>
      <c r="K110" s="238">
        <v>1614</v>
      </c>
      <c r="L110" s="238">
        <v>1442.3271831180541</v>
      </c>
      <c r="M110" s="238">
        <v>3226.6666666666697</v>
      </c>
      <c r="N110" s="238">
        <v>2395</v>
      </c>
      <c r="O110" s="238">
        <v>2154.6666666666702</v>
      </c>
      <c r="P110" s="238">
        <v>2730.6666666666702</v>
      </c>
      <c r="Q110" s="238">
        <v>1760</v>
      </c>
      <c r="R110" s="238">
        <v>1601.1466666666665</v>
      </c>
      <c r="S110" s="238">
        <v>1260.96</v>
      </c>
      <c r="T110" s="263">
        <v>0</v>
      </c>
      <c r="U110" s="263">
        <v>0</v>
      </c>
      <c r="V110" s="263">
        <v>0</v>
      </c>
      <c r="W110" s="263">
        <v>838.65599999999995</v>
      </c>
      <c r="X110" s="263">
        <v>0</v>
      </c>
      <c r="Y110" s="263">
        <v>0</v>
      </c>
      <c r="Z110" s="263">
        <v>419.32799999999997</v>
      </c>
      <c r="AA110" s="263">
        <v>977.77777777777783</v>
      </c>
      <c r="AB110" s="263">
        <v>419.32799999999997</v>
      </c>
      <c r="AC110" s="263">
        <v>419.32799999999997</v>
      </c>
      <c r="AD110" s="263">
        <v>838.65599999999995</v>
      </c>
      <c r="AE110" s="263">
        <v>419.32799999999997</v>
      </c>
      <c r="AG110" s="220">
        <f t="shared" si="331"/>
        <v>0</v>
      </c>
      <c r="AH110" s="220">
        <f t="shared" si="332"/>
        <v>0</v>
      </c>
      <c r="AI110" s="220">
        <f t="shared" si="333"/>
        <v>0</v>
      </c>
      <c r="AJ110" s="220">
        <f t="shared" si="334"/>
        <v>0</v>
      </c>
      <c r="AK110" s="220">
        <f t="shared" si="335"/>
        <v>0</v>
      </c>
      <c r="AL110" s="220">
        <f t="shared" si="336"/>
        <v>0</v>
      </c>
      <c r="AM110" s="220">
        <f t="shared" si="337"/>
        <v>0</v>
      </c>
      <c r="AN110" s="220">
        <f t="shared" si="338"/>
        <v>0</v>
      </c>
      <c r="AO110" s="220">
        <f t="shared" si="339"/>
        <v>0</v>
      </c>
      <c r="AP110" s="220">
        <f t="shared" si="340"/>
        <v>0</v>
      </c>
      <c r="AQ110" s="220">
        <f t="shared" si="341"/>
        <v>0</v>
      </c>
      <c r="AR110" s="220">
        <f t="shared" si="342"/>
        <v>0</v>
      </c>
      <c r="AS110" s="220">
        <f t="shared" si="343"/>
        <v>0</v>
      </c>
      <c r="AT110" s="220">
        <f t="shared" si="344"/>
        <v>0</v>
      </c>
      <c r="AU110" s="220">
        <f t="shared" si="345"/>
        <v>0</v>
      </c>
      <c r="AV110" s="220">
        <f t="shared" si="346"/>
        <v>0</v>
      </c>
      <c r="AW110" s="220">
        <f t="shared" si="347"/>
        <v>0</v>
      </c>
      <c r="AX110" s="220">
        <f t="shared" si="348"/>
        <v>0</v>
      </c>
      <c r="AY110" s="220">
        <f t="shared" si="349"/>
        <v>0</v>
      </c>
      <c r="AZ110" s="220">
        <f t="shared" si="350"/>
        <v>0</v>
      </c>
      <c r="BA110" s="220">
        <f t="shared" si="351"/>
        <v>0</v>
      </c>
      <c r="BD110" s="220">
        <f t="shared" si="354"/>
        <v>0</v>
      </c>
      <c r="BE110" s="220">
        <f t="shared" si="354"/>
        <v>0</v>
      </c>
      <c r="BF110" s="220">
        <f t="shared" si="354"/>
        <v>0</v>
      </c>
      <c r="BG110" s="220">
        <f t="shared" si="354"/>
        <v>0</v>
      </c>
      <c r="BH110" s="220">
        <f t="shared" si="354"/>
        <v>0</v>
      </c>
      <c r="BI110" s="220">
        <f t="shared" si="354"/>
        <v>0</v>
      </c>
      <c r="BJ110" s="220">
        <f t="shared" si="354"/>
        <v>0</v>
      </c>
      <c r="BK110" s="220">
        <f t="shared" si="354"/>
        <v>0</v>
      </c>
      <c r="BL110" s="220">
        <f t="shared" si="354"/>
        <v>0</v>
      </c>
      <c r="BM110" s="220">
        <f t="shared" si="354"/>
        <v>0</v>
      </c>
      <c r="BN110" s="220">
        <f t="shared" si="354"/>
        <v>0</v>
      </c>
      <c r="BO110" s="220">
        <f t="shared" si="354"/>
        <v>0</v>
      </c>
      <c r="BP110" s="220">
        <f t="shared" si="354"/>
        <v>0</v>
      </c>
      <c r="BQ110" s="220">
        <f t="shared" si="354"/>
        <v>0</v>
      </c>
      <c r="BR110" s="220">
        <f t="shared" si="209"/>
        <v>0</v>
      </c>
      <c r="BS110" s="220">
        <f t="shared" si="123"/>
        <v>0</v>
      </c>
      <c r="BT110" s="220">
        <f t="shared" si="124"/>
        <v>0</v>
      </c>
      <c r="BU110" s="220">
        <f t="shared" si="125"/>
        <v>0</v>
      </c>
      <c r="BV110" s="220">
        <f t="shared" si="126"/>
        <v>0</v>
      </c>
      <c r="BW110" s="220">
        <f t="shared" si="127"/>
        <v>0</v>
      </c>
      <c r="BX110" s="220">
        <f t="shared" si="128"/>
        <v>0</v>
      </c>
      <c r="CA110" s="220">
        <f t="shared" si="355"/>
        <v>72.307199999999995</v>
      </c>
      <c r="CB110" s="220">
        <f t="shared" si="355"/>
        <v>64.616257803688825</v>
      </c>
      <c r="CC110" s="220">
        <f t="shared" si="355"/>
        <v>144.5546666666668</v>
      </c>
      <c r="CD110" s="220">
        <f t="shared" si="355"/>
        <v>107.29600000000001</v>
      </c>
      <c r="CE110" s="220">
        <f t="shared" si="355"/>
        <v>96.529066666666807</v>
      </c>
      <c r="CF110" s="220">
        <f t="shared" si="355"/>
        <v>122.33386666666681</v>
      </c>
      <c r="CG110" s="220">
        <f t="shared" si="355"/>
        <v>78.847999999999999</v>
      </c>
      <c r="CH110" s="220">
        <f t="shared" si="355"/>
        <v>71.731370666666649</v>
      </c>
      <c r="CI110" s="220">
        <f t="shared" si="355"/>
        <v>56.491008000000001</v>
      </c>
      <c r="CJ110" s="220">
        <f t="shared" si="355"/>
        <v>0</v>
      </c>
      <c r="CK110" s="220">
        <f t="shared" si="355"/>
        <v>0</v>
      </c>
      <c r="CL110" s="220">
        <f t="shared" si="355"/>
        <v>0</v>
      </c>
      <c r="CM110" s="220">
        <f t="shared" si="355"/>
        <v>37.571788799999993</v>
      </c>
      <c r="CN110" s="220">
        <f t="shared" si="355"/>
        <v>0</v>
      </c>
      <c r="CO110" s="220">
        <f t="shared" si="210"/>
        <v>0</v>
      </c>
      <c r="CP110" s="220">
        <f t="shared" si="130"/>
        <v>18.785894399999997</v>
      </c>
      <c r="CQ110" s="220">
        <f t="shared" si="131"/>
        <v>43.804444444444442</v>
      </c>
      <c r="CR110" s="220">
        <f t="shared" si="132"/>
        <v>18.785894399999997</v>
      </c>
      <c r="CS110" s="220">
        <f t="shared" si="133"/>
        <v>18.785894399999997</v>
      </c>
      <c r="CT110" s="220">
        <f t="shared" si="134"/>
        <v>37.571788799999993</v>
      </c>
      <c r="CU110" s="220">
        <f t="shared" si="135"/>
        <v>18.785894399999997</v>
      </c>
    </row>
    <row r="111" spans="1:99" x14ac:dyDescent="0.35">
      <c r="A111" s="233">
        <v>5101</v>
      </c>
      <c r="B111" s="233">
        <v>20000340</v>
      </c>
      <c r="C111" s="234" t="s">
        <v>117</v>
      </c>
      <c r="D111" s="234">
        <v>50027468</v>
      </c>
      <c r="E111" s="233">
        <v>52</v>
      </c>
      <c r="F111" s="233" t="s">
        <v>106</v>
      </c>
      <c r="G111" s="233" t="s">
        <v>118</v>
      </c>
      <c r="H111" s="233" t="s">
        <v>70</v>
      </c>
      <c r="I111" s="236">
        <v>0</v>
      </c>
      <c r="K111" s="238">
        <v>0</v>
      </c>
      <c r="L111" s="238">
        <v>0</v>
      </c>
      <c r="M111" s="238">
        <v>0</v>
      </c>
      <c r="N111" s="238">
        <v>0</v>
      </c>
      <c r="O111" s="238">
        <v>0</v>
      </c>
      <c r="P111" s="238">
        <v>0</v>
      </c>
      <c r="Q111" s="238">
        <v>0</v>
      </c>
      <c r="R111" s="238">
        <v>0</v>
      </c>
      <c r="S111" s="238">
        <v>0</v>
      </c>
      <c r="T111" s="263">
        <v>871.11111111111109</v>
      </c>
      <c r="U111" s="263">
        <v>374.50488888888913</v>
      </c>
      <c r="V111" s="263">
        <v>419.32799999999997</v>
      </c>
      <c r="W111" s="263">
        <v>0</v>
      </c>
      <c r="X111" s="263">
        <v>0</v>
      </c>
      <c r="Y111" s="263">
        <v>0</v>
      </c>
      <c r="Z111" s="263">
        <v>0</v>
      </c>
      <c r="AA111" s="263">
        <v>0</v>
      </c>
      <c r="AB111" s="263">
        <v>0</v>
      </c>
      <c r="AC111" s="263">
        <v>0</v>
      </c>
      <c r="AD111" s="263">
        <v>0</v>
      </c>
      <c r="AE111" s="263">
        <v>0</v>
      </c>
      <c r="AG111" s="220">
        <f t="shared" si="331"/>
        <v>0</v>
      </c>
      <c r="AH111" s="220">
        <f t="shared" si="332"/>
        <v>0</v>
      </c>
      <c r="AI111" s="220">
        <f t="shared" si="333"/>
        <v>0</v>
      </c>
      <c r="AJ111" s="220">
        <f t="shared" si="334"/>
        <v>0</v>
      </c>
      <c r="AK111" s="220">
        <f t="shared" si="335"/>
        <v>0</v>
      </c>
      <c r="AL111" s="220">
        <f t="shared" si="336"/>
        <v>0</v>
      </c>
      <c r="AM111" s="220">
        <f t="shared" si="337"/>
        <v>0</v>
      </c>
      <c r="AN111" s="220">
        <f t="shared" si="338"/>
        <v>0</v>
      </c>
      <c r="AO111" s="220">
        <f t="shared" si="339"/>
        <v>0</v>
      </c>
      <c r="AP111" s="220">
        <f t="shared" si="340"/>
        <v>0</v>
      </c>
      <c r="AQ111" s="220">
        <f t="shared" si="341"/>
        <v>0</v>
      </c>
      <c r="AR111" s="220">
        <f t="shared" si="342"/>
        <v>0</v>
      </c>
      <c r="AS111" s="220">
        <f t="shared" si="343"/>
        <v>0</v>
      </c>
      <c r="AT111" s="220">
        <f t="shared" si="344"/>
        <v>0</v>
      </c>
      <c r="AU111" s="220">
        <f t="shared" si="345"/>
        <v>0</v>
      </c>
      <c r="AV111" s="220">
        <f t="shared" si="346"/>
        <v>0</v>
      </c>
      <c r="AW111" s="220">
        <f t="shared" si="347"/>
        <v>0</v>
      </c>
      <c r="AX111" s="220">
        <f t="shared" si="348"/>
        <v>0</v>
      </c>
      <c r="AY111" s="220">
        <f t="shared" si="349"/>
        <v>0</v>
      </c>
      <c r="AZ111" s="220">
        <f t="shared" si="350"/>
        <v>0</v>
      </c>
      <c r="BA111" s="220">
        <f t="shared" si="351"/>
        <v>0</v>
      </c>
      <c r="BD111" s="220">
        <f t="shared" si="354"/>
        <v>0</v>
      </c>
      <c r="BE111" s="220">
        <f t="shared" si="354"/>
        <v>0</v>
      </c>
      <c r="BF111" s="220">
        <f t="shared" si="354"/>
        <v>0</v>
      </c>
      <c r="BG111" s="220">
        <f t="shared" si="354"/>
        <v>0</v>
      </c>
      <c r="BH111" s="220">
        <f t="shared" si="354"/>
        <v>0</v>
      </c>
      <c r="BI111" s="220">
        <f t="shared" si="354"/>
        <v>0</v>
      </c>
      <c r="BJ111" s="220">
        <f t="shared" si="354"/>
        <v>0</v>
      </c>
      <c r="BK111" s="220">
        <f t="shared" si="354"/>
        <v>0</v>
      </c>
      <c r="BL111" s="220">
        <f t="shared" si="354"/>
        <v>0</v>
      </c>
      <c r="BM111" s="220">
        <f t="shared" si="354"/>
        <v>0</v>
      </c>
      <c r="BN111" s="220">
        <f t="shared" si="354"/>
        <v>0</v>
      </c>
      <c r="BO111" s="220">
        <f t="shared" si="354"/>
        <v>0</v>
      </c>
      <c r="BP111" s="220">
        <f t="shared" si="354"/>
        <v>0</v>
      </c>
      <c r="BQ111" s="220">
        <f t="shared" si="354"/>
        <v>0</v>
      </c>
      <c r="BR111" s="220">
        <f t="shared" si="209"/>
        <v>0</v>
      </c>
      <c r="BS111" s="220">
        <f t="shared" si="123"/>
        <v>0</v>
      </c>
      <c r="BT111" s="220">
        <f t="shared" si="124"/>
        <v>0</v>
      </c>
      <c r="BU111" s="220">
        <f t="shared" si="125"/>
        <v>0</v>
      </c>
      <c r="BV111" s="220">
        <f t="shared" si="126"/>
        <v>0</v>
      </c>
      <c r="BW111" s="220">
        <f t="shared" si="127"/>
        <v>0</v>
      </c>
      <c r="BX111" s="220">
        <f t="shared" si="128"/>
        <v>0</v>
      </c>
      <c r="CA111" s="220">
        <f t="shared" si="355"/>
        <v>0</v>
      </c>
      <c r="CB111" s="220">
        <f t="shared" si="355"/>
        <v>0</v>
      </c>
      <c r="CC111" s="220">
        <f t="shared" si="355"/>
        <v>0</v>
      </c>
      <c r="CD111" s="220">
        <f t="shared" si="355"/>
        <v>0</v>
      </c>
      <c r="CE111" s="220">
        <f t="shared" si="355"/>
        <v>0</v>
      </c>
      <c r="CF111" s="220">
        <f t="shared" si="355"/>
        <v>0</v>
      </c>
      <c r="CG111" s="220">
        <f t="shared" si="355"/>
        <v>0</v>
      </c>
      <c r="CH111" s="220">
        <f t="shared" si="355"/>
        <v>0</v>
      </c>
      <c r="CI111" s="220">
        <f t="shared" si="355"/>
        <v>0</v>
      </c>
      <c r="CJ111" s="220">
        <f t="shared" si="355"/>
        <v>45.297777777777775</v>
      </c>
      <c r="CK111" s="220">
        <f t="shared" si="355"/>
        <v>19.474254222222232</v>
      </c>
      <c r="CL111" s="220">
        <f t="shared" si="355"/>
        <v>21.805055999999997</v>
      </c>
      <c r="CM111" s="220">
        <f t="shared" si="355"/>
        <v>0</v>
      </c>
      <c r="CN111" s="220">
        <f t="shared" si="355"/>
        <v>0</v>
      </c>
      <c r="CO111" s="220">
        <f t="shared" si="210"/>
        <v>0</v>
      </c>
      <c r="CP111" s="220">
        <f t="shared" si="130"/>
        <v>0</v>
      </c>
      <c r="CQ111" s="220">
        <f t="shared" si="131"/>
        <v>0</v>
      </c>
      <c r="CR111" s="220">
        <f t="shared" si="132"/>
        <v>0</v>
      </c>
      <c r="CS111" s="220">
        <f t="shared" si="133"/>
        <v>0</v>
      </c>
      <c r="CT111" s="220">
        <f t="shared" si="134"/>
        <v>0</v>
      </c>
      <c r="CU111" s="220">
        <f t="shared" si="135"/>
        <v>0</v>
      </c>
    </row>
    <row r="112" spans="1:99" x14ac:dyDescent="0.35">
      <c r="A112" s="233">
        <v>5101</v>
      </c>
      <c r="B112" s="233">
        <v>20000340</v>
      </c>
      <c r="C112" s="234" t="s">
        <v>117</v>
      </c>
      <c r="D112" s="234">
        <v>50039856</v>
      </c>
      <c r="E112" s="233">
        <v>52</v>
      </c>
      <c r="F112" s="233" t="s">
        <v>106</v>
      </c>
      <c r="G112" s="233" t="s">
        <v>121</v>
      </c>
      <c r="H112" s="233" t="s">
        <v>70</v>
      </c>
      <c r="I112" s="236">
        <v>0</v>
      </c>
      <c r="K112" s="238">
        <v>0</v>
      </c>
      <c r="L112" s="238">
        <v>0</v>
      </c>
      <c r="M112" s="238">
        <v>0</v>
      </c>
      <c r="N112" s="238">
        <v>0</v>
      </c>
      <c r="O112" s="238">
        <v>0</v>
      </c>
      <c r="P112" s="238">
        <v>0</v>
      </c>
      <c r="Q112" s="238">
        <v>0</v>
      </c>
      <c r="R112" s="238">
        <v>0</v>
      </c>
      <c r="S112" s="238">
        <v>0</v>
      </c>
      <c r="T112" s="263">
        <v>0</v>
      </c>
      <c r="U112" s="263">
        <v>0</v>
      </c>
      <c r="V112" s="263">
        <v>800</v>
      </c>
      <c r="W112" s="263">
        <v>300</v>
      </c>
      <c r="X112" s="263">
        <v>1407.424</v>
      </c>
      <c r="Y112" s="263">
        <v>1607.424</v>
      </c>
      <c r="Z112" s="263">
        <v>2009.28</v>
      </c>
      <c r="AA112" s="263">
        <v>1653.3333333333335</v>
      </c>
      <c r="AB112" s="263">
        <v>2411.136</v>
      </c>
      <c r="AC112" s="263">
        <v>1607.424</v>
      </c>
      <c r="AD112" s="263">
        <v>1205.568</v>
      </c>
      <c r="AE112" s="263">
        <v>2411.136</v>
      </c>
      <c r="AG112" s="220">
        <f t="shared" si="331"/>
        <v>0</v>
      </c>
      <c r="AH112" s="220">
        <f t="shared" si="332"/>
        <v>0</v>
      </c>
      <c r="AI112" s="220">
        <f t="shared" si="333"/>
        <v>0</v>
      </c>
      <c r="AJ112" s="220">
        <f t="shared" si="334"/>
        <v>0</v>
      </c>
      <c r="AK112" s="220">
        <f t="shared" si="335"/>
        <v>0</v>
      </c>
      <c r="AL112" s="220">
        <f t="shared" si="336"/>
        <v>0</v>
      </c>
      <c r="AM112" s="220">
        <f t="shared" si="337"/>
        <v>0</v>
      </c>
      <c r="AN112" s="220">
        <f t="shared" si="338"/>
        <v>0</v>
      </c>
      <c r="AO112" s="220">
        <f t="shared" si="339"/>
        <v>0</v>
      </c>
      <c r="AP112" s="220">
        <f t="shared" si="340"/>
        <v>0</v>
      </c>
      <c r="AQ112" s="220">
        <f t="shared" si="341"/>
        <v>0</v>
      </c>
      <c r="AR112" s="220">
        <f t="shared" si="342"/>
        <v>0</v>
      </c>
      <c r="AS112" s="220">
        <f t="shared" si="343"/>
        <v>0</v>
      </c>
      <c r="AT112" s="220">
        <f t="shared" si="344"/>
        <v>0</v>
      </c>
      <c r="AU112" s="220">
        <f t="shared" si="345"/>
        <v>0</v>
      </c>
      <c r="AV112" s="220">
        <f t="shared" si="346"/>
        <v>0</v>
      </c>
      <c r="AW112" s="220">
        <f t="shared" si="347"/>
        <v>0</v>
      </c>
      <c r="AX112" s="220">
        <f t="shared" si="348"/>
        <v>0</v>
      </c>
      <c r="AY112" s="220">
        <f t="shared" si="349"/>
        <v>0</v>
      </c>
      <c r="AZ112" s="220">
        <f t="shared" si="350"/>
        <v>0</v>
      </c>
      <c r="BA112" s="220">
        <f t="shared" si="351"/>
        <v>0</v>
      </c>
      <c r="BD112" s="220">
        <f t="shared" si="354"/>
        <v>0</v>
      </c>
      <c r="BE112" s="220">
        <f t="shared" si="354"/>
        <v>0</v>
      </c>
      <c r="BF112" s="220">
        <f t="shared" si="354"/>
        <v>0</v>
      </c>
      <c r="BG112" s="220">
        <f t="shared" si="354"/>
        <v>0</v>
      </c>
      <c r="BH112" s="220">
        <f t="shared" si="354"/>
        <v>0</v>
      </c>
      <c r="BI112" s="220">
        <f t="shared" si="354"/>
        <v>0</v>
      </c>
      <c r="BJ112" s="220">
        <f t="shared" si="354"/>
        <v>0</v>
      </c>
      <c r="BK112" s="220">
        <f t="shared" si="354"/>
        <v>0</v>
      </c>
      <c r="BL112" s="220">
        <f t="shared" si="354"/>
        <v>0</v>
      </c>
      <c r="BM112" s="220">
        <f t="shared" si="354"/>
        <v>0</v>
      </c>
      <c r="BN112" s="220">
        <f t="shared" si="354"/>
        <v>0</v>
      </c>
      <c r="BO112" s="220">
        <f t="shared" si="354"/>
        <v>0</v>
      </c>
      <c r="BP112" s="220">
        <f t="shared" si="354"/>
        <v>0</v>
      </c>
      <c r="BQ112" s="220">
        <f t="shared" si="354"/>
        <v>0</v>
      </c>
      <c r="BR112" s="220">
        <f t="shared" si="209"/>
        <v>0</v>
      </c>
      <c r="BS112" s="220">
        <f t="shared" si="123"/>
        <v>0</v>
      </c>
      <c r="BT112" s="220">
        <f t="shared" si="124"/>
        <v>0</v>
      </c>
      <c r="BU112" s="220">
        <f t="shared" si="125"/>
        <v>0</v>
      </c>
      <c r="BV112" s="220">
        <f t="shared" si="126"/>
        <v>0</v>
      </c>
      <c r="BW112" s="220">
        <f t="shared" si="127"/>
        <v>0</v>
      </c>
      <c r="BX112" s="220">
        <f t="shared" si="128"/>
        <v>0</v>
      </c>
      <c r="CA112" s="220">
        <f t="shared" si="355"/>
        <v>0</v>
      </c>
      <c r="CB112" s="220">
        <f t="shared" si="355"/>
        <v>0</v>
      </c>
      <c r="CC112" s="220">
        <f t="shared" si="355"/>
        <v>0</v>
      </c>
      <c r="CD112" s="220">
        <f t="shared" si="355"/>
        <v>0</v>
      </c>
      <c r="CE112" s="220">
        <f t="shared" si="355"/>
        <v>0</v>
      </c>
      <c r="CF112" s="220">
        <f t="shared" si="355"/>
        <v>0</v>
      </c>
      <c r="CG112" s="220">
        <f t="shared" si="355"/>
        <v>0</v>
      </c>
      <c r="CH112" s="220">
        <f t="shared" si="355"/>
        <v>0</v>
      </c>
      <c r="CI112" s="220">
        <f t="shared" si="355"/>
        <v>0</v>
      </c>
      <c r="CJ112" s="220">
        <f t="shared" si="355"/>
        <v>0</v>
      </c>
      <c r="CK112" s="220">
        <f t="shared" si="355"/>
        <v>0</v>
      </c>
      <c r="CL112" s="220">
        <f t="shared" si="355"/>
        <v>41.6</v>
      </c>
      <c r="CM112" s="220">
        <f t="shared" si="355"/>
        <v>15.6</v>
      </c>
      <c r="CN112" s="220">
        <f t="shared" si="355"/>
        <v>73.186048</v>
      </c>
      <c r="CO112" s="220">
        <f t="shared" si="210"/>
        <v>83.586047999999991</v>
      </c>
      <c r="CP112" s="220">
        <f t="shared" si="130"/>
        <v>104.48255999999999</v>
      </c>
      <c r="CQ112" s="220">
        <f t="shared" si="131"/>
        <v>85.973333333333343</v>
      </c>
      <c r="CR112" s="220">
        <f t="shared" si="132"/>
        <v>125.37907199999999</v>
      </c>
      <c r="CS112" s="220">
        <f t="shared" si="133"/>
        <v>83.586047999999991</v>
      </c>
      <c r="CT112" s="220">
        <f t="shared" si="134"/>
        <v>62.689535999999997</v>
      </c>
      <c r="CU112" s="220">
        <f t="shared" si="135"/>
        <v>125.37907199999999</v>
      </c>
    </row>
    <row r="113" spans="4:9" x14ac:dyDescent="0.35">
      <c r="D113">
        <v>50037678</v>
      </c>
      <c r="E113">
        <v>30</v>
      </c>
      <c r="F113" s="233" t="s">
        <v>106</v>
      </c>
      <c r="G113" s="233" t="s">
        <v>122</v>
      </c>
      <c r="H113" s="233" t="s">
        <v>112</v>
      </c>
      <c r="I113" s="236">
        <v>0.4</v>
      </c>
    </row>
    <row r="114" spans="4:9" x14ac:dyDescent="0.35">
      <c r="D114">
        <v>50039302</v>
      </c>
      <c r="E114" s="233">
        <v>46.6</v>
      </c>
      <c r="F114" s="233" t="s">
        <v>106</v>
      </c>
      <c r="G114" s="233" t="s">
        <v>115</v>
      </c>
      <c r="H114" s="233" t="s">
        <v>70</v>
      </c>
      <c r="I114" s="236">
        <v>0</v>
      </c>
    </row>
    <row r="115" spans="4:9" x14ac:dyDescent="0.35">
      <c r="D115">
        <v>50039337</v>
      </c>
      <c r="E115" t="s">
        <v>124</v>
      </c>
    </row>
    <row r="116" spans="4:9" x14ac:dyDescent="0.35">
      <c r="D116">
        <v>50038519</v>
      </c>
      <c r="E116" t="s">
        <v>123</v>
      </c>
    </row>
  </sheetData>
  <protectedRanges>
    <protectedRange algorithmName="SHA-512" hashValue="HC+vke/aoloW7DKNV05Fqmeix/P/faioaUVi9ReT70jTPQjCGUqec7uIbjzIxSzo+nGh9+DsF85h8rL8SuaYow==" saltValue="+ldS0VAytmqfFukVjenbFQ==" spinCount="100000" sqref="Q92:AE92 R93:AE93 K5:AE91" name="Paul_1_1"/>
  </protectedRanges>
  <autoFilter ref="A4:BC116" xr:uid="{991F33EF-5690-4EF2-AFAD-984DB3806651}">
    <sortState xmlns:xlrd2="http://schemas.microsoft.com/office/spreadsheetml/2017/richdata2" ref="A5:BC116">
      <sortCondition ref="C4:C116"/>
    </sortState>
  </autoFilter>
  <conditionalFormatting sqref="B5:B112">
    <cfRule type="expression" dxfId="14" priority="14">
      <formula>AND(ISNUMBER($ES5),$ES5&gt;1)</formula>
    </cfRule>
  </conditionalFormatting>
  <conditionalFormatting sqref="E5:E113">
    <cfRule type="expression" dxfId="13" priority="17">
      <formula>AND(NOT(ISNUMBER(E5)),E5&lt;&gt;"")</formula>
    </cfRule>
  </conditionalFormatting>
  <conditionalFormatting sqref="N5:N112">
    <cfRule type="expression" dxfId="12" priority="33">
      <formula>+AND(NOT(ISNUMBER(N5)),A5&lt;&gt;"")</formula>
    </cfRule>
  </conditionalFormatting>
  <conditionalFormatting sqref="O5:O30 O57:O112">
    <cfRule type="expression" dxfId="11" priority="5">
      <formula>+AND(NOT(ISNUMBER(O5)),A5&lt;&gt;"")</formula>
    </cfRule>
  </conditionalFormatting>
  <conditionalFormatting sqref="P5:P52 P54:P112">
    <cfRule type="expression" dxfId="10" priority="24">
      <formula>+AND(NOT(ISNUMBER(P5)),A5&lt;&gt;"")</formula>
    </cfRule>
  </conditionalFormatting>
  <conditionalFormatting sqref="P53">
    <cfRule type="expression" dxfId="9" priority="23">
      <formula>+AND(NOT(ISNUMBER(P53)),#REF!&lt;&gt;"")</formula>
    </cfRule>
  </conditionalFormatting>
  <conditionalFormatting sqref="Q5:Q112">
    <cfRule type="expression" dxfId="8" priority="18">
      <formula>+AND(NOT(ISNUMBER(Q5)),A5&lt;&gt;"")</formula>
    </cfRule>
  </conditionalFormatting>
  <conditionalFormatting sqref="Q92:S92 R93:S93">
    <cfRule type="expression" dxfId="7" priority="7">
      <formula>+AND(NOT(ISNUMBER(Q92)),#REF!&lt;&gt;"")</formula>
    </cfRule>
  </conditionalFormatting>
  <conditionalFormatting sqref="R5:V75 K5:M112 O31:O56">
    <cfRule type="expression" dxfId="6" priority="40">
      <formula>+AND(NOT(ISNUMBER(K5)),#REF!&lt;&gt;"")</formula>
    </cfRule>
  </conditionalFormatting>
  <conditionalFormatting sqref="T76:V88 R76:S89 R89:V112">
    <cfRule type="expression" dxfId="5" priority="42">
      <formula>+AND(NOT(ISNUMBER(R76)),#REF!&lt;&gt;"")</formula>
    </cfRule>
  </conditionalFormatting>
  <conditionalFormatting sqref="T92:V93">
    <cfRule type="expression" dxfId="4" priority="6">
      <formula>+AND(NOT(ISNUMBER(T92)),A92&lt;&gt;"")</formula>
    </cfRule>
  </conditionalFormatting>
  <conditionalFormatting sqref="W5:W112">
    <cfRule type="expression" dxfId="3" priority="2">
      <formula>+AND(NOT(ISNUMBER(W5)),A5&lt;&gt;"")</formula>
    </cfRule>
  </conditionalFormatting>
  <conditionalFormatting sqref="W92:AE93">
    <cfRule type="expression" dxfId="2" priority="3">
      <formula>+AND(NOT(ISNUMBER(W92)),A92&lt;&gt;"")</formula>
    </cfRule>
  </conditionalFormatting>
  <conditionalFormatting sqref="X5:X112">
    <cfRule type="expression" dxfId="1" priority="38">
      <formula>+AND(NOT(ISNUMBER(X5)),A5&lt;&gt;"")</formula>
    </cfRule>
  </conditionalFormatting>
  <conditionalFormatting sqref="Y5:AE112">
    <cfRule type="expression" dxfId="0" priority="1">
      <formula>+AND(NOT(ISNUMBER(Y5)),A5&lt;&gt;"")</formula>
    </cfRule>
  </conditionalFormatting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27DD-D097-4190-8B1C-5A05A111406C}">
  <sheetPr codeName="Hoja7">
    <tabColor theme="9" tint="0.59999389629810485"/>
  </sheetPr>
  <dimension ref="A1:BB1951"/>
  <sheetViews>
    <sheetView showGridLines="0" topLeftCell="AG1" zoomScale="99" zoomScaleNormal="118" workbookViewId="0">
      <pane ySplit="1" topLeftCell="A1851" activePane="bottomLeft" state="frozen"/>
      <selection activeCell="N906" sqref="N906:O906"/>
      <selection pane="bottomLeft" activeCell="BC1854" sqref="BC1854"/>
    </sheetView>
  </sheetViews>
  <sheetFormatPr defaultColWidth="8.1796875" defaultRowHeight="10.5" outlineLevelCol="1" x14ac:dyDescent="0.25"/>
  <cols>
    <col min="1" max="1" width="7.1796875" style="209" customWidth="1" outlineLevel="1"/>
    <col min="2" max="2" width="8.453125" style="209" customWidth="1" outlineLevel="1"/>
    <col min="3" max="3" width="7.81640625" style="209" customWidth="1" outlineLevel="1"/>
    <col min="4" max="4" width="8.1796875" style="209" customWidth="1" outlineLevel="1"/>
    <col min="5" max="5" width="9.453125" style="209" customWidth="1" outlineLevel="1"/>
    <col min="6" max="6" width="7.81640625" style="209" bestFit="1" customWidth="1"/>
    <col min="7" max="7" width="21.81640625" style="209" bestFit="1" customWidth="1"/>
    <col min="8" max="8" width="9.1796875" style="209" customWidth="1" outlineLevel="1"/>
    <col min="9" max="9" width="6.1796875" style="209" customWidth="1" outlineLevel="1"/>
    <col min="10" max="10" width="15.81640625" style="209" customWidth="1" outlineLevel="1"/>
    <col min="11" max="11" width="10.81640625" style="209" customWidth="1" outlineLevel="1"/>
    <col min="12" max="12" width="14.1796875" style="209" customWidth="1" outlineLevel="1"/>
    <col min="13" max="13" width="14.453125" style="209" customWidth="1" outlineLevel="1"/>
    <col min="14" max="14" width="15.7265625" style="209" customWidth="1"/>
    <col min="15" max="15" width="32.7265625" style="209" bestFit="1" customWidth="1"/>
    <col min="16" max="16" width="7.1796875" style="209" bestFit="1" customWidth="1"/>
    <col min="17" max="17" width="9.453125" style="209" customWidth="1" outlineLevel="1"/>
    <col min="18" max="18" width="15.1796875" style="209" customWidth="1" outlineLevel="1"/>
    <col min="19" max="20" width="8.1796875" style="209" customWidth="1" outlineLevel="1"/>
    <col min="21" max="21" width="16.54296875" style="209" customWidth="1" outlineLevel="1"/>
    <col min="22" max="22" width="16.81640625" style="209" customWidth="1" outlineLevel="1"/>
    <col min="23" max="23" width="13.81640625" style="209" customWidth="1" outlineLevel="1"/>
    <col min="24" max="24" width="15" style="209" customWidth="1" outlineLevel="1"/>
    <col min="25" max="25" width="9.1796875" style="209" customWidth="1" outlineLevel="1"/>
    <col min="26" max="26" width="8.54296875" style="209" customWidth="1" outlineLevel="1"/>
    <col min="27" max="27" width="10.81640625" style="209" customWidth="1" outlineLevel="1"/>
    <col min="28" max="28" width="13.1796875" style="209" customWidth="1" outlineLevel="1"/>
    <col min="29" max="29" width="12" style="209" customWidth="1" outlineLevel="1"/>
    <col min="30" max="30" width="5.54296875" style="209" customWidth="1" outlineLevel="1"/>
    <col min="31" max="31" width="5.453125" style="209" customWidth="1" outlineLevel="1"/>
    <col min="32" max="33" width="13.1796875" style="227" customWidth="1" outlineLevel="1"/>
    <col min="34" max="34" width="12.1796875" style="227" bestFit="1" customWidth="1"/>
    <col min="35" max="35" width="15.81640625" style="228" customWidth="1" outlineLevel="1"/>
    <col min="36" max="36" width="13.26953125" style="228" customWidth="1" outlineLevel="1"/>
    <col min="37" max="37" width="17.81640625" style="228" bestFit="1" customWidth="1"/>
    <col min="38" max="38" width="9.81640625" style="228" customWidth="1" outlineLevel="1"/>
    <col min="39" max="40" width="17.81640625" style="228" customWidth="1" outlineLevel="1"/>
    <col min="41" max="41" width="10" style="229" customWidth="1" outlineLevel="1"/>
    <col min="42" max="42" width="5.54296875" style="209" bestFit="1" customWidth="1"/>
    <col min="43" max="43" width="6.453125" style="209" bestFit="1" customWidth="1"/>
    <col min="44" max="44" width="7.81640625" style="209" bestFit="1" customWidth="1"/>
    <col min="45" max="45" width="5.81640625" style="209" bestFit="1" customWidth="1"/>
    <col min="46" max="46" width="8.453125" style="209" bestFit="1" customWidth="1"/>
    <col min="47" max="47" width="6.1796875" style="209" bestFit="1" customWidth="1"/>
    <col min="48" max="48" width="12.1796875" style="230" bestFit="1" customWidth="1"/>
    <col min="49" max="49" width="9.54296875" style="230" bestFit="1" customWidth="1"/>
    <col min="50" max="50" width="14.81640625" style="230" bestFit="1" customWidth="1"/>
    <col min="51" max="51" width="8.1796875" style="209"/>
    <col min="52" max="52" width="14.1796875" style="209" customWidth="1"/>
    <col min="53" max="53" width="10" style="209" bestFit="1" customWidth="1"/>
    <col min="54" max="54" width="11.7265625" style="209" bestFit="1" customWidth="1"/>
    <col min="55" max="16384" width="8.1796875" style="209"/>
  </cols>
  <sheetData>
    <row r="1" spans="1:54" x14ac:dyDescent="0.25">
      <c r="A1" s="221" t="s">
        <v>125</v>
      </c>
      <c r="B1" s="221" t="s">
        <v>126</v>
      </c>
      <c r="C1" s="221" t="s">
        <v>127</v>
      </c>
      <c r="D1" s="221" t="s">
        <v>128</v>
      </c>
      <c r="E1" s="221" t="s">
        <v>129</v>
      </c>
      <c r="F1" s="221" t="s">
        <v>130</v>
      </c>
      <c r="G1" s="221" t="s">
        <v>131</v>
      </c>
      <c r="H1" s="221" t="s">
        <v>132</v>
      </c>
      <c r="I1" s="221" t="s">
        <v>133</v>
      </c>
      <c r="J1" s="221" t="s">
        <v>134</v>
      </c>
      <c r="K1" s="221" t="s">
        <v>135</v>
      </c>
      <c r="L1" s="221" t="s">
        <v>136</v>
      </c>
      <c r="M1" s="221" t="s">
        <v>137</v>
      </c>
      <c r="N1" s="221" t="s">
        <v>138</v>
      </c>
      <c r="O1" s="221" t="s">
        <v>139</v>
      </c>
      <c r="P1" s="221" t="s">
        <v>140</v>
      </c>
      <c r="Q1" s="221" t="s">
        <v>141</v>
      </c>
      <c r="R1" s="221" t="s">
        <v>142</v>
      </c>
      <c r="S1" s="221" t="s">
        <v>143</v>
      </c>
      <c r="T1" s="221" t="s">
        <v>144</v>
      </c>
      <c r="U1" s="221" t="s">
        <v>145</v>
      </c>
      <c r="V1" s="221" t="s">
        <v>146</v>
      </c>
      <c r="W1" s="221" t="s">
        <v>147</v>
      </c>
      <c r="X1" s="221" t="s">
        <v>148</v>
      </c>
      <c r="Y1" s="221" t="s">
        <v>149</v>
      </c>
      <c r="Z1" s="221" t="s">
        <v>150</v>
      </c>
      <c r="AA1" s="221" t="s">
        <v>151</v>
      </c>
      <c r="AB1" s="221" t="s">
        <v>152</v>
      </c>
      <c r="AC1" s="221" t="s">
        <v>153</v>
      </c>
      <c r="AD1" s="221" t="s">
        <v>78</v>
      </c>
      <c r="AE1" s="221" t="s">
        <v>77</v>
      </c>
      <c r="AF1" s="222" t="s">
        <v>154</v>
      </c>
      <c r="AG1" s="222" t="s">
        <v>155</v>
      </c>
      <c r="AH1" s="222" t="s">
        <v>156</v>
      </c>
      <c r="AI1" s="223" t="s">
        <v>157</v>
      </c>
      <c r="AJ1" s="223" t="s">
        <v>158</v>
      </c>
      <c r="AK1" s="223" t="s">
        <v>159</v>
      </c>
      <c r="AL1" s="223" t="s">
        <v>158</v>
      </c>
      <c r="AM1" s="223" t="s">
        <v>160</v>
      </c>
      <c r="AN1" s="223" t="s">
        <v>161</v>
      </c>
      <c r="AO1" s="224" t="s">
        <v>162</v>
      </c>
      <c r="AP1" s="221" t="s">
        <v>78</v>
      </c>
      <c r="AQ1" s="221" t="s">
        <v>77</v>
      </c>
      <c r="AR1" s="221" t="s">
        <v>163</v>
      </c>
      <c r="AS1" s="221" t="s">
        <v>101</v>
      </c>
      <c r="AT1" s="221" t="s">
        <v>70</v>
      </c>
      <c r="AU1" s="221" t="s">
        <v>164</v>
      </c>
      <c r="AV1" s="225" t="s">
        <v>165</v>
      </c>
      <c r="AW1" s="225" t="s">
        <v>166</v>
      </c>
      <c r="AX1" s="225" t="s">
        <v>167</v>
      </c>
      <c r="AY1" s="225" t="s">
        <v>94</v>
      </c>
      <c r="AZ1" s="225" t="s">
        <v>168</v>
      </c>
      <c r="BA1" s="226"/>
    </row>
    <row r="2" spans="1:54" x14ac:dyDescent="0.25">
      <c r="A2" s="209">
        <v>1074259</v>
      </c>
      <c r="B2" s="209">
        <v>90</v>
      </c>
      <c r="C2" s="209">
        <v>89270220</v>
      </c>
      <c r="D2" s="209">
        <v>10</v>
      </c>
      <c r="E2" s="209">
        <v>10000002</v>
      </c>
      <c r="F2" s="209">
        <v>20000335</v>
      </c>
      <c r="G2" s="209" t="s">
        <v>105</v>
      </c>
      <c r="H2" s="209">
        <v>20000335</v>
      </c>
      <c r="I2" s="209">
        <v>2</v>
      </c>
      <c r="J2" s="209" t="s">
        <v>169</v>
      </c>
      <c r="K2" s="209" t="s">
        <v>170</v>
      </c>
      <c r="L2" s="209" t="s">
        <v>171</v>
      </c>
      <c r="M2" s="209" t="s">
        <v>172</v>
      </c>
      <c r="N2" s="209">
        <v>50032573</v>
      </c>
      <c r="O2" s="209" t="s">
        <v>173</v>
      </c>
      <c r="P2" s="209">
        <v>5121</v>
      </c>
      <c r="Q2" s="209" t="s">
        <v>174</v>
      </c>
      <c r="R2" s="209" t="s">
        <v>175</v>
      </c>
      <c r="S2" s="209" t="s">
        <v>176</v>
      </c>
      <c r="T2" s="209" t="s">
        <v>177</v>
      </c>
      <c r="U2" s="209" t="s">
        <v>178</v>
      </c>
      <c r="V2" s="209" t="s">
        <v>179</v>
      </c>
      <c r="W2" s="209" t="s">
        <v>179</v>
      </c>
      <c r="X2" s="209" t="s">
        <v>180</v>
      </c>
      <c r="Y2" s="209" t="s">
        <v>180</v>
      </c>
      <c r="Z2" s="209">
        <v>9521066207</v>
      </c>
      <c r="AA2" s="209" t="s">
        <v>181</v>
      </c>
      <c r="AB2" s="209" t="s">
        <v>180</v>
      </c>
      <c r="AC2" s="209" t="s">
        <v>182</v>
      </c>
      <c r="AD2" s="209">
        <v>9</v>
      </c>
      <c r="AE2" s="209">
        <v>2024</v>
      </c>
      <c r="AF2" s="227">
        <v>45548</v>
      </c>
      <c r="AG2" s="227">
        <v>45555</v>
      </c>
      <c r="AH2" s="227">
        <v>45555</v>
      </c>
      <c r="AI2" s="228">
        <v>531648</v>
      </c>
      <c r="AJ2" s="228">
        <v>52</v>
      </c>
      <c r="AK2" s="228">
        <v>531648</v>
      </c>
      <c r="AL2" s="228">
        <v>52</v>
      </c>
      <c r="AM2" s="228">
        <v>0</v>
      </c>
      <c r="AN2" s="228">
        <v>0</v>
      </c>
      <c r="AO2" s="229">
        <v>38</v>
      </c>
      <c r="AP2" s="231">
        <v>9</v>
      </c>
      <c r="AQ2" s="231">
        <v>2024</v>
      </c>
      <c r="AR2" s="231" t="str">
        <f>+IF(AP2&lt;10,"0"&amp;AP2&amp; "/"&amp;AQ2,AP2&amp; "/"&amp;AQ2)</f>
        <v>09/2024</v>
      </c>
      <c r="AS2" s="231">
        <f>VALUE(MID(INDEX(_xlfn.TEXTSPLIT(O2, ","), 1, 3), 1,FIND("G", INDEX(_xlfn.TEXTSPLIT(O2, ","), 1, 3))-1))</f>
        <v>37.200000000000003</v>
      </c>
      <c r="AT2" s="239">
        <f>IF($G2="CERVECERIA Y MALTERIA",($AS2*$AK2/1000000)*(1-VLOOKUP($N2,FCST!D:I,6,FALSE)),0)</f>
        <v>19.777305600000002</v>
      </c>
      <c r="AU2" s="232">
        <v>5.0000000000000001E-3</v>
      </c>
      <c r="AV2" s="239">
        <f>+AT2*(1+AU2)</f>
        <v>19.876192128</v>
      </c>
      <c r="AW2" s="239">
        <f>(AS2*AK2/1000000)*(VLOOKUP(N2,FCST!D:I,6,FALSE))</f>
        <v>0</v>
      </c>
      <c r="AX2" s="239">
        <f>+AW2*(1+AU2)</f>
        <v>0</v>
      </c>
      <c r="AY2" s="239">
        <f>IF($G2="CERVECERIA Y MALTERIA.",($AS2*$AK2/1000000)*(1-VLOOKUP($N2,FCST!D:I,6,FALSE)),0)</f>
        <v>0</v>
      </c>
      <c r="AZ2" s="239">
        <f>+AY2*(1+AU2)</f>
        <v>0</v>
      </c>
      <c r="BB2" s="240"/>
    </row>
    <row r="3" spans="1:54" x14ac:dyDescent="0.25">
      <c r="A3" s="209">
        <v>1074263</v>
      </c>
      <c r="B3" s="209">
        <v>50</v>
      </c>
      <c r="C3" s="209">
        <v>89269726</v>
      </c>
      <c r="D3" s="209">
        <v>10</v>
      </c>
      <c r="E3" s="209">
        <v>10000002</v>
      </c>
      <c r="F3" s="209">
        <v>20000340</v>
      </c>
      <c r="G3" s="209" t="s">
        <v>117</v>
      </c>
      <c r="H3" s="209">
        <v>20000340</v>
      </c>
      <c r="I3" s="209">
        <v>2</v>
      </c>
      <c r="J3" s="209" t="s">
        <v>169</v>
      </c>
      <c r="K3" s="209" t="s">
        <v>183</v>
      </c>
      <c r="L3" s="209" t="s">
        <v>171</v>
      </c>
      <c r="M3" s="209" t="s">
        <v>184</v>
      </c>
      <c r="N3" s="209">
        <v>50025163</v>
      </c>
      <c r="O3" s="209" t="s">
        <v>185</v>
      </c>
      <c r="P3" s="209">
        <v>5101</v>
      </c>
      <c r="Q3" s="209" t="s">
        <v>186</v>
      </c>
      <c r="R3" s="209" t="s">
        <v>175</v>
      </c>
      <c r="S3" s="209" t="s">
        <v>176</v>
      </c>
      <c r="T3" s="209" t="s">
        <v>187</v>
      </c>
      <c r="U3" s="209" t="s">
        <v>188</v>
      </c>
      <c r="V3" s="209" t="s">
        <v>179</v>
      </c>
      <c r="W3" s="209" t="s">
        <v>179</v>
      </c>
      <c r="X3" s="209" t="s">
        <v>180</v>
      </c>
      <c r="Y3" s="209" t="s">
        <v>180</v>
      </c>
      <c r="Z3" s="209">
        <v>9511046822</v>
      </c>
      <c r="AA3" s="209" t="s">
        <v>189</v>
      </c>
      <c r="AB3" s="209" t="s">
        <v>180</v>
      </c>
      <c r="AC3" s="209" t="s">
        <v>182</v>
      </c>
      <c r="AD3" s="209">
        <v>9</v>
      </c>
      <c r="AE3" s="209">
        <v>2024</v>
      </c>
      <c r="AF3" s="227">
        <v>45548</v>
      </c>
      <c r="AG3" s="227">
        <v>45555</v>
      </c>
      <c r="AH3" s="227">
        <v>45555</v>
      </c>
      <c r="AI3" s="228">
        <v>606528</v>
      </c>
      <c r="AJ3" s="228">
        <v>52</v>
      </c>
      <c r="AK3" s="228">
        <v>606528</v>
      </c>
      <c r="AL3" s="228">
        <v>52</v>
      </c>
      <c r="AM3" s="228">
        <v>0</v>
      </c>
      <c r="AN3" s="228">
        <v>0</v>
      </c>
      <c r="AO3" s="229">
        <v>38</v>
      </c>
      <c r="AP3" s="231">
        <v>9</v>
      </c>
      <c r="AQ3" s="231">
        <v>2024</v>
      </c>
      <c r="AR3" s="231" t="str">
        <f t="shared" ref="AR3:AR51" si="0">+IF(AP3&lt;10,"0"&amp;AP3&amp; "/"&amp;AQ3,AP3&amp; "/"&amp;AQ3)</f>
        <v>09/2024</v>
      </c>
      <c r="AS3" s="231">
        <f t="shared" ref="AS3:AS51" si="1">VALUE(MID(INDEX(_xlfn.TEXTSPLIT(O3, ","), 1, 3), 1,FIND("G", INDEX(_xlfn.TEXTSPLIT(O3, ","), 1, 3))-1))</f>
        <v>30</v>
      </c>
      <c r="AT3" s="239">
        <f>IF(G3="CERVECERIA Y MALTERIA",(AS3*AK3/1000000)*(1-VLOOKUP(N3,FCST!D:I,6,FALSE)),0)</f>
        <v>0</v>
      </c>
      <c r="AU3" s="232">
        <v>5.0000000000000001E-3</v>
      </c>
      <c r="AV3" s="239">
        <f t="shared" ref="AV3:AV51" si="2">+AT3*(1+AU3)</f>
        <v>0</v>
      </c>
      <c r="AW3" s="239">
        <f>(AS3*AK3/1000000)*(VLOOKUP(N3,FCST!D:I,6,FALSE))</f>
        <v>0</v>
      </c>
      <c r="AX3" s="239">
        <f t="shared" ref="AX3:AX51" si="3">+AW3*(1+AU3)</f>
        <v>0</v>
      </c>
      <c r="AY3" s="239">
        <f>IF($G3="CERVECERIA Y MALTERIA.",($AS3*$AK3/1000000)*(1-VLOOKUP($N3,FCST!D:I,6,FALSE)),0)</f>
        <v>18.19584</v>
      </c>
      <c r="AZ3" s="239">
        <f t="shared" ref="AZ3:AZ66" si="4">+AY3*(1+AU3)</f>
        <v>18.2868192</v>
      </c>
      <c r="BB3" s="240"/>
    </row>
    <row r="4" spans="1:54" x14ac:dyDescent="0.25">
      <c r="A4" s="209">
        <v>1074259</v>
      </c>
      <c r="B4" s="209">
        <v>100</v>
      </c>
      <c r="C4" s="209">
        <v>89269631</v>
      </c>
      <c r="D4" s="209">
        <v>10</v>
      </c>
      <c r="E4" s="209">
        <v>10000002</v>
      </c>
      <c r="F4" s="209">
        <v>20000335</v>
      </c>
      <c r="G4" s="209" t="s">
        <v>105</v>
      </c>
      <c r="H4" s="209">
        <v>20000335</v>
      </c>
      <c r="I4" s="209">
        <v>2</v>
      </c>
      <c r="J4" s="209" t="s">
        <v>169</v>
      </c>
      <c r="K4" s="209" t="s">
        <v>190</v>
      </c>
      <c r="L4" s="209" t="s">
        <v>171</v>
      </c>
      <c r="M4" s="209" t="s">
        <v>184</v>
      </c>
      <c r="N4" s="209">
        <v>50034616</v>
      </c>
      <c r="O4" s="209" t="s">
        <v>191</v>
      </c>
      <c r="P4" s="209">
        <v>5121</v>
      </c>
      <c r="Q4" s="209" t="s">
        <v>174</v>
      </c>
      <c r="R4" s="209" t="s">
        <v>175</v>
      </c>
      <c r="S4" s="209" t="s">
        <v>176</v>
      </c>
      <c r="T4" s="209" t="s">
        <v>177</v>
      </c>
      <c r="U4" s="209" t="s">
        <v>178</v>
      </c>
      <c r="V4" s="209" t="s">
        <v>179</v>
      </c>
      <c r="W4" s="209" t="s">
        <v>179</v>
      </c>
      <c r="X4" s="209" t="s">
        <v>180</v>
      </c>
      <c r="Y4" s="209" t="s">
        <v>180</v>
      </c>
      <c r="Z4" s="209">
        <v>9521066210</v>
      </c>
      <c r="AA4" s="209" t="s">
        <v>192</v>
      </c>
      <c r="AB4" s="209" t="s">
        <v>180</v>
      </c>
      <c r="AC4" s="209" t="s">
        <v>182</v>
      </c>
      <c r="AD4" s="209">
        <v>9</v>
      </c>
      <c r="AE4" s="209">
        <v>2024</v>
      </c>
      <c r="AF4" s="227">
        <v>45548</v>
      </c>
      <c r="AG4" s="227">
        <v>45555</v>
      </c>
      <c r="AH4" s="227">
        <v>45555</v>
      </c>
      <c r="AI4" s="228">
        <v>426816</v>
      </c>
      <c r="AJ4" s="228">
        <v>52</v>
      </c>
      <c r="AK4" s="228">
        <v>426816</v>
      </c>
      <c r="AL4" s="228">
        <v>52</v>
      </c>
      <c r="AM4" s="228">
        <v>0</v>
      </c>
      <c r="AN4" s="228">
        <v>0</v>
      </c>
      <c r="AO4" s="229">
        <v>38</v>
      </c>
      <c r="AP4" s="231">
        <v>9</v>
      </c>
      <c r="AQ4" s="231">
        <v>2024</v>
      </c>
      <c r="AR4" s="231" t="str">
        <f t="shared" si="0"/>
        <v>09/2024</v>
      </c>
      <c r="AS4" s="231">
        <f t="shared" si="1"/>
        <v>46.6</v>
      </c>
      <c r="AT4" s="239">
        <f>IF(G4="CERVECERIA Y MALTERIA",(AS4*AK4/1000000)*(1-VLOOKUP(N4,FCST!D:I,6,FALSE)),0)</f>
        <v>19.889625600000002</v>
      </c>
      <c r="AU4" s="232">
        <v>5.0000000000000001E-3</v>
      </c>
      <c r="AV4" s="239">
        <f t="shared" si="2"/>
        <v>19.989073728000001</v>
      </c>
      <c r="AW4" s="239">
        <f>(AS4*AK4/1000000)*(VLOOKUP(N4,FCST!D:I,6,FALSE))</f>
        <v>0</v>
      </c>
      <c r="AX4" s="239">
        <f t="shared" si="3"/>
        <v>0</v>
      </c>
      <c r="AY4" s="239">
        <f>IF($G4="CERVECERIA Y MALTERIA.",($AS4*$AK4/1000000)*(1-VLOOKUP($N4,FCST!D:I,6,FALSE)),0)</f>
        <v>0</v>
      </c>
      <c r="AZ4" s="239">
        <f t="shared" si="4"/>
        <v>0</v>
      </c>
      <c r="BB4" s="240"/>
    </row>
    <row r="5" spans="1:54" x14ac:dyDescent="0.25">
      <c r="A5" s="209">
        <v>1074264</v>
      </c>
      <c r="B5" s="209">
        <v>40</v>
      </c>
      <c r="C5" s="209">
        <v>89270583</v>
      </c>
      <c r="D5" s="209">
        <v>10</v>
      </c>
      <c r="E5" s="209">
        <v>10000002</v>
      </c>
      <c r="F5" s="209">
        <v>20000337</v>
      </c>
      <c r="G5" s="209" t="s">
        <v>105</v>
      </c>
      <c r="H5" s="209">
        <v>20000337</v>
      </c>
      <c r="I5" s="209">
        <v>2</v>
      </c>
      <c r="J5" s="209" t="s">
        <v>169</v>
      </c>
      <c r="K5" s="209" t="s">
        <v>193</v>
      </c>
      <c r="L5" s="209" t="s">
        <v>171</v>
      </c>
      <c r="M5" s="209" t="s">
        <v>172</v>
      </c>
      <c r="N5" s="209">
        <v>50034616</v>
      </c>
      <c r="O5" s="209" t="s">
        <v>191</v>
      </c>
      <c r="P5" s="209">
        <v>5121</v>
      </c>
      <c r="Q5" s="209" t="s">
        <v>174</v>
      </c>
      <c r="R5" s="209" t="s">
        <v>175</v>
      </c>
      <c r="S5" s="209" t="s">
        <v>176</v>
      </c>
      <c r="T5" s="209" t="s">
        <v>177</v>
      </c>
      <c r="U5" s="209" t="s">
        <v>178</v>
      </c>
      <c r="V5" s="209" t="s">
        <v>179</v>
      </c>
      <c r="W5" s="209" t="s">
        <v>179</v>
      </c>
      <c r="X5" s="209" t="s">
        <v>180</v>
      </c>
      <c r="Y5" s="209" t="s">
        <v>180</v>
      </c>
      <c r="Z5" s="209">
        <v>9521066219</v>
      </c>
      <c r="AA5" s="209" t="s">
        <v>194</v>
      </c>
      <c r="AB5" s="209" t="s">
        <v>180</v>
      </c>
      <c r="AC5" s="209" t="s">
        <v>182</v>
      </c>
      <c r="AD5" s="209">
        <v>9</v>
      </c>
      <c r="AE5" s="209">
        <v>2024</v>
      </c>
      <c r="AF5" s="227">
        <v>45548</v>
      </c>
      <c r="AG5" s="227">
        <v>45555</v>
      </c>
      <c r="AH5" s="227">
        <v>45555</v>
      </c>
      <c r="AI5" s="228">
        <v>426816</v>
      </c>
      <c r="AJ5" s="228">
        <v>52</v>
      </c>
      <c r="AK5" s="228">
        <v>426816</v>
      </c>
      <c r="AL5" s="228">
        <v>52</v>
      </c>
      <c r="AM5" s="228">
        <v>0</v>
      </c>
      <c r="AN5" s="228">
        <v>0</v>
      </c>
      <c r="AO5" s="229">
        <v>38</v>
      </c>
      <c r="AP5" s="231">
        <v>9</v>
      </c>
      <c r="AQ5" s="231">
        <v>2024</v>
      </c>
      <c r="AR5" s="231" t="str">
        <f t="shared" si="0"/>
        <v>09/2024</v>
      </c>
      <c r="AS5" s="231">
        <f t="shared" si="1"/>
        <v>46.6</v>
      </c>
      <c r="AT5" s="239">
        <f>IF(G5="CERVECERIA Y MALTERIA",(AS5*AK5/1000000)*(1-VLOOKUP(N5,FCST!D:I,6,FALSE)),0)</f>
        <v>19.889625600000002</v>
      </c>
      <c r="AU5" s="232">
        <v>5.0000000000000001E-3</v>
      </c>
      <c r="AV5" s="239">
        <f t="shared" si="2"/>
        <v>19.989073728000001</v>
      </c>
      <c r="AW5" s="239">
        <f>(AS5*AK5/1000000)*(VLOOKUP(N5,FCST!D:I,6,FALSE))</f>
        <v>0</v>
      </c>
      <c r="AX5" s="239">
        <f t="shared" si="3"/>
        <v>0</v>
      </c>
      <c r="AY5" s="239">
        <f>IF($G5="CERVECERIA Y MALTERIA.",($AS5*$AK5/1000000)*(1-VLOOKUP($N5,FCST!D:I,6,FALSE)),0)</f>
        <v>0</v>
      </c>
      <c r="AZ5" s="239">
        <f t="shared" si="4"/>
        <v>0</v>
      </c>
      <c r="BB5" s="240"/>
    </row>
    <row r="6" spans="1:54" x14ac:dyDescent="0.25">
      <c r="A6" s="209">
        <v>1074259</v>
      </c>
      <c r="B6" s="209">
        <v>70</v>
      </c>
      <c r="C6" s="209">
        <v>89268938</v>
      </c>
      <c r="D6" s="209">
        <v>10</v>
      </c>
      <c r="E6" s="209">
        <v>10000002</v>
      </c>
      <c r="F6" s="209">
        <v>20000335</v>
      </c>
      <c r="G6" s="209" t="s">
        <v>105</v>
      </c>
      <c r="H6" s="209">
        <v>20000335</v>
      </c>
      <c r="I6" s="209">
        <v>2</v>
      </c>
      <c r="J6" s="209" t="s">
        <v>169</v>
      </c>
      <c r="K6" s="209" t="s">
        <v>195</v>
      </c>
      <c r="L6" s="209" t="s">
        <v>171</v>
      </c>
      <c r="M6" s="209" t="s">
        <v>172</v>
      </c>
      <c r="N6" s="209">
        <v>50034574</v>
      </c>
      <c r="O6" s="209" t="s">
        <v>196</v>
      </c>
      <c r="P6" s="209">
        <v>5121</v>
      </c>
      <c r="Q6" s="209" t="s">
        <v>174</v>
      </c>
      <c r="R6" s="209" t="s">
        <v>175</v>
      </c>
      <c r="S6" s="209" t="s">
        <v>176</v>
      </c>
      <c r="T6" s="209" t="s">
        <v>177</v>
      </c>
      <c r="U6" s="209" t="s">
        <v>178</v>
      </c>
      <c r="V6" s="209" t="s">
        <v>179</v>
      </c>
      <c r="W6" s="209" t="s">
        <v>179</v>
      </c>
      <c r="X6" s="209" t="s">
        <v>180</v>
      </c>
      <c r="Y6" s="209" t="s">
        <v>180</v>
      </c>
      <c r="Z6" s="209">
        <v>9521066209</v>
      </c>
      <c r="AA6" s="209" t="s">
        <v>197</v>
      </c>
      <c r="AB6" s="209" t="s">
        <v>180</v>
      </c>
      <c r="AC6" s="209" t="s">
        <v>182</v>
      </c>
      <c r="AD6" s="209">
        <v>9</v>
      </c>
      <c r="AE6" s="209">
        <v>2024</v>
      </c>
      <c r="AF6" s="227">
        <v>45548</v>
      </c>
      <c r="AG6" s="227">
        <v>45554</v>
      </c>
      <c r="AH6" s="227">
        <v>45554</v>
      </c>
      <c r="AI6" s="228">
        <v>977184</v>
      </c>
      <c r="AJ6" s="228">
        <v>52</v>
      </c>
      <c r="AK6" s="228">
        <v>977184</v>
      </c>
      <c r="AL6" s="228">
        <v>52</v>
      </c>
      <c r="AM6" s="228">
        <v>0</v>
      </c>
      <c r="AN6" s="228">
        <v>0</v>
      </c>
      <c r="AO6" s="229">
        <v>38</v>
      </c>
      <c r="AP6" s="231">
        <v>9</v>
      </c>
      <c r="AQ6" s="231">
        <v>2024</v>
      </c>
      <c r="AR6" s="231" t="str">
        <f t="shared" si="0"/>
        <v>09/2024</v>
      </c>
      <c r="AS6" s="231">
        <f t="shared" si="1"/>
        <v>19.5</v>
      </c>
      <c r="AT6" s="239">
        <f>IF(G6="CERVECERIA Y MALTERIA",(AS6*AK6/1000000)*(1-VLOOKUP(N6,FCST!D:I,6,FALSE)),0)</f>
        <v>19.055088000000001</v>
      </c>
      <c r="AU6" s="232">
        <v>5.0000000000000001E-3</v>
      </c>
      <c r="AV6" s="239">
        <f t="shared" si="2"/>
        <v>19.15036344</v>
      </c>
      <c r="AW6" s="239">
        <f>(AS6*AK6/1000000)*(VLOOKUP(N6,FCST!D:I,6,FALSE))</f>
        <v>0</v>
      </c>
      <c r="AX6" s="239">
        <f t="shared" si="3"/>
        <v>0</v>
      </c>
      <c r="AY6" s="239">
        <f>IF($G6="CERVECERIA Y MALTERIA.",($AS6*$AK6/1000000)*(1-VLOOKUP($N6,FCST!D:I,6,FALSE)),0)</f>
        <v>0</v>
      </c>
      <c r="AZ6" s="239">
        <f t="shared" si="4"/>
        <v>0</v>
      </c>
      <c r="BB6" s="240"/>
    </row>
    <row r="7" spans="1:54" x14ac:dyDescent="0.25">
      <c r="A7" s="209">
        <v>1074750</v>
      </c>
      <c r="B7" s="209">
        <v>20</v>
      </c>
      <c r="C7" s="209">
        <v>89269051</v>
      </c>
      <c r="D7" s="209">
        <v>10</v>
      </c>
      <c r="E7" s="209">
        <v>10000002</v>
      </c>
      <c r="F7" s="209">
        <v>20001057</v>
      </c>
      <c r="G7" s="209" t="s">
        <v>105</v>
      </c>
      <c r="H7" s="209">
        <v>20001057</v>
      </c>
      <c r="I7" s="209">
        <v>2</v>
      </c>
      <c r="J7" s="209" t="s">
        <v>169</v>
      </c>
      <c r="K7" s="209" t="s">
        <v>198</v>
      </c>
      <c r="L7" s="209" t="s">
        <v>171</v>
      </c>
      <c r="M7" s="209" t="s">
        <v>199</v>
      </c>
      <c r="N7" s="209">
        <v>50034574</v>
      </c>
      <c r="O7" s="209" t="s">
        <v>196</v>
      </c>
      <c r="P7" s="209">
        <v>5121</v>
      </c>
      <c r="Q7" s="209" t="s">
        <v>200</v>
      </c>
      <c r="R7" s="209" t="s">
        <v>201</v>
      </c>
      <c r="S7" s="209" t="s">
        <v>202</v>
      </c>
      <c r="T7" s="209" t="s">
        <v>203</v>
      </c>
      <c r="U7" s="209" t="s">
        <v>201</v>
      </c>
      <c r="V7" s="209" t="s">
        <v>179</v>
      </c>
      <c r="W7" s="209" t="s">
        <v>179</v>
      </c>
      <c r="X7" s="209" t="s">
        <v>180</v>
      </c>
      <c r="Y7" s="209" t="s">
        <v>180</v>
      </c>
      <c r="Z7" s="209">
        <v>9521066225</v>
      </c>
      <c r="AA7" s="209" t="s">
        <v>204</v>
      </c>
      <c r="AB7" s="209" t="s">
        <v>180</v>
      </c>
      <c r="AC7" s="209" t="s">
        <v>182</v>
      </c>
      <c r="AD7" s="209">
        <v>9</v>
      </c>
      <c r="AE7" s="209">
        <v>2024</v>
      </c>
      <c r="AF7" s="227">
        <v>45552</v>
      </c>
      <c r="AG7" s="227">
        <v>45554</v>
      </c>
      <c r="AH7" s="227">
        <v>45554</v>
      </c>
      <c r="AI7" s="228">
        <v>488592</v>
      </c>
      <c r="AJ7" s="228">
        <v>26</v>
      </c>
      <c r="AK7" s="228">
        <v>488592</v>
      </c>
      <c r="AL7" s="228">
        <v>26</v>
      </c>
      <c r="AM7" s="228">
        <v>0</v>
      </c>
      <c r="AN7" s="228">
        <v>0</v>
      </c>
      <c r="AO7" s="229">
        <v>38</v>
      </c>
      <c r="AP7" s="231">
        <v>9</v>
      </c>
      <c r="AQ7" s="231">
        <v>2024</v>
      </c>
      <c r="AR7" s="231" t="str">
        <f t="shared" si="0"/>
        <v>09/2024</v>
      </c>
      <c r="AS7" s="231">
        <f t="shared" si="1"/>
        <v>19.5</v>
      </c>
      <c r="AT7" s="239">
        <f>IF(G7="CERVECERIA Y MALTERIA",(AS7*AK7/1000000)*(1-VLOOKUP(N7,FCST!D:I,6,FALSE)),0)</f>
        <v>9.5275440000000007</v>
      </c>
      <c r="AU7" s="232">
        <v>5.0000000000000001E-3</v>
      </c>
      <c r="AV7" s="239">
        <f t="shared" si="2"/>
        <v>9.5751817199999998</v>
      </c>
      <c r="AW7" s="239">
        <f>(AS7*AK7/1000000)*(VLOOKUP(N7,FCST!D:I,6,FALSE))</f>
        <v>0</v>
      </c>
      <c r="AX7" s="239">
        <f t="shared" si="3"/>
        <v>0</v>
      </c>
      <c r="AY7" s="239">
        <f>IF($G7="CERVECERIA Y MALTERIA.",($AS7*$AK7/1000000)*(1-VLOOKUP($N7,FCST!D:I,6,FALSE)),0)</f>
        <v>0</v>
      </c>
      <c r="AZ7" s="239">
        <f t="shared" si="4"/>
        <v>0</v>
      </c>
      <c r="BB7" s="240"/>
    </row>
    <row r="8" spans="1:54" x14ac:dyDescent="0.25">
      <c r="A8" s="209">
        <v>1074750</v>
      </c>
      <c r="B8" s="209">
        <v>30</v>
      </c>
      <c r="C8" s="209">
        <v>89269051</v>
      </c>
      <c r="D8" s="209">
        <v>20</v>
      </c>
      <c r="E8" s="209">
        <v>10000002</v>
      </c>
      <c r="F8" s="209">
        <v>20001057</v>
      </c>
      <c r="G8" s="209" t="s">
        <v>105</v>
      </c>
      <c r="H8" s="209">
        <v>20001057</v>
      </c>
      <c r="I8" s="209">
        <v>2</v>
      </c>
      <c r="J8" s="209" t="s">
        <v>169</v>
      </c>
      <c r="K8" s="209" t="s">
        <v>198</v>
      </c>
      <c r="L8" s="209" t="s">
        <v>171</v>
      </c>
      <c r="M8" s="209" t="s">
        <v>199</v>
      </c>
      <c r="N8" s="209">
        <v>50032583</v>
      </c>
      <c r="O8" s="209" t="s">
        <v>205</v>
      </c>
      <c r="P8" s="209">
        <v>5121</v>
      </c>
      <c r="Q8" s="209" t="s">
        <v>200</v>
      </c>
      <c r="R8" s="209" t="s">
        <v>201</v>
      </c>
      <c r="S8" s="209" t="s">
        <v>202</v>
      </c>
      <c r="T8" s="209" t="s">
        <v>203</v>
      </c>
      <c r="U8" s="209" t="s">
        <v>201</v>
      </c>
      <c r="V8" s="209" t="s">
        <v>179</v>
      </c>
      <c r="W8" s="209" t="s">
        <v>179</v>
      </c>
      <c r="X8" s="209" t="s">
        <v>180</v>
      </c>
      <c r="Y8" s="209" t="s">
        <v>180</v>
      </c>
      <c r="Z8" s="209">
        <v>9521066225</v>
      </c>
      <c r="AA8" s="209" t="s">
        <v>204</v>
      </c>
      <c r="AB8" s="209" t="s">
        <v>180</v>
      </c>
      <c r="AC8" s="209" t="s">
        <v>182</v>
      </c>
      <c r="AD8" s="209">
        <v>9</v>
      </c>
      <c r="AE8" s="209">
        <v>2024</v>
      </c>
      <c r="AF8" s="227">
        <v>45552</v>
      </c>
      <c r="AG8" s="227">
        <v>45554</v>
      </c>
      <c r="AH8" s="227">
        <v>45554</v>
      </c>
      <c r="AI8" s="228">
        <v>175968</v>
      </c>
      <c r="AJ8" s="228">
        <v>26</v>
      </c>
      <c r="AK8" s="228">
        <v>175968</v>
      </c>
      <c r="AL8" s="228">
        <v>26</v>
      </c>
      <c r="AM8" s="228">
        <v>0</v>
      </c>
      <c r="AN8" s="228">
        <v>0</v>
      </c>
      <c r="AO8" s="229">
        <v>38</v>
      </c>
      <c r="AP8" s="231">
        <v>9</v>
      </c>
      <c r="AQ8" s="231">
        <v>2024</v>
      </c>
      <c r="AR8" s="231" t="str">
        <f t="shared" si="0"/>
        <v>09/2024</v>
      </c>
      <c r="AS8" s="231">
        <f t="shared" si="1"/>
        <v>54.7</v>
      </c>
      <c r="AT8" s="239">
        <f>IF(G8="CERVECERIA Y MALTERIA",(AS8*AK8/1000000)*(1-VLOOKUP(N8,FCST!D:I,6,FALSE)),0)</f>
        <v>9.6254495999999996</v>
      </c>
      <c r="AU8" s="232">
        <v>5.0000000000000001E-3</v>
      </c>
      <c r="AV8" s="239">
        <f t="shared" si="2"/>
        <v>9.673576847999998</v>
      </c>
      <c r="AW8" s="239">
        <f>(AS8*AK8/1000000)*(VLOOKUP(N8,FCST!D:I,6,FALSE))</f>
        <v>0</v>
      </c>
      <c r="AX8" s="239">
        <f t="shared" si="3"/>
        <v>0</v>
      </c>
      <c r="AY8" s="239">
        <f>IF($G8="CERVECERIA Y MALTERIA.",($AS8*$AK8/1000000)*(1-VLOOKUP($N8,FCST!D:I,6,FALSE)),0)</f>
        <v>0</v>
      </c>
      <c r="AZ8" s="239">
        <f t="shared" si="4"/>
        <v>0</v>
      </c>
      <c r="BB8" s="240"/>
    </row>
    <row r="9" spans="1:54" x14ac:dyDescent="0.25">
      <c r="A9" s="209">
        <v>1074259</v>
      </c>
      <c r="B9" s="209">
        <v>80</v>
      </c>
      <c r="C9" s="209">
        <v>89269107</v>
      </c>
      <c r="D9" s="209">
        <v>10</v>
      </c>
      <c r="E9" s="209">
        <v>10000002</v>
      </c>
      <c r="F9" s="209">
        <v>20000335</v>
      </c>
      <c r="G9" s="209" t="s">
        <v>105</v>
      </c>
      <c r="H9" s="209">
        <v>20000335</v>
      </c>
      <c r="I9" s="209">
        <v>2</v>
      </c>
      <c r="J9" s="209" t="s">
        <v>169</v>
      </c>
      <c r="K9" s="209" t="s">
        <v>206</v>
      </c>
      <c r="L9" s="209" t="s">
        <v>171</v>
      </c>
      <c r="M9" s="209" t="s">
        <v>172</v>
      </c>
      <c r="N9" s="209">
        <v>50034616</v>
      </c>
      <c r="O9" s="209" t="s">
        <v>191</v>
      </c>
      <c r="P9" s="209">
        <v>5121</v>
      </c>
      <c r="Q9" s="209" t="s">
        <v>174</v>
      </c>
      <c r="R9" s="209" t="s">
        <v>175</v>
      </c>
      <c r="S9" s="209" t="s">
        <v>176</v>
      </c>
      <c r="T9" s="209" t="s">
        <v>177</v>
      </c>
      <c r="U9" s="209" t="s">
        <v>178</v>
      </c>
      <c r="V9" s="209" t="s">
        <v>179</v>
      </c>
      <c r="W9" s="209" t="s">
        <v>179</v>
      </c>
      <c r="X9" s="209" t="s">
        <v>180</v>
      </c>
      <c r="Y9" s="209" t="s">
        <v>180</v>
      </c>
      <c r="Z9" s="209">
        <v>9521066210</v>
      </c>
      <c r="AA9" s="209" t="s">
        <v>192</v>
      </c>
      <c r="AB9" s="209" t="s">
        <v>180</v>
      </c>
      <c r="AC9" s="209" t="s">
        <v>182</v>
      </c>
      <c r="AD9" s="209">
        <v>9</v>
      </c>
      <c r="AE9" s="209">
        <v>2024</v>
      </c>
      <c r="AF9" s="227">
        <v>45548</v>
      </c>
      <c r="AG9" s="227">
        <v>45554</v>
      </c>
      <c r="AH9" s="227">
        <v>45554</v>
      </c>
      <c r="AI9" s="228">
        <v>426816</v>
      </c>
      <c r="AJ9" s="228">
        <v>52</v>
      </c>
      <c r="AK9" s="228">
        <v>426816</v>
      </c>
      <c r="AL9" s="228">
        <v>52</v>
      </c>
      <c r="AM9" s="228">
        <v>0</v>
      </c>
      <c r="AN9" s="228">
        <v>0</v>
      </c>
      <c r="AO9" s="229">
        <v>38</v>
      </c>
      <c r="AP9" s="231">
        <v>9</v>
      </c>
      <c r="AQ9" s="231">
        <v>2024</v>
      </c>
      <c r="AR9" s="231" t="str">
        <f t="shared" si="0"/>
        <v>09/2024</v>
      </c>
      <c r="AS9" s="231">
        <f t="shared" si="1"/>
        <v>46.6</v>
      </c>
      <c r="AT9" s="239">
        <f>IF(G9="CERVECERIA Y MALTERIA",(AS9*AK9/1000000)*(1-VLOOKUP(N9,FCST!D:I,6,FALSE)),0)</f>
        <v>19.889625600000002</v>
      </c>
      <c r="AU9" s="232">
        <v>5.0000000000000001E-3</v>
      </c>
      <c r="AV9" s="239">
        <f t="shared" si="2"/>
        <v>19.989073728000001</v>
      </c>
      <c r="AW9" s="239">
        <f>(AS9*AK9/1000000)*(VLOOKUP(N9,FCST!D:I,6,FALSE))</f>
        <v>0</v>
      </c>
      <c r="AX9" s="239">
        <f t="shared" si="3"/>
        <v>0</v>
      </c>
      <c r="AY9" s="239">
        <f>IF($G9="CERVECERIA Y MALTERIA.",($AS9*$AK9/1000000)*(1-VLOOKUP($N9,FCST!D:I,6,FALSE)),0)</f>
        <v>0</v>
      </c>
      <c r="AZ9" s="239">
        <f t="shared" si="4"/>
        <v>0</v>
      </c>
      <c r="BB9" s="240"/>
    </row>
    <row r="10" spans="1:54" x14ac:dyDescent="0.25">
      <c r="A10" s="209">
        <v>1075670</v>
      </c>
      <c r="B10" s="209">
        <v>30</v>
      </c>
      <c r="C10" s="209">
        <v>89272110</v>
      </c>
      <c r="D10" s="209">
        <v>10</v>
      </c>
      <c r="E10" s="209">
        <v>10000002</v>
      </c>
      <c r="F10" s="209">
        <v>20000340</v>
      </c>
      <c r="G10" s="209" t="s">
        <v>117</v>
      </c>
      <c r="H10" s="209">
        <v>20000340</v>
      </c>
      <c r="I10" s="209">
        <v>2</v>
      </c>
      <c r="J10" s="209" t="s">
        <v>169</v>
      </c>
      <c r="K10" s="209" t="s">
        <v>207</v>
      </c>
      <c r="L10" s="209" t="s">
        <v>171</v>
      </c>
      <c r="M10" s="209" t="s">
        <v>172</v>
      </c>
      <c r="N10" s="209">
        <v>50025163</v>
      </c>
      <c r="O10" s="209" t="s">
        <v>185</v>
      </c>
      <c r="P10" s="209">
        <v>5101</v>
      </c>
      <c r="Q10" s="209" t="s">
        <v>186</v>
      </c>
      <c r="R10" s="209" t="s">
        <v>175</v>
      </c>
      <c r="S10" s="209" t="s">
        <v>176</v>
      </c>
      <c r="T10" s="209" t="s">
        <v>187</v>
      </c>
      <c r="U10" s="209" t="s">
        <v>188</v>
      </c>
      <c r="V10" s="209" t="s">
        <v>179</v>
      </c>
      <c r="W10" s="209" t="s">
        <v>179</v>
      </c>
      <c r="X10" s="209" t="s">
        <v>180</v>
      </c>
      <c r="Y10" s="209" t="s">
        <v>180</v>
      </c>
      <c r="Z10" s="209">
        <v>9511046822</v>
      </c>
      <c r="AA10" s="209" t="s">
        <v>189</v>
      </c>
      <c r="AB10" s="209" t="s">
        <v>180</v>
      </c>
      <c r="AC10" s="209" t="s">
        <v>182</v>
      </c>
      <c r="AD10" s="209">
        <v>9</v>
      </c>
      <c r="AE10" s="209">
        <v>2024</v>
      </c>
      <c r="AF10" s="227">
        <v>45555</v>
      </c>
      <c r="AG10" s="227">
        <v>45559</v>
      </c>
      <c r="AH10" s="227">
        <v>45559</v>
      </c>
      <c r="AI10" s="228">
        <v>606528</v>
      </c>
      <c r="AJ10" s="228">
        <v>52</v>
      </c>
      <c r="AK10" s="228">
        <v>606528</v>
      </c>
      <c r="AL10" s="228">
        <v>52</v>
      </c>
      <c r="AM10" s="228">
        <v>0</v>
      </c>
      <c r="AN10" s="228">
        <v>0</v>
      </c>
      <c r="AO10" s="229">
        <v>39</v>
      </c>
      <c r="AP10" s="231">
        <v>9</v>
      </c>
      <c r="AQ10" s="231">
        <v>2024</v>
      </c>
      <c r="AR10" s="231" t="str">
        <f t="shared" si="0"/>
        <v>09/2024</v>
      </c>
      <c r="AS10" s="231">
        <f t="shared" si="1"/>
        <v>30</v>
      </c>
      <c r="AT10" s="239">
        <f>IF(G10="CERVECERIA Y MALTERIA",(AS10*AK10/1000000)*(1-VLOOKUP(N10,FCST!D:I,6,FALSE)),0)</f>
        <v>0</v>
      </c>
      <c r="AU10" s="232">
        <v>5.0000000000000001E-3</v>
      </c>
      <c r="AV10" s="239">
        <f t="shared" si="2"/>
        <v>0</v>
      </c>
      <c r="AW10" s="239">
        <f>(AS10*AK10/1000000)*(VLOOKUP(N10,FCST!D:I,6,FALSE))</f>
        <v>0</v>
      </c>
      <c r="AX10" s="239">
        <f t="shared" si="3"/>
        <v>0</v>
      </c>
      <c r="AY10" s="239">
        <f>IF($G10="CERVECERIA Y MALTERIA.",($AS10*$AK10/1000000)*(1-VLOOKUP($N10,FCST!D:I,6,FALSE)),0)</f>
        <v>18.19584</v>
      </c>
      <c r="AZ10" s="239">
        <f t="shared" si="4"/>
        <v>18.2868192</v>
      </c>
      <c r="BB10" s="240"/>
    </row>
    <row r="11" spans="1:54" x14ac:dyDescent="0.25">
      <c r="A11" s="209">
        <v>1075670</v>
      </c>
      <c r="B11" s="209">
        <v>10</v>
      </c>
      <c r="C11" s="209">
        <v>89271331</v>
      </c>
      <c r="D11" s="209">
        <v>10</v>
      </c>
      <c r="E11" s="209">
        <v>10000002</v>
      </c>
      <c r="F11" s="209">
        <v>20000340</v>
      </c>
      <c r="G11" s="209" t="s">
        <v>117</v>
      </c>
      <c r="H11" s="209">
        <v>20000340</v>
      </c>
      <c r="I11" s="209">
        <v>2</v>
      </c>
      <c r="J11" s="209" t="s">
        <v>169</v>
      </c>
      <c r="K11" s="209" t="s">
        <v>208</v>
      </c>
      <c r="L11" s="209" t="s">
        <v>171</v>
      </c>
      <c r="M11" s="209" t="s">
        <v>172</v>
      </c>
      <c r="N11" s="209">
        <v>50025163</v>
      </c>
      <c r="O11" s="209" t="s">
        <v>185</v>
      </c>
      <c r="P11" s="209">
        <v>5101</v>
      </c>
      <c r="Q11" s="209" t="s">
        <v>186</v>
      </c>
      <c r="R11" s="209" t="s">
        <v>175</v>
      </c>
      <c r="S11" s="209" t="s">
        <v>176</v>
      </c>
      <c r="T11" s="209" t="s">
        <v>187</v>
      </c>
      <c r="U11" s="209" t="s">
        <v>188</v>
      </c>
      <c r="V11" s="209" t="s">
        <v>179</v>
      </c>
      <c r="W11" s="209" t="s">
        <v>179</v>
      </c>
      <c r="X11" s="209" t="s">
        <v>180</v>
      </c>
      <c r="Y11" s="209" t="s">
        <v>180</v>
      </c>
      <c r="Z11" s="209">
        <v>9511046822</v>
      </c>
      <c r="AA11" s="209" t="s">
        <v>189</v>
      </c>
      <c r="AB11" s="209" t="s">
        <v>180</v>
      </c>
      <c r="AC11" s="209" t="s">
        <v>182</v>
      </c>
      <c r="AD11" s="209">
        <v>9</v>
      </c>
      <c r="AE11" s="209">
        <v>2024</v>
      </c>
      <c r="AF11" s="227">
        <v>45555</v>
      </c>
      <c r="AG11" s="227">
        <v>45558</v>
      </c>
      <c r="AH11" s="227">
        <v>45558</v>
      </c>
      <c r="AI11" s="228">
        <v>606528</v>
      </c>
      <c r="AJ11" s="228">
        <v>52</v>
      </c>
      <c r="AK11" s="228">
        <v>606528</v>
      </c>
      <c r="AL11" s="228">
        <v>52</v>
      </c>
      <c r="AM11" s="228">
        <v>0</v>
      </c>
      <c r="AN11" s="228">
        <v>0</v>
      </c>
      <c r="AO11" s="229">
        <v>39</v>
      </c>
      <c r="AP11" s="231">
        <v>9</v>
      </c>
      <c r="AQ11" s="231">
        <v>2024</v>
      </c>
      <c r="AR11" s="231" t="str">
        <f t="shared" si="0"/>
        <v>09/2024</v>
      </c>
      <c r="AS11" s="231">
        <f t="shared" si="1"/>
        <v>30</v>
      </c>
      <c r="AT11" s="239">
        <f>IF(G11="CERVECERIA Y MALTERIA",(AS11*AK11/1000000)*(1-VLOOKUP(N11,FCST!D:I,6,FALSE)),0)</f>
        <v>0</v>
      </c>
      <c r="AU11" s="232">
        <v>5.0000000000000001E-3</v>
      </c>
      <c r="AV11" s="239">
        <f t="shared" si="2"/>
        <v>0</v>
      </c>
      <c r="AW11" s="239">
        <f>(AS11*AK11/1000000)*(VLOOKUP(N11,FCST!D:I,6,FALSE))</f>
        <v>0</v>
      </c>
      <c r="AX11" s="239">
        <f t="shared" si="3"/>
        <v>0</v>
      </c>
      <c r="AY11" s="239">
        <f>IF($G11="CERVECERIA Y MALTERIA.",($AS11*$AK11/1000000)*(1-VLOOKUP($N11,FCST!D:I,6,FALSE)),0)</f>
        <v>18.19584</v>
      </c>
      <c r="AZ11" s="239">
        <f t="shared" si="4"/>
        <v>18.2868192</v>
      </c>
      <c r="BB11" s="240"/>
    </row>
    <row r="12" spans="1:54" x14ac:dyDescent="0.25">
      <c r="A12" s="209">
        <v>1075670</v>
      </c>
      <c r="B12" s="209">
        <v>20</v>
      </c>
      <c r="C12" s="209">
        <v>89271333</v>
      </c>
      <c r="D12" s="209">
        <v>10</v>
      </c>
      <c r="E12" s="209">
        <v>10000002</v>
      </c>
      <c r="F12" s="209">
        <v>20000340</v>
      </c>
      <c r="G12" s="209" t="s">
        <v>117</v>
      </c>
      <c r="H12" s="209">
        <v>20000340</v>
      </c>
      <c r="I12" s="209">
        <v>2</v>
      </c>
      <c r="J12" s="209" t="s">
        <v>169</v>
      </c>
      <c r="K12" s="209" t="s">
        <v>209</v>
      </c>
      <c r="L12" s="209" t="s">
        <v>171</v>
      </c>
      <c r="M12" s="209" t="s">
        <v>172</v>
      </c>
      <c r="N12" s="209">
        <v>50025163</v>
      </c>
      <c r="O12" s="209" t="s">
        <v>185</v>
      </c>
      <c r="P12" s="209">
        <v>5101</v>
      </c>
      <c r="Q12" s="209" t="s">
        <v>186</v>
      </c>
      <c r="R12" s="209" t="s">
        <v>175</v>
      </c>
      <c r="S12" s="209" t="s">
        <v>176</v>
      </c>
      <c r="T12" s="209" t="s">
        <v>187</v>
      </c>
      <c r="U12" s="209" t="s">
        <v>188</v>
      </c>
      <c r="V12" s="209" t="s">
        <v>179</v>
      </c>
      <c r="W12" s="209" t="s">
        <v>179</v>
      </c>
      <c r="X12" s="209" t="s">
        <v>180</v>
      </c>
      <c r="Y12" s="209" t="s">
        <v>180</v>
      </c>
      <c r="Z12" s="209">
        <v>9511046822</v>
      </c>
      <c r="AA12" s="209" t="s">
        <v>189</v>
      </c>
      <c r="AB12" s="209" t="s">
        <v>180</v>
      </c>
      <c r="AC12" s="209" t="s">
        <v>182</v>
      </c>
      <c r="AD12" s="209">
        <v>9</v>
      </c>
      <c r="AE12" s="209">
        <v>2024</v>
      </c>
      <c r="AF12" s="227">
        <v>45555</v>
      </c>
      <c r="AG12" s="227">
        <v>45558</v>
      </c>
      <c r="AH12" s="227">
        <v>45558</v>
      </c>
      <c r="AI12" s="228">
        <v>303264</v>
      </c>
      <c r="AJ12" s="228">
        <v>26</v>
      </c>
      <c r="AK12" s="228">
        <v>303264</v>
      </c>
      <c r="AL12" s="228">
        <v>26</v>
      </c>
      <c r="AM12" s="228">
        <v>0</v>
      </c>
      <c r="AN12" s="228">
        <v>0</v>
      </c>
      <c r="AO12" s="229">
        <v>39</v>
      </c>
      <c r="AP12" s="231">
        <v>9</v>
      </c>
      <c r="AQ12" s="231">
        <v>2024</v>
      </c>
      <c r="AR12" s="231" t="str">
        <f t="shared" si="0"/>
        <v>09/2024</v>
      </c>
      <c r="AS12" s="231">
        <f t="shared" si="1"/>
        <v>30</v>
      </c>
      <c r="AT12" s="239">
        <f>IF(G12="CERVECERIA Y MALTERIA",(AS12*AK12/1000000)*(1-VLOOKUP(N12,FCST!D:I,6,FALSE)),0)</f>
        <v>0</v>
      </c>
      <c r="AU12" s="232">
        <v>5.0000000000000001E-3</v>
      </c>
      <c r="AV12" s="239">
        <f t="shared" si="2"/>
        <v>0</v>
      </c>
      <c r="AW12" s="239">
        <f>(AS12*AK12/1000000)*(VLOOKUP(N12,FCST!D:I,6,FALSE))</f>
        <v>0</v>
      </c>
      <c r="AX12" s="239">
        <f t="shared" si="3"/>
        <v>0</v>
      </c>
      <c r="AY12" s="239">
        <f>IF($G12="CERVECERIA Y MALTERIA.",($AS12*$AK12/1000000)*(1-VLOOKUP($N12,FCST!D:I,6,FALSE)),0)</f>
        <v>9.0979200000000002</v>
      </c>
      <c r="AZ12" s="239">
        <f t="shared" si="4"/>
        <v>9.1434096</v>
      </c>
      <c r="BB12" s="240"/>
    </row>
    <row r="13" spans="1:54" x14ac:dyDescent="0.25">
      <c r="A13" s="209">
        <v>1075673</v>
      </c>
      <c r="B13" s="209">
        <v>10</v>
      </c>
      <c r="C13" s="209">
        <v>89271334</v>
      </c>
      <c r="D13" s="209">
        <v>10</v>
      </c>
      <c r="E13" s="209">
        <v>10000002</v>
      </c>
      <c r="F13" s="209">
        <v>20000335</v>
      </c>
      <c r="G13" s="209" t="s">
        <v>105</v>
      </c>
      <c r="H13" s="209">
        <v>20000335</v>
      </c>
      <c r="I13" s="209">
        <v>2</v>
      </c>
      <c r="J13" s="209" t="s">
        <v>169</v>
      </c>
      <c r="K13" s="209" t="s">
        <v>210</v>
      </c>
      <c r="L13" s="209" t="s">
        <v>171</v>
      </c>
      <c r="M13" s="209" t="s">
        <v>172</v>
      </c>
      <c r="N13" s="209">
        <v>50034616</v>
      </c>
      <c r="O13" s="209" t="s">
        <v>191</v>
      </c>
      <c r="P13" s="209">
        <v>5121</v>
      </c>
      <c r="Q13" s="209" t="s">
        <v>174</v>
      </c>
      <c r="R13" s="209" t="s">
        <v>175</v>
      </c>
      <c r="S13" s="209" t="s">
        <v>176</v>
      </c>
      <c r="T13" s="209" t="s">
        <v>177</v>
      </c>
      <c r="U13" s="209" t="s">
        <v>178</v>
      </c>
      <c r="V13" s="209" t="s">
        <v>179</v>
      </c>
      <c r="W13" s="209" t="s">
        <v>179</v>
      </c>
      <c r="X13" s="209" t="s">
        <v>180</v>
      </c>
      <c r="Y13" s="209" t="s">
        <v>180</v>
      </c>
      <c r="Z13" s="209">
        <v>9521066210</v>
      </c>
      <c r="AA13" s="209" t="s">
        <v>192</v>
      </c>
      <c r="AB13" s="209" t="s">
        <v>180</v>
      </c>
      <c r="AC13" s="209" t="s">
        <v>182</v>
      </c>
      <c r="AD13" s="209">
        <v>9</v>
      </c>
      <c r="AE13" s="209">
        <v>2024</v>
      </c>
      <c r="AF13" s="227">
        <v>45555</v>
      </c>
      <c r="AG13" s="227">
        <v>45558</v>
      </c>
      <c r="AH13" s="227">
        <v>45558</v>
      </c>
      <c r="AI13" s="228">
        <v>213408</v>
      </c>
      <c r="AJ13" s="228">
        <v>26</v>
      </c>
      <c r="AK13" s="228">
        <v>213408</v>
      </c>
      <c r="AL13" s="228">
        <v>26</v>
      </c>
      <c r="AM13" s="228">
        <v>0</v>
      </c>
      <c r="AN13" s="228">
        <v>0</v>
      </c>
      <c r="AO13" s="229">
        <v>39</v>
      </c>
      <c r="AP13" s="231">
        <v>9</v>
      </c>
      <c r="AQ13" s="231">
        <v>2024</v>
      </c>
      <c r="AR13" s="231" t="str">
        <f t="shared" si="0"/>
        <v>09/2024</v>
      </c>
      <c r="AS13" s="231">
        <f t="shared" si="1"/>
        <v>46.6</v>
      </c>
      <c r="AT13" s="239">
        <f>IF(G13="CERVECERIA Y MALTERIA",(AS13*AK13/1000000)*(1-VLOOKUP(N13,FCST!D:I,6,FALSE)),0)</f>
        <v>9.9448128000000011</v>
      </c>
      <c r="AU13" s="232">
        <v>5.0000000000000001E-3</v>
      </c>
      <c r="AV13" s="239">
        <f t="shared" si="2"/>
        <v>9.9945368640000005</v>
      </c>
      <c r="AW13" s="239">
        <f>(AS13*AK13/1000000)*(VLOOKUP(N13,FCST!D:I,6,FALSE))</f>
        <v>0</v>
      </c>
      <c r="AX13" s="239">
        <f t="shared" si="3"/>
        <v>0</v>
      </c>
      <c r="AY13" s="239">
        <f>IF($G13="CERVECERIA Y MALTERIA.",($AS13*$AK13/1000000)*(1-VLOOKUP($N13,FCST!D:I,6,FALSE)),0)</f>
        <v>0</v>
      </c>
      <c r="AZ13" s="239">
        <f t="shared" si="4"/>
        <v>0</v>
      </c>
      <c r="BB13" s="240"/>
    </row>
    <row r="14" spans="1:54" x14ac:dyDescent="0.25">
      <c r="A14" s="209">
        <v>1075673</v>
      </c>
      <c r="B14" s="209">
        <v>20</v>
      </c>
      <c r="C14" s="209">
        <v>89271412</v>
      </c>
      <c r="D14" s="209">
        <v>10</v>
      </c>
      <c r="E14" s="209">
        <v>10000002</v>
      </c>
      <c r="F14" s="209">
        <v>20000335</v>
      </c>
      <c r="G14" s="209" t="s">
        <v>105</v>
      </c>
      <c r="H14" s="209">
        <v>20000335</v>
      </c>
      <c r="I14" s="209">
        <v>2</v>
      </c>
      <c r="J14" s="209" t="s">
        <v>169</v>
      </c>
      <c r="K14" s="209" t="s">
        <v>211</v>
      </c>
      <c r="L14" s="209" t="s">
        <v>171</v>
      </c>
      <c r="M14" s="209" t="s">
        <v>199</v>
      </c>
      <c r="N14" s="209">
        <v>50032583</v>
      </c>
      <c r="O14" s="209" t="s">
        <v>205</v>
      </c>
      <c r="P14" s="209">
        <v>5121</v>
      </c>
      <c r="Q14" s="209" t="s">
        <v>200</v>
      </c>
      <c r="R14" s="209" t="s">
        <v>201</v>
      </c>
      <c r="S14" s="209" t="s">
        <v>202</v>
      </c>
      <c r="T14" s="209" t="s">
        <v>203</v>
      </c>
      <c r="U14" s="209" t="s">
        <v>201</v>
      </c>
      <c r="V14" s="209" t="s">
        <v>179</v>
      </c>
      <c r="W14" s="209" t="s">
        <v>179</v>
      </c>
      <c r="X14" s="209" t="s">
        <v>180</v>
      </c>
      <c r="Y14" s="209" t="s">
        <v>180</v>
      </c>
      <c r="Z14" s="209">
        <v>9521066206</v>
      </c>
      <c r="AA14" s="209" t="s">
        <v>212</v>
      </c>
      <c r="AB14" s="209" t="s">
        <v>180</v>
      </c>
      <c r="AC14" s="209" t="s">
        <v>182</v>
      </c>
      <c r="AD14" s="209">
        <v>9</v>
      </c>
      <c r="AE14" s="209">
        <v>2024</v>
      </c>
      <c r="AF14" s="227">
        <v>45555</v>
      </c>
      <c r="AG14" s="227">
        <v>45558</v>
      </c>
      <c r="AH14" s="227">
        <v>45558</v>
      </c>
      <c r="AI14" s="228">
        <v>175968</v>
      </c>
      <c r="AJ14" s="228">
        <v>26</v>
      </c>
      <c r="AK14" s="228">
        <v>175968</v>
      </c>
      <c r="AL14" s="228">
        <v>26</v>
      </c>
      <c r="AM14" s="228">
        <v>0</v>
      </c>
      <c r="AN14" s="228">
        <v>0</v>
      </c>
      <c r="AO14" s="229">
        <v>39</v>
      </c>
      <c r="AP14" s="231">
        <v>9</v>
      </c>
      <c r="AQ14" s="231">
        <v>2024</v>
      </c>
      <c r="AR14" s="231" t="str">
        <f t="shared" si="0"/>
        <v>09/2024</v>
      </c>
      <c r="AS14" s="231">
        <f t="shared" si="1"/>
        <v>54.7</v>
      </c>
      <c r="AT14" s="239">
        <f>IF(G14="CERVECERIA Y MALTERIA",(AS14*AK14/1000000)*(1-VLOOKUP(N14,FCST!D:I,6,FALSE)),0)</f>
        <v>9.6254495999999996</v>
      </c>
      <c r="AU14" s="232">
        <v>5.0000000000000001E-3</v>
      </c>
      <c r="AV14" s="239">
        <f t="shared" si="2"/>
        <v>9.673576847999998</v>
      </c>
      <c r="AW14" s="239">
        <f>(AS14*AK14/1000000)*(VLOOKUP(N14,FCST!D:I,6,FALSE))</f>
        <v>0</v>
      </c>
      <c r="AX14" s="239">
        <f t="shared" si="3"/>
        <v>0</v>
      </c>
      <c r="AY14" s="239">
        <f>IF($G14="CERVECERIA Y MALTERIA.",($AS14*$AK14/1000000)*(1-VLOOKUP($N14,FCST!D:I,6,FALSE)),0)</f>
        <v>0</v>
      </c>
      <c r="AZ14" s="239">
        <f t="shared" si="4"/>
        <v>0</v>
      </c>
      <c r="BB14" s="240"/>
    </row>
    <row r="15" spans="1:54" x14ac:dyDescent="0.25">
      <c r="A15" s="209">
        <v>1075673</v>
      </c>
      <c r="B15" s="209">
        <v>30</v>
      </c>
      <c r="C15" s="209">
        <v>89271412</v>
      </c>
      <c r="D15" s="209">
        <v>20</v>
      </c>
      <c r="E15" s="209">
        <v>10000002</v>
      </c>
      <c r="F15" s="209">
        <v>20000335</v>
      </c>
      <c r="G15" s="209" t="s">
        <v>105</v>
      </c>
      <c r="H15" s="209">
        <v>20000335</v>
      </c>
      <c r="I15" s="209">
        <v>2</v>
      </c>
      <c r="J15" s="209" t="s">
        <v>169</v>
      </c>
      <c r="K15" s="209" t="s">
        <v>211</v>
      </c>
      <c r="L15" s="209" t="s">
        <v>171</v>
      </c>
      <c r="M15" s="209" t="s">
        <v>199</v>
      </c>
      <c r="N15" s="209">
        <v>50034616</v>
      </c>
      <c r="O15" s="209" t="s">
        <v>191</v>
      </c>
      <c r="P15" s="209">
        <v>5121</v>
      </c>
      <c r="Q15" s="209" t="s">
        <v>200</v>
      </c>
      <c r="R15" s="209" t="s">
        <v>201</v>
      </c>
      <c r="S15" s="209" t="s">
        <v>202</v>
      </c>
      <c r="T15" s="209" t="s">
        <v>203</v>
      </c>
      <c r="U15" s="209" t="s">
        <v>201</v>
      </c>
      <c r="V15" s="209" t="s">
        <v>179</v>
      </c>
      <c r="W15" s="209" t="s">
        <v>179</v>
      </c>
      <c r="X15" s="209" t="s">
        <v>180</v>
      </c>
      <c r="Y15" s="209" t="s">
        <v>180</v>
      </c>
      <c r="Z15" s="209">
        <v>9521066206</v>
      </c>
      <c r="AA15" s="209" t="s">
        <v>212</v>
      </c>
      <c r="AB15" s="209" t="s">
        <v>180</v>
      </c>
      <c r="AC15" s="209" t="s">
        <v>182</v>
      </c>
      <c r="AD15" s="209">
        <v>9</v>
      </c>
      <c r="AE15" s="209">
        <v>2024</v>
      </c>
      <c r="AF15" s="227">
        <v>45555</v>
      </c>
      <c r="AG15" s="227">
        <v>45558</v>
      </c>
      <c r="AH15" s="227">
        <v>45558</v>
      </c>
      <c r="AI15" s="228">
        <v>213408</v>
      </c>
      <c r="AJ15" s="228">
        <v>26</v>
      </c>
      <c r="AK15" s="228">
        <v>213408</v>
      </c>
      <c r="AL15" s="228">
        <v>26</v>
      </c>
      <c r="AM15" s="228">
        <v>0</v>
      </c>
      <c r="AN15" s="228">
        <v>0</v>
      </c>
      <c r="AO15" s="229">
        <v>39</v>
      </c>
      <c r="AP15" s="231">
        <v>9</v>
      </c>
      <c r="AQ15" s="231">
        <v>2024</v>
      </c>
      <c r="AR15" s="231" t="str">
        <f t="shared" si="0"/>
        <v>09/2024</v>
      </c>
      <c r="AS15" s="231">
        <f t="shared" si="1"/>
        <v>46.6</v>
      </c>
      <c r="AT15" s="239">
        <f>IF(G15="CERVECERIA Y MALTERIA",(AS15*AK15/1000000)*(1-VLOOKUP(N15,FCST!D:I,6,FALSE)),0)</f>
        <v>9.9448128000000011</v>
      </c>
      <c r="AU15" s="232">
        <v>5.0000000000000001E-3</v>
      </c>
      <c r="AV15" s="239">
        <f t="shared" si="2"/>
        <v>9.9945368640000005</v>
      </c>
      <c r="AW15" s="239">
        <f>(AS15*AK15/1000000)*(VLOOKUP(N15,FCST!D:I,6,FALSE))</f>
        <v>0</v>
      </c>
      <c r="AX15" s="239">
        <f t="shared" si="3"/>
        <v>0</v>
      </c>
      <c r="AY15" s="239">
        <f>IF($G15="CERVECERIA Y MALTERIA.",($AS15*$AK15/1000000)*(1-VLOOKUP($N15,FCST!D:I,6,FALSE)),0)</f>
        <v>0</v>
      </c>
      <c r="AZ15" s="239">
        <f t="shared" si="4"/>
        <v>0</v>
      </c>
      <c r="BB15" s="240"/>
    </row>
    <row r="16" spans="1:54" x14ac:dyDescent="0.25">
      <c r="A16" s="209">
        <v>1075675</v>
      </c>
      <c r="B16" s="209">
        <v>10</v>
      </c>
      <c r="C16" s="209">
        <v>89271539</v>
      </c>
      <c r="D16" s="209">
        <v>10</v>
      </c>
      <c r="E16" s="209">
        <v>10000002</v>
      </c>
      <c r="F16" s="209">
        <v>20000337</v>
      </c>
      <c r="G16" s="209" t="s">
        <v>105</v>
      </c>
      <c r="H16" s="209">
        <v>20000337</v>
      </c>
      <c r="I16" s="209">
        <v>2</v>
      </c>
      <c r="J16" s="209" t="s">
        <v>169</v>
      </c>
      <c r="K16" s="209" t="s">
        <v>213</v>
      </c>
      <c r="L16" s="209" t="s">
        <v>171</v>
      </c>
      <c r="M16" s="209" t="s">
        <v>199</v>
      </c>
      <c r="N16" s="209">
        <v>50034616</v>
      </c>
      <c r="O16" s="209" t="s">
        <v>191</v>
      </c>
      <c r="P16" s="209">
        <v>5121</v>
      </c>
      <c r="Q16" s="209" t="s">
        <v>200</v>
      </c>
      <c r="R16" s="209" t="s">
        <v>201</v>
      </c>
      <c r="S16" s="209" t="s">
        <v>202</v>
      </c>
      <c r="T16" s="209" t="s">
        <v>203</v>
      </c>
      <c r="U16" s="209" t="s">
        <v>201</v>
      </c>
      <c r="V16" s="209" t="s">
        <v>179</v>
      </c>
      <c r="W16" s="209" t="s">
        <v>179</v>
      </c>
      <c r="X16" s="209" t="s">
        <v>180</v>
      </c>
      <c r="Y16" s="209" t="s">
        <v>180</v>
      </c>
      <c r="Z16" s="209">
        <v>9521066217</v>
      </c>
      <c r="AA16" s="209" t="s">
        <v>214</v>
      </c>
      <c r="AB16" s="209" t="s">
        <v>180</v>
      </c>
      <c r="AC16" s="209" t="s">
        <v>182</v>
      </c>
      <c r="AD16" s="209">
        <v>9</v>
      </c>
      <c r="AE16" s="209">
        <v>2024</v>
      </c>
      <c r="AF16" s="227">
        <v>45555</v>
      </c>
      <c r="AG16" s="227">
        <v>45558</v>
      </c>
      <c r="AH16" s="227">
        <v>45558</v>
      </c>
      <c r="AI16" s="228">
        <v>418608</v>
      </c>
      <c r="AJ16" s="228">
        <v>51</v>
      </c>
      <c r="AK16" s="228">
        <v>418608</v>
      </c>
      <c r="AL16" s="228">
        <v>51</v>
      </c>
      <c r="AM16" s="228">
        <v>0</v>
      </c>
      <c r="AN16" s="228">
        <v>0</v>
      </c>
      <c r="AO16" s="229">
        <v>39</v>
      </c>
      <c r="AP16" s="231">
        <v>9</v>
      </c>
      <c r="AQ16" s="231">
        <v>2024</v>
      </c>
      <c r="AR16" s="231" t="str">
        <f t="shared" si="0"/>
        <v>09/2024</v>
      </c>
      <c r="AS16" s="231">
        <f t="shared" si="1"/>
        <v>46.6</v>
      </c>
      <c r="AT16" s="239">
        <f>IF(G16="CERVECERIA Y MALTERIA",(AS16*AK16/1000000)*(1-VLOOKUP(N16,FCST!D:I,6,FALSE)),0)</f>
        <v>19.507132800000001</v>
      </c>
      <c r="AU16" s="232">
        <v>5.0000000000000001E-3</v>
      </c>
      <c r="AV16" s="239">
        <f t="shared" si="2"/>
        <v>19.604668464</v>
      </c>
      <c r="AW16" s="239">
        <f>(AS16*AK16/1000000)*(VLOOKUP(N16,FCST!D:I,6,FALSE))</f>
        <v>0</v>
      </c>
      <c r="AX16" s="239">
        <f t="shared" si="3"/>
        <v>0</v>
      </c>
      <c r="AY16" s="239">
        <f>IF($G16="CERVECERIA Y MALTERIA.",($AS16*$AK16/1000000)*(1-VLOOKUP($N16,FCST!D:I,6,FALSE)),0)</f>
        <v>0</v>
      </c>
      <c r="AZ16" s="239">
        <f t="shared" si="4"/>
        <v>0</v>
      </c>
      <c r="BB16" s="240"/>
    </row>
    <row r="17" spans="1:54" x14ac:dyDescent="0.25">
      <c r="A17" s="209">
        <v>1075675</v>
      </c>
      <c r="B17" s="209">
        <v>20</v>
      </c>
      <c r="C17" s="209">
        <v>89271539</v>
      </c>
      <c r="D17" s="209">
        <v>20</v>
      </c>
      <c r="E17" s="209">
        <v>10000002</v>
      </c>
      <c r="F17" s="209">
        <v>20000337</v>
      </c>
      <c r="G17" s="209" t="s">
        <v>105</v>
      </c>
      <c r="H17" s="209">
        <v>20000337</v>
      </c>
      <c r="I17" s="209">
        <v>2</v>
      </c>
      <c r="J17" s="209" t="s">
        <v>169</v>
      </c>
      <c r="K17" s="209" t="s">
        <v>213</v>
      </c>
      <c r="L17" s="209" t="s">
        <v>171</v>
      </c>
      <c r="M17" s="209" t="s">
        <v>199</v>
      </c>
      <c r="N17" s="209">
        <v>50035183</v>
      </c>
      <c r="O17" s="209" t="s">
        <v>215</v>
      </c>
      <c r="P17" s="209">
        <v>5121</v>
      </c>
      <c r="Q17" s="209" t="s">
        <v>200</v>
      </c>
      <c r="R17" s="209" t="s">
        <v>201</v>
      </c>
      <c r="S17" s="209" t="s">
        <v>202</v>
      </c>
      <c r="T17" s="209" t="s">
        <v>203</v>
      </c>
      <c r="U17" s="209" t="s">
        <v>201</v>
      </c>
      <c r="V17" s="209" t="s">
        <v>179</v>
      </c>
      <c r="W17" s="209" t="s">
        <v>179</v>
      </c>
      <c r="X17" s="209" t="s">
        <v>180</v>
      </c>
      <c r="Y17" s="209" t="s">
        <v>180</v>
      </c>
      <c r="Z17" s="209">
        <v>9521066217</v>
      </c>
      <c r="AA17" s="209" t="s">
        <v>214</v>
      </c>
      <c r="AB17" s="209" t="s">
        <v>180</v>
      </c>
      <c r="AC17" s="209" t="s">
        <v>182</v>
      </c>
      <c r="AD17" s="209">
        <v>9</v>
      </c>
      <c r="AE17" s="209">
        <v>2024</v>
      </c>
      <c r="AF17" s="227">
        <v>45555</v>
      </c>
      <c r="AG17" s="227">
        <v>45558</v>
      </c>
      <c r="AH17" s="227">
        <v>45558</v>
      </c>
      <c r="AI17" s="228">
        <v>8208</v>
      </c>
      <c r="AJ17" s="228">
        <v>1</v>
      </c>
      <c r="AK17" s="228">
        <v>8208</v>
      </c>
      <c r="AL17" s="228">
        <v>1</v>
      </c>
      <c r="AM17" s="228">
        <v>0</v>
      </c>
      <c r="AN17" s="228">
        <v>0</v>
      </c>
      <c r="AO17" s="229">
        <v>39</v>
      </c>
      <c r="AP17" s="231">
        <v>9</v>
      </c>
      <c r="AQ17" s="231">
        <v>2024</v>
      </c>
      <c r="AR17" s="231" t="str">
        <f t="shared" si="0"/>
        <v>09/2024</v>
      </c>
      <c r="AS17" s="231">
        <f t="shared" si="1"/>
        <v>46.6</v>
      </c>
      <c r="AT17" s="239">
        <f>IF(G17="CERVECERIA Y MALTERIA",(AS17*AK17/1000000)*(1-VLOOKUP(N17,FCST!D:I,6,FALSE)),0)</f>
        <v>0.38249279999999997</v>
      </c>
      <c r="AU17" s="232">
        <v>5.0000000000000001E-3</v>
      </c>
      <c r="AV17" s="239">
        <f t="shared" si="2"/>
        <v>0.38440526399999991</v>
      </c>
      <c r="AW17" s="239">
        <f>(AS17*AK17/1000000)*(VLOOKUP(N17,FCST!D:I,6,FALSE))</f>
        <v>0</v>
      </c>
      <c r="AX17" s="239">
        <f t="shared" si="3"/>
        <v>0</v>
      </c>
      <c r="AY17" s="239">
        <f>IF($G17="CERVECERIA Y MALTERIA.",($AS17*$AK17/1000000)*(1-VLOOKUP($N17,FCST!D:I,6,FALSE)),0)</f>
        <v>0</v>
      </c>
      <c r="AZ17" s="239">
        <f t="shared" si="4"/>
        <v>0</v>
      </c>
      <c r="BB17" s="240"/>
    </row>
    <row r="18" spans="1:54" x14ac:dyDescent="0.25">
      <c r="A18" s="209">
        <v>1074259</v>
      </c>
      <c r="B18" s="209">
        <v>50</v>
      </c>
      <c r="C18" s="209">
        <v>89267504</v>
      </c>
      <c r="D18" s="209">
        <v>10</v>
      </c>
      <c r="E18" s="209">
        <v>10000002</v>
      </c>
      <c r="F18" s="209">
        <v>20000335</v>
      </c>
      <c r="G18" s="209" t="s">
        <v>105</v>
      </c>
      <c r="H18" s="209">
        <v>20000335</v>
      </c>
      <c r="I18" s="209">
        <v>2</v>
      </c>
      <c r="J18" s="209" t="s">
        <v>169</v>
      </c>
      <c r="K18" s="209" t="s">
        <v>216</v>
      </c>
      <c r="L18" s="209" t="s">
        <v>171</v>
      </c>
      <c r="M18" s="209" t="s">
        <v>199</v>
      </c>
      <c r="N18" s="209">
        <v>50034616</v>
      </c>
      <c r="O18" s="209" t="s">
        <v>191</v>
      </c>
      <c r="P18" s="209">
        <v>5121</v>
      </c>
      <c r="Q18" s="209" t="s">
        <v>200</v>
      </c>
      <c r="R18" s="209" t="s">
        <v>201</v>
      </c>
      <c r="S18" s="209" t="s">
        <v>202</v>
      </c>
      <c r="T18" s="209" t="s">
        <v>203</v>
      </c>
      <c r="U18" s="209" t="s">
        <v>201</v>
      </c>
      <c r="V18" s="209" t="s">
        <v>179</v>
      </c>
      <c r="W18" s="209" t="s">
        <v>179</v>
      </c>
      <c r="X18" s="209" t="s">
        <v>180</v>
      </c>
      <c r="Y18" s="209" t="s">
        <v>180</v>
      </c>
      <c r="Z18" s="209">
        <v>9521066205</v>
      </c>
      <c r="AA18" s="209" t="s">
        <v>217</v>
      </c>
      <c r="AB18" s="209" t="s">
        <v>180</v>
      </c>
      <c r="AC18" s="209" t="s">
        <v>182</v>
      </c>
      <c r="AD18" s="209">
        <v>9</v>
      </c>
      <c r="AE18" s="209">
        <v>2024</v>
      </c>
      <c r="AF18" s="227">
        <v>45548</v>
      </c>
      <c r="AG18" s="227">
        <v>45553</v>
      </c>
      <c r="AH18" s="227">
        <v>45553</v>
      </c>
      <c r="AI18" s="228">
        <v>213408</v>
      </c>
      <c r="AJ18" s="228">
        <v>26</v>
      </c>
      <c r="AK18" s="228">
        <v>213408</v>
      </c>
      <c r="AL18" s="228">
        <v>26</v>
      </c>
      <c r="AM18" s="228">
        <v>0</v>
      </c>
      <c r="AN18" s="228">
        <v>0</v>
      </c>
      <c r="AO18" s="229">
        <v>38</v>
      </c>
      <c r="AP18" s="231">
        <v>9</v>
      </c>
      <c r="AQ18" s="231">
        <v>2024</v>
      </c>
      <c r="AR18" s="231" t="str">
        <f t="shared" si="0"/>
        <v>09/2024</v>
      </c>
      <c r="AS18" s="231">
        <f t="shared" si="1"/>
        <v>46.6</v>
      </c>
      <c r="AT18" s="239">
        <f>IF(G18="CERVECERIA Y MALTERIA",(AS18*AK18/1000000)*(1-VLOOKUP(N18,FCST!D:I,6,FALSE)),0)</f>
        <v>9.9448128000000011</v>
      </c>
      <c r="AU18" s="232">
        <v>5.0000000000000001E-3</v>
      </c>
      <c r="AV18" s="239">
        <f t="shared" si="2"/>
        <v>9.9945368640000005</v>
      </c>
      <c r="AW18" s="239">
        <f>(AS18*AK18/1000000)*(VLOOKUP(N18,FCST!D:I,6,FALSE))</f>
        <v>0</v>
      </c>
      <c r="AX18" s="239">
        <f t="shared" si="3"/>
        <v>0</v>
      </c>
      <c r="AY18" s="239">
        <f>IF($G18="CERVECERIA Y MALTERIA.",($AS18*$AK18/1000000)*(1-VLOOKUP($N18,FCST!D:I,6,FALSE)),0)</f>
        <v>0</v>
      </c>
      <c r="AZ18" s="239">
        <f t="shared" si="4"/>
        <v>0</v>
      </c>
      <c r="BB18" s="240"/>
    </row>
    <row r="19" spans="1:54" x14ac:dyDescent="0.25">
      <c r="A19" s="209">
        <v>1074259</v>
      </c>
      <c r="B19" s="209">
        <v>60</v>
      </c>
      <c r="C19" s="209">
        <v>89267504</v>
      </c>
      <c r="D19" s="209">
        <v>20</v>
      </c>
      <c r="E19" s="209">
        <v>10000002</v>
      </c>
      <c r="F19" s="209">
        <v>20000335</v>
      </c>
      <c r="G19" s="209" t="s">
        <v>105</v>
      </c>
      <c r="H19" s="209">
        <v>20000335</v>
      </c>
      <c r="I19" s="209">
        <v>2</v>
      </c>
      <c r="J19" s="209" t="s">
        <v>169</v>
      </c>
      <c r="K19" s="209" t="s">
        <v>216</v>
      </c>
      <c r="L19" s="209" t="s">
        <v>171</v>
      </c>
      <c r="M19" s="209" t="s">
        <v>199</v>
      </c>
      <c r="N19" s="209">
        <v>50032583</v>
      </c>
      <c r="O19" s="209" t="s">
        <v>205</v>
      </c>
      <c r="P19" s="209">
        <v>5121</v>
      </c>
      <c r="Q19" s="209" t="s">
        <v>200</v>
      </c>
      <c r="R19" s="209" t="s">
        <v>201</v>
      </c>
      <c r="S19" s="209" t="s">
        <v>202</v>
      </c>
      <c r="T19" s="209" t="s">
        <v>203</v>
      </c>
      <c r="U19" s="209" t="s">
        <v>201</v>
      </c>
      <c r="V19" s="209" t="s">
        <v>179</v>
      </c>
      <c r="W19" s="209" t="s">
        <v>179</v>
      </c>
      <c r="X19" s="209" t="s">
        <v>180</v>
      </c>
      <c r="Y19" s="209" t="s">
        <v>180</v>
      </c>
      <c r="Z19" s="209">
        <v>9521066205</v>
      </c>
      <c r="AA19" s="209" t="s">
        <v>217</v>
      </c>
      <c r="AB19" s="209" t="s">
        <v>180</v>
      </c>
      <c r="AC19" s="209" t="s">
        <v>182</v>
      </c>
      <c r="AD19" s="209">
        <v>9</v>
      </c>
      <c r="AE19" s="209">
        <v>2024</v>
      </c>
      <c r="AF19" s="227">
        <v>45548</v>
      </c>
      <c r="AG19" s="227">
        <v>45553</v>
      </c>
      <c r="AH19" s="227">
        <v>45553</v>
      </c>
      <c r="AI19" s="228">
        <v>175968</v>
      </c>
      <c r="AJ19" s="228">
        <v>26</v>
      </c>
      <c r="AK19" s="228">
        <v>175968</v>
      </c>
      <c r="AL19" s="228">
        <v>26</v>
      </c>
      <c r="AM19" s="228">
        <v>0</v>
      </c>
      <c r="AN19" s="228">
        <v>0</v>
      </c>
      <c r="AO19" s="229">
        <v>38</v>
      </c>
      <c r="AP19" s="231">
        <v>9</v>
      </c>
      <c r="AQ19" s="231">
        <v>2024</v>
      </c>
      <c r="AR19" s="231" t="str">
        <f t="shared" si="0"/>
        <v>09/2024</v>
      </c>
      <c r="AS19" s="231">
        <f t="shared" si="1"/>
        <v>54.7</v>
      </c>
      <c r="AT19" s="239">
        <f>IF(G19="CERVECERIA Y MALTERIA",(AS19*AK19/1000000)*(1-VLOOKUP(N19,FCST!D:I,6,FALSE)),0)</f>
        <v>9.6254495999999996</v>
      </c>
      <c r="AU19" s="232">
        <v>5.0000000000000001E-3</v>
      </c>
      <c r="AV19" s="239">
        <f t="shared" si="2"/>
        <v>9.673576847999998</v>
      </c>
      <c r="AW19" s="239">
        <f>(AS19*AK19/1000000)*(VLOOKUP(N19,FCST!D:I,6,FALSE))</f>
        <v>0</v>
      </c>
      <c r="AX19" s="239">
        <f t="shared" si="3"/>
        <v>0</v>
      </c>
      <c r="AY19" s="239">
        <f>IF($G19="CERVECERIA Y MALTERIA.",($AS19*$AK19/1000000)*(1-VLOOKUP($N19,FCST!D:I,6,FALSE)),0)</f>
        <v>0</v>
      </c>
      <c r="AZ19" s="239">
        <f t="shared" si="4"/>
        <v>0</v>
      </c>
      <c r="BB19" s="240"/>
    </row>
    <row r="20" spans="1:54" x14ac:dyDescent="0.25">
      <c r="A20" s="209">
        <v>1074265</v>
      </c>
      <c r="B20" s="209">
        <v>20</v>
      </c>
      <c r="C20" s="209">
        <v>89267550</v>
      </c>
      <c r="D20" s="209">
        <v>10</v>
      </c>
      <c r="E20" s="209">
        <v>10000002</v>
      </c>
      <c r="F20" s="209">
        <v>20000336</v>
      </c>
      <c r="G20" s="209" t="s">
        <v>105</v>
      </c>
      <c r="H20" s="209">
        <v>20000336</v>
      </c>
      <c r="I20" s="209">
        <v>2</v>
      </c>
      <c r="J20" s="209" t="s">
        <v>169</v>
      </c>
      <c r="K20" s="209" t="s">
        <v>218</v>
      </c>
      <c r="L20" s="209" t="s">
        <v>171</v>
      </c>
      <c r="M20" s="209" t="s">
        <v>172</v>
      </c>
      <c r="N20" s="209">
        <v>50034634</v>
      </c>
      <c r="O20" s="209" t="s">
        <v>219</v>
      </c>
      <c r="P20" s="209">
        <v>5121</v>
      </c>
      <c r="Q20" s="209" t="s">
        <v>174</v>
      </c>
      <c r="R20" s="209" t="s">
        <v>175</v>
      </c>
      <c r="S20" s="209" t="s">
        <v>176</v>
      </c>
      <c r="T20" s="209" t="s">
        <v>177</v>
      </c>
      <c r="U20" s="209" t="s">
        <v>178</v>
      </c>
      <c r="V20" s="209" t="s">
        <v>179</v>
      </c>
      <c r="W20" s="209" t="s">
        <v>179</v>
      </c>
      <c r="X20" s="209" t="s">
        <v>180</v>
      </c>
      <c r="Y20" s="209" t="s">
        <v>180</v>
      </c>
      <c r="Z20" s="209">
        <v>9521066215</v>
      </c>
      <c r="AA20" s="209" t="s">
        <v>220</v>
      </c>
      <c r="AB20" s="209" t="s">
        <v>180</v>
      </c>
      <c r="AC20" s="209" t="s">
        <v>182</v>
      </c>
      <c r="AD20" s="209">
        <v>9</v>
      </c>
      <c r="AE20" s="209">
        <v>2024</v>
      </c>
      <c r="AF20" s="227">
        <v>45548</v>
      </c>
      <c r="AG20" s="227">
        <v>45554</v>
      </c>
      <c r="AH20" s="227">
        <v>45553</v>
      </c>
      <c r="AI20" s="228">
        <v>362784</v>
      </c>
      <c r="AJ20" s="228">
        <v>52</v>
      </c>
      <c r="AK20" s="228">
        <v>362784</v>
      </c>
      <c r="AL20" s="228">
        <v>52</v>
      </c>
      <c r="AM20" s="228">
        <v>0</v>
      </c>
      <c r="AN20" s="228">
        <v>0</v>
      </c>
      <c r="AO20" s="229">
        <v>38</v>
      </c>
      <c r="AP20" s="231">
        <v>9</v>
      </c>
      <c r="AQ20" s="231">
        <v>2024</v>
      </c>
      <c r="AR20" s="231" t="str">
        <f t="shared" si="0"/>
        <v>09/2024</v>
      </c>
      <c r="AS20" s="231">
        <f t="shared" si="1"/>
        <v>52</v>
      </c>
      <c r="AT20" s="239">
        <f>IF(G20="CERVECERIA Y MALTERIA",(AS20*AK20/1000000)*(1-VLOOKUP(N20,FCST!D:I,6,FALSE)),0)</f>
        <v>18.864768000000002</v>
      </c>
      <c r="AU20" s="232">
        <v>5.0000000000000001E-3</v>
      </c>
      <c r="AV20" s="239">
        <f t="shared" si="2"/>
        <v>18.959091839999999</v>
      </c>
      <c r="AW20" s="239">
        <f>(AS20*AK20/1000000)*(VLOOKUP(N20,FCST!D:I,6,FALSE))</f>
        <v>0</v>
      </c>
      <c r="AX20" s="239">
        <f t="shared" si="3"/>
        <v>0</v>
      </c>
      <c r="AY20" s="239">
        <f>IF($G20="CERVECERIA Y MALTERIA.",($AS20*$AK20/1000000)*(1-VLOOKUP($N20,FCST!D:I,6,FALSE)),0)</f>
        <v>0</v>
      </c>
      <c r="AZ20" s="239">
        <f t="shared" si="4"/>
        <v>0</v>
      </c>
      <c r="BB20" s="240"/>
    </row>
    <row r="21" spans="1:54" x14ac:dyDescent="0.25">
      <c r="A21" s="209">
        <v>1074750</v>
      </c>
      <c r="B21" s="209">
        <v>10</v>
      </c>
      <c r="C21" s="209">
        <v>89267567</v>
      </c>
      <c r="D21" s="209">
        <v>10</v>
      </c>
      <c r="E21" s="209">
        <v>10000002</v>
      </c>
      <c r="F21" s="209">
        <v>20001057</v>
      </c>
      <c r="G21" s="209" t="s">
        <v>105</v>
      </c>
      <c r="H21" s="209">
        <v>20001057</v>
      </c>
      <c r="I21" s="209">
        <v>2</v>
      </c>
      <c r="J21" s="209" t="s">
        <v>169</v>
      </c>
      <c r="K21" s="209" t="s">
        <v>221</v>
      </c>
      <c r="L21" s="209" t="s">
        <v>171</v>
      </c>
      <c r="M21" s="209" t="s">
        <v>199</v>
      </c>
      <c r="N21" s="209">
        <v>50034574</v>
      </c>
      <c r="O21" s="209" t="s">
        <v>196</v>
      </c>
      <c r="P21" s="209">
        <v>5121</v>
      </c>
      <c r="Q21" s="209" t="s">
        <v>200</v>
      </c>
      <c r="R21" s="209" t="s">
        <v>201</v>
      </c>
      <c r="S21" s="209" t="s">
        <v>202</v>
      </c>
      <c r="T21" s="209" t="s">
        <v>203</v>
      </c>
      <c r="U21" s="209" t="s">
        <v>201</v>
      </c>
      <c r="V21" s="209" t="s">
        <v>179</v>
      </c>
      <c r="W21" s="209" t="s">
        <v>179</v>
      </c>
      <c r="X21" s="209" t="s">
        <v>180</v>
      </c>
      <c r="Y21" s="209" t="s">
        <v>180</v>
      </c>
      <c r="Z21" s="209">
        <v>9521066227</v>
      </c>
      <c r="AA21" s="209" t="s">
        <v>222</v>
      </c>
      <c r="AB21" s="209" t="s">
        <v>180</v>
      </c>
      <c r="AC21" s="209" t="s">
        <v>182</v>
      </c>
      <c r="AD21" s="209">
        <v>9</v>
      </c>
      <c r="AE21" s="209">
        <v>2024</v>
      </c>
      <c r="AF21" s="227">
        <v>45552</v>
      </c>
      <c r="AG21" s="227">
        <v>45553</v>
      </c>
      <c r="AH21" s="227">
        <v>45553</v>
      </c>
      <c r="AI21" s="228">
        <v>977184</v>
      </c>
      <c r="AJ21" s="228">
        <v>52</v>
      </c>
      <c r="AK21" s="228">
        <v>977184</v>
      </c>
      <c r="AL21" s="228">
        <v>52</v>
      </c>
      <c r="AM21" s="228">
        <v>0</v>
      </c>
      <c r="AN21" s="228">
        <v>0</v>
      </c>
      <c r="AO21" s="229">
        <v>38</v>
      </c>
      <c r="AP21" s="231">
        <v>9</v>
      </c>
      <c r="AQ21" s="231">
        <v>2024</v>
      </c>
      <c r="AR21" s="231" t="str">
        <f t="shared" si="0"/>
        <v>09/2024</v>
      </c>
      <c r="AS21" s="231">
        <f t="shared" si="1"/>
        <v>19.5</v>
      </c>
      <c r="AT21" s="239">
        <f>IF(G21="CERVECERIA Y MALTERIA",(AS21*AK21/1000000)*(1-VLOOKUP(N21,FCST!D:I,6,FALSE)),0)</f>
        <v>19.055088000000001</v>
      </c>
      <c r="AU21" s="232">
        <v>5.0000000000000001E-3</v>
      </c>
      <c r="AV21" s="239">
        <f t="shared" si="2"/>
        <v>19.15036344</v>
      </c>
      <c r="AW21" s="239">
        <f>(AS21*AK21/1000000)*(VLOOKUP(N21,FCST!D:I,6,FALSE))</f>
        <v>0</v>
      </c>
      <c r="AX21" s="239">
        <f t="shared" si="3"/>
        <v>0</v>
      </c>
      <c r="AY21" s="239">
        <f>IF($G21="CERVECERIA Y MALTERIA.",($AS21*$AK21/1000000)*(1-VLOOKUP($N21,FCST!D:I,6,FALSE)),0)</f>
        <v>0</v>
      </c>
      <c r="AZ21" s="239">
        <f t="shared" si="4"/>
        <v>0</v>
      </c>
      <c r="BB21" s="240"/>
    </row>
    <row r="22" spans="1:54" x14ac:dyDescent="0.25">
      <c r="A22" s="209">
        <v>1074259</v>
      </c>
      <c r="B22" s="209">
        <v>40</v>
      </c>
      <c r="C22" s="209">
        <v>89267910</v>
      </c>
      <c r="D22" s="209">
        <v>10</v>
      </c>
      <c r="E22" s="209">
        <v>10000002</v>
      </c>
      <c r="F22" s="209">
        <v>20000335</v>
      </c>
      <c r="G22" s="209" t="s">
        <v>105</v>
      </c>
      <c r="H22" s="209">
        <v>20000335</v>
      </c>
      <c r="I22" s="209">
        <v>2</v>
      </c>
      <c r="J22" s="209" t="s">
        <v>169</v>
      </c>
      <c r="K22" s="209" t="s">
        <v>223</v>
      </c>
      <c r="L22" s="209" t="s">
        <v>171</v>
      </c>
      <c r="M22" s="209" t="s">
        <v>172</v>
      </c>
      <c r="N22" s="209">
        <v>50032573</v>
      </c>
      <c r="O22" s="209" t="s">
        <v>173</v>
      </c>
      <c r="P22" s="209">
        <v>5121</v>
      </c>
      <c r="Q22" s="209" t="s">
        <v>174</v>
      </c>
      <c r="R22" s="209" t="s">
        <v>175</v>
      </c>
      <c r="S22" s="209" t="s">
        <v>176</v>
      </c>
      <c r="T22" s="209" t="s">
        <v>177</v>
      </c>
      <c r="U22" s="209" t="s">
        <v>178</v>
      </c>
      <c r="V22" s="209" t="s">
        <v>179</v>
      </c>
      <c r="W22" s="209" t="s">
        <v>179</v>
      </c>
      <c r="X22" s="209" t="s">
        <v>180</v>
      </c>
      <c r="Y22" s="209" t="s">
        <v>180</v>
      </c>
      <c r="Z22" s="209">
        <v>9521066207</v>
      </c>
      <c r="AA22" s="209" t="s">
        <v>181</v>
      </c>
      <c r="AB22" s="209" t="s">
        <v>180</v>
      </c>
      <c r="AC22" s="209" t="s">
        <v>182</v>
      </c>
      <c r="AD22" s="209">
        <v>9</v>
      </c>
      <c r="AE22" s="209">
        <v>2024</v>
      </c>
      <c r="AF22" s="227">
        <v>45548</v>
      </c>
      <c r="AG22" s="227">
        <v>45553</v>
      </c>
      <c r="AH22" s="227">
        <v>45553</v>
      </c>
      <c r="AI22" s="228">
        <v>531648</v>
      </c>
      <c r="AJ22" s="228">
        <v>52</v>
      </c>
      <c r="AK22" s="228">
        <v>531648</v>
      </c>
      <c r="AL22" s="228">
        <v>52</v>
      </c>
      <c r="AM22" s="228">
        <v>0</v>
      </c>
      <c r="AN22" s="228">
        <v>0</v>
      </c>
      <c r="AO22" s="229">
        <v>38</v>
      </c>
      <c r="AP22" s="231">
        <v>9</v>
      </c>
      <c r="AQ22" s="231">
        <v>2024</v>
      </c>
      <c r="AR22" s="231" t="str">
        <f t="shared" si="0"/>
        <v>09/2024</v>
      </c>
      <c r="AS22" s="231">
        <f t="shared" si="1"/>
        <v>37.200000000000003</v>
      </c>
      <c r="AT22" s="239">
        <f>IF(G22="CERVECERIA Y MALTERIA",(AS22*AK22/1000000)*(1-VLOOKUP(N22,FCST!D:I,6,FALSE)),0)</f>
        <v>19.777305600000002</v>
      </c>
      <c r="AU22" s="232">
        <v>5.0000000000000001E-3</v>
      </c>
      <c r="AV22" s="239">
        <f t="shared" si="2"/>
        <v>19.876192128</v>
      </c>
      <c r="AW22" s="239">
        <f>(AS22*AK22/1000000)*(VLOOKUP(N22,FCST!D:I,6,FALSE))</f>
        <v>0</v>
      </c>
      <c r="AX22" s="239">
        <f t="shared" si="3"/>
        <v>0</v>
      </c>
      <c r="AY22" s="239">
        <f>IF($G22="CERVECERIA Y MALTERIA.",($AS22*$AK22/1000000)*(1-VLOOKUP($N22,FCST!D:I,6,FALSE)),0)</f>
        <v>0</v>
      </c>
      <c r="AZ22" s="239">
        <f t="shared" si="4"/>
        <v>0</v>
      </c>
      <c r="BB22" s="240"/>
    </row>
    <row r="23" spans="1:54" x14ac:dyDescent="0.25">
      <c r="A23" s="209">
        <v>1074263</v>
      </c>
      <c r="B23" s="209">
        <v>10</v>
      </c>
      <c r="C23" s="209">
        <v>89265611</v>
      </c>
      <c r="D23" s="209">
        <v>10</v>
      </c>
      <c r="E23" s="209">
        <v>10000002</v>
      </c>
      <c r="F23" s="209">
        <v>20000340</v>
      </c>
      <c r="G23" s="209" t="s">
        <v>117</v>
      </c>
      <c r="H23" s="209">
        <v>20000340</v>
      </c>
      <c r="I23" s="209">
        <v>2</v>
      </c>
      <c r="J23" s="209" t="s">
        <v>169</v>
      </c>
      <c r="K23" s="209" t="s">
        <v>224</v>
      </c>
      <c r="L23" s="209" t="s">
        <v>171</v>
      </c>
      <c r="M23" s="209" t="s">
        <v>172</v>
      </c>
      <c r="N23" s="209">
        <v>50025163</v>
      </c>
      <c r="O23" s="209" t="s">
        <v>185</v>
      </c>
      <c r="P23" s="209">
        <v>5101</v>
      </c>
      <c r="Q23" s="209" t="s">
        <v>186</v>
      </c>
      <c r="R23" s="209" t="s">
        <v>175</v>
      </c>
      <c r="S23" s="209" t="s">
        <v>176</v>
      </c>
      <c r="T23" s="209" t="s">
        <v>187</v>
      </c>
      <c r="U23" s="209" t="s">
        <v>188</v>
      </c>
      <c r="V23" s="209" t="s">
        <v>179</v>
      </c>
      <c r="W23" s="209" t="s">
        <v>179</v>
      </c>
      <c r="X23" s="209" t="s">
        <v>180</v>
      </c>
      <c r="Y23" s="209" t="s">
        <v>180</v>
      </c>
      <c r="Z23" s="209">
        <v>9511046822</v>
      </c>
      <c r="AA23" s="209" t="s">
        <v>189</v>
      </c>
      <c r="AB23" s="209" t="s">
        <v>180</v>
      </c>
      <c r="AC23" s="209" t="s">
        <v>182</v>
      </c>
      <c r="AD23" s="209">
        <v>9</v>
      </c>
      <c r="AE23" s="209">
        <v>2024</v>
      </c>
      <c r="AF23" s="227">
        <v>45548</v>
      </c>
      <c r="AG23" s="227">
        <v>45551</v>
      </c>
      <c r="AH23" s="227">
        <v>45553</v>
      </c>
      <c r="AI23" s="228">
        <v>606528</v>
      </c>
      <c r="AJ23" s="228">
        <v>52</v>
      </c>
      <c r="AK23" s="228">
        <v>606528</v>
      </c>
      <c r="AL23" s="228">
        <v>52</v>
      </c>
      <c r="AM23" s="228">
        <v>0</v>
      </c>
      <c r="AN23" s="228">
        <v>0</v>
      </c>
      <c r="AO23" s="229">
        <v>38</v>
      </c>
      <c r="AP23" s="231">
        <v>9</v>
      </c>
      <c r="AQ23" s="231">
        <v>2024</v>
      </c>
      <c r="AR23" s="231" t="str">
        <f t="shared" si="0"/>
        <v>09/2024</v>
      </c>
      <c r="AS23" s="231">
        <f t="shared" si="1"/>
        <v>30</v>
      </c>
      <c r="AT23" s="239">
        <f>IF(G23="CERVECERIA Y MALTERIA",(AS23*AK23/1000000)*(1-VLOOKUP(N23,FCST!D:I,6,FALSE)),0)</f>
        <v>0</v>
      </c>
      <c r="AU23" s="232">
        <v>5.0000000000000001E-3</v>
      </c>
      <c r="AV23" s="239">
        <f t="shared" si="2"/>
        <v>0</v>
      </c>
      <c r="AW23" s="239">
        <f>(AS23*AK23/1000000)*(VLOOKUP(N23,FCST!D:I,6,FALSE))</f>
        <v>0</v>
      </c>
      <c r="AX23" s="239">
        <f t="shared" si="3"/>
        <v>0</v>
      </c>
      <c r="AY23" s="239">
        <f>IF($G23="CERVECERIA Y MALTERIA.",($AS23*$AK23/1000000)*(1-VLOOKUP($N23,FCST!D:I,6,FALSE)),0)</f>
        <v>18.19584</v>
      </c>
      <c r="AZ23" s="239">
        <f t="shared" si="4"/>
        <v>18.2868192</v>
      </c>
      <c r="BB23" s="240"/>
    </row>
    <row r="24" spans="1:54" x14ac:dyDescent="0.25">
      <c r="A24" s="209">
        <v>1074263</v>
      </c>
      <c r="B24" s="209">
        <v>20</v>
      </c>
      <c r="C24" s="209">
        <v>89267406</v>
      </c>
      <c r="D24" s="209">
        <v>10</v>
      </c>
      <c r="E24" s="209">
        <v>10000002</v>
      </c>
      <c r="F24" s="209">
        <v>20000340</v>
      </c>
      <c r="G24" s="209" t="s">
        <v>117</v>
      </c>
      <c r="H24" s="209">
        <v>20000340</v>
      </c>
      <c r="I24" s="209">
        <v>2</v>
      </c>
      <c r="J24" s="209" t="s">
        <v>169</v>
      </c>
      <c r="K24" s="209" t="s">
        <v>225</v>
      </c>
      <c r="L24" s="209" t="s">
        <v>171</v>
      </c>
      <c r="M24" s="209" t="s">
        <v>184</v>
      </c>
      <c r="N24" s="209">
        <v>50025163</v>
      </c>
      <c r="O24" s="209" t="s">
        <v>185</v>
      </c>
      <c r="P24" s="209">
        <v>5101</v>
      </c>
      <c r="Q24" s="209" t="s">
        <v>186</v>
      </c>
      <c r="R24" s="209" t="s">
        <v>175</v>
      </c>
      <c r="S24" s="209" t="s">
        <v>176</v>
      </c>
      <c r="T24" s="209" t="s">
        <v>187</v>
      </c>
      <c r="U24" s="209" t="s">
        <v>188</v>
      </c>
      <c r="V24" s="209" t="s">
        <v>179</v>
      </c>
      <c r="W24" s="209" t="s">
        <v>179</v>
      </c>
      <c r="X24" s="209" t="s">
        <v>180</v>
      </c>
      <c r="Y24" s="209" t="s">
        <v>180</v>
      </c>
      <c r="Z24" s="209">
        <v>9511046822</v>
      </c>
      <c r="AA24" s="209" t="s">
        <v>189</v>
      </c>
      <c r="AB24" s="209" t="s">
        <v>180</v>
      </c>
      <c r="AC24" s="209" t="s">
        <v>182</v>
      </c>
      <c r="AD24" s="209">
        <v>9</v>
      </c>
      <c r="AE24" s="209">
        <v>2024</v>
      </c>
      <c r="AF24" s="227">
        <v>45548</v>
      </c>
      <c r="AG24" s="227">
        <v>45553</v>
      </c>
      <c r="AH24" s="227">
        <v>45553</v>
      </c>
      <c r="AI24" s="228">
        <v>606528</v>
      </c>
      <c r="AJ24" s="228">
        <v>52</v>
      </c>
      <c r="AK24" s="228">
        <v>606528</v>
      </c>
      <c r="AL24" s="228">
        <v>52</v>
      </c>
      <c r="AM24" s="228">
        <v>0</v>
      </c>
      <c r="AN24" s="228">
        <v>0</v>
      </c>
      <c r="AO24" s="229">
        <v>38</v>
      </c>
      <c r="AP24" s="231">
        <v>9</v>
      </c>
      <c r="AQ24" s="231">
        <v>2024</v>
      </c>
      <c r="AR24" s="231" t="str">
        <f t="shared" si="0"/>
        <v>09/2024</v>
      </c>
      <c r="AS24" s="231">
        <f t="shared" si="1"/>
        <v>30</v>
      </c>
      <c r="AT24" s="239">
        <f>IF(G24="CERVECERIA Y MALTERIA",(AS24*AK24/1000000)*(1-VLOOKUP(N24,FCST!D:I,6,FALSE)),0)</f>
        <v>0</v>
      </c>
      <c r="AU24" s="232">
        <v>5.0000000000000001E-3</v>
      </c>
      <c r="AV24" s="239">
        <f t="shared" si="2"/>
        <v>0</v>
      </c>
      <c r="AW24" s="239">
        <f>(AS24*AK24/1000000)*(VLOOKUP(N24,FCST!D:I,6,FALSE))</f>
        <v>0</v>
      </c>
      <c r="AX24" s="239">
        <f t="shared" si="3"/>
        <v>0</v>
      </c>
      <c r="AY24" s="239">
        <f>IF($G24="CERVECERIA Y MALTERIA.",($AS24*$AK24/1000000)*(1-VLOOKUP($N24,FCST!D:I,6,FALSE)),0)</f>
        <v>18.19584</v>
      </c>
      <c r="AZ24" s="239">
        <f t="shared" si="4"/>
        <v>18.2868192</v>
      </c>
      <c r="BB24" s="240"/>
    </row>
    <row r="25" spans="1:54" x14ac:dyDescent="0.25">
      <c r="A25" s="209">
        <v>1075057</v>
      </c>
      <c r="B25" s="209">
        <v>10</v>
      </c>
      <c r="C25" s="209">
        <v>89268595</v>
      </c>
      <c r="D25" s="209">
        <v>10</v>
      </c>
      <c r="E25" s="209">
        <v>10000002</v>
      </c>
      <c r="F25" s="209">
        <v>20000339</v>
      </c>
      <c r="G25" s="209" t="s">
        <v>105</v>
      </c>
      <c r="H25" s="209">
        <v>20000339</v>
      </c>
      <c r="I25" s="209">
        <v>2</v>
      </c>
      <c r="J25" s="209" t="s">
        <v>169</v>
      </c>
      <c r="K25" s="209" t="s">
        <v>226</v>
      </c>
      <c r="L25" s="209" t="s">
        <v>171</v>
      </c>
      <c r="M25" s="209" t="s">
        <v>227</v>
      </c>
      <c r="N25" s="209">
        <v>50034634</v>
      </c>
      <c r="O25" s="209" t="s">
        <v>219</v>
      </c>
      <c r="P25" s="209">
        <v>5121</v>
      </c>
      <c r="Q25" s="209" t="s">
        <v>228</v>
      </c>
      <c r="R25" s="209" t="s">
        <v>229</v>
      </c>
      <c r="S25" s="209" t="s">
        <v>230</v>
      </c>
      <c r="T25" s="209" t="s">
        <v>231</v>
      </c>
      <c r="U25" s="209" t="s">
        <v>232</v>
      </c>
      <c r="V25" s="209" t="s">
        <v>179</v>
      </c>
      <c r="W25" s="209" t="s">
        <v>179</v>
      </c>
      <c r="X25" s="209" t="s">
        <v>180</v>
      </c>
      <c r="Y25" s="209" t="s">
        <v>180</v>
      </c>
      <c r="Z25" s="209">
        <v>9521066223</v>
      </c>
      <c r="AA25" s="209" t="s">
        <v>233</v>
      </c>
      <c r="AB25" s="209" t="s">
        <v>180</v>
      </c>
      <c r="AC25" s="209" t="s">
        <v>182</v>
      </c>
      <c r="AD25" s="209">
        <v>9</v>
      </c>
      <c r="AE25" s="209">
        <v>2024</v>
      </c>
      <c r="AF25" s="227">
        <v>45553</v>
      </c>
      <c r="AG25" s="227">
        <v>45555</v>
      </c>
      <c r="AH25" s="227">
        <v>45554</v>
      </c>
      <c r="AI25" s="228">
        <v>364416</v>
      </c>
      <c r="AJ25" s="228">
        <v>52</v>
      </c>
      <c r="AK25" s="228">
        <v>364416</v>
      </c>
      <c r="AL25" s="228">
        <v>52</v>
      </c>
      <c r="AM25" s="228">
        <v>0</v>
      </c>
      <c r="AN25" s="228">
        <v>0</v>
      </c>
      <c r="AO25" s="229">
        <v>38</v>
      </c>
      <c r="AP25" s="231">
        <v>9</v>
      </c>
      <c r="AQ25" s="231">
        <v>2024</v>
      </c>
      <c r="AR25" s="231" t="str">
        <f t="shared" si="0"/>
        <v>09/2024</v>
      </c>
      <c r="AS25" s="231">
        <f t="shared" si="1"/>
        <v>52</v>
      </c>
      <c r="AT25" s="239">
        <f>IF(G25="CERVECERIA Y MALTERIA",(AS25*AK25/1000000)*(1-VLOOKUP(N25,FCST!D:I,6,FALSE)),0)</f>
        <v>18.949632000000001</v>
      </c>
      <c r="AU25" s="232">
        <v>5.0000000000000001E-3</v>
      </c>
      <c r="AV25" s="239">
        <f t="shared" si="2"/>
        <v>19.044380159999999</v>
      </c>
      <c r="AW25" s="239">
        <f>(AS25*AK25/1000000)*(VLOOKUP(N25,FCST!D:I,6,FALSE))</f>
        <v>0</v>
      </c>
      <c r="AX25" s="239">
        <f t="shared" si="3"/>
        <v>0</v>
      </c>
      <c r="AY25" s="239">
        <f>IF($G25="CERVECERIA Y MALTERIA.",($AS25*$AK25/1000000)*(1-VLOOKUP($N25,FCST!D:I,6,FALSE)),0)</f>
        <v>0</v>
      </c>
      <c r="AZ25" s="239">
        <f t="shared" si="4"/>
        <v>0</v>
      </c>
      <c r="BB25" s="240"/>
    </row>
    <row r="26" spans="1:54" x14ac:dyDescent="0.25">
      <c r="A26" s="209">
        <v>1074264</v>
      </c>
      <c r="B26" s="209">
        <v>30</v>
      </c>
      <c r="C26" s="209">
        <v>89267983</v>
      </c>
      <c r="D26" s="209">
        <v>10</v>
      </c>
      <c r="E26" s="209">
        <v>10000002</v>
      </c>
      <c r="F26" s="209">
        <v>20000337</v>
      </c>
      <c r="G26" s="209" t="s">
        <v>105</v>
      </c>
      <c r="H26" s="209">
        <v>20000337</v>
      </c>
      <c r="I26" s="209">
        <v>2</v>
      </c>
      <c r="J26" s="209" t="s">
        <v>169</v>
      </c>
      <c r="K26" s="209" t="s">
        <v>234</v>
      </c>
      <c r="L26" s="209" t="s">
        <v>171</v>
      </c>
      <c r="M26" s="209" t="s">
        <v>172</v>
      </c>
      <c r="N26" s="209">
        <v>50034616</v>
      </c>
      <c r="O26" s="209" t="s">
        <v>191</v>
      </c>
      <c r="P26" s="209">
        <v>5121</v>
      </c>
      <c r="Q26" s="209" t="s">
        <v>174</v>
      </c>
      <c r="R26" s="209" t="s">
        <v>175</v>
      </c>
      <c r="S26" s="209" t="s">
        <v>176</v>
      </c>
      <c r="T26" s="209" t="s">
        <v>177</v>
      </c>
      <c r="U26" s="209" t="s">
        <v>178</v>
      </c>
      <c r="V26" s="209" t="s">
        <v>179</v>
      </c>
      <c r="W26" s="209" t="s">
        <v>179</v>
      </c>
      <c r="X26" s="209" t="s">
        <v>180</v>
      </c>
      <c r="Y26" s="209" t="s">
        <v>180</v>
      </c>
      <c r="Z26" s="209">
        <v>9521066219</v>
      </c>
      <c r="AA26" s="209" t="s">
        <v>194</v>
      </c>
      <c r="AB26" s="209" t="s">
        <v>180</v>
      </c>
      <c r="AC26" s="209" t="s">
        <v>182</v>
      </c>
      <c r="AD26" s="209">
        <v>9</v>
      </c>
      <c r="AE26" s="209">
        <v>2024</v>
      </c>
      <c r="AF26" s="227">
        <v>45548</v>
      </c>
      <c r="AG26" s="227">
        <v>45553</v>
      </c>
      <c r="AH26" s="227">
        <v>45553</v>
      </c>
      <c r="AI26" s="228">
        <v>426816</v>
      </c>
      <c r="AJ26" s="228">
        <v>52</v>
      </c>
      <c r="AK26" s="228">
        <v>426816</v>
      </c>
      <c r="AL26" s="228">
        <v>52</v>
      </c>
      <c r="AM26" s="228">
        <v>0</v>
      </c>
      <c r="AN26" s="228">
        <v>0</v>
      </c>
      <c r="AO26" s="229">
        <v>38</v>
      </c>
      <c r="AP26" s="231">
        <v>9</v>
      </c>
      <c r="AQ26" s="231">
        <v>2024</v>
      </c>
      <c r="AR26" s="231" t="str">
        <f t="shared" si="0"/>
        <v>09/2024</v>
      </c>
      <c r="AS26" s="231">
        <f t="shared" si="1"/>
        <v>46.6</v>
      </c>
      <c r="AT26" s="239">
        <f>IF(G26="CERVECERIA Y MALTERIA",(AS26*AK26/1000000)*(1-VLOOKUP(N26,FCST!D:I,6,FALSE)),0)</f>
        <v>19.889625600000002</v>
      </c>
      <c r="AU26" s="232">
        <v>5.0000000000000001E-3</v>
      </c>
      <c r="AV26" s="239">
        <f t="shared" si="2"/>
        <v>19.989073728000001</v>
      </c>
      <c r="AW26" s="239">
        <f>(AS26*AK26/1000000)*(VLOOKUP(N26,FCST!D:I,6,FALSE))</f>
        <v>0</v>
      </c>
      <c r="AX26" s="239">
        <f t="shared" si="3"/>
        <v>0</v>
      </c>
      <c r="AY26" s="239">
        <f>IF($G26="CERVECERIA Y MALTERIA.",($AS26*$AK26/1000000)*(1-VLOOKUP($N26,FCST!D:I,6,FALSE)),0)</f>
        <v>0</v>
      </c>
      <c r="AZ26" s="239">
        <f t="shared" si="4"/>
        <v>0</v>
      </c>
      <c r="BB26" s="240"/>
    </row>
    <row r="27" spans="1:54" x14ac:dyDescent="0.25">
      <c r="A27" s="209">
        <v>1074263</v>
      </c>
      <c r="B27" s="209">
        <v>40</v>
      </c>
      <c r="C27" s="209">
        <v>89268466</v>
      </c>
      <c r="D27" s="209">
        <v>10</v>
      </c>
      <c r="E27" s="209">
        <v>10000002</v>
      </c>
      <c r="F27" s="209">
        <v>20000340</v>
      </c>
      <c r="G27" s="209" t="s">
        <v>117</v>
      </c>
      <c r="H27" s="209">
        <v>20000340</v>
      </c>
      <c r="I27" s="209">
        <v>2</v>
      </c>
      <c r="J27" s="209" t="s">
        <v>169</v>
      </c>
      <c r="K27" s="209" t="s">
        <v>235</v>
      </c>
      <c r="L27" s="209" t="s">
        <v>171</v>
      </c>
      <c r="M27" s="209" t="s">
        <v>184</v>
      </c>
      <c r="N27" s="209">
        <v>50025163</v>
      </c>
      <c r="O27" s="209" t="s">
        <v>185</v>
      </c>
      <c r="P27" s="209">
        <v>5101</v>
      </c>
      <c r="Q27" s="209" t="s">
        <v>186</v>
      </c>
      <c r="R27" s="209" t="s">
        <v>175</v>
      </c>
      <c r="S27" s="209" t="s">
        <v>176</v>
      </c>
      <c r="T27" s="209" t="s">
        <v>187</v>
      </c>
      <c r="U27" s="209" t="s">
        <v>188</v>
      </c>
      <c r="V27" s="209" t="s">
        <v>179</v>
      </c>
      <c r="W27" s="209" t="s">
        <v>179</v>
      </c>
      <c r="X27" s="209" t="s">
        <v>180</v>
      </c>
      <c r="Y27" s="209" t="s">
        <v>180</v>
      </c>
      <c r="Z27" s="209">
        <v>9511046822</v>
      </c>
      <c r="AA27" s="209" t="s">
        <v>189</v>
      </c>
      <c r="AB27" s="209" t="s">
        <v>180</v>
      </c>
      <c r="AC27" s="209" t="s">
        <v>182</v>
      </c>
      <c r="AD27" s="209">
        <v>9</v>
      </c>
      <c r="AE27" s="209">
        <v>2024</v>
      </c>
      <c r="AF27" s="227">
        <v>45548</v>
      </c>
      <c r="AG27" s="227">
        <v>45554</v>
      </c>
      <c r="AH27" s="227">
        <v>45554</v>
      </c>
      <c r="AI27" s="228">
        <v>606528</v>
      </c>
      <c r="AJ27" s="228">
        <v>52</v>
      </c>
      <c r="AK27" s="228">
        <v>606528</v>
      </c>
      <c r="AL27" s="228">
        <v>52</v>
      </c>
      <c r="AM27" s="228">
        <v>0</v>
      </c>
      <c r="AN27" s="228">
        <v>0</v>
      </c>
      <c r="AO27" s="229">
        <v>38</v>
      </c>
      <c r="AP27" s="231">
        <v>9</v>
      </c>
      <c r="AQ27" s="231">
        <v>2024</v>
      </c>
      <c r="AR27" s="231" t="str">
        <f t="shared" si="0"/>
        <v>09/2024</v>
      </c>
      <c r="AS27" s="231">
        <f t="shared" si="1"/>
        <v>30</v>
      </c>
      <c r="AT27" s="239">
        <f>IF(G27="CERVECERIA Y MALTERIA",(AS27*AK27/1000000)*(1-VLOOKUP(N27,FCST!D:I,6,FALSE)),0)</f>
        <v>0</v>
      </c>
      <c r="AU27" s="232">
        <v>5.0000000000000001E-3</v>
      </c>
      <c r="AV27" s="239">
        <f t="shared" si="2"/>
        <v>0</v>
      </c>
      <c r="AW27" s="239">
        <f>(AS27*AK27/1000000)*(VLOOKUP(N27,FCST!D:I,6,FALSE))</f>
        <v>0</v>
      </c>
      <c r="AX27" s="239">
        <f t="shared" si="3"/>
        <v>0</v>
      </c>
      <c r="AY27" s="239">
        <f>IF($G27="CERVECERIA Y MALTERIA.",($AS27*$AK27/1000000)*(1-VLOOKUP($N27,FCST!D:I,6,FALSE)),0)</f>
        <v>18.19584</v>
      </c>
      <c r="AZ27" s="239">
        <f t="shared" si="4"/>
        <v>18.2868192</v>
      </c>
      <c r="BB27" s="240"/>
    </row>
    <row r="28" spans="1:54" x14ac:dyDescent="0.25">
      <c r="A28" s="209">
        <v>1076791</v>
      </c>
      <c r="B28" s="209">
        <v>10</v>
      </c>
      <c r="C28" s="209">
        <v>89276613</v>
      </c>
      <c r="D28" s="209">
        <v>10</v>
      </c>
      <c r="E28" s="209">
        <v>10000002</v>
      </c>
      <c r="F28" s="209">
        <v>20000339</v>
      </c>
      <c r="G28" s="209" t="s">
        <v>105</v>
      </c>
      <c r="H28" s="209">
        <v>20000339</v>
      </c>
      <c r="I28" s="209">
        <v>2</v>
      </c>
      <c r="J28" s="209" t="s">
        <v>169</v>
      </c>
      <c r="K28" s="209" t="s">
        <v>236</v>
      </c>
      <c r="L28" s="209" t="s">
        <v>171</v>
      </c>
      <c r="M28" s="209" t="s">
        <v>172</v>
      </c>
      <c r="N28" s="209">
        <v>50034577</v>
      </c>
      <c r="O28" s="209" t="s">
        <v>237</v>
      </c>
      <c r="P28" s="209">
        <v>5101</v>
      </c>
      <c r="Q28" s="209" t="s">
        <v>186</v>
      </c>
      <c r="R28" s="209" t="s">
        <v>175</v>
      </c>
      <c r="S28" s="209" t="s">
        <v>176</v>
      </c>
      <c r="T28" s="209" t="s">
        <v>187</v>
      </c>
      <c r="U28" s="209" t="s">
        <v>188</v>
      </c>
      <c r="V28" s="209" t="s">
        <v>179</v>
      </c>
      <c r="W28" s="209" t="s">
        <v>179</v>
      </c>
      <c r="X28" s="209" t="s">
        <v>180</v>
      </c>
      <c r="Y28" s="209" t="s">
        <v>180</v>
      </c>
      <c r="Z28" s="209">
        <v>9511046820</v>
      </c>
      <c r="AA28" s="209" t="s">
        <v>238</v>
      </c>
      <c r="AB28" s="209" t="s">
        <v>180</v>
      </c>
      <c r="AC28" s="209" t="s">
        <v>182</v>
      </c>
      <c r="AD28" s="209">
        <v>9</v>
      </c>
      <c r="AE28" s="209">
        <v>2024</v>
      </c>
      <c r="AF28" s="227">
        <v>45561</v>
      </c>
      <c r="AG28" s="227">
        <v>45562</v>
      </c>
      <c r="AH28" s="227">
        <v>45562</v>
      </c>
      <c r="AI28" s="228">
        <v>743808</v>
      </c>
      <c r="AJ28" s="228">
        <v>52</v>
      </c>
      <c r="AK28" s="228">
        <v>743808</v>
      </c>
      <c r="AL28" s="228">
        <v>52</v>
      </c>
      <c r="AM28" s="228">
        <v>0</v>
      </c>
      <c r="AN28" s="228">
        <v>0</v>
      </c>
      <c r="AO28" s="229">
        <v>39</v>
      </c>
      <c r="AP28" s="231">
        <v>9</v>
      </c>
      <c r="AQ28" s="231">
        <v>2024</v>
      </c>
      <c r="AR28" s="231" t="str">
        <f t="shared" si="0"/>
        <v>09/2024</v>
      </c>
      <c r="AS28" s="231">
        <f t="shared" si="1"/>
        <v>25</v>
      </c>
      <c r="AT28" s="239">
        <f>IF(G28="CERVECERIA Y MALTERIA",(AS28*AK28/1000000)*(1-VLOOKUP(N28,FCST!D:I,6,FALSE)),0)</f>
        <v>18.595199999999998</v>
      </c>
      <c r="AU28" s="232">
        <v>5.0000000000000001E-3</v>
      </c>
      <c r="AV28" s="239">
        <f t="shared" si="2"/>
        <v>18.688175999999995</v>
      </c>
      <c r="AW28" s="239">
        <f>(AS28*AK28/1000000)*(VLOOKUP(N28,FCST!D:I,6,FALSE))</f>
        <v>0</v>
      </c>
      <c r="AX28" s="239">
        <f t="shared" si="3"/>
        <v>0</v>
      </c>
      <c r="AY28" s="239">
        <f>IF($G28="CERVECERIA Y MALTERIA.",($AS28*$AK28/1000000)*(1-VLOOKUP($N28,FCST!D:I,6,FALSE)),0)</f>
        <v>0</v>
      </c>
      <c r="AZ28" s="239">
        <f t="shared" si="4"/>
        <v>0</v>
      </c>
      <c r="BB28" s="240"/>
    </row>
    <row r="29" spans="1:54" x14ac:dyDescent="0.25">
      <c r="A29" s="209">
        <v>1075675</v>
      </c>
      <c r="B29" s="209">
        <v>40</v>
      </c>
      <c r="C29" s="209">
        <v>89276814</v>
      </c>
      <c r="D29" s="209">
        <v>10</v>
      </c>
      <c r="E29" s="209">
        <v>10000002</v>
      </c>
      <c r="F29" s="209">
        <v>20000337</v>
      </c>
      <c r="G29" s="209" t="s">
        <v>105</v>
      </c>
      <c r="H29" s="209">
        <v>20000337</v>
      </c>
      <c r="I29" s="209">
        <v>2</v>
      </c>
      <c r="J29" s="209" t="s">
        <v>169</v>
      </c>
      <c r="K29" s="209" t="s">
        <v>239</v>
      </c>
      <c r="L29" s="209" t="s">
        <v>171</v>
      </c>
      <c r="M29" s="209" t="s">
        <v>172</v>
      </c>
      <c r="N29" s="209">
        <v>50035183</v>
      </c>
      <c r="O29" s="209" t="s">
        <v>215</v>
      </c>
      <c r="P29" s="209">
        <v>5121</v>
      </c>
      <c r="Q29" s="209" t="s">
        <v>174</v>
      </c>
      <c r="R29" s="209" t="s">
        <v>175</v>
      </c>
      <c r="S29" s="209" t="s">
        <v>176</v>
      </c>
      <c r="T29" s="209" t="s">
        <v>177</v>
      </c>
      <c r="U29" s="209" t="s">
        <v>178</v>
      </c>
      <c r="V29" s="209" t="s">
        <v>179</v>
      </c>
      <c r="W29" s="209" t="s">
        <v>179</v>
      </c>
      <c r="X29" s="209" t="s">
        <v>180</v>
      </c>
      <c r="Y29" s="209" t="s">
        <v>180</v>
      </c>
      <c r="Z29" s="209">
        <v>9521066220</v>
      </c>
      <c r="AA29" s="209" t="s">
        <v>240</v>
      </c>
      <c r="AB29" s="209" t="s">
        <v>180</v>
      </c>
      <c r="AC29" s="209" t="s">
        <v>182</v>
      </c>
      <c r="AD29" s="209">
        <v>9</v>
      </c>
      <c r="AE29" s="209">
        <v>2024</v>
      </c>
      <c r="AF29" s="227">
        <v>45555</v>
      </c>
      <c r="AG29" s="227">
        <v>45562</v>
      </c>
      <c r="AH29" s="227">
        <v>45563</v>
      </c>
      <c r="AI29" s="228">
        <v>426816</v>
      </c>
      <c r="AJ29" s="228">
        <v>52</v>
      </c>
      <c r="AK29" s="228">
        <v>426816</v>
      </c>
      <c r="AL29" s="228">
        <v>52</v>
      </c>
      <c r="AM29" s="228">
        <v>0</v>
      </c>
      <c r="AN29" s="228">
        <v>0</v>
      </c>
      <c r="AO29" s="229">
        <v>39</v>
      </c>
      <c r="AP29" s="231">
        <v>9</v>
      </c>
      <c r="AQ29" s="231">
        <v>2024</v>
      </c>
      <c r="AR29" s="231" t="str">
        <f t="shared" si="0"/>
        <v>09/2024</v>
      </c>
      <c r="AS29" s="231">
        <f t="shared" si="1"/>
        <v>46.6</v>
      </c>
      <c r="AT29" s="239">
        <f>IF(G29="CERVECERIA Y MALTERIA",(AS29*AK29/1000000)*(1-VLOOKUP(N29,FCST!D:I,6,FALSE)),0)</f>
        <v>19.889625600000002</v>
      </c>
      <c r="AU29" s="232">
        <v>5.0000000000000001E-3</v>
      </c>
      <c r="AV29" s="239">
        <f t="shared" si="2"/>
        <v>19.989073728000001</v>
      </c>
      <c r="AW29" s="239">
        <f>(AS29*AK29/1000000)*(VLOOKUP(N29,FCST!D:I,6,FALSE))</f>
        <v>0</v>
      </c>
      <c r="AX29" s="239">
        <f t="shared" si="3"/>
        <v>0</v>
      </c>
      <c r="AY29" s="239">
        <f>IF($G29="CERVECERIA Y MALTERIA.",($AS29*$AK29/1000000)*(1-VLOOKUP($N29,FCST!D:I,6,FALSE)),0)</f>
        <v>0</v>
      </c>
      <c r="AZ29" s="239">
        <f t="shared" si="4"/>
        <v>0</v>
      </c>
      <c r="BB29" s="240"/>
    </row>
    <row r="30" spans="1:54" x14ac:dyDescent="0.25">
      <c r="A30" s="209">
        <v>1075670</v>
      </c>
      <c r="B30" s="209">
        <v>60</v>
      </c>
      <c r="C30" s="209">
        <v>89276073</v>
      </c>
      <c r="D30" s="209">
        <v>10</v>
      </c>
      <c r="E30" s="209">
        <v>10000002</v>
      </c>
      <c r="F30" s="209">
        <v>20000340</v>
      </c>
      <c r="G30" s="209" t="s">
        <v>117</v>
      </c>
      <c r="H30" s="209">
        <v>20000340</v>
      </c>
      <c r="I30" s="209">
        <v>2</v>
      </c>
      <c r="J30" s="209" t="s">
        <v>169</v>
      </c>
      <c r="K30" s="209" t="s">
        <v>241</v>
      </c>
      <c r="L30" s="209" t="s">
        <v>171</v>
      </c>
      <c r="M30" s="209" t="s">
        <v>172</v>
      </c>
      <c r="N30" s="209">
        <v>50025163</v>
      </c>
      <c r="O30" s="209" t="s">
        <v>185</v>
      </c>
      <c r="P30" s="209">
        <v>5101</v>
      </c>
      <c r="Q30" s="209" t="s">
        <v>186</v>
      </c>
      <c r="R30" s="209" t="s">
        <v>175</v>
      </c>
      <c r="S30" s="209" t="s">
        <v>176</v>
      </c>
      <c r="T30" s="209" t="s">
        <v>187</v>
      </c>
      <c r="U30" s="209" t="s">
        <v>188</v>
      </c>
      <c r="V30" s="209" t="s">
        <v>179</v>
      </c>
      <c r="W30" s="209" t="s">
        <v>179</v>
      </c>
      <c r="X30" s="209" t="s">
        <v>180</v>
      </c>
      <c r="Y30" s="209" t="s">
        <v>180</v>
      </c>
      <c r="Z30" s="209">
        <v>9511046824</v>
      </c>
      <c r="AA30" s="209" t="s">
        <v>242</v>
      </c>
      <c r="AB30" s="209" t="s">
        <v>180</v>
      </c>
      <c r="AC30" s="209" t="s">
        <v>182</v>
      </c>
      <c r="AD30" s="209">
        <v>9</v>
      </c>
      <c r="AE30" s="209">
        <v>2024</v>
      </c>
      <c r="AF30" s="227">
        <v>45555</v>
      </c>
      <c r="AG30" s="227">
        <v>45562</v>
      </c>
      <c r="AH30" s="227">
        <v>45562</v>
      </c>
      <c r="AI30" s="228">
        <v>606528</v>
      </c>
      <c r="AJ30" s="228">
        <v>52</v>
      </c>
      <c r="AK30" s="228">
        <v>606528</v>
      </c>
      <c r="AL30" s="228">
        <v>52</v>
      </c>
      <c r="AM30" s="228">
        <v>0</v>
      </c>
      <c r="AN30" s="228">
        <v>0</v>
      </c>
      <c r="AO30" s="229">
        <v>39</v>
      </c>
      <c r="AP30" s="231">
        <v>9</v>
      </c>
      <c r="AQ30" s="231">
        <v>2024</v>
      </c>
      <c r="AR30" s="231" t="str">
        <f t="shared" si="0"/>
        <v>09/2024</v>
      </c>
      <c r="AS30" s="231">
        <f t="shared" si="1"/>
        <v>30</v>
      </c>
      <c r="AT30" s="239">
        <f>IF(G30="CERVECERIA Y MALTERIA",(AS30*AK30/1000000)*(1-VLOOKUP(N30,FCST!D:I,6,FALSE)),0)</f>
        <v>0</v>
      </c>
      <c r="AU30" s="232">
        <v>5.0000000000000001E-3</v>
      </c>
      <c r="AV30" s="239">
        <f t="shared" si="2"/>
        <v>0</v>
      </c>
      <c r="AW30" s="239">
        <f>(AS30*AK30/1000000)*(VLOOKUP(N30,FCST!D:I,6,FALSE))</f>
        <v>0</v>
      </c>
      <c r="AX30" s="239">
        <f t="shared" si="3"/>
        <v>0</v>
      </c>
      <c r="AY30" s="239">
        <f>IF($G30="CERVECERIA Y MALTERIA.",($AS30*$AK30/1000000)*(1-VLOOKUP($N30,FCST!D:I,6,FALSE)),0)</f>
        <v>18.19584</v>
      </c>
      <c r="AZ30" s="239">
        <f t="shared" si="4"/>
        <v>18.2868192</v>
      </c>
      <c r="BB30" s="240"/>
    </row>
    <row r="31" spans="1:54" x14ac:dyDescent="0.25">
      <c r="A31" s="209">
        <v>1075673</v>
      </c>
      <c r="B31" s="209">
        <v>60</v>
      </c>
      <c r="C31" s="209">
        <v>89276290</v>
      </c>
      <c r="D31" s="209">
        <v>10</v>
      </c>
      <c r="E31" s="209">
        <v>10000002</v>
      </c>
      <c r="F31" s="209">
        <v>20000335</v>
      </c>
      <c r="G31" s="209" t="s">
        <v>105</v>
      </c>
      <c r="H31" s="209">
        <v>20000335</v>
      </c>
      <c r="I31" s="209">
        <v>2</v>
      </c>
      <c r="J31" s="209" t="s">
        <v>169</v>
      </c>
      <c r="K31" s="209" t="s">
        <v>243</v>
      </c>
      <c r="L31" s="209" t="s">
        <v>171</v>
      </c>
      <c r="M31" s="209" t="s">
        <v>172</v>
      </c>
      <c r="N31" s="209">
        <v>50035183</v>
      </c>
      <c r="O31" s="209" t="s">
        <v>215</v>
      </c>
      <c r="P31" s="209">
        <v>5121</v>
      </c>
      <c r="Q31" s="209" t="s">
        <v>174</v>
      </c>
      <c r="R31" s="209" t="s">
        <v>175</v>
      </c>
      <c r="S31" s="209" t="s">
        <v>176</v>
      </c>
      <c r="T31" s="209" t="s">
        <v>177</v>
      </c>
      <c r="U31" s="209" t="s">
        <v>178</v>
      </c>
      <c r="V31" s="209" t="s">
        <v>179</v>
      </c>
      <c r="W31" s="209" t="s">
        <v>179</v>
      </c>
      <c r="X31" s="209" t="s">
        <v>180</v>
      </c>
      <c r="Y31" s="209" t="s">
        <v>180</v>
      </c>
      <c r="Z31" s="209">
        <v>9521066211</v>
      </c>
      <c r="AA31" s="209" t="s">
        <v>244</v>
      </c>
      <c r="AB31" s="209" t="s">
        <v>180</v>
      </c>
      <c r="AC31" s="209" t="s">
        <v>182</v>
      </c>
      <c r="AD31" s="209">
        <v>9</v>
      </c>
      <c r="AE31" s="209">
        <v>2024</v>
      </c>
      <c r="AF31" s="227">
        <v>45555</v>
      </c>
      <c r="AG31" s="227">
        <v>45561</v>
      </c>
      <c r="AH31" s="227">
        <v>45562</v>
      </c>
      <c r="AI31" s="228">
        <v>426816</v>
      </c>
      <c r="AJ31" s="228">
        <v>52</v>
      </c>
      <c r="AK31" s="228">
        <v>426816</v>
      </c>
      <c r="AL31" s="228">
        <v>52</v>
      </c>
      <c r="AM31" s="228">
        <v>0</v>
      </c>
      <c r="AN31" s="228">
        <v>0</v>
      </c>
      <c r="AO31" s="229">
        <v>39</v>
      </c>
      <c r="AP31" s="231">
        <v>9</v>
      </c>
      <c r="AQ31" s="231">
        <v>2024</v>
      </c>
      <c r="AR31" s="231" t="str">
        <f t="shared" si="0"/>
        <v>09/2024</v>
      </c>
      <c r="AS31" s="231">
        <f t="shared" si="1"/>
        <v>46.6</v>
      </c>
      <c r="AT31" s="239">
        <f>IF(G31="CERVECERIA Y MALTERIA",(AS31*AK31/1000000)*(1-VLOOKUP(N31,FCST!D:I,6,FALSE)),0)</f>
        <v>19.889625600000002</v>
      </c>
      <c r="AU31" s="232">
        <v>5.0000000000000001E-3</v>
      </c>
      <c r="AV31" s="239">
        <f t="shared" si="2"/>
        <v>19.989073728000001</v>
      </c>
      <c r="AW31" s="239">
        <f>(AS31*AK31/1000000)*(VLOOKUP(N31,FCST!D:I,6,FALSE))</f>
        <v>0</v>
      </c>
      <c r="AX31" s="239">
        <f t="shared" si="3"/>
        <v>0</v>
      </c>
      <c r="AY31" s="239">
        <f>IF($G31="CERVECERIA Y MALTERIA.",($AS31*$AK31/1000000)*(1-VLOOKUP($N31,FCST!D:I,6,FALSE)),0)</f>
        <v>0</v>
      </c>
      <c r="AZ31" s="239">
        <f t="shared" si="4"/>
        <v>0</v>
      </c>
      <c r="BB31" s="240"/>
    </row>
    <row r="32" spans="1:54" x14ac:dyDescent="0.25">
      <c r="A32" s="209">
        <v>1076999</v>
      </c>
      <c r="B32" s="209">
        <v>10</v>
      </c>
      <c r="C32" s="209">
        <v>89277728</v>
      </c>
      <c r="D32" s="209">
        <v>10</v>
      </c>
      <c r="E32" s="209">
        <v>10000002</v>
      </c>
      <c r="F32" s="209">
        <v>20000335</v>
      </c>
      <c r="G32" s="209" t="s">
        <v>105</v>
      </c>
      <c r="H32" s="209">
        <v>20000335</v>
      </c>
      <c r="I32" s="209">
        <v>2</v>
      </c>
      <c r="J32" s="209" t="s">
        <v>169</v>
      </c>
      <c r="K32" s="209" t="s">
        <v>245</v>
      </c>
      <c r="L32" s="209" t="s">
        <v>246</v>
      </c>
      <c r="M32" s="209" t="s">
        <v>184</v>
      </c>
      <c r="N32" s="209">
        <v>50034574</v>
      </c>
      <c r="O32" s="209" t="s">
        <v>196</v>
      </c>
      <c r="P32" s="209">
        <v>5121</v>
      </c>
      <c r="Q32" s="209" t="s">
        <v>174</v>
      </c>
      <c r="R32" s="209" t="s">
        <v>175</v>
      </c>
      <c r="S32" s="209" t="s">
        <v>176</v>
      </c>
      <c r="T32" s="209" t="s">
        <v>177</v>
      </c>
      <c r="U32" s="209" t="s">
        <v>178</v>
      </c>
      <c r="V32" s="209">
        <v>5500010705</v>
      </c>
      <c r="W32" s="209">
        <v>5500010705</v>
      </c>
      <c r="X32" s="209" t="s">
        <v>180</v>
      </c>
      <c r="Y32" s="209" t="s">
        <v>180</v>
      </c>
      <c r="Z32" s="209">
        <v>9521066233</v>
      </c>
      <c r="AA32" s="209" t="s">
        <v>247</v>
      </c>
      <c r="AB32" s="209" t="s">
        <v>180</v>
      </c>
      <c r="AC32" s="209" t="s">
        <v>182</v>
      </c>
      <c r="AD32" s="209">
        <v>9</v>
      </c>
      <c r="AE32" s="209">
        <v>2024</v>
      </c>
      <c r="AF32" s="227">
        <v>45562</v>
      </c>
      <c r="AG32" s="227">
        <v>45565</v>
      </c>
      <c r="AH32" s="227">
        <v>45565</v>
      </c>
      <c r="AI32" s="228">
        <v>939600</v>
      </c>
      <c r="AJ32" s="228">
        <v>50</v>
      </c>
      <c r="AK32" s="228">
        <v>939600</v>
      </c>
      <c r="AL32" s="228">
        <v>50</v>
      </c>
      <c r="AM32" s="228">
        <v>0</v>
      </c>
      <c r="AN32" s="228">
        <v>0</v>
      </c>
      <c r="AO32" s="229">
        <v>40</v>
      </c>
      <c r="AP32" s="231">
        <v>9</v>
      </c>
      <c r="AQ32" s="231">
        <v>2024</v>
      </c>
      <c r="AR32" s="231" t="str">
        <f t="shared" si="0"/>
        <v>09/2024</v>
      </c>
      <c r="AS32" s="231">
        <f t="shared" si="1"/>
        <v>19.5</v>
      </c>
      <c r="AT32" s="239">
        <f>IF(G32="CERVECERIA Y MALTERIA",(AS32*AK32/1000000)*(1-VLOOKUP(N32,FCST!D:I,6,FALSE)),0)</f>
        <v>18.322199999999999</v>
      </c>
      <c r="AU32" s="232">
        <v>5.0000000000000001E-3</v>
      </c>
      <c r="AV32" s="239">
        <f t="shared" si="2"/>
        <v>18.413810999999995</v>
      </c>
      <c r="AW32" s="239">
        <f>(AS32*AK32/1000000)*(VLOOKUP(N32,FCST!D:I,6,FALSE))</f>
        <v>0</v>
      </c>
      <c r="AX32" s="239">
        <f t="shared" si="3"/>
        <v>0</v>
      </c>
      <c r="AY32" s="239">
        <f>IF($G32="CERVECERIA Y MALTERIA.",($AS32*$AK32/1000000)*(1-VLOOKUP($N32,FCST!D:I,6,FALSE)),0)</f>
        <v>0</v>
      </c>
      <c r="AZ32" s="239">
        <f t="shared" si="4"/>
        <v>0</v>
      </c>
      <c r="BB32" s="240"/>
    </row>
    <row r="33" spans="1:54" x14ac:dyDescent="0.25">
      <c r="A33" s="209">
        <v>1076992</v>
      </c>
      <c r="B33" s="209">
        <v>80</v>
      </c>
      <c r="C33" s="209">
        <v>89277729</v>
      </c>
      <c r="D33" s="209">
        <v>10</v>
      </c>
      <c r="E33" s="209">
        <v>10000002</v>
      </c>
      <c r="F33" s="209">
        <v>20000340</v>
      </c>
      <c r="G33" s="209" t="s">
        <v>117</v>
      </c>
      <c r="H33" s="209">
        <v>20000340</v>
      </c>
      <c r="I33" s="209">
        <v>2</v>
      </c>
      <c r="J33" s="209" t="s">
        <v>169</v>
      </c>
      <c r="K33" s="209" t="s">
        <v>248</v>
      </c>
      <c r="L33" s="209" t="s">
        <v>246</v>
      </c>
      <c r="M33" s="209" t="s">
        <v>184</v>
      </c>
      <c r="N33" s="209">
        <v>50038523</v>
      </c>
      <c r="O33" s="209" t="s">
        <v>249</v>
      </c>
      <c r="P33" s="209">
        <v>5101</v>
      </c>
      <c r="Q33" s="209" t="s">
        <v>186</v>
      </c>
      <c r="R33" s="209" t="s">
        <v>175</v>
      </c>
      <c r="S33" s="209" t="s">
        <v>176</v>
      </c>
      <c r="T33" s="209" t="s">
        <v>187</v>
      </c>
      <c r="U33" s="209" t="s">
        <v>188</v>
      </c>
      <c r="V33" s="209">
        <v>5500010706</v>
      </c>
      <c r="W33" s="209">
        <v>5500010706</v>
      </c>
      <c r="X33" s="209" t="s">
        <v>180</v>
      </c>
      <c r="Y33" s="209" t="s">
        <v>180</v>
      </c>
      <c r="Z33" s="209" t="s">
        <v>180</v>
      </c>
      <c r="AA33" s="209" t="s">
        <v>180</v>
      </c>
      <c r="AB33" s="209" t="s">
        <v>180</v>
      </c>
      <c r="AC33" s="209" t="s">
        <v>182</v>
      </c>
      <c r="AD33" s="209">
        <v>9</v>
      </c>
      <c r="AE33" s="209">
        <v>2024</v>
      </c>
      <c r="AF33" s="227">
        <v>45562</v>
      </c>
      <c r="AG33" s="227">
        <v>45565</v>
      </c>
      <c r="AH33" s="227">
        <v>45565</v>
      </c>
      <c r="AI33" s="228">
        <v>23328</v>
      </c>
      <c r="AJ33" s="228">
        <v>2</v>
      </c>
      <c r="AK33" s="228">
        <v>23328</v>
      </c>
      <c r="AL33" s="228">
        <v>2</v>
      </c>
      <c r="AM33" s="228">
        <v>0</v>
      </c>
      <c r="AN33" s="228">
        <v>0</v>
      </c>
      <c r="AO33" s="229">
        <v>40</v>
      </c>
      <c r="AP33" s="231">
        <v>9</v>
      </c>
      <c r="AQ33" s="231">
        <v>2024</v>
      </c>
      <c r="AR33" s="231" t="str">
        <f t="shared" si="0"/>
        <v>09/2024</v>
      </c>
      <c r="AS33" s="231">
        <f t="shared" si="1"/>
        <v>30</v>
      </c>
      <c r="AT33" s="239">
        <f>IF(G33="CERVECERIA Y MALTERIA",(AS33*AK33/1000000)*(1-VLOOKUP(N33,FCST!D:I,6,FALSE)),0)</f>
        <v>0</v>
      </c>
      <c r="AU33" s="232">
        <v>5.0000000000000001E-3</v>
      </c>
      <c r="AV33" s="239">
        <f t="shared" si="2"/>
        <v>0</v>
      </c>
      <c r="AW33" s="239">
        <f>(AS33*AK33/1000000)*(VLOOKUP(N33,FCST!D:I,6,FALSE))</f>
        <v>0</v>
      </c>
      <c r="AX33" s="239">
        <f t="shared" si="3"/>
        <v>0</v>
      </c>
      <c r="AY33" s="239">
        <f>IF($G33="CERVECERIA Y MALTERIA.",($AS33*$AK33/1000000)*(1-VLOOKUP($N33,FCST!D:I,6,FALSE)),0)</f>
        <v>0.69984000000000002</v>
      </c>
      <c r="AZ33" s="239">
        <f t="shared" si="4"/>
        <v>0.70333919999999994</v>
      </c>
      <c r="BB33" s="240"/>
    </row>
    <row r="34" spans="1:54" x14ac:dyDescent="0.25">
      <c r="A34" s="209">
        <v>1076905</v>
      </c>
      <c r="B34" s="209">
        <v>10</v>
      </c>
      <c r="C34" s="209">
        <v>89277846</v>
      </c>
      <c r="D34" s="209">
        <v>10</v>
      </c>
      <c r="E34" s="209">
        <v>10000002</v>
      </c>
      <c r="F34" s="209">
        <v>20000336</v>
      </c>
      <c r="G34" s="209" t="s">
        <v>105</v>
      </c>
      <c r="H34" s="209">
        <v>20000336</v>
      </c>
      <c r="I34" s="209">
        <v>2</v>
      </c>
      <c r="J34" s="209" t="s">
        <v>169</v>
      </c>
      <c r="K34" s="209" t="s">
        <v>250</v>
      </c>
      <c r="L34" s="209" t="s">
        <v>171</v>
      </c>
      <c r="M34" s="209" t="s">
        <v>172</v>
      </c>
      <c r="N34" s="209">
        <v>50035046</v>
      </c>
      <c r="O34" s="209" t="s">
        <v>251</v>
      </c>
      <c r="P34" s="209">
        <v>5121</v>
      </c>
      <c r="Q34" s="209" t="s">
        <v>174</v>
      </c>
      <c r="R34" s="209" t="s">
        <v>175</v>
      </c>
      <c r="S34" s="209" t="s">
        <v>176</v>
      </c>
      <c r="T34" s="209" t="s">
        <v>177</v>
      </c>
      <c r="U34" s="209" t="s">
        <v>178</v>
      </c>
      <c r="V34" s="209" t="s">
        <v>179</v>
      </c>
      <c r="W34" s="209" t="s">
        <v>179</v>
      </c>
      <c r="X34" s="209" t="s">
        <v>180</v>
      </c>
      <c r="Y34" s="209" t="s">
        <v>180</v>
      </c>
      <c r="Z34" s="209">
        <v>9521066244</v>
      </c>
      <c r="AA34" s="209" t="s">
        <v>252</v>
      </c>
      <c r="AB34" s="209" t="s">
        <v>180</v>
      </c>
      <c r="AC34" s="209" t="s">
        <v>182</v>
      </c>
      <c r="AD34" s="209">
        <v>9</v>
      </c>
      <c r="AE34" s="209">
        <v>2024</v>
      </c>
      <c r="AF34" s="227">
        <v>45562</v>
      </c>
      <c r="AG34" s="227">
        <v>45565</v>
      </c>
      <c r="AH34" s="227">
        <v>45565</v>
      </c>
      <c r="AI34" s="228">
        <v>101712</v>
      </c>
      <c r="AJ34" s="228">
        <v>13</v>
      </c>
      <c r="AK34" s="228">
        <v>101712</v>
      </c>
      <c r="AL34" s="228">
        <v>13</v>
      </c>
      <c r="AM34" s="228">
        <v>0</v>
      </c>
      <c r="AN34" s="228">
        <v>0</v>
      </c>
      <c r="AO34" s="229">
        <v>40</v>
      </c>
      <c r="AP34" s="231">
        <v>9</v>
      </c>
      <c r="AQ34" s="231">
        <v>2024</v>
      </c>
      <c r="AR34" s="231" t="str">
        <f t="shared" si="0"/>
        <v>09/2024</v>
      </c>
      <c r="AS34" s="231">
        <f t="shared" si="1"/>
        <v>44</v>
      </c>
      <c r="AT34" s="239">
        <f>IF(G34="CERVECERIA Y MALTERIA",(AS34*AK34/1000000)*(1-VLOOKUP(N34,FCST!D:I,6,FALSE)),0)</f>
        <v>4.4753280000000002</v>
      </c>
      <c r="AU34" s="232">
        <v>5.0000000000000001E-3</v>
      </c>
      <c r="AV34" s="239">
        <f t="shared" si="2"/>
        <v>4.4977046399999994</v>
      </c>
      <c r="AW34" s="239">
        <f>(AS34*AK34/1000000)*(VLOOKUP(N34,FCST!D:I,6,FALSE))</f>
        <v>0</v>
      </c>
      <c r="AX34" s="239">
        <f t="shared" si="3"/>
        <v>0</v>
      </c>
      <c r="AY34" s="239">
        <f>IF($G34="CERVECERIA Y MALTERIA.",($AS34*$AK34/1000000)*(1-VLOOKUP($N34,FCST!D:I,6,FALSE)),0)</f>
        <v>0</v>
      </c>
      <c r="AZ34" s="239">
        <f t="shared" si="4"/>
        <v>0</v>
      </c>
      <c r="BB34" s="240"/>
    </row>
    <row r="35" spans="1:54" x14ac:dyDescent="0.25">
      <c r="A35" s="209">
        <v>1076905</v>
      </c>
      <c r="B35" s="209">
        <v>20</v>
      </c>
      <c r="C35" s="209">
        <v>89277846</v>
      </c>
      <c r="D35" s="209">
        <v>20</v>
      </c>
      <c r="E35" s="209">
        <v>10000002</v>
      </c>
      <c r="F35" s="209">
        <v>20000336</v>
      </c>
      <c r="G35" s="209" t="s">
        <v>105</v>
      </c>
      <c r="H35" s="209">
        <v>20000336</v>
      </c>
      <c r="I35" s="209">
        <v>2</v>
      </c>
      <c r="J35" s="209" t="s">
        <v>169</v>
      </c>
      <c r="K35" s="209" t="s">
        <v>250</v>
      </c>
      <c r="L35" s="209" t="s">
        <v>171</v>
      </c>
      <c r="M35" s="209" t="s">
        <v>172</v>
      </c>
      <c r="N35" s="209">
        <v>50033268</v>
      </c>
      <c r="O35" s="209" t="s">
        <v>253</v>
      </c>
      <c r="P35" s="209">
        <v>5121</v>
      </c>
      <c r="Q35" s="209" t="s">
        <v>174</v>
      </c>
      <c r="R35" s="209" t="s">
        <v>175</v>
      </c>
      <c r="S35" s="209" t="s">
        <v>176</v>
      </c>
      <c r="T35" s="209" t="s">
        <v>177</v>
      </c>
      <c r="U35" s="209" t="s">
        <v>178</v>
      </c>
      <c r="V35" s="209" t="s">
        <v>179</v>
      </c>
      <c r="W35" s="209" t="s">
        <v>179</v>
      </c>
      <c r="X35" s="209" t="s">
        <v>180</v>
      </c>
      <c r="Y35" s="209" t="s">
        <v>180</v>
      </c>
      <c r="Z35" s="209">
        <v>9521066244</v>
      </c>
      <c r="AA35" s="209" t="s">
        <v>252</v>
      </c>
      <c r="AB35" s="209" t="s">
        <v>180</v>
      </c>
      <c r="AC35" s="209" t="s">
        <v>182</v>
      </c>
      <c r="AD35" s="209">
        <v>9</v>
      </c>
      <c r="AE35" s="209">
        <v>2024</v>
      </c>
      <c r="AF35" s="227">
        <v>45562</v>
      </c>
      <c r="AG35" s="227">
        <v>45565</v>
      </c>
      <c r="AH35" s="227">
        <v>45565</v>
      </c>
      <c r="AI35" s="228">
        <v>305136</v>
      </c>
      <c r="AJ35" s="228">
        <v>39</v>
      </c>
      <c r="AK35" s="228">
        <v>305136</v>
      </c>
      <c r="AL35" s="228">
        <v>39</v>
      </c>
      <c r="AM35" s="228">
        <v>0</v>
      </c>
      <c r="AN35" s="228">
        <v>0</v>
      </c>
      <c r="AO35" s="229">
        <v>40</v>
      </c>
      <c r="AP35" s="231">
        <v>9</v>
      </c>
      <c r="AQ35" s="231">
        <v>2024</v>
      </c>
      <c r="AR35" s="231" t="str">
        <f t="shared" si="0"/>
        <v>09/2024</v>
      </c>
      <c r="AS35" s="231">
        <f t="shared" si="1"/>
        <v>44</v>
      </c>
      <c r="AT35" s="239">
        <f>IF(G35="CERVECERIA Y MALTERIA",(AS35*AK35/1000000)*(1-VLOOKUP(N35,FCST!D:I,6,FALSE)),0)</f>
        <v>13.425984</v>
      </c>
      <c r="AU35" s="232">
        <v>5.0000000000000001E-3</v>
      </c>
      <c r="AV35" s="239">
        <f t="shared" si="2"/>
        <v>13.493113919999999</v>
      </c>
      <c r="AW35" s="239">
        <f>(AS35*AK35/1000000)*(VLOOKUP(N35,FCST!D:I,6,FALSE))</f>
        <v>0</v>
      </c>
      <c r="AX35" s="239">
        <f t="shared" si="3"/>
        <v>0</v>
      </c>
      <c r="AY35" s="239">
        <f>IF($G35="CERVECERIA Y MALTERIA.",($AS35*$AK35/1000000)*(1-VLOOKUP($N35,FCST!D:I,6,FALSE)),0)</f>
        <v>0</v>
      </c>
      <c r="AZ35" s="239">
        <f t="shared" si="4"/>
        <v>0</v>
      </c>
      <c r="BB35" s="240"/>
    </row>
    <row r="36" spans="1:54" x14ac:dyDescent="0.25">
      <c r="A36" s="209">
        <v>1077013</v>
      </c>
      <c r="B36" s="209">
        <v>10</v>
      </c>
      <c r="C36" s="209">
        <v>89277993</v>
      </c>
      <c r="D36" s="209">
        <v>10</v>
      </c>
      <c r="E36" s="209">
        <v>10000002</v>
      </c>
      <c r="F36" s="209">
        <v>20000337</v>
      </c>
      <c r="G36" s="209" t="s">
        <v>105</v>
      </c>
      <c r="H36" s="209">
        <v>20000337</v>
      </c>
      <c r="I36" s="209">
        <v>2</v>
      </c>
      <c r="J36" s="209" t="s">
        <v>169</v>
      </c>
      <c r="K36" s="209" t="s">
        <v>254</v>
      </c>
      <c r="L36" s="209" t="s">
        <v>246</v>
      </c>
      <c r="M36" s="209" t="s">
        <v>172</v>
      </c>
      <c r="N36" s="209">
        <v>50035183</v>
      </c>
      <c r="O36" s="209" t="s">
        <v>215</v>
      </c>
      <c r="P36" s="209">
        <v>5121</v>
      </c>
      <c r="Q36" s="209" t="s">
        <v>174</v>
      </c>
      <c r="R36" s="209" t="s">
        <v>175</v>
      </c>
      <c r="S36" s="209" t="s">
        <v>176</v>
      </c>
      <c r="T36" s="209" t="s">
        <v>177</v>
      </c>
      <c r="U36" s="209" t="s">
        <v>178</v>
      </c>
      <c r="V36" s="209">
        <v>5500010705</v>
      </c>
      <c r="W36" s="209">
        <v>5500010705</v>
      </c>
      <c r="X36" s="209" t="s">
        <v>180</v>
      </c>
      <c r="Y36" s="209" t="s">
        <v>180</v>
      </c>
      <c r="Z36" s="209">
        <v>9521066245</v>
      </c>
      <c r="AA36" s="209" t="s">
        <v>255</v>
      </c>
      <c r="AB36" s="209" t="s">
        <v>180</v>
      </c>
      <c r="AC36" s="209" t="s">
        <v>182</v>
      </c>
      <c r="AD36" s="209">
        <v>9</v>
      </c>
      <c r="AE36" s="209">
        <v>2024</v>
      </c>
      <c r="AF36" s="227">
        <v>45562</v>
      </c>
      <c r="AG36" s="227">
        <v>45565</v>
      </c>
      <c r="AH36" s="227">
        <v>45565</v>
      </c>
      <c r="AI36" s="228">
        <v>426816</v>
      </c>
      <c r="AJ36" s="228">
        <v>52</v>
      </c>
      <c r="AK36" s="228">
        <v>426816</v>
      </c>
      <c r="AL36" s="228">
        <v>52</v>
      </c>
      <c r="AM36" s="228">
        <v>0</v>
      </c>
      <c r="AN36" s="228">
        <v>0</v>
      </c>
      <c r="AO36" s="229">
        <v>40</v>
      </c>
      <c r="AP36" s="231">
        <v>9</v>
      </c>
      <c r="AQ36" s="231">
        <v>2024</v>
      </c>
      <c r="AR36" s="231" t="str">
        <f t="shared" si="0"/>
        <v>09/2024</v>
      </c>
      <c r="AS36" s="231">
        <f t="shared" si="1"/>
        <v>46.6</v>
      </c>
      <c r="AT36" s="239">
        <f>IF(G36="CERVECERIA Y MALTERIA",(AS36*AK36/1000000)*(1-VLOOKUP(N36,FCST!D:I,6,FALSE)),0)</f>
        <v>19.889625600000002</v>
      </c>
      <c r="AU36" s="232">
        <v>5.0000000000000001E-3</v>
      </c>
      <c r="AV36" s="239">
        <f t="shared" si="2"/>
        <v>19.989073728000001</v>
      </c>
      <c r="AW36" s="239">
        <f>(AS36*AK36/1000000)*(VLOOKUP(N36,FCST!D:I,6,FALSE))</f>
        <v>0</v>
      </c>
      <c r="AX36" s="239">
        <f t="shared" si="3"/>
        <v>0</v>
      </c>
      <c r="AY36" s="239">
        <f>IF($G36="CERVECERIA Y MALTERIA.",($AS36*$AK36/1000000)*(1-VLOOKUP($N36,FCST!D:I,6,FALSE)),0)</f>
        <v>0</v>
      </c>
      <c r="AZ36" s="239">
        <f t="shared" si="4"/>
        <v>0</v>
      </c>
      <c r="BB36" s="240"/>
    </row>
    <row r="37" spans="1:54" x14ac:dyDescent="0.25">
      <c r="A37" s="209">
        <v>1076992</v>
      </c>
      <c r="B37" s="209">
        <v>10</v>
      </c>
      <c r="C37" s="209">
        <v>89277166</v>
      </c>
      <c r="D37" s="209">
        <v>10</v>
      </c>
      <c r="E37" s="209">
        <v>10000002</v>
      </c>
      <c r="F37" s="209">
        <v>20000340</v>
      </c>
      <c r="G37" s="209" t="s">
        <v>117</v>
      </c>
      <c r="H37" s="209">
        <v>20000340</v>
      </c>
      <c r="I37" s="209">
        <v>2</v>
      </c>
      <c r="J37" s="209" t="s">
        <v>169</v>
      </c>
      <c r="K37" s="209" t="s">
        <v>256</v>
      </c>
      <c r="L37" s="209" t="s">
        <v>246</v>
      </c>
      <c r="M37" s="209" t="s">
        <v>184</v>
      </c>
      <c r="N37" s="209">
        <v>50025163</v>
      </c>
      <c r="O37" s="209" t="s">
        <v>185</v>
      </c>
      <c r="P37" s="209">
        <v>5101</v>
      </c>
      <c r="Q37" s="209" t="s">
        <v>186</v>
      </c>
      <c r="R37" s="209" t="s">
        <v>175</v>
      </c>
      <c r="S37" s="209" t="s">
        <v>176</v>
      </c>
      <c r="T37" s="209" t="s">
        <v>187</v>
      </c>
      <c r="U37" s="209" t="s">
        <v>188</v>
      </c>
      <c r="V37" s="209">
        <v>5500010706</v>
      </c>
      <c r="W37" s="209">
        <v>5500010706</v>
      </c>
      <c r="X37" s="209" t="s">
        <v>180</v>
      </c>
      <c r="Y37" s="209" t="s">
        <v>180</v>
      </c>
      <c r="Z37" s="209">
        <v>9511046827</v>
      </c>
      <c r="AA37" s="209" t="s">
        <v>257</v>
      </c>
      <c r="AB37" s="209" t="s">
        <v>180</v>
      </c>
      <c r="AC37" s="209" t="s">
        <v>182</v>
      </c>
      <c r="AD37" s="209">
        <v>9</v>
      </c>
      <c r="AE37" s="209">
        <v>2024</v>
      </c>
      <c r="AF37" s="227">
        <v>45562</v>
      </c>
      <c r="AG37" s="227">
        <v>45565</v>
      </c>
      <c r="AH37" s="227">
        <v>45565</v>
      </c>
      <c r="AI37" s="228">
        <v>606528</v>
      </c>
      <c r="AJ37" s="228">
        <v>52</v>
      </c>
      <c r="AK37" s="228">
        <v>606528</v>
      </c>
      <c r="AL37" s="228">
        <v>52</v>
      </c>
      <c r="AM37" s="228">
        <v>0</v>
      </c>
      <c r="AN37" s="228">
        <v>0</v>
      </c>
      <c r="AO37" s="229">
        <v>40</v>
      </c>
      <c r="AP37" s="231">
        <v>9</v>
      </c>
      <c r="AQ37" s="231">
        <v>2024</v>
      </c>
      <c r="AR37" s="231" t="str">
        <f t="shared" si="0"/>
        <v>09/2024</v>
      </c>
      <c r="AS37" s="231">
        <f t="shared" si="1"/>
        <v>30</v>
      </c>
      <c r="AT37" s="239">
        <f>IF(G37="CERVECERIA Y MALTERIA",(AS37*AK37/1000000)*(1-VLOOKUP(N37,FCST!D:I,6,FALSE)),0)</f>
        <v>0</v>
      </c>
      <c r="AU37" s="232">
        <v>5.0000000000000001E-3</v>
      </c>
      <c r="AV37" s="239">
        <f t="shared" si="2"/>
        <v>0</v>
      </c>
      <c r="AW37" s="239">
        <f>(AS37*AK37/1000000)*(VLOOKUP(N37,FCST!D:I,6,FALSE))</f>
        <v>0</v>
      </c>
      <c r="AX37" s="239">
        <f t="shared" si="3"/>
        <v>0</v>
      </c>
      <c r="AY37" s="239">
        <f>IF($G37="CERVECERIA Y MALTERIA.",($AS37*$AK37/1000000)*(1-VLOOKUP($N37,FCST!D:I,6,FALSE)),0)</f>
        <v>18.19584</v>
      </c>
      <c r="AZ37" s="239">
        <f t="shared" si="4"/>
        <v>18.2868192</v>
      </c>
      <c r="BB37" s="240"/>
    </row>
    <row r="38" spans="1:54" x14ac:dyDescent="0.25">
      <c r="A38" s="209">
        <v>1076992</v>
      </c>
      <c r="B38" s="209">
        <v>20</v>
      </c>
      <c r="C38" s="209">
        <v>89277475</v>
      </c>
      <c r="D38" s="209">
        <v>10</v>
      </c>
      <c r="E38" s="209">
        <v>10000002</v>
      </c>
      <c r="F38" s="209">
        <v>20000340</v>
      </c>
      <c r="G38" s="209" t="s">
        <v>117</v>
      </c>
      <c r="H38" s="209">
        <v>20000340</v>
      </c>
      <c r="I38" s="209">
        <v>2</v>
      </c>
      <c r="J38" s="209" t="s">
        <v>169</v>
      </c>
      <c r="K38" s="209" t="s">
        <v>258</v>
      </c>
      <c r="L38" s="209" t="s">
        <v>246</v>
      </c>
      <c r="M38" s="209" t="s">
        <v>184</v>
      </c>
      <c r="N38" s="209">
        <v>50036718</v>
      </c>
      <c r="O38" s="209" t="s">
        <v>259</v>
      </c>
      <c r="P38" s="209">
        <v>5101</v>
      </c>
      <c r="Q38" s="209" t="s">
        <v>186</v>
      </c>
      <c r="R38" s="209" t="s">
        <v>175</v>
      </c>
      <c r="S38" s="209" t="s">
        <v>176</v>
      </c>
      <c r="T38" s="209" t="s">
        <v>187</v>
      </c>
      <c r="U38" s="209" t="s">
        <v>188</v>
      </c>
      <c r="V38" s="209">
        <v>5500010706</v>
      </c>
      <c r="W38" s="209">
        <v>5500010706</v>
      </c>
      <c r="X38" s="209" t="s">
        <v>180</v>
      </c>
      <c r="Y38" s="209" t="s">
        <v>180</v>
      </c>
      <c r="Z38" s="209">
        <v>9511046830</v>
      </c>
      <c r="AA38" s="209" t="s">
        <v>260</v>
      </c>
      <c r="AB38" s="209" t="s">
        <v>180</v>
      </c>
      <c r="AC38" s="209" t="s">
        <v>182</v>
      </c>
      <c r="AD38" s="209">
        <v>9</v>
      </c>
      <c r="AE38" s="209">
        <v>2024</v>
      </c>
      <c r="AF38" s="227">
        <v>45562</v>
      </c>
      <c r="AG38" s="227">
        <v>45565</v>
      </c>
      <c r="AH38" s="227">
        <v>45565</v>
      </c>
      <c r="AI38" s="228">
        <v>519168</v>
      </c>
      <c r="AJ38" s="228">
        <v>52</v>
      </c>
      <c r="AK38" s="228">
        <v>519168</v>
      </c>
      <c r="AL38" s="228">
        <v>52</v>
      </c>
      <c r="AM38" s="228">
        <v>0</v>
      </c>
      <c r="AN38" s="228">
        <v>0</v>
      </c>
      <c r="AO38" s="229">
        <v>40</v>
      </c>
      <c r="AP38" s="231">
        <v>9</v>
      </c>
      <c r="AQ38" s="231">
        <v>2024</v>
      </c>
      <c r="AR38" s="231" t="str">
        <f t="shared" si="0"/>
        <v>09/2024</v>
      </c>
      <c r="AS38" s="231">
        <f t="shared" si="1"/>
        <v>34</v>
      </c>
      <c r="AT38" s="239">
        <f>IF(G38="CERVECERIA Y MALTERIA",(AS38*AK38/1000000)*(1-VLOOKUP(N38,FCST!D:I,6,FALSE)),0)</f>
        <v>0</v>
      </c>
      <c r="AU38" s="232">
        <v>5.0000000000000001E-3</v>
      </c>
      <c r="AV38" s="239">
        <f t="shared" si="2"/>
        <v>0</v>
      </c>
      <c r="AW38" s="239">
        <f>(AS38*AK38/1000000)*(VLOOKUP(N38,FCST!D:I,6,FALSE))</f>
        <v>0</v>
      </c>
      <c r="AX38" s="239">
        <f t="shared" si="3"/>
        <v>0</v>
      </c>
      <c r="AY38" s="239">
        <f>IF($G38="CERVECERIA Y MALTERIA.",($AS38*$AK38/1000000)*(1-VLOOKUP($N38,FCST!D:I,6,FALSE)),0)</f>
        <v>17.651712</v>
      </c>
      <c r="AZ38" s="239">
        <f t="shared" si="4"/>
        <v>17.73997056</v>
      </c>
      <c r="BB38" s="240"/>
    </row>
    <row r="39" spans="1:54" x14ac:dyDescent="0.25">
      <c r="A39" s="209">
        <v>1075670</v>
      </c>
      <c r="B39" s="209">
        <v>40</v>
      </c>
      <c r="C39" s="209">
        <v>89273764</v>
      </c>
      <c r="D39" s="209">
        <v>10</v>
      </c>
      <c r="E39" s="209">
        <v>10000002</v>
      </c>
      <c r="F39" s="209">
        <v>20000340</v>
      </c>
      <c r="G39" s="209" t="s">
        <v>117</v>
      </c>
      <c r="H39" s="209">
        <v>20000340</v>
      </c>
      <c r="I39" s="209">
        <v>2</v>
      </c>
      <c r="J39" s="209" t="s">
        <v>169</v>
      </c>
      <c r="K39" s="209" t="s">
        <v>261</v>
      </c>
      <c r="L39" s="209" t="s">
        <v>171</v>
      </c>
      <c r="M39" s="209" t="s">
        <v>172</v>
      </c>
      <c r="N39" s="209">
        <v>50025163</v>
      </c>
      <c r="O39" s="209" t="s">
        <v>185</v>
      </c>
      <c r="P39" s="209">
        <v>5101</v>
      </c>
      <c r="Q39" s="209" t="s">
        <v>186</v>
      </c>
      <c r="R39" s="209" t="s">
        <v>175</v>
      </c>
      <c r="S39" s="209" t="s">
        <v>176</v>
      </c>
      <c r="T39" s="209" t="s">
        <v>187</v>
      </c>
      <c r="U39" s="209" t="s">
        <v>188</v>
      </c>
      <c r="V39" s="209" t="s">
        <v>179</v>
      </c>
      <c r="W39" s="209" t="s">
        <v>179</v>
      </c>
      <c r="X39" s="209" t="s">
        <v>180</v>
      </c>
      <c r="Y39" s="209" t="s">
        <v>180</v>
      </c>
      <c r="Z39" s="209">
        <v>9511046822</v>
      </c>
      <c r="AA39" s="209" t="s">
        <v>189</v>
      </c>
      <c r="AB39" s="209" t="s">
        <v>180</v>
      </c>
      <c r="AC39" s="209" t="s">
        <v>182</v>
      </c>
      <c r="AD39" s="209">
        <v>9</v>
      </c>
      <c r="AE39" s="209">
        <v>2024</v>
      </c>
      <c r="AF39" s="227">
        <v>45555</v>
      </c>
      <c r="AG39" s="227">
        <v>45560</v>
      </c>
      <c r="AH39" s="227">
        <v>45560</v>
      </c>
      <c r="AI39" s="228">
        <v>606528</v>
      </c>
      <c r="AJ39" s="228">
        <v>52</v>
      </c>
      <c r="AK39" s="228">
        <v>606528</v>
      </c>
      <c r="AL39" s="228">
        <v>52</v>
      </c>
      <c r="AM39" s="228">
        <v>0</v>
      </c>
      <c r="AN39" s="228">
        <v>0</v>
      </c>
      <c r="AO39" s="229">
        <v>39</v>
      </c>
      <c r="AP39" s="231">
        <v>9</v>
      </c>
      <c r="AQ39" s="231">
        <v>2024</v>
      </c>
      <c r="AR39" s="231" t="str">
        <f t="shared" si="0"/>
        <v>09/2024</v>
      </c>
      <c r="AS39" s="231">
        <f t="shared" si="1"/>
        <v>30</v>
      </c>
      <c r="AT39" s="239">
        <f>IF(G39="CERVECERIA Y MALTERIA",(AS39*AK39/1000000)*(1-VLOOKUP(N39,FCST!D:I,6,FALSE)),0)</f>
        <v>0</v>
      </c>
      <c r="AU39" s="232">
        <v>5.0000000000000001E-3</v>
      </c>
      <c r="AV39" s="239">
        <f t="shared" si="2"/>
        <v>0</v>
      </c>
      <c r="AW39" s="239">
        <f>(AS39*AK39/1000000)*(VLOOKUP(N39,FCST!D:I,6,FALSE))</f>
        <v>0</v>
      </c>
      <c r="AX39" s="239">
        <f t="shared" si="3"/>
        <v>0</v>
      </c>
      <c r="AY39" s="239">
        <f>IF($G39="CERVECERIA Y MALTERIA.",($AS39*$AK39/1000000)*(1-VLOOKUP($N39,FCST!D:I,6,FALSE)),0)</f>
        <v>18.19584</v>
      </c>
      <c r="AZ39" s="239">
        <f t="shared" si="4"/>
        <v>18.2868192</v>
      </c>
      <c r="BB39" s="240"/>
    </row>
    <row r="40" spans="1:54" x14ac:dyDescent="0.25">
      <c r="A40" s="209">
        <v>1075676</v>
      </c>
      <c r="B40" s="209">
        <v>20</v>
      </c>
      <c r="C40" s="209">
        <v>89274041</v>
      </c>
      <c r="D40" s="209">
        <v>10</v>
      </c>
      <c r="E40" s="209">
        <v>10000002</v>
      </c>
      <c r="F40" s="209">
        <v>20000336</v>
      </c>
      <c r="G40" s="209" t="s">
        <v>105</v>
      </c>
      <c r="H40" s="209">
        <v>20000336</v>
      </c>
      <c r="I40" s="209">
        <v>2</v>
      </c>
      <c r="J40" s="209" t="s">
        <v>169</v>
      </c>
      <c r="K40" s="209" t="s">
        <v>262</v>
      </c>
      <c r="L40" s="209" t="s">
        <v>171</v>
      </c>
      <c r="M40" s="209" t="s">
        <v>172</v>
      </c>
      <c r="N40" s="209">
        <v>50034634</v>
      </c>
      <c r="O40" s="209" t="s">
        <v>219</v>
      </c>
      <c r="P40" s="209">
        <v>5121</v>
      </c>
      <c r="Q40" s="209" t="s">
        <v>174</v>
      </c>
      <c r="R40" s="209" t="s">
        <v>175</v>
      </c>
      <c r="S40" s="209" t="s">
        <v>176</v>
      </c>
      <c r="T40" s="209" t="s">
        <v>177</v>
      </c>
      <c r="U40" s="209" t="s">
        <v>178</v>
      </c>
      <c r="V40" s="209" t="s">
        <v>179</v>
      </c>
      <c r="W40" s="209" t="s">
        <v>179</v>
      </c>
      <c r="X40" s="209" t="s">
        <v>180</v>
      </c>
      <c r="Y40" s="209" t="s">
        <v>180</v>
      </c>
      <c r="Z40" s="209">
        <v>9521066215</v>
      </c>
      <c r="AA40" s="209" t="s">
        <v>220</v>
      </c>
      <c r="AB40" s="209" t="s">
        <v>180</v>
      </c>
      <c r="AC40" s="209" t="s">
        <v>182</v>
      </c>
      <c r="AD40" s="209">
        <v>9</v>
      </c>
      <c r="AE40" s="209">
        <v>2024</v>
      </c>
      <c r="AF40" s="227">
        <v>45555</v>
      </c>
      <c r="AG40" s="227">
        <v>45560</v>
      </c>
      <c r="AH40" s="227">
        <v>45560</v>
      </c>
      <c r="AI40" s="228">
        <v>364416</v>
      </c>
      <c r="AJ40" s="228">
        <v>52</v>
      </c>
      <c r="AK40" s="228">
        <v>364416</v>
      </c>
      <c r="AL40" s="228">
        <v>52</v>
      </c>
      <c r="AM40" s="228">
        <v>0</v>
      </c>
      <c r="AN40" s="228">
        <v>0</v>
      </c>
      <c r="AO40" s="229">
        <v>39</v>
      </c>
      <c r="AP40" s="231">
        <v>9</v>
      </c>
      <c r="AQ40" s="231">
        <v>2024</v>
      </c>
      <c r="AR40" s="231" t="str">
        <f t="shared" si="0"/>
        <v>09/2024</v>
      </c>
      <c r="AS40" s="231">
        <f t="shared" si="1"/>
        <v>52</v>
      </c>
      <c r="AT40" s="239">
        <f>IF(G40="CERVECERIA Y MALTERIA",(AS40*AK40/1000000)*(1-VLOOKUP(N40,FCST!D:I,6,FALSE)),0)</f>
        <v>18.949632000000001</v>
      </c>
      <c r="AU40" s="232">
        <v>5.0000000000000001E-3</v>
      </c>
      <c r="AV40" s="239">
        <f t="shared" si="2"/>
        <v>19.044380159999999</v>
      </c>
      <c r="AW40" s="239">
        <f>(AS40*AK40/1000000)*(VLOOKUP(N40,FCST!D:I,6,FALSE))</f>
        <v>0</v>
      </c>
      <c r="AX40" s="239">
        <f t="shared" si="3"/>
        <v>0</v>
      </c>
      <c r="AY40" s="239">
        <f>IF($G40="CERVECERIA Y MALTERIA.",($AS40*$AK40/1000000)*(1-VLOOKUP($N40,FCST!D:I,6,FALSE)),0)</f>
        <v>0</v>
      </c>
      <c r="AZ40" s="239">
        <f t="shared" si="4"/>
        <v>0</v>
      </c>
      <c r="BB40" s="240"/>
    </row>
    <row r="41" spans="1:54" x14ac:dyDescent="0.25">
      <c r="A41" s="209">
        <v>1075673</v>
      </c>
      <c r="B41" s="209">
        <v>40</v>
      </c>
      <c r="C41" s="209">
        <v>89272175</v>
      </c>
      <c r="D41" s="209">
        <v>10</v>
      </c>
      <c r="E41" s="209">
        <v>10000002</v>
      </c>
      <c r="F41" s="209">
        <v>20000335</v>
      </c>
      <c r="G41" s="209" t="s">
        <v>105</v>
      </c>
      <c r="H41" s="209">
        <v>20000335</v>
      </c>
      <c r="I41" s="209">
        <v>2</v>
      </c>
      <c r="J41" s="209" t="s">
        <v>169</v>
      </c>
      <c r="K41" s="209" t="s">
        <v>263</v>
      </c>
      <c r="L41" s="209" t="s">
        <v>171</v>
      </c>
      <c r="M41" s="209" t="s">
        <v>172</v>
      </c>
      <c r="N41" s="209">
        <v>50032573</v>
      </c>
      <c r="O41" s="209" t="s">
        <v>173</v>
      </c>
      <c r="P41" s="209">
        <v>5121</v>
      </c>
      <c r="Q41" s="209" t="s">
        <v>174</v>
      </c>
      <c r="R41" s="209" t="s">
        <v>175</v>
      </c>
      <c r="S41" s="209" t="s">
        <v>176</v>
      </c>
      <c r="T41" s="209" t="s">
        <v>177</v>
      </c>
      <c r="U41" s="209" t="s">
        <v>178</v>
      </c>
      <c r="V41" s="209" t="s">
        <v>179</v>
      </c>
      <c r="W41" s="209" t="s">
        <v>179</v>
      </c>
      <c r="X41" s="209" t="s">
        <v>180</v>
      </c>
      <c r="Y41" s="209" t="s">
        <v>180</v>
      </c>
      <c r="Z41" s="209">
        <v>9521066207</v>
      </c>
      <c r="AA41" s="209" t="s">
        <v>181</v>
      </c>
      <c r="AB41" s="209" t="s">
        <v>180</v>
      </c>
      <c r="AC41" s="209" t="s">
        <v>182</v>
      </c>
      <c r="AD41" s="209">
        <v>9</v>
      </c>
      <c r="AE41" s="209">
        <v>2024</v>
      </c>
      <c r="AF41" s="227">
        <v>45555</v>
      </c>
      <c r="AG41" s="227">
        <v>45559</v>
      </c>
      <c r="AH41" s="227">
        <v>45559</v>
      </c>
      <c r="AI41" s="228">
        <v>531648</v>
      </c>
      <c r="AJ41" s="228">
        <v>52</v>
      </c>
      <c r="AK41" s="228">
        <v>531648</v>
      </c>
      <c r="AL41" s="228">
        <v>52</v>
      </c>
      <c r="AM41" s="228">
        <v>0</v>
      </c>
      <c r="AN41" s="228">
        <v>0</v>
      </c>
      <c r="AO41" s="229">
        <v>39</v>
      </c>
      <c r="AP41" s="231">
        <v>9</v>
      </c>
      <c r="AQ41" s="231">
        <v>2024</v>
      </c>
      <c r="AR41" s="231" t="str">
        <f t="shared" si="0"/>
        <v>09/2024</v>
      </c>
      <c r="AS41" s="231">
        <f t="shared" si="1"/>
        <v>37.200000000000003</v>
      </c>
      <c r="AT41" s="239">
        <f>IF(G41="CERVECERIA Y MALTERIA",(AS41*AK41/1000000)*(1-VLOOKUP(N41,FCST!D:I,6,FALSE)),0)</f>
        <v>19.777305600000002</v>
      </c>
      <c r="AU41" s="232">
        <v>5.0000000000000001E-3</v>
      </c>
      <c r="AV41" s="239">
        <f t="shared" si="2"/>
        <v>19.876192128</v>
      </c>
      <c r="AW41" s="239">
        <f>(AS41*AK41/1000000)*(VLOOKUP(N41,FCST!D:I,6,FALSE))</f>
        <v>0</v>
      </c>
      <c r="AX41" s="239">
        <f t="shared" si="3"/>
        <v>0</v>
      </c>
      <c r="AY41" s="239">
        <f>IF($G41="CERVECERIA Y MALTERIA.",($AS41*$AK41/1000000)*(1-VLOOKUP($N41,FCST!D:I,6,FALSE)),0)</f>
        <v>0</v>
      </c>
      <c r="AZ41" s="239">
        <f t="shared" si="4"/>
        <v>0</v>
      </c>
      <c r="BB41" s="240"/>
    </row>
    <row r="42" spans="1:54" x14ac:dyDescent="0.25">
      <c r="A42" s="209">
        <v>1075945</v>
      </c>
      <c r="B42" s="209">
        <v>10</v>
      </c>
      <c r="C42" s="209">
        <v>89272232</v>
      </c>
      <c r="D42" s="209">
        <v>10</v>
      </c>
      <c r="E42" s="209">
        <v>10000002</v>
      </c>
      <c r="F42" s="209">
        <v>20000339</v>
      </c>
      <c r="G42" s="209" t="s">
        <v>105</v>
      </c>
      <c r="H42" s="209">
        <v>20000339</v>
      </c>
      <c r="I42" s="209">
        <v>2</v>
      </c>
      <c r="J42" s="209" t="s">
        <v>169</v>
      </c>
      <c r="K42" s="209" t="s">
        <v>264</v>
      </c>
      <c r="L42" s="209" t="s">
        <v>265</v>
      </c>
      <c r="M42" s="209" t="s">
        <v>172</v>
      </c>
      <c r="N42" s="209">
        <v>50034634</v>
      </c>
      <c r="O42" s="209" t="s">
        <v>219</v>
      </c>
      <c r="P42" s="209">
        <v>5121</v>
      </c>
      <c r="Q42" s="209" t="s">
        <v>174</v>
      </c>
      <c r="R42" s="209" t="s">
        <v>175</v>
      </c>
      <c r="S42" s="209" t="s">
        <v>176</v>
      </c>
      <c r="T42" s="209" t="s">
        <v>177</v>
      </c>
      <c r="U42" s="209" t="s">
        <v>178</v>
      </c>
      <c r="V42" s="209" t="s">
        <v>179</v>
      </c>
      <c r="W42" s="209" t="s">
        <v>179</v>
      </c>
      <c r="X42" s="209" t="s">
        <v>180</v>
      </c>
      <c r="Y42" s="209" t="s">
        <v>180</v>
      </c>
      <c r="Z42" s="209">
        <v>9521066223</v>
      </c>
      <c r="AA42" s="209" t="s">
        <v>233</v>
      </c>
      <c r="AB42" s="209" t="s">
        <v>180</v>
      </c>
      <c r="AC42" s="209" t="s">
        <v>182</v>
      </c>
      <c r="AD42" s="209">
        <v>9</v>
      </c>
      <c r="AE42" s="209">
        <v>2024</v>
      </c>
      <c r="AF42" s="227">
        <v>45559</v>
      </c>
      <c r="AG42" s="227">
        <v>45559</v>
      </c>
      <c r="AH42" s="227">
        <v>45559</v>
      </c>
      <c r="AI42" s="228">
        <v>364416</v>
      </c>
      <c r="AJ42" s="228">
        <v>52</v>
      </c>
      <c r="AK42" s="228">
        <v>364416</v>
      </c>
      <c r="AL42" s="228">
        <v>52</v>
      </c>
      <c r="AM42" s="228">
        <v>0</v>
      </c>
      <c r="AN42" s="228">
        <v>0</v>
      </c>
      <c r="AO42" s="229">
        <v>39</v>
      </c>
      <c r="AP42" s="231">
        <v>9</v>
      </c>
      <c r="AQ42" s="231">
        <v>2024</v>
      </c>
      <c r="AR42" s="231" t="str">
        <f t="shared" si="0"/>
        <v>09/2024</v>
      </c>
      <c r="AS42" s="231">
        <f t="shared" si="1"/>
        <v>52</v>
      </c>
      <c r="AT42" s="239">
        <f>IF(G42="CERVECERIA Y MALTERIA",(AS42*AK42/1000000)*(1-VLOOKUP(N42,FCST!D:I,6,FALSE)),0)</f>
        <v>18.949632000000001</v>
      </c>
      <c r="AU42" s="232">
        <v>5.0000000000000001E-3</v>
      </c>
      <c r="AV42" s="239">
        <f t="shared" si="2"/>
        <v>19.044380159999999</v>
      </c>
      <c r="AW42" s="239">
        <f>(AS42*AK42/1000000)*(VLOOKUP(N42,FCST!D:I,6,FALSE))</f>
        <v>0</v>
      </c>
      <c r="AX42" s="239">
        <f t="shared" si="3"/>
        <v>0</v>
      </c>
      <c r="AY42" s="239">
        <f>IF($G42="CERVECERIA Y MALTERIA.",($AS42*$AK42/1000000)*(1-VLOOKUP($N42,FCST!D:I,6,FALSE)),0)</f>
        <v>0</v>
      </c>
      <c r="AZ42" s="239">
        <f t="shared" si="4"/>
        <v>0</v>
      </c>
      <c r="BB42" s="240"/>
    </row>
    <row r="43" spans="1:54" x14ac:dyDescent="0.25">
      <c r="A43" s="209">
        <v>1075676</v>
      </c>
      <c r="B43" s="209">
        <v>10</v>
      </c>
      <c r="C43" s="209">
        <v>89272243</v>
      </c>
      <c r="D43" s="209">
        <v>10</v>
      </c>
      <c r="E43" s="209">
        <v>10000002</v>
      </c>
      <c r="F43" s="209">
        <v>20000336</v>
      </c>
      <c r="G43" s="209" t="s">
        <v>105</v>
      </c>
      <c r="H43" s="209">
        <v>20000336</v>
      </c>
      <c r="I43" s="209">
        <v>2</v>
      </c>
      <c r="J43" s="209" t="s">
        <v>169</v>
      </c>
      <c r="K43" s="209" t="s">
        <v>266</v>
      </c>
      <c r="L43" s="209" t="s">
        <v>171</v>
      </c>
      <c r="M43" s="209" t="s">
        <v>172</v>
      </c>
      <c r="N43" s="209">
        <v>50034634</v>
      </c>
      <c r="O43" s="209" t="s">
        <v>219</v>
      </c>
      <c r="P43" s="209">
        <v>5121</v>
      </c>
      <c r="Q43" s="209" t="s">
        <v>174</v>
      </c>
      <c r="R43" s="209" t="s">
        <v>175</v>
      </c>
      <c r="S43" s="209" t="s">
        <v>176</v>
      </c>
      <c r="T43" s="209" t="s">
        <v>177</v>
      </c>
      <c r="U43" s="209" t="s">
        <v>178</v>
      </c>
      <c r="V43" s="209" t="s">
        <v>179</v>
      </c>
      <c r="W43" s="209" t="s">
        <v>179</v>
      </c>
      <c r="X43" s="209" t="s">
        <v>180</v>
      </c>
      <c r="Y43" s="209" t="s">
        <v>180</v>
      </c>
      <c r="Z43" s="209">
        <v>9521066215</v>
      </c>
      <c r="AA43" s="209" t="s">
        <v>220</v>
      </c>
      <c r="AB43" s="209" t="s">
        <v>180</v>
      </c>
      <c r="AC43" s="209" t="s">
        <v>182</v>
      </c>
      <c r="AD43" s="209">
        <v>9</v>
      </c>
      <c r="AE43" s="209">
        <v>2024</v>
      </c>
      <c r="AF43" s="227">
        <v>45555</v>
      </c>
      <c r="AG43" s="227">
        <v>45559</v>
      </c>
      <c r="AH43" s="227">
        <v>45559</v>
      </c>
      <c r="AI43" s="228">
        <v>364416</v>
      </c>
      <c r="AJ43" s="228">
        <v>52</v>
      </c>
      <c r="AK43" s="228">
        <v>364416</v>
      </c>
      <c r="AL43" s="228">
        <v>52</v>
      </c>
      <c r="AM43" s="228">
        <v>0</v>
      </c>
      <c r="AN43" s="228">
        <v>0</v>
      </c>
      <c r="AO43" s="229">
        <v>39</v>
      </c>
      <c r="AP43" s="231">
        <v>9</v>
      </c>
      <c r="AQ43" s="231">
        <v>2024</v>
      </c>
      <c r="AR43" s="231" t="str">
        <f t="shared" si="0"/>
        <v>09/2024</v>
      </c>
      <c r="AS43" s="231">
        <f t="shared" si="1"/>
        <v>52</v>
      </c>
      <c r="AT43" s="239">
        <f>IF(G43="CERVECERIA Y MALTERIA",(AS43*AK43/1000000)*(1-VLOOKUP(N43,FCST!D:I,6,FALSE)),0)</f>
        <v>18.949632000000001</v>
      </c>
      <c r="AU43" s="232">
        <v>5.0000000000000001E-3</v>
      </c>
      <c r="AV43" s="239">
        <f t="shared" si="2"/>
        <v>19.044380159999999</v>
      </c>
      <c r="AW43" s="239">
        <f>(AS43*AK43/1000000)*(VLOOKUP(N43,FCST!D:I,6,FALSE))</f>
        <v>0</v>
      </c>
      <c r="AX43" s="239">
        <f t="shared" si="3"/>
        <v>0</v>
      </c>
      <c r="AY43" s="239">
        <f>IF($G43="CERVECERIA Y MALTERIA.",($AS43*$AK43/1000000)*(1-VLOOKUP($N43,FCST!D:I,6,FALSE)),0)</f>
        <v>0</v>
      </c>
      <c r="AZ43" s="239">
        <f t="shared" si="4"/>
        <v>0</v>
      </c>
      <c r="BB43" s="240"/>
    </row>
    <row r="44" spans="1:54" x14ac:dyDescent="0.25">
      <c r="A44" s="209">
        <v>1075945</v>
      </c>
      <c r="B44" s="209">
        <v>20</v>
      </c>
      <c r="C44" s="209">
        <v>89273036</v>
      </c>
      <c r="D44" s="209">
        <v>10</v>
      </c>
      <c r="E44" s="209">
        <v>10000002</v>
      </c>
      <c r="F44" s="209">
        <v>20000339</v>
      </c>
      <c r="G44" s="209" t="s">
        <v>105</v>
      </c>
      <c r="H44" s="209">
        <v>20000339</v>
      </c>
      <c r="I44" s="209">
        <v>2</v>
      </c>
      <c r="J44" s="209" t="s">
        <v>169</v>
      </c>
      <c r="K44" s="209" t="s">
        <v>267</v>
      </c>
      <c r="L44" s="209" t="s">
        <v>265</v>
      </c>
      <c r="M44" s="209" t="s">
        <v>227</v>
      </c>
      <c r="N44" s="209">
        <v>50034634</v>
      </c>
      <c r="O44" s="209" t="s">
        <v>219</v>
      </c>
      <c r="P44" s="209">
        <v>5121</v>
      </c>
      <c r="Q44" s="209" t="s">
        <v>228</v>
      </c>
      <c r="R44" s="209" t="s">
        <v>229</v>
      </c>
      <c r="S44" s="209" t="s">
        <v>230</v>
      </c>
      <c r="T44" s="209" t="s">
        <v>231</v>
      </c>
      <c r="U44" s="209" t="s">
        <v>232</v>
      </c>
      <c r="V44" s="209" t="s">
        <v>179</v>
      </c>
      <c r="W44" s="209" t="s">
        <v>179</v>
      </c>
      <c r="X44" s="209" t="s">
        <v>180</v>
      </c>
      <c r="Y44" s="209" t="s">
        <v>180</v>
      </c>
      <c r="Z44" s="209">
        <v>9521066223</v>
      </c>
      <c r="AA44" s="209" t="s">
        <v>233</v>
      </c>
      <c r="AB44" s="209" t="s">
        <v>180</v>
      </c>
      <c r="AC44" s="209" t="s">
        <v>182</v>
      </c>
      <c r="AD44" s="209">
        <v>9</v>
      </c>
      <c r="AE44" s="209">
        <v>2024</v>
      </c>
      <c r="AF44" s="227">
        <v>45559</v>
      </c>
      <c r="AG44" s="227">
        <v>45559</v>
      </c>
      <c r="AH44" s="227">
        <v>45559</v>
      </c>
      <c r="AI44" s="228">
        <v>364416</v>
      </c>
      <c r="AJ44" s="228">
        <v>52</v>
      </c>
      <c r="AK44" s="228">
        <v>364416</v>
      </c>
      <c r="AL44" s="228">
        <v>52</v>
      </c>
      <c r="AM44" s="228">
        <v>0</v>
      </c>
      <c r="AN44" s="228">
        <v>0</v>
      </c>
      <c r="AO44" s="229">
        <v>39</v>
      </c>
      <c r="AP44" s="231">
        <v>9</v>
      </c>
      <c r="AQ44" s="231">
        <v>2024</v>
      </c>
      <c r="AR44" s="231" t="str">
        <f t="shared" si="0"/>
        <v>09/2024</v>
      </c>
      <c r="AS44" s="231">
        <f t="shared" si="1"/>
        <v>52</v>
      </c>
      <c r="AT44" s="239">
        <f>IF(G44="CERVECERIA Y MALTERIA",(AS44*AK44/1000000)*(1-VLOOKUP(N44,FCST!D:I,6,FALSE)),0)</f>
        <v>18.949632000000001</v>
      </c>
      <c r="AU44" s="232">
        <v>5.0000000000000001E-3</v>
      </c>
      <c r="AV44" s="239">
        <f t="shared" si="2"/>
        <v>19.044380159999999</v>
      </c>
      <c r="AW44" s="239">
        <f>(AS44*AK44/1000000)*(VLOOKUP(N44,FCST!D:I,6,FALSE))</f>
        <v>0</v>
      </c>
      <c r="AX44" s="239">
        <f t="shared" si="3"/>
        <v>0</v>
      </c>
      <c r="AY44" s="239">
        <f>IF($G44="CERVECERIA Y MALTERIA.",($AS44*$AK44/1000000)*(1-VLOOKUP($N44,FCST!D:I,6,FALSE)),0)</f>
        <v>0</v>
      </c>
      <c r="AZ44" s="239">
        <f t="shared" si="4"/>
        <v>0</v>
      </c>
      <c r="BB44" s="240"/>
    </row>
    <row r="45" spans="1:54" x14ac:dyDescent="0.25">
      <c r="A45" s="209">
        <v>1075675</v>
      </c>
      <c r="B45" s="209">
        <v>30</v>
      </c>
      <c r="C45" s="209">
        <v>89274223</v>
      </c>
      <c r="D45" s="209">
        <v>10</v>
      </c>
      <c r="E45" s="209">
        <v>10000002</v>
      </c>
      <c r="F45" s="209">
        <v>20000337</v>
      </c>
      <c r="G45" s="209" t="s">
        <v>105</v>
      </c>
      <c r="H45" s="209">
        <v>20000337</v>
      </c>
      <c r="I45" s="209">
        <v>2</v>
      </c>
      <c r="J45" s="209" t="s">
        <v>169</v>
      </c>
      <c r="K45" s="209" t="s">
        <v>268</v>
      </c>
      <c r="L45" s="209" t="s">
        <v>171</v>
      </c>
      <c r="M45" s="209" t="s">
        <v>172</v>
      </c>
      <c r="N45" s="209">
        <v>50035183</v>
      </c>
      <c r="O45" s="209" t="s">
        <v>215</v>
      </c>
      <c r="P45" s="209">
        <v>5121</v>
      </c>
      <c r="Q45" s="209" t="s">
        <v>174</v>
      </c>
      <c r="R45" s="209" t="s">
        <v>175</v>
      </c>
      <c r="S45" s="209" t="s">
        <v>176</v>
      </c>
      <c r="T45" s="209" t="s">
        <v>177</v>
      </c>
      <c r="U45" s="209" t="s">
        <v>178</v>
      </c>
      <c r="V45" s="209" t="s">
        <v>179</v>
      </c>
      <c r="W45" s="209" t="s">
        <v>179</v>
      </c>
      <c r="X45" s="209" t="s">
        <v>180</v>
      </c>
      <c r="Y45" s="209" t="s">
        <v>180</v>
      </c>
      <c r="Z45" s="209">
        <v>9521066220</v>
      </c>
      <c r="AA45" s="209" t="s">
        <v>240</v>
      </c>
      <c r="AB45" s="209" t="s">
        <v>180</v>
      </c>
      <c r="AC45" s="209" t="s">
        <v>182</v>
      </c>
      <c r="AD45" s="209">
        <v>9</v>
      </c>
      <c r="AE45" s="209">
        <v>2024</v>
      </c>
      <c r="AF45" s="227">
        <v>45555</v>
      </c>
      <c r="AG45" s="227">
        <v>45560</v>
      </c>
      <c r="AH45" s="227">
        <v>45560</v>
      </c>
      <c r="AI45" s="228">
        <v>426816</v>
      </c>
      <c r="AJ45" s="228">
        <v>52</v>
      </c>
      <c r="AK45" s="228">
        <v>426816</v>
      </c>
      <c r="AL45" s="228">
        <v>52</v>
      </c>
      <c r="AM45" s="228">
        <v>0</v>
      </c>
      <c r="AN45" s="228">
        <v>0</v>
      </c>
      <c r="AO45" s="229">
        <v>39</v>
      </c>
      <c r="AP45" s="231">
        <v>9</v>
      </c>
      <c r="AQ45" s="231">
        <v>2024</v>
      </c>
      <c r="AR45" s="231" t="str">
        <f t="shared" si="0"/>
        <v>09/2024</v>
      </c>
      <c r="AS45" s="231">
        <f t="shared" si="1"/>
        <v>46.6</v>
      </c>
      <c r="AT45" s="239">
        <f>IF(G45="CERVECERIA Y MALTERIA",(AS45*AK45/1000000)*(1-VLOOKUP(N45,FCST!D:I,6,FALSE)),0)</f>
        <v>19.889625600000002</v>
      </c>
      <c r="AU45" s="232">
        <v>5.0000000000000001E-3</v>
      </c>
      <c r="AV45" s="239">
        <f t="shared" si="2"/>
        <v>19.989073728000001</v>
      </c>
      <c r="AW45" s="239">
        <f>(AS45*AK45/1000000)*(VLOOKUP(N45,FCST!D:I,6,FALSE))</f>
        <v>0</v>
      </c>
      <c r="AX45" s="239">
        <f t="shared" si="3"/>
        <v>0</v>
      </c>
      <c r="AY45" s="239">
        <f>IF($G45="CERVECERIA Y MALTERIA.",($AS45*$AK45/1000000)*(1-VLOOKUP($N45,FCST!D:I,6,FALSE)),0)</f>
        <v>0</v>
      </c>
      <c r="AZ45" s="239">
        <f t="shared" si="4"/>
        <v>0</v>
      </c>
      <c r="BB45" s="240"/>
    </row>
    <row r="46" spans="1:54" x14ac:dyDescent="0.25">
      <c r="A46" s="209">
        <v>1075673</v>
      </c>
      <c r="B46" s="209">
        <v>50</v>
      </c>
      <c r="C46" s="209">
        <v>89275056</v>
      </c>
      <c r="D46" s="209">
        <v>10</v>
      </c>
      <c r="E46" s="209">
        <v>10000002</v>
      </c>
      <c r="F46" s="209">
        <v>20000335</v>
      </c>
      <c r="G46" s="209" t="s">
        <v>105</v>
      </c>
      <c r="H46" s="209">
        <v>20000335</v>
      </c>
      <c r="I46" s="209">
        <v>2</v>
      </c>
      <c r="J46" s="209" t="s">
        <v>169</v>
      </c>
      <c r="K46" s="209" t="s">
        <v>269</v>
      </c>
      <c r="L46" s="209" t="s">
        <v>171</v>
      </c>
      <c r="M46" s="209" t="s">
        <v>172</v>
      </c>
      <c r="N46" s="209">
        <v>50035183</v>
      </c>
      <c r="O46" s="209" t="s">
        <v>215</v>
      </c>
      <c r="P46" s="209">
        <v>5121</v>
      </c>
      <c r="Q46" s="209" t="s">
        <v>174</v>
      </c>
      <c r="R46" s="209" t="s">
        <v>175</v>
      </c>
      <c r="S46" s="209" t="s">
        <v>176</v>
      </c>
      <c r="T46" s="209" t="s">
        <v>177</v>
      </c>
      <c r="U46" s="209" t="s">
        <v>178</v>
      </c>
      <c r="V46" s="209" t="s">
        <v>179</v>
      </c>
      <c r="W46" s="209" t="s">
        <v>179</v>
      </c>
      <c r="X46" s="209" t="s">
        <v>180</v>
      </c>
      <c r="Y46" s="209" t="s">
        <v>180</v>
      </c>
      <c r="Z46" s="209">
        <v>9521066211</v>
      </c>
      <c r="AA46" s="209" t="s">
        <v>244</v>
      </c>
      <c r="AB46" s="209" t="s">
        <v>180</v>
      </c>
      <c r="AC46" s="209" t="s">
        <v>182</v>
      </c>
      <c r="AD46" s="209">
        <v>9</v>
      </c>
      <c r="AE46" s="209">
        <v>2024</v>
      </c>
      <c r="AF46" s="227">
        <v>45555</v>
      </c>
      <c r="AG46" s="227">
        <v>45560</v>
      </c>
      <c r="AH46" s="227">
        <v>45561</v>
      </c>
      <c r="AI46" s="228">
        <v>426816</v>
      </c>
      <c r="AJ46" s="228">
        <v>52</v>
      </c>
      <c r="AK46" s="228">
        <v>426816</v>
      </c>
      <c r="AL46" s="228">
        <v>52</v>
      </c>
      <c r="AM46" s="228">
        <v>0</v>
      </c>
      <c r="AN46" s="228">
        <v>0</v>
      </c>
      <c r="AO46" s="229">
        <v>39</v>
      </c>
      <c r="AP46" s="231">
        <v>9</v>
      </c>
      <c r="AQ46" s="231">
        <v>2024</v>
      </c>
      <c r="AR46" s="231" t="str">
        <f t="shared" si="0"/>
        <v>09/2024</v>
      </c>
      <c r="AS46" s="231">
        <f t="shared" si="1"/>
        <v>46.6</v>
      </c>
      <c r="AT46" s="239">
        <f>IF(G46="CERVECERIA Y MALTERIA",(AS46*AK46/1000000)*(1-VLOOKUP(N46,FCST!D:I,6,FALSE)),0)</f>
        <v>19.889625600000002</v>
      </c>
      <c r="AU46" s="232">
        <v>5.0000000000000001E-3</v>
      </c>
      <c r="AV46" s="239">
        <f t="shared" si="2"/>
        <v>19.989073728000001</v>
      </c>
      <c r="AW46" s="239">
        <f>(AS46*AK46/1000000)*(VLOOKUP(N46,FCST!D:I,6,FALSE))</f>
        <v>0</v>
      </c>
      <c r="AX46" s="239">
        <f t="shared" si="3"/>
        <v>0</v>
      </c>
      <c r="AY46" s="239">
        <f>IF($G46="CERVECERIA Y MALTERIA.",($AS46*$AK46/1000000)*(1-VLOOKUP($N46,FCST!D:I,6,FALSE)),0)</f>
        <v>0</v>
      </c>
      <c r="AZ46" s="239">
        <f t="shared" si="4"/>
        <v>0</v>
      </c>
      <c r="BB46" s="240"/>
    </row>
    <row r="47" spans="1:54" x14ac:dyDescent="0.25">
      <c r="A47" s="209">
        <v>1075670</v>
      </c>
      <c r="B47" s="209">
        <v>50</v>
      </c>
      <c r="C47" s="209">
        <v>89275083</v>
      </c>
      <c r="D47" s="209">
        <v>10</v>
      </c>
      <c r="E47" s="209">
        <v>10000002</v>
      </c>
      <c r="F47" s="209">
        <v>20000340</v>
      </c>
      <c r="G47" s="209" t="s">
        <v>117</v>
      </c>
      <c r="H47" s="209">
        <v>20000340</v>
      </c>
      <c r="I47" s="209">
        <v>2</v>
      </c>
      <c r="J47" s="209" t="s">
        <v>169</v>
      </c>
      <c r="K47" s="209" t="s">
        <v>270</v>
      </c>
      <c r="L47" s="209" t="s">
        <v>171</v>
      </c>
      <c r="M47" s="209" t="s">
        <v>172</v>
      </c>
      <c r="N47" s="209">
        <v>50025163</v>
      </c>
      <c r="O47" s="209" t="s">
        <v>185</v>
      </c>
      <c r="P47" s="209">
        <v>5101</v>
      </c>
      <c r="Q47" s="209" t="s">
        <v>186</v>
      </c>
      <c r="R47" s="209" t="s">
        <v>175</v>
      </c>
      <c r="S47" s="209" t="s">
        <v>176</v>
      </c>
      <c r="T47" s="209" t="s">
        <v>187</v>
      </c>
      <c r="U47" s="209" t="s">
        <v>188</v>
      </c>
      <c r="V47" s="209" t="s">
        <v>179</v>
      </c>
      <c r="W47" s="209" t="s">
        <v>179</v>
      </c>
      <c r="X47" s="209" t="s">
        <v>180</v>
      </c>
      <c r="Y47" s="209" t="s">
        <v>180</v>
      </c>
      <c r="Z47" s="209">
        <v>9511046822</v>
      </c>
      <c r="AA47" s="209" t="s">
        <v>189</v>
      </c>
      <c r="AB47" s="209" t="s">
        <v>180</v>
      </c>
      <c r="AC47" s="209" t="s">
        <v>182</v>
      </c>
      <c r="AD47" s="209">
        <v>9</v>
      </c>
      <c r="AE47" s="209">
        <v>2024</v>
      </c>
      <c r="AF47" s="227">
        <v>45555</v>
      </c>
      <c r="AG47" s="227">
        <v>45561</v>
      </c>
      <c r="AH47" s="227">
        <v>45561</v>
      </c>
      <c r="AI47" s="228">
        <v>606528</v>
      </c>
      <c r="AJ47" s="228">
        <v>52</v>
      </c>
      <c r="AK47" s="228">
        <v>606528</v>
      </c>
      <c r="AL47" s="228">
        <v>52</v>
      </c>
      <c r="AM47" s="228">
        <v>0</v>
      </c>
      <c r="AN47" s="228">
        <v>0</v>
      </c>
      <c r="AO47" s="229">
        <v>39</v>
      </c>
      <c r="AP47" s="231">
        <v>9</v>
      </c>
      <c r="AQ47" s="231">
        <v>2024</v>
      </c>
      <c r="AR47" s="231" t="str">
        <f t="shared" si="0"/>
        <v>09/2024</v>
      </c>
      <c r="AS47" s="231">
        <f t="shared" si="1"/>
        <v>30</v>
      </c>
      <c r="AT47" s="239">
        <f>IF(G47="CERVECERIA Y MALTERIA",(AS47*AK47/1000000)*(1-VLOOKUP(N47,FCST!D:I,6,FALSE)),0)</f>
        <v>0</v>
      </c>
      <c r="AU47" s="232">
        <v>5.0000000000000001E-3</v>
      </c>
      <c r="AV47" s="239">
        <f t="shared" si="2"/>
        <v>0</v>
      </c>
      <c r="AW47" s="239">
        <f>(AS47*AK47/1000000)*(VLOOKUP(N47,FCST!D:I,6,FALSE))</f>
        <v>0</v>
      </c>
      <c r="AX47" s="239">
        <f t="shared" si="3"/>
        <v>0</v>
      </c>
      <c r="AY47" s="239">
        <f>IF($G47="CERVECERIA Y MALTERIA.",($AS47*$AK47/1000000)*(1-VLOOKUP($N47,FCST!D:I,6,FALSE)),0)</f>
        <v>18.19584</v>
      </c>
      <c r="AZ47" s="239">
        <f t="shared" si="4"/>
        <v>18.2868192</v>
      </c>
      <c r="BB47" s="240"/>
    </row>
    <row r="48" spans="1:54" x14ac:dyDescent="0.25">
      <c r="A48" s="209">
        <v>1071888</v>
      </c>
      <c r="B48" s="209">
        <v>90</v>
      </c>
      <c r="C48" s="209">
        <v>89257624</v>
      </c>
      <c r="D48" s="209">
        <v>10</v>
      </c>
      <c r="E48" s="209">
        <v>10000002</v>
      </c>
      <c r="F48" s="209">
        <v>20000335</v>
      </c>
      <c r="G48" s="209" t="s">
        <v>105</v>
      </c>
      <c r="H48" s="209">
        <v>20000335</v>
      </c>
      <c r="I48" s="209">
        <v>2</v>
      </c>
      <c r="J48" s="209" t="s">
        <v>169</v>
      </c>
      <c r="K48" s="209" t="s">
        <v>271</v>
      </c>
      <c r="L48" s="209" t="s">
        <v>171</v>
      </c>
      <c r="M48" s="209" t="s">
        <v>199</v>
      </c>
      <c r="N48" s="209">
        <v>50032573</v>
      </c>
      <c r="O48" s="209" t="s">
        <v>173</v>
      </c>
      <c r="P48" s="209">
        <v>5121</v>
      </c>
      <c r="Q48" s="209" t="s">
        <v>200</v>
      </c>
      <c r="R48" s="209" t="s">
        <v>201</v>
      </c>
      <c r="S48" s="209" t="s">
        <v>202</v>
      </c>
      <c r="T48" s="209" t="s">
        <v>203</v>
      </c>
      <c r="U48" s="209" t="s">
        <v>201</v>
      </c>
      <c r="V48" s="209" t="s">
        <v>179</v>
      </c>
      <c r="W48" s="209" t="s">
        <v>179</v>
      </c>
      <c r="X48" s="209" t="s">
        <v>180</v>
      </c>
      <c r="Y48" s="209" t="s">
        <v>180</v>
      </c>
      <c r="Z48" s="209">
        <v>9521066207</v>
      </c>
      <c r="AA48" s="209" t="s">
        <v>181</v>
      </c>
      <c r="AB48" s="209" t="s">
        <v>180</v>
      </c>
      <c r="AC48" s="209" t="s">
        <v>182</v>
      </c>
      <c r="AD48" s="209">
        <v>9</v>
      </c>
      <c r="AE48" s="209">
        <v>2024</v>
      </c>
      <c r="AF48" s="227">
        <v>45534</v>
      </c>
      <c r="AG48" s="227">
        <v>45540</v>
      </c>
      <c r="AH48" s="227">
        <v>45540</v>
      </c>
      <c r="AI48" s="228">
        <v>531648</v>
      </c>
      <c r="AJ48" s="228">
        <v>52</v>
      </c>
      <c r="AK48" s="228">
        <v>531648</v>
      </c>
      <c r="AL48" s="228">
        <v>52</v>
      </c>
      <c r="AM48" s="228">
        <v>0</v>
      </c>
      <c r="AN48" s="228">
        <v>0</v>
      </c>
      <c r="AO48" s="229">
        <v>36</v>
      </c>
      <c r="AP48" s="231">
        <v>9</v>
      </c>
      <c r="AQ48" s="231">
        <v>2024</v>
      </c>
      <c r="AR48" s="231" t="str">
        <f t="shared" si="0"/>
        <v>09/2024</v>
      </c>
      <c r="AS48" s="231">
        <f t="shared" si="1"/>
        <v>37.200000000000003</v>
      </c>
      <c r="AT48" s="239">
        <f>IF(G48="CERVECERIA Y MALTERIA",(AS48*AK48/1000000)*(1-VLOOKUP(N48,FCST!D:I,6,FALSE)),0)</f>
        <v>19.777305600000002</v>
      </c>
      <c r="AU48" s="232">
        <v>5.0000000000000001E-3</v>
      </c>
      <c r="AV48" s="239">
        <f t="shared" si="2"/>
        <v>19.876192128</v>
      </c>
      <c r="AW48" s="239">
        <f>(AS48*AK48/1000000)*(VLOOKUP(N48,FCST!D:I,6,FALSE))</f>
        <v>0</v>
      </c>
      <c r="AX48" s="239">
        <f t="shared" si="3"/>
        <v>0</v>
      </c>
      <c r="AY48" s="239">
        <f>IF($G48="CERVECERIA Y MALTERIA.",($AS48*$AK48/1000000)*(1-VLOOKUP($N48,FCST!D:I,6,FALSE)),0)</f>
        <v>0</v>
      </c>
      <c r="AZ48" s="239">
        <f t="shared" si="4"/>
        <v>0</v>
      </c>
      <c r="BB48" s="240"/>
    </row>
    <row r="49" spans="1:54" x14ac:dyDescent="0.25">
      <c r="A49" s="209">
        <v>1071888</v>
      </c>
      <c r="B49" s="209">
        <v>100</v>
      </c>
      <c r="C49" s="209">
        <v>89257952</v>
      </c>
      <c r="D49" s="209">
        <v>10</v>
      </c>
      <c r="E49" s="209">
        <v>10000002</v>
      </c>
      <c r="F49" s="209">
        <v>20000335</v>
      </c>
      <c r="G49" s="209" t="s">
        <v>105</v>
      </c>
      <c r="H49" s="209">
        <v>20000335</v>
      </c>
      <c r="I49" s="209">
        <v>2</v>
      </c>
      <c r="J49" s="209" t="s">
        <v>169</v>
      </c>
      <c r="K49" s="209" t="s">
        <v>272</v>
      </c>
      <c r="L49" s="209" t="s">
        <v>171</v>
      </c>
      <c r="M49" s="209" t="s">
        <v>172</v>
      </c>
      <c r="N49" s="209">
        <v>50034574</v>
      </c>
      <c r="O49" s="209" t="s">
        <v>196</v>
      </c>
      <c r="P49" s="209">
        <v>5121</v>
      </c>
      <c r="Q49" s="209" t="s">
        <v>174</v>
      </c>
      <c r="R49" s="209" t="s">
        <v>175</v>
      </c>
      <c r="S49" s="209" t="s">
        <v>176</v>
      </c>
      <c r="T49" s="209" t="s">
        <v>177</v>
      </c>
      <c r="U49" s="209" t="s">
        <v>178</v>
      </c>
      <c r="V49" s="209" t="s">
        <v>179</v>
      </c>
      <c r="W49" s="209" t="s">
        <v>179</v>
      </c>
      <c r="X49" s="209" t="s">
        <v>180</v>
      </c>
      <c r="Y49" s="209" t="s">
        <v>180</v>
      </c>
      <c r="Z49" s="209">
        <v>9521066209</v>
      </c>
      <c r="AA49" s="209" t="s">
        <v>197</v>
      </c>
      <c r="AB49" s="209" t="s">
        <v>180</v>
      </c>
      <c r="AC49" s="209" t="s">
        <v>182</v>
      </c>
      <c r="AD49" s="209">
        <v>9</v>
      </c>
      <c r="AE49" s="209">
        <v>2024</v>
      </c>
      <c r="AF49" s="227">
        <v>45534</v>
      </c>
      <c r="AG49" s="227">
        <v>45541</v>
      </c>
      <c r="AH49" s="227">
        <v>45541</v>
      </c>
      <c r="AI49" s="228">
        <v>977184</v>
      </c>
      <c r="AJ49" s="228">
        <v>52</v>
      </c>
      <c r="AK49" s="228">
        <v>977184</v>
      </c>
      <c r="AL49" s="228">
        <v>52</v>
      </c>
      <c r="AM49" s="228">
        <v>0</v>
      </c>
      <c r="AN49" s="228">
        <v>0</v>
      </c>
      <c r="AO49" s="229">
        <v>36</v>
      </c>
      <c r="AP49" s="231">
        <v>9</v>
      </c>
      <c r="AQ49" s="231">
        <v>2024</v>
      </c>
      <c r="AR49" s="231" t="str">
        <f t="shared" si="0"/>
        <v>09/2024</v>
      </c>
      <c r="AS49" s="231">
        <f t="shared" si="1"/>
        <v>19.5</v>
      </c>
      <c r="AT49" s="239">
        <f>IF(G49="CERVECERIA Y MALTERIA",(AS49*AK49/1000000)*(1-VLOOKUP(N49,FCST!D:I,6,FALSE)),0)</f>
        <v>19.055088000000001</v>
      </c>
      <c r="AU49" s="232">
        <v>5.0000000000000001E-3</v>
      </c>
      <c r="AV49" s="239">
        <f t="shared" si="2"/>
        <v>19.15036344</v>
      </c>
      <c r="AW49" s="239">
        <f>(AS49*AK49/1000000)*(VLOOKUP(N49,FCST!D:I,6,FALSE))</f>
        <v>0</v>
      </c>
      <c r="AX49" s="239">
        <f t="shared" si="3"/>
        <v>0</v>
      </c>
      <c r="AY49" s="239">
        <f>IF($G49="CERVECERIA Y MALTERIA.",($AS49*$AK49/1000000)*(1-VLOOKUP($N49,FCST!D:I,6,FALSE)),0)</f>
        <v>0</v>
      </c>
      <c r="AZ49" s="239">
        <f t="shared" si="4"/>
        <v>0</v>
      </c>
      <c r="BB49" s="240"/>
    </row>
    <row r="50" spans="1:54" x14ac:dyDescent="0.25">
      <c r="A50" s="209">
        <v>1072959</v>
      </c>
      <c r="B50" s="209">
        <v>10</v>
      </c>
      <c r="C50" s="209">
        <v>89258045</v>
      </c>
      <c r="D50" s="209">
        <v>10</v>
      </c>
      <c r="E50" s="209">
        <v>10000002</v>
      </c>
      <c r="F50" s="209">
        <v>20000336</v>
      </c>
      <c r="G50" s="209" t="s">
        <v>105</v>
      </c>
      <c r="H50" s="209">
        <v>20000336</v>
      </c>
      <c r="I50" s="209">
        <v>2</v>
      </c>
      <c r="J50" s="209" t="s">
        <v>169</v>
      </c>
      <c r="K50" s="209" t="s">
        <v>273</v>
      </c>
      <c r="L50" s="209" t="s">
        <v>171</v>
      </c>
      <c r="M50" s="209" t="s">
        <v>172</v>
      </c>
      <c r="N50" s="209">
        <v>50033268</v>
      </c>
      <c r="O50" s="209" t="s">
        <v>253</v>
      </c>
      <c r="P50" s="209">
        <v>5121</v>
      </c>
      <c r="Q50" s="209" t="s">
        <v>174</v>
      </c>
      <c r="R50" s="209" t="s">
        <v>175</v>
      </c>
      <c r="S50" s="209" t="s">
        <v>176</v>
      </c>
      <c r="T50" s="209" t="s">
        <v>177</v>
      </c>
      <c r="U50" s="209" t="s">
        <v>178</v>
      </c>
      <c r="V50" s="209" t="s">
        <v>179</v>
      </c>
      <c r="W50" s="209" t="s">
        <v>179</v>
      </c>
      <c r="X50" s="209" t="s">
        <v>180</v>
      </c>
      <c r="Y50" s="209" t="s">
        <v>180</v>
      </c>
      <c r="Z50" s="209">
        <v>9521066213</v>
      </c>
      <c r="AA50" s="209" t="s">
        <v>274</v>
      </c>
      <c r="AB50" s="209" t="s">
        <v>180</v>
      </c>
      <c r="AC50" s="209" t="s">
        <v>182</v>
      </c>
      <c r="AD50" s="209">
        <v>9</v>
      </c>
      <c r="AE50" s="209">
        <v>2024</v>
      </c>
      <c r="AF50" s="227">
        <v>45540</v>
      </c>
      <c r="AG50" s="227">
        <v>45541</v>
      </c>
      <c r="AH50" s="227">
        <v>45541</v>
      </c>
      <c r="AI50" s="228">
        <v>344256</v>
      </c>
      <c r="AJ50" s="228">
        <v>44</v>
      </c>
      <c r="AK50" s="228">
        <v>344256</v>
      </c>
      <c r="AL50" s="228">
        <v>44</v>
      </c>
      <c r="AM50" s="228">
        <v>0</v>
      </c>
      <c r="AN50" s="228">
        <v>0</v>
      </c>
      <c r="AO50" s="229">
        <v>36</v>
      </c>
      <c r="AP50" s="231">
        <v>9</v>
      </c>
      <c r="AQ50" s="231">
        <v>2024</v>
      </c>
      <c r="AR50" s="231" t="str">
        <f t="shared" si="0"/>
        <v>09/2024</v>
      </c>
      <c r="AS50" s="231">
        <f t="shared" si="1"/>
        <v>44</v>
      </c>
      <c r="AT50" s="239">
        <f>IF(G50="CERVECERIA Y MALTERIA",(AS50*AK50/1000000)*(1-VLOOKUP(N50,FCST!D:I,6,FALSE)),0)</f>
        <v>15.147264</v>
      </c>
      <c r="AU50" s="232">
        <v>5.0000000000000001E-3</v>
      </c>
      <c r="AV50" s="239">
        <f t="shared" si="2"/>
        <v>15.223000319999999</v>
      </c>
      <c r="AW50" s="239">
        <f>(AS50*AK50/1000000)*(VLOOKUP(N50,FCST!D:I,6,FALSE))</f>
        <v>0</v>
      </c>
      <c r="AX50" s="239">
        <f t="shared" si="3"/>
        <v>0</v>
      </c>
      <c r="AY50" s="239">
        <f>IF($G50="CERVECERIA Y MALTERIA.",($AS50*$AK50/1000000)*(1-VLOOKUP($N50,FCST!D:I,6,FALSE)),0)</f>
        <v>0</v>
      </c>
      <c r="AZ50" s="239">
        <f t="shared" si="4"/>
        <v>0</v>
      </c>
      <c r="BB50" s="240"/>
    </row>
    <row r="51" spans="1:54" x14ac:dyDescent="0.25">
      <c r="A51" s="209">
        <v>1072959</v>
      </c>
      <c r="B51" s="209">
        <v>20</v>
      </c>
      <c r="C51" s="209">
        <v>89258045</v>
      </c>
      <c r="D51" s="209">
        <v>20</v>
      </c>
      <c r="E51" s="209">
        <v>10000002</v>
      </c>
      <c r="F51" s="209">
        <v>20000336</v>
      </c>
      <c r="G51" s="209" t="s">
        <v>105</v>
      </c>
      <c r="H51" s="209">
        <v>20000336</v>
      </c>
      <c r="I51" s="209">
        <v>2</v>
      </c>
      <c r="J51" s="209" t="s">
        <v>169</v>
      </c>
      <c r="K51" s="209" t="s">
        <v>273</v>
      </c>
      <c r="L51" s="209" t="s">
        <v>171</v>
      </c>
      <c r="M51" s="209" t="s">
        <v>172</v>
      </c>
      <c r="N51" s="209">
        <v>50035046</v>
      </c>
      <c r="O51" s="209" t="s">
        <v>251</v>
      </c>
      <c r="P51" s="209">
        <v>5121</v>
      </c>
      <c r="Q51" s="209" t="s">
        <v>174</v>
      </c>
      <c r="R51" s="209" t="s">
        <v>175</v>
      </c>
      <c r="S51" s="209" t="s">
        <v>176</v>
      </c>
      <c r="T51" s="209" t="s">
        <v>177</v>
      </c>
      <c r="U51" s="209" t="s">
        <v>178</v>
      </c>
      <c r="V51" s="209" t="s">
        <v>179</v>
      </c>
      <c r="W51" s="209" t="s">
        <v>179</v>
      </c>
      <c r="X51" s="209" t="s">
        <v>180</v>
      </c>
      <c r="Y51" s="209" t="s">
        <v>180</v>
      </c>
      <c r="Z51" s="209">
        <v>9521066213</v>
      </c>
      <c r="AA51" s="209" t="s">
        <v>274</v>
      </c>
      <c r="AB51" s="209" t="s">
        <v>180</v>
      </c>
      <c r="AC51" s="209" t="s">
        <v>182</v>
      </c>
      <c r="AD51" s="209">
        <v>9</v>
      </c>
      <c r="AE51" s="209">
        <v>2024</v>
      </c>
      <c r="AF51" s="227">
        <v>45540</v>
      </c>
      <c r="AG51" s="227">
        <v>45541</v>
      </c>
      <c r="AH51" s="227">
        <v>45541</v>
      </c>
      <c r="AI51" s="228">
        <v>62592</v>
      </c>
      <c r="AJ51" s="228">
        <v>8</v>
      </c>
      <c r="AK51" s="228">
        <v>62592</v>
      </c>
      <c r="AL51" s="228">
        <v>8</v>
      </c>
      <c r="AM51" s="228">
        <v>0</v>
      </c>
      <c r="AN51" s="228">
        <v>0</v>
      </c>
      <c r="AO51" s="229">
        <v>36</v>
      </c>
      <c r="AP51" s="231">
        <v>9</v>
      </c>
      <c r="AQ51" s="231">
        <v>2024</v>
      </c>
      <c r="AR51" s="231" t="str">
        <f t="shared" si="0"/>
        <v>09/2024</v>
      </c>
      <c r="AS51" s="231">
        <f t="shared" si="1"/>
        <v>44</v>
      </c>
      <c r="AT51" s="239">
        <f>IF(G51="CERVECERIA Y MALTERIA",(AS51*AK51/1000000)*(1-VLOOKUP(N51,FCST!D:I,6,FALSE)),0)</f>
        <v>2.7540480000000001</v>
      </c>
      <c r="AU51" s="232">
        <v>5.0000000000000001E-3</v>
      </c>
      <c r="AV51" s="239">
        <f t="shared" si="2"/>
        <v>2.7678182399999995</v>
      </c>
      <c r="AW51" s="239">
        <f>(AS51*AK51/1000000)*(VLOOKUP(N51,FCST!D:I,6,FALSE))</f>
        <v>0</v>
      </c>
      <c r="AX51" s="239">
        <f t="shared" si="3"/>
        <v>0</v>
      </c>
      <c r="AY51" s="239">
        <f>IF($G51="CERVECERIA Y MALTERIA.",($AS51*$AK51/1000000)*(1-VLOOKUP($N51,FCST!D:I,6,FALSE)),0)</f>
        <v>0</v>
      </c>
      <c r="AZ51" s="239">
        <f t="shared" si="4"/>
        <v>0</v>
      </c>
      <c r="BB51" s="240"/>
    </row>
    <row r="52" spans="1:54" x14ac:dyDescent="0.25">
      <c r="A52" s="209">
        <v>1072492</v>
      </c>
      <c r="B52" s="209">
        <v>10</v>
      </c>
      <c r="C52" s="209">
        <v>89258062</v>
      </c>
      <c r="D52" s="209">
        <v>10</v>
      </c>
      <c r="E52" s="209">
        <v>10000002</v>
      </c>
      <c r="F52" s="209">
        <v>20000339</v>
      </c>
      <c r="G52" s="209" t="s">
        <v>105</v>
      </c>
      <c r="H52" s="209">
        <v>20000339</v>
      </c>
      <c r="I52" s="209">
        <v>2</v>
      </c>
      <c r="J52" s="209" t="s">
        <v>169</v>
      </c>
      <c r="K52" s="209" t="s">
        <v>275</v>
      </c>
      <c r="L52" s="209" t="s">
        <v>171</v>
      </c>
      <c r="M52" s="209" t="s">
        <v>172</v>
      </c>
      <c r="N52" s="209">
        <v>50034194</v>
      </c>
      <c r="O52" s="209" t="s">
        <v>276</v>
      </c>
      <c r="P52" s="209">
        <v>5121</v>
      </c>
      <c r="Q52" s="209" t="s">
        <v>174</v>
      </c>
      <c r="R52" s="209" t="s">
        <v>175</v>
      </c>
      <c r="S52" s="209" t="s">
        <v>176</v>
      </c>
      <c r="T52" s="209" t="s">
        <v>177</v>
      </c>
      <c r="U52" s="209" t="s">
        <v>178</v>
      </c>
      <c r="V52" s="209" t="s">
        <v>179</v>
      </c>
      <c r="W52" s="209" t="s">
        <v>179</v>
      </c>
      <c r="X52" s="209" t="s">
        <v>180</v>
      </c>
      <c r="Y52" s="209" t="s">
        <v>180</v>
      </c>
      <c r="Z52" s="209">
        <v>9521066222</v>
      </c>
      <c r="AA52" s="209" t="s">
        <v>277</v>
      </c>
      <c r="AB52" s="209" t="s">
        <v>180</v>
      </c>
      <c r="AC52" s="209" t="s">
        <v>182</v>
      </c>
      <c r="AD52" s="209">
        <v>9</v>
      </c>
      <c r="AE52" s="209">
        <v>2024</v>
      </c>
      <c r="AF52" s="227">
        <v>45538</v>
      </c>
      <c r="AG52" s="227">
        <v>45541</v>
      </c>
      <c r="AH52" s="227">
        <v>45541</v>
      </c>
      <c r="AI52" s="228">
        <v>243840</v>
      </c>
      <c r="AJ52" s="228">
        <v>40</v>
      </c>
      <c r="AK52" s="228">
        <v>243840</v>
      </c>
      <c r="AL52" s="228">
        <v>40</v>
      </c>
      <c r="AM52" s="228">
        <v>0</v>
      </c>
      <c r="AN52" s="228">
        <v>0</v>
      </c>
      <c r="AO52" s="229">
        <v>36</v>
      </c>
      <c r="AP52" s="231">
        <v>9</v>
      </c>
      <c r="AQ52" s="231">
        <v>2024</v>
      </c>
      <c r="AR52" s="231" t="str">
        <f t="shared" ref="AR52:AR112" si="5">+IF(AP52&lt;10,"0"&amp;AP52&amp; "/"&amp;AQ52,AP52&amp; "/"&amp;AQ52)</f>
        <v>09/2024</v>
      </c>
      <c r="AS52" s="231">
        <f t="shared" ref="AS52:AS112" si="6">VALUE(MID(INDEX(_xlfn.TEXTSPLIT(O52, ","), 1, 3), 1,FIND("G", INDEX(_xlfn.TEXTSPLIT(O52, ","), 1, 3))-1))</f>
        <v>62</v>
      </c>
      <c r="AT52" s="239">
        <f>IF(G52="CERVECERIA Y MALTERIA",(AS52*AK52/1000000)*(1-VLOOKUP(N52,FCST!D:I,6,FALSE)),0)</f>
        <v>15.118080000000001</v>
      </c>
      <c r="AU52" s="232">
        <v>5.0000000000000001E-3</v>
      </c>
      <c r="AV52" s="239">
        <f t="shared" ref="AV52:AV112" si="7">+AT52*(1+AU52)</f>
        <v>15.193670399999998</v>
      </c>
      <c r="AW52" s="239">
        <f>(AS52*AK52/1000000)*(VLOOKUP(N52,FCST!D:I,6,FALSE))</f>
        <v>0</v>
      </c>
      <c r="AX52" s="239">
        <f t="shared" ref="AX52:AX112" si="8">+AW52*(1+AU52)</f>
        <v>0</v>
      </c>
      <c r="AY52" s="239">
        <f>IF($G52="CERVECERIA Y MALTERIA.",($AS52*$AK52/1000000)*(1-VLOOKUP($N52,FCST!D:I,6,FALSE)),0)</f>
        <v>0</v>
      </c>
      <c r="AZ52" s="239">
        <f t="shared" si="4"/>
        <v>0</v>
      </c>
      <c r="BB52" s="240"/>
    </row>
    <row r="53" spans="1:54" x14ac:dyDescent="0.25">
      <c r="A53" s="209">
        <v>1072893</v>
      </c>
      <c r="B53" s="209">
        <v>10</v>
      </c>
      <c r="C53" s="209">
        <v>89258063</v>
      </c>
      <c r="D53" s="209">
        <v>10</v>
      </c>
      <c r="E53" s="209">
        <v>10000002</v>
      </c>
      <c r="F53" s="209">
        <v>20000339</v>
      </c>
      <c r="G53" s="209" t="s">
        <v>105</v>
      </c>
      <c r="H53" s="209">
        <v>20000339</v>
      </c>
      <c r="I53" s="209">
        <v>2</v>
      </c>
      <c r="J53" s="209" t="s">
        <v>169</v>
      </c>
      <c r="K53" s="209" t="s">
        <v>278</v>
      </c>
      <c r="L53" s="209" t="s">
        <v>171</v>
      </c>
      <c r="M53" s="209" t="s">
        <v>172</v>
      </c>
      <c r="N53" s="209">
        <v>50034577</v>
      </c>
      <c r="O53" s="209" t="s">
        <v>237</v>
      </c>
      <c r="P53" s="209">
        <v>5101</v>
      </c>
      <c r="Q53" s="209" t="s">
        <v>186</v>
      </c>
      <c r="R53" s="209" t="s">
        <v>175</v>
      </c>
      <c r="S53" s="209" t="s">
        <v>176</v>
      </c>
      <c r="T53" s="209" t="s">
        <v>187</v>
      </c>
      <c r="U53" s="209" t="s">
        <v>188</v>
      </c>
      <c r="V53" s="209" t="s">
        <v>179</v>
      </c>
      <c r="W53" s="209" t="s">
        <v>179</v>
      </c>
      <c r="X53" s="209" t="s">
        <v>180</v>
      </c>
      <c r="Y53" s="209" t="s">
        <v>180</v>
      </c>
      <c r="Z53" s="209">
        <v>9511046820</v>
      </c>
      <c r="AA53" s="209" t="s">
        <v>238</v>
      </c>
      <c r="AB53" s="209" t="s">
        <v>180</v>
      </c>
      <c r="AC53" s="209" t="s">
        <v>182</v>
      </c>
      <c r="AD53" s="209">
        <v>9</v>
      </c>
      <c r="AE53" s="209">
        <v>2024</v>
      </c>
      <c r="AF53" s="227">
        <v>45540</v>
      </c>
      <c r="AG53" s="227">
        <v>45541</v>
      </c>
      <c r="AH53" s="227">
        <v>45541</v>
      </c>
      <c r="AI53" s="228">
        <v>171648</v>
      </c>
      <c r="AJ53" s="228">
        <v>12</v>
      </c>
      <c r="AK53" s="228">
        <v>171648</v>
      </c>
      <c r="AL53" s="228">
        <v>12</v>
      </c>
      <c r="AM53" s="228">
        <v>0</v>
      </c>
      <c r="AN53" s="228">
        <v>0</v>
      </c>
      <c r="AO53" s="229">
        <v>36</v>
      </c>
      <c r="AP53" s="231">
        <v>9</v>
      </c>
      <c r="AQ53" s="231">
        <v>2024</v>
      </c>
      <c r="AR53" s="231" t="str">
        <f t="shared" si="5"/>
        <v>09/2024</v>
      </c>
      <c r="AS53" s="231">
        <f t="shared" si="6"/>
        <v>25</v>
      </c>
      <c r="AT53" s="239">
        <f>IF(G53="CERVECERIA Y MALTERIA",(AS53*AK53/1000000)*(1-VLOOKUP(N53,FCST!D:I,6,FALSE)),0)</f>
        <v>4.2911999999999999</v>
      </c>
      <c r="AU53" s="232">
        <v>5.0000000000000001E-3</v>
      </c>
      <c r="AV53" s="239">
        <f t="shared" si="7"/>
        <v>4.3126559999999996</v>
      </c>
      <c r="AW53" s="239">
        <f>(AS53*AK53/1000000)*(VLOOKUP(N53,FCST!D:I,6,FALSE))</f>
        <v>0</v>
      </c>
      <c r="AX53" s="239">
        <f t="shared" si="8"/>
        <v>0</v>
      </c>
      <c r="AY53" s="239">
        <f>IF($G53="CERVECERIA Y MALTERIA.",($AS53*$AK53/1000000)*(1-VLOOKUP($N53,FCST!D:I,6,FALSE)),0)</f>
        <v>0</v>
      </c>
      <c r="AZ53" s="239">
        <f t="shared" si="4"/>
        <v>0</v>
      </c>
      <c r="BB53" s="240"/>
    </row>
    <row r="54" spans="1:54" x14ac:dyDescent="0.25">
      <c r="A54" s="209">
        <v>1071888</v>
      </c>
      <c r="B54" s="209">
        <v>70</v>
      </c>
      <c r="C54" s="209">
        <v>89256843</v>
      </c>
      <c r="D54" s="209">
        <v>10</v>
      </c>
      <c r="E54" s="209">
        <v>10000002</v>
      </c>
      <c r="F54" s="209">
        <v>20000335</v>
      </c>
      <c r="G54" s="209" t="s">
        <v>105</v>
      </c>
      <c r="H54" s="209">
        <v>20000335</v>
      </c>
      <c r="I54" s="209">
        <v>2</v>
      </c>
      <c r="J54" s="209" t="s">
        <v>169</v>
      </c>
      <c r="K54" s="209" t="s">
        <v>279</v>
      </c>
      <c r="L54" s="209" t="s">
        <v>171</v>
      </c>
      <c r="M54" s="209" t="s">
        <v>172</v>
      </c>
      <c r="N54" s="209">
        <v>50034574</v>
      </c>
      <c r="O54" s="209" t="s">
        <v>196</v>
      </c>
      <c r="P54" s="209">
        <v>5121</v>
      </c>
      <c r="Q54" s="209" t="s">
        <v>174</v>
      </c>
      <c r="R54" s="209" t="s">
        <v>175</v>
      </c>
      <c r="S54" s="209" t="s">
        <v>176</v>
      </c>
      <c r="T54" s="209" t="s">
        <v>177</v>
      </c>
      <c r="U54" s="209" t="s">
        <v>178</v>
      </c>
      <c r="V54" s="209" t="s">
        <v>179</v>
      </c>
      <c r="W54" s="209" t="s">
        <v>179</v>
      </c>
      <c r="X54" s="209" t="s">
        <v>180</v>
      </c>
      <c r="Y54" s="209" t="s">
        <v>180</v>
      </c>
      <c r="Z54" s="209">
        <v>9521066209</v>
      </c>
      <c r="AA54" s="209" t="s">
        <v>197</v>
      </c>
      <c r="AB54" s="209" t="s">
        <v>180</v>
      </c>
      <c r="AC54" s="209" t="s">
        <v>182</v>
      </c>
      <c r="AD54" s="209">
        <v>9</v>
      </c>
      <c r="AE54" s="209">
        <v>2024</v>
      </c>
      <c r="AF54" s="227">
        <v>45534</v>
      </c>
      <c r="AG54" s="227">
        <v>45540</v>
      </c>
      <c r="AH54" s="227">
        <v>45540</v>
      </c>
      <c r="AI54" s="228">
        <v>977184</v>
      </c>
      <c r="AJ54" s="228">
        <v>52</v>
      </c>
      <c r="AK54" s="228">
        <v>977184</v>
      </c>
      <c r="AL54" s="228">
        <v>52</v>
      </c>
      <c r="AM54" s="228">
        <v>0</v>
      </c>
      <c r="AN54" s="228">
        <v>0</v>
      </c>
      <c r="AO54" s="229">
        <v>36</v>
      </c>
      <c r="AP54" s="231">
        <v>9</v>
      </c>
      <c r="AQ54" s="231">
        <v>2024</v>
      </c>
      <c r="AR54" s="231" t="str">
        <f t="shared" si="5"/>
        <v>09/2024</v>
      </c>
      <c r="AS54" s="231">
        <f t="shared" si="6"/>
        <v>19.5</v>
      </c>
      <c r="AT54" s="239">
        <f>IF(G54="CERVECERIA Y MALTERIA",(AS54*AK54/1000000)*(1-VLOOKUP(N54,FCST!D:I,6,FALSE)),0)</f>
        <v>19.055088000000001</v>
      </c>
      <c r="AU54" s="232">
        <v>5.0000000000000001E-3</v>
      </c>
      <c r="AV54" s="239">
        <f t="shared" si="7"/>
        <v>19.15036344</v>
      </c>
      <c r="AW54" s="239">
        <f>(AS54*AK54/1000000)*(VLOOKUP(N54,FCST!D:I,6,FALSE))</f>
        <v>0</v>
      </c>
      <c r="AX54" s="239">
        <f t="shared" si="8"/>
        <v>0</v>
      </c>
      <c r="AY54" s="239">
        <f>IF($G54="CERVECERIA Y MALTERIA.",($AS54*$AK54/1000000)*(1-VLOOKUP($N54,FCST!D:I,6,FALSE)),0)</f>
        <v>0</v>
      </c>
      <c r="AZ54" s="239">
        <f t="shared" si="4"/>
        <v>0</v>
      </c>
      <c r="BB54" s="240"/>
    </row>
    <row r="55" spans="1:54" x14ac:dyDescent="0.25">
      <c r="A55" s="209">
        <v>1071888</v>
      </c>
      <c r="B55" s="209">
        <v>80</v>
      </c>
      <c r="C55" s="209">
        <v>89257043</v>
      </c>
      <c r="D55" s="209">
        <v>10</v>
      </c>
      <c r="E55" s="209">
        <v>10000002</v>
      </c>
      <c r="F55" s="209">
        <v>20000335</v>
      </c>
      <c r="G55" s="209" t="s">
        <v>105</v>
      </c>
      <c r="H55" s="209">
        <v>20000335</v>
      </c>
      <c r="I55" s="209">
        <v>2</v>
      </c>
      <c r="J55" s="209" t="s">
        <v>169</v>
      </c>
      <c r="K55" s="209" t="s">
        <v>280</v>
      </c>
      <c r="L55" s="209" t="s">
        <v>171</v>
      </c>
      <c r="M55" s="209" t="s">
        <v>199</v>
      </c>
      <c r="N55" s="209">
        <v>50034616</v>
      </c>
      <c r="O55" s="209" t="s">
        <v>191</v>
      </c>
      <c r="P55" s="209">
        <v>5121</v>
      </c>
      <c r="Q55" s="209" t="s">
        <v>200</v>
      </c>
      <c r="R55" s="209" t="s">
        <v>201</v>
      </c>
      <c r="S55" s="209" t="s">
        <v>202</v>
      </c>
      <c r="T55" s="209" t="s">
        <v>203</v>
      </c>
      <c r="U55" s="209" t="s">
        <v>201</v>
      </c>
      <c r="V55" s="209" t="s">
        <v>179</v>
      </c>
      <c r="W55" s="209" t="s">
        <v>179</v>
      </c>
      <c r="X55" s="209" t="s">
        <v>180</v>
      </c>
      <c r="Y55" s="209" t="s">
        <v>180</v>
      </c>
      <c r="Z55" s="209">
        <v>9521066203</v>
      </c>
      <c r="AA55" s="209" t="s">
        <v>281</v>
      </c>
      <c r="AB55" s="209" t="s">
        <v>180</v>
      </c>
      <c r="AC55" s="209" t="s">
        <v>182</v>
      </c>
      <c r="AD55" s="209">
        <v>9</v>
      </c>
      <c r="AE55" s="209">
        <v>2024</v>
      </c>
      <c r="AF55" s="227">
        <v>45534</v>
      </c>
      <c r="AG55" s="227">
        <v>45540</v>
      </c>
      <c r="AH55" s="227">
        <v>45540</v>
      </c>
      <c r="AI55" s="228">
        <v>361152</v>
      </c>
      <c r="AJ55" s="228">
        <v>44</v>
      </c>
      <c r="AK55" s="228">
        <v>361152</v>
      </c>
      <c r="AL55" s="228">
        <v>44</v>
      </c>
      <c r="AM55" s="228">
        <v>0</v>
      </c>
      <c r="AN55" s="228">
        <v>0</v>
      </c>
      <c r="AO55" s="229">
        <v>36</v>
      </c>
      <c r="AP55" s="231">
        <v>9</v>
      </c>
      <c r="AQ55" s="231">
        <v>2024</v>
      </c>
      <c r="AR55" s="231" t="str">
        <f t="shared" si="5"/>
        <v>09/2024</v>
      </c>
      <c r="AS55" s="231">
        <f t="shared" si="6"/>
        <v>46.6</v>
      </c>
      <c r="AT55" s="239">
        <f>IF(G55="CERVECERIA Y MALTERIA",(AS55*AK55/1000000)*(1-VLOOKUP(N55,FCST!D:I,6,FALSE)),0)</f>
        <v>16.829683199999998</v>
      </c>
      <c r="AU55" s="232">
        <v>5.0000000000000001E-3</v>
      </c>
      <c r="AV55" s="239">
        <f t="shared" si="7"/>
        <v>16.913831615999996</v>
      </c>
      <c r="AW55" s="239">
        <f>(AS55*AK55/1000000)*(VLOOKUP(N55,FCST!D:I,6,FALSE))</f>
        <v>0</v>
      </c>
      <c r="AX55" s="239">
        <f t="shared" si="8"/>
        <v>0</v>
      </c>
      <c r="AY55" s="239">
        <f>IF($G55="CERVECERIA Y MALTERIA.",($AS55*$AK55/1000000)*(1-VLOOKUP($N55,FCST!D:I,6,FALSE)),0)</f>
        <v>0</v>
      </c>
      <c r="AZ55" s="239">
        <f t="shared" si="4"/>
        <v>0</v>
      </c>
      <c r="BB55" s="240"/>
    </row>
    <row r="56" spans="1:54" x14ac:dyDescent="0.25">
      <c r="A56" s="209">
        <v>1071888</v>
      </c>
      <c r="B56" s="209">
        <v>140</v>
      </c>
      <c r="C56" s="209">
        <v>89257043</v>
      </c>
      <c r="D56" s="209">
        <v>20</v>
      </c>
      <c r="E56" s="209">
        <v>10000002</v>
      </c>
      <c r="F56" s="209">
        <v>20000335</v>
      </c>
      <c r="G56" s="209" t="s">
        <v>105</v>
      </c>
      <c r="H56" s="209">
        <v>20000335</v>
      </c>
      <c r="I56" s="209">
        <v>2</v>
      </c>
      <c r="J56" s="209" t="s">
        <v>169</v>
      </c>
      <c r="K56" s="209" t="s">
        <v>280</v>
      </c>
      <c r="L56" s="209" t="s">
        <v>171</v>
      </c>
      <c r="M56" s="209" t="s">
        <v>199</v>
      </c>
      <c r="N56" s="209">
        <v>50032580</v>
      </c>
      <c r="O56" s="209" t="s">
        <v>282</v>
      </c>
      <c r="P56" s="209">
        <v>5121</v>
      </c>
      <c r="Q56" s="209" t="s">
        <v>200</v>
      </c>
      <c r="R56" s="209" t="s">
        <v>201</v>
      </c>
      <c r="S56" s="209" t="s">
        <v>202</v>
      </c>
      <c r="T56" s="209" t="s">
        <v>203</v>
      </c>
      <c r="U56" s="209" t="s">
        <v>201</v>
      </c>
      <c r="V56" s="209" t="s">
        <v>179</v>
      </c>
      <c r="W56" s="209" t="s">
        <v>179</v>
      </c>
      <c r="X56" s="209" t="s">
        <v>180</v>
      </c>
      <c r="Y56" s="209" t="s">
        <v>180</v>
      </c>
      <c r="Z56" s="209">
        <v>9521066203</v>
      </c>
      <c r="AA56" s="209" t="s">
        <v>281</v>
      </c>
      <c r="AB56" s="209" t="s">
        <v>180</v>
      </c>
      <c r="AC56" s="209" t="s">
        <v>182</v>
      </c>
      <c r="AD56" s="209">
        <v>9</v>
      </c>
      <c r="AE56" s="209">
        <v>2024</v>
      </c>
      <c r="AF56" s="227">
        <v>45534</v>
      </c>
      <c r="AG56" s="227">
        <v>45540</v>
      </c>
      <c r="AH56" s="227">
        <v>45540</v>
      </c>
      <c r="AI56" s="228">
        <v>81792</v>
      </c>
      <c r="AJ56" s="228">
        <v>8</v>
      </c>
      <c r="AK56" s="228">
        <v>81792</v>
      </c>
      <c r="AL56" s="228">
        <v>8</v>
      </c>
      <c r="AM56" s="228">
        <v>0</v>
      </c>
      <c r="AN56" s="228">
        <v>0</v>
      </c>
      <c r="AO56" s="229">
        <v>36</v>
      </c>
      <c r="AP56" s="231">
        <v>9</v>
      </c>
      <c r="AQ56" s="231">
        <v>2024</v>
      </c>
      <c r="AR56" s="231" t="str">
        <f t="shared" si="5"/>
        <v>09/2024</v>
      </c>
      <c r="AS56" s="231">
        <f t="shared" si="6"/>
        <v>37.200000000000003</v>
      </c>
      <c r="AT56" s="239">
        <f>IF(G56="CERVECERIA Y MALTERIA",(AS56*AK56/1000000)*(1-VLOOKUP(N56,FCST!D:I,6,FALSE)),0)</f>
        <v>3.0426624000000002</v>
      </c>
      <c r="AU56" s="232">
        <v>5.0000000000000001E-3</v>
      </c>
      <c r="AV56" s="239">
        <f t="shared" si="7"/>
        <v>3.057875712</v>
      </c>
      <c r="AW56" s="239">
        <f>(AS56*AK56/1000000)*(VLOOKUP(N56,FCST!D:I,6,FALSE))</f>
        <v>0</v>
      </c>
      <c r="AX56" s="239">
        <f t="shared" si="8"/>
        <v>0</v>
      </c>
      <c r="AY56" s="239">
        <f>IF($G56="CERVECERIA Y MALTERIA.",($AS56*$AK56/1000000)*(1-VLOOKUP($N56,FCST!D:I,6,FALSE)),0)</f>
        <v>0</v>
      </c>
      <c r="AZ56" s="239">
        <f t="shared" si="4"/>
        <v>0</v>
      </c>
      <c r="BB56" s="240"/>
    </row>
    <row r="57" spans="1:54" x14ac:dyDescent="0.25">
      <c r="A57" s="209">
        <v>1071888</v>
      </c>
      <c r="B57" s="209">
        <v>130</v>
      </c>
      <c r="C57" s="209">
        <v>89257156</v>
      </c>
      <c r="D57" s="209">
        <v>10</v>
      </c>
      <c r="E57" s="209">
        <v>10000002</v>
      </c>
      <c r="F57" s="209">
        <v>20000335</v>
      </c>
      <c r="G57" s="209" t="s">
        <v>105</v>
      </c>
      <c r="H57" s="209">
        <v>20000335</v>
      </c>
      <c r="I57" s="209">
        <v>2</v>
      </c>
      <c r="J57" s="209" t="s">
        <v>169</v>
      </c>
      <c r="K57" s="209" t="s">
        <v>283</v>
      </c>
      <c r="L57" s="209" t="s">
        <v>171</v>
      </c>
      <c r="M57" s="209" t="s">
        <v>172</v>
      </c>
      <c r="N57" s="209">
        <v>50034616</v>
      </c>
      <c r="O57" s="209" t="s">
        <v>191</v>
      </c>
      <c r="P57" s="209">
        <v>5121</v>
      </c>
      <c r="Q57" s="209" t="s">
        <v>174</v>
      </c>
      <c r="R57" s="209" t="s">
        <v>175</v>
      </c>
      <c r="S57" s="209" t="s">
        <v>176</v>
      </c>
      <c r="T57" s="209" t="s">
        <v>177</v>
      </c>
      <c r="U57" s="209" t="s">
        <v>178</v>
      </c>
      <c r="V57" s="209" t="s">
        <v>179</v>
      </c>
      <c r="W57" s="209" t="s">
        <v>179</v>
      </c>
      <c r="X57" s="209" t="s">
        <v>180</v>
      </c>
      <c r="Y57" s="209" t="s">
        <v>180</v>
      </c>
      <c r="Z57" s="209">
        <v>9521066210</v>
      </c>
      <c r="AA57" s="209" t="s">
        <v>192</v>
      </c>
      <c r="AB57" s="209" t="s">
        <v>180</v>
      </c>
      <c r="AC57" s="209" t="s">
        <v>182</v>
      </c>
      <c r="AD57" s="209">
        <v>9</v>
      </c>
      <c r="AE57" s="209">
        <v>2024</v>
      </c>
      <c r="AF57" s="227">
        <v>45534</v>
      </c>
      <c r="AG57" s="227">
        <v>45540</v>
      </c>
      <c r="AH57" s="227">
        <v>45540</v>
      </c>
      <c r="AI57" s="228">
        <v>213408</v>
      </c>
      <c r="AJ57" s="228">
        <v>26</v>
      </c>
      <c r="AK57" s="228">
        <v>213408</v>
      </c>
      <c r="AL57" s="228">
        <v>26</v>
      </c>
      <c r="AM57" s="228">
        <v>0</v>
      </c>
      <c r="AN57" s="228">
        <v>0</v>
      </c>
      <c r="AO57" s="229">
        <v>36</v>
      </c>
      <c r="AP57" s="231">
        <v>9</v>
      </c>
      <c r="AQ57" s="231">
        <v>2024</v>
      </c>
      <c r="AR57" s="231" t="str">
        <f t="shared" si="5"/>
        <v>09/2024</v>
      </c>
      <c r="AS57" s="231">
        <f t="shared" si="6"/>
        <v>46.6</v>
      </c>
      <c r="AT57" s="239">
        <f>IF(G57="CERVECERIA Y MALTERIA",(AS57*AK57/1000000)*(1-VLOOKUP(N57,FCST!D:I,6,FALSE)),0)</f>
        <v>9.9448128000000011</v>
      </c>
      <c r="AU57" s="232">
        <v>5.0000000000000001E-3</v>
      </c>
      <c r="AV57" s="239">
        <f t="shared" si="7"/>
        <v>9.9945368640000005</v>
      </c>
      <c r="AW57" s="239">
        <f>(AS57*AK57/1000000)*(VLOOKUP(N57,FCST!D:I,6,FALSE))</f>
        <v>0</v>
      </c>
      <c r="AX57" s="239">
        <f t="shared" si="8"/>
        <v>0</v>
      </c>
      <c r="AY57" s="239">
        <f>IF($G57="CERVECERIA Y MALTERIA.",($AS57*$AK57/1000000)*(1-VLOOKUP($N57,FCST!D:I,6,FALSE)),0)</f>
        <v>0</v>
      </c>
      <c r="AZ57" s="239">
        <f t="shared" si="4"/>
        <v>0</v>
      </c>
      <c r="BB57" s="240"/>
    </row>
    <row r="58" spans="1:54" x14ac:dyDescent="0.25">
      <c r="A58" s="209">
        <v>1071895</v>
      </c>
      <c r="B58" s="209">
        <v>40</v>
      </c>
      <c r="C58" s="209">
        <v>89257157</v>
      </c>
      <c r="D58" s="209">
        <v>10</v>
      </c>
      <c r="E58" s="209">
        <v>10000002</v>
      </c>
      <c r="F58" s="209">
        <v>20000340</v>
      </c>
      <c r="G58" s="209" t="s">
        <v>117</v>
      </c>
      <c r="H58" s="209">
        <v>20000340</v>
      </c>
      <c r="I58" s="209">
        <v>2</v>
      </c>
      <c r="J58" s="209" t="s">
        <v>169</v>
      </c>
      <c r="K58" s="209" t="s">
        <v>284</v>
      </c>
      <c r="L58" s="209" t="s">
        <v>171</v>
      </c>
      <c r="M58" s="209" t="s">
        <v>172</v>
      </c>
      <c r="N58" s="209">
        <v>50027468</v>
      </c>
      <c r="O58" s="209" t="s">
        <v>285</v>
      </c>
      <c r="P58" s="209">
        <v>5101</v>
      </c>
      <c r="Q58" s="209" t="s">
        <v>186</v>
      </c>
      <c r="R58" s="209" t="s">
        <v>175</v>
      </c>
      <c r="S58" s="209" t="s">
        <v>176</v>
      </c>
      <c r="T58" s="209" t="s">
        <v>187</v>
      </c>
      <c r="U58" s="209" t="s">
        <v>188</v>
      </c>
      <c r="V58" s="209" t="s">
        <v>179</v>
      </c>
      <c r="W58" s="209" t="s">
        <v>179</v>
      </c>
      <c r="X58" s="209" t="s">
        <v>180</v>
      </c>
      <c r="Y58" s="209" t="s">
        <v>180</v>
      </c>
      <c r="Z58" s="209">
        <v>9511046821</v>
      </c>
      <c r="AA58" s="209" t="s">
        <v>286</v>
      </c>
      <c r="AB58" s="209" t="s">
        <v>180</v>
      </c>
      <c r="AC58" s="209" t="s">
        <v>182</v>
      </c>
      <c r="AD58" s="209">
        <v>9</v>
      </c>
      <c r="AE58" s="209">
        <v>2024</v>
      </c>
      <c r="AF58" s="227">
        <v>45534</v>
      </c>
      <c r="AG58" s="227">
        <v>45540</v>
      </c>
      <c r="AH58" s="227">
        <v>45540</v>
      </c>
      <c r="AI58" s="228">
        <v>199680</v>
      </c>
      <c r="AJ58" s="228">
        <v>26</v>
      </c>
      <c r="AK58" s="228">
        <v>199680</v>
      </c>
      <c r="AL58" s="228">
        <v>26</v>
      </c>
      <c r="AM58" s="228">
        <v>0</v>
      </c>
      <c r="AN58" s="228">
        <v>0</v>
      </c>
      <c r="AO58" s="229">
        <v>36</v>
      </c>
      <c r="AP58" s="231">
        <v>9</v>
      </c>
      <c r="AQ58" s="231">
        <v>2024</v>
      </c>
      <c r="AR58" s="231" t="str">
        <f t="shared" si="5"/>
        <v>09/2024</v>
      </c>
      <c r="AS58" s="231">
        <f t="shared" si="6"/>
        <v>52</v>
      </c>
      <c r="AT58" s="239">
        <f>IF(G58="CERVECERIA Y MALTERIA",(AS58*AK58/1000000)*(1-VLOOKUP(N58,FCST!D:I,6,FALSE)),0)</f>
        <v>0</v>
      </c>
      <c r="AU58" s="232">
        <v>5.0000000000000001E-3</v>
      </c>
      <c r="AV58" s="239">
        <f t="shared" si="7"/>
        <v>0</v>
      </c>
      <c r="AW58" s="239">
        <f>(AS58*AK58/1000000)*(VLOOKUP(N58,FCST!D:I,6,FALSE))</f>
        <v>0</v>
      </c>
      <c r="AX58" s="239">
        <f t="shared" si="8"/>
        <v>0</v>
      </c>
      <c r="AY58" s="239">
        <f>IF($G58="CERVECERIA Y MALTERIA.",($AS58*$AK58/1000000)*(1-VLOOKUP($N58,FCST!D:I,6,FALSE)),0)</f>
        <v>10.38336</v>
      </c>
      <c r="AZ58" s="239">
        <f t="shared" si="4"/>
        <v>10.435276799999999</v>
      </c>
      <c r="BB58" s="240"/>
    </row>
    <row r="59" spans="1:54" x14ac:dyDescent="0.25">
      <c r="A59" s="209">
        <v>1072045</v>
      </c>
      <c r="B59" s="209">
        <v>30</v>
      </c>
      <c r="C59" s="209">
        <v>89257215</v>
      </c>
      <c r="D59" s="209">
        <v>10</v>
      </c>
      <c r="E59" s="209">
        <v>10000002</v>
      </c>
      <c r="F59" s="209">
        <v>20000337</v>
      </c>
      <c r="G59" s="209" t="s">
        <v>105</v>
      </c>
      <c r="H59" s="209">
        <v>20000337</v>
      </c>
      <c r="I59" s="209">
        <v>2</v>
      </c>
      <c r="J59" s="209" t="s">
        <v>169</v>
      </c>
      <c r="K59" s="209" t="s">
        <v>287</v>
      </c>
      <c r="L59" s="209" t="s">
        <v>171</v>
      </c>
      <c r="M59" s="209" t="s">
        <v>172</v>
      </c>
      <c r="N59" s="209">
        <v>50034616</v>
      </c>
      <c r="O59" s="209" t="s">
        <v>191</v>
      </c>
      <c r="P59" s="209">
        <v>5121</v>
      </c>
      <c r="Q59" s="209" t="s">
        <v>174</v>
      </c>
      <c r="R59" s="209" t="s">
        <v>175</v>
      </c>
      <c r="S59" s="209" t="s">
        <v>176</v>
      </c>
      <c r="T59" s="209" t="s">
        <v>177</v>
      </c>
      <c r="U59" s="209" t="s">
        <v>178</v>
      </c>
      <c r="V59" s="209" t="s">
        <v>179</v>
      </c>
      <c r="W59" s="209" t="s">
        <v>179</v>
      </c>
      <c r="X59" s="209" t="s">
        <v>180</v>
      </c>
      <c r="Y59" s="209" t="s">
        <v>180</v>
      </c>
      <c r="Z59" s="209">
        <v>9521066219</v>
      </c>
      <c r="AA59" s="209" t="s">
        <v>194</v>
      </c>
      <c r="AB59" s="209" t="s">
        <v>180</v>
      </c>
      <c r="AC59" s="209" t="s">
        <v>182</v>
      </c>
      <c r="AD59" s="209">
        <v>9</v>
      </c>
      <c r="AE59" s="209">
        <v>2024</v>
      </c>
      <c r="AF59" s="227">
        <v>45537</v>
      </c>
      <c r="AG59" s="227">
        <v>45540</v>
      </c>
      <c r="AH59" s="227">
        <v>45540</v>
      </c>
      <c r="AI59" s="228">
        <v>426616</v>
      </c>
      <c r="AJ59" s="228">
        <v>52</v>
      </c>
      <c r="AK59" s="228">
        <v>426616</v>
      </c>
      <c r="AL59" s="228">
        <v>52</v>
      </c>
      <c r="AM59" s="228">
        <v>0</v>
      </c>
      <c r="AN59" s="228">
        <v>0</v>
      </c>
      <c r="AO59" s="229">
        <v>36</v>
      </c>
      <c r="AP59" s="231">
        <v>9</v>
      </c>
      <c r="AQ59" s="231">
        <v>2024</v>
      </c>
      <c r="AR59" s="231" t="str">
        <f t="shared" si="5"/>
        <v>09/2024</v>
      </c>
      <c r="AS59" s="231">
        <f t="shared" si="6"/>
        <v>46.6</v>
      </c>
      <c r="AT59" s="239">
        <f>IF(G59="CERVECERIA Y MALTERIA",(AS59*AK59/1000000)*(1-VLOOKUP(N59,FCST!D:I,6,FALSE)),0)</f>
        <v>19.8803056</v>
      </c>
      <c r="AU59" s="232">
        <v>5.0000000000000001E-3</v>
      </c>
      <c r="AV59" s="239">
        <f t="shared" si="7"/>
        <v>19.979707127999998</v>
      </c>
      <c r="AW59" s="239">
        <f>(AS59*AK59/1000000)*(VLOOKUP(N59,FCST!D:I,6,FALSE))</f>
        <v>0</v>
      </c>
      <c r="AX59" s="239">
        <f t="shared" si="8"/>
        <v>0</v>
      </c>
      <c r="AY59" s="239">
        <f>IF($G59="CERVECERIA Y MALTERIA.",($AS59*$AK59/1000000)*(1-VLOOKUP($N59,FCST!D:I,6,FALSE)),0)</f>
        <v>0</v>
      </c>
      <c r="AZ59" s="239">
        <f t="shared" si="4"/>
        <v>0</v>
      </c>
      <c r="BB59" s="240"/>
    </row>
    <row r="60" spans="1:54" x14ac:dyDescent="0.25">
      <c r="A60" s="209">
        <v>1073107</v>
      </c>
      <c r="B60" s="209">
        <v>20</v>
      </c>
      <c r="C60" s="209">
        <v>89259971</v>
      </c>
      <c r="D60" s="209">
        <v>10</v>
      </c>
      <c r="E60" s="209">
        <v>10000002</v>
      </c>
      <c r="F60" s="209">
        <v>20000335</v>
      </c>
      <c r="G60" s="209" t="s">
        <v>105</v>
      </c>
      <c r="H60" s="209">
        <v>20000335</v>
      </c>
      <c r="I60" s="209">
        <v>2</v>
      </c>
      <c r="J60" s="209" t="s">
        <v>169</v>
      </c>
      <c r="K60" s="209" t="s">
        <v>288</v>
      </c>
      <c r="L60" s="209" t="s">
        <v>171</v>
      </c>
      <c r="M60" s="209" t="s">
        <v>199</v>
      </c>
      <c r="N60" s="209">
        <v>50032573</v>
      </c>
      <c r="O60" s="209" t="s">
        <v>173</v>
      </c>
      <c r="P60" s="209">
        <v>5121</v>
      </c>
      <c r="Q60" s="209" t="s">
        <v>200</v>
      </c>
      <c r="R60" s="209" t="s">
        <v>201</v>
      </c>
      <c r="S60" s="209" t="s">
        <v>202</v>
      </c>
      <c r="T60" s="209" t="s">
        <v>203</v>
      </c>
      <c r="U60" s="209" t="s">
        <v>201</v>
      </c>
      <c r="V60" s="209" t="s">
        <v>179</v>
      </c>
      <c r="W60" s="209" t="s">
        <v>179</v>
      </c>
      <c r="X60" s="209" t="s">
        <v>180</v>
      </c>
      <c r="Y60" s="209" t="s">
        <v>180</v>
      </c>
      <c r="Z60" s="209">
        <v>9521066207</v>
      </c>
      <c r="AA60" s="209" t="s">
        <v>181</v>
      </c>
      <c r="AB60" s="209" t="s">
        <v>180</v>
      </c>
      <c r="AC60" s="209" t="s">
        <v>182</v>
      </c>
      <c r="AD60" s="209">
        <v>9</v>
      </c>
      <c r="AE60" s="209">
        <v>2024</v>
      </c>
      <c r="AF60" s="227">
        <v>45541</v>
      </c>
      <c r="AG60" s="227">
        <v>45544</v>
      </c>
      <c r="AH60" s="227">
        <v>45544</v>
      </c>
      <c r="AI60" s="228">
        <v>531648</v>
      </c>
      <c r="AJ60" s="228">
        <v>52</v>
      </c>
      <c r="AK60" s="228">
        <v>531648</v>
      </c>
      <c r="AL60" s="228">
        <v>52</v>
      </c>
      <c r="AM60" s="228">
        <v>0</v>
      </c>
      <c r="AN60" s="228">
        <v>0</v>
      </c>
      <c r="AO60" s="229">
        <v>37</v>
      </c>
      <c r="AP60" s="231">
        <v>9</v>
      </c>
      <c r="AQ60" s="231">
        <v>2024</v>
      </c>
      <c r="AR60" s="231" t="str">
        <f t="shared" si="5"/>
        <v>09/2024</v>
      </c>
      <c r="AS60" s="231">
        <f t="shared" si="6"/>
        <v>37.200000000000003</v>
      </c>
      <c r="AT60" s="239">
        <f>IF(G60="CERVECERIA Y MALTERIA",(AS60*AK60/1000000)*(1-VLOOKUP(N60,FCST!D:I,6,FALSE)),0)</f>
        <v>19.777305600000002</v>
      </c>
      <c r="AU60" s="232">
        <v>5.0000000000000001E-3</v>
      </c>
      <c r="AV60" s="239">
        <f t="shared" si="7"/>
        <v>19.876192128</v>
      </c>
      <c r="AW60" s="239">
        <f>(AS60*AK60/1000000)*(VLOOKUP(N60,FCST!D:I,6,FALSE))</f>
        <v>0</v>
      </c>
      <c r="AX60" s="239">
        <f t="shared" si="8"/>
        <v>0</v>
      </c>
      <c r="AY60" s="239">
        <f>IF($G60="CERVECERIA Y MALTERIA.",($AS60*$AK60/1000000)*(1-VLOOKUP($N60,FCST!D:I,6,FALSE)),0)</f>
        <v>0</v>
      </c>
      <c r="AZ60" s="239">
        <f t="shared" si="4"/>
        <v>0</v>
      </c>
      <c r="BB60" s="240"/>
    </row>
    <row r="61" spans="1:54" x14ac:dyDescent="0.25">
      <c r="A61" s="209">
        <v>1073419</v>
      </c>
      <c r="B61" s="209">
        <v>10</v>
      </c>
      <c r="C61" s="209">
        <v>89260181</v>
      </c>
      <c r="D61" s="209">
        <v>10</v>
      </c>
      <c r="E61" s="209">
        <v>10000002</v>
      </c>
      <c r="F61" s="209">
        <v>20000339</v>
      </c>
      <c r="G61" s="209" t="s">
        <v>105</v>
      </c>
      <c r="H61" s="209">
        <v>20000339</v>
      </c>
      <c r="I61" s="209">
        <v>2</v>
      </c>
      <c r="J61" s="209" t="s">
        <v>169</v>
      </c>
      <c r="K61" s="209" t="s">
        <v>289</v>
      </c>
      <c r="L61" s="209" t="s">
        <v>171</v>
      </c>
      <c r="M61" s="209" t="s">
        <v>172</v>
      </c>
      <c r="N61" s="209">
        <v>50034194</v>
      </c>
      <c r="O61" s="209" t="s">
        <v>276</v>
      </c>
      <c r="P61" s="209">
        <v>5121</v>
      </c>
      <c r="Q61" s="209" t="s">
        <v>174</v>
      </c>
      <c r="R61" s="209" t="s">
        <v>175</v>
      </c>
      <c r="S61" s="209" t="s">
        <v>176</v>
      </c>
      <c r="T61" s="209" t="s">
        <v>177</v>
      </c>
      <c r="U61" s="209" t="s">
        <v>178</v>
      </c>
      <c r="V61" s="209" t="s">
        <v>179</v>
      </c>
      <c r="W61" s="209" t="s">
        <v>179</v>
      </c>
      <c r="X61" s="209" t="s">
        <v>180</v>
      </c>
      <c r="Y61" s="209" t="s">
        <v>180</v>
      </c>
      <c r="Z61" s="209">
        <v>9521066221</v>
      </c>
      <c r="AA61" s="209" t="s">
        <v>290</v>
      </c>
      <c r="AB61" s="209" t="s">
        <v>180</v>
      </c>
      <c r="AC61" s="209" t="s">
        <v>182</v>
      </c>
      <c r="AD61" s="209">
        <v>9</v>
      </c>
      <c r="AE61" s="209">
        <v>2024</v>
      </c>
      <c r="AF61" s="227">
        <v>45544</v>
      </c>
      <c r="AG61" s="227">
        <v>45544</v>
      </c>
      <c r="AH61" s="227">
        <v>45544</v>
      </c>
      <c r="AI61" s="228">
        <v>97536</v>
      </c>
      <c r="AJ61" s="228">
        <v>16</v>
      </c>
      <c r="AK61" s="228">
        <v>97536</v>
      </c>
      <c r="AL61" s="228">
        <v>16</v>
      </c>
      <c r="AM61" s="228">
        <v>0</v>
      </c>
      <c r="AN61" s="228">
        <v>0</v>
      </c>
      <c r="AO61" s="229">
        <v>37</v>
      </c>
      <c r="AP61" s="231">
        <v>9</v>
      </c>
      <c r="AQ61" s="231">
        <v>2024</v>
      </c>
      <c r="AR61" s="231" t="str">
        <f t="shared" si="5"/>
        <v>09/2024</v>
      </c>
      <c r="AS61" s="231">
        <f t="shared" si="6"/>
        <v>62</v>
      </c>
      <c r="AT61" s="239">
        <f>IF(G61="CERVECERIA Y MALTERIA",(AS61*AK61/1000000)*(1-VLOOKUP(N61,FCST!D:I,6,FALSE)),0)</f>
        <v>6.0472320000000002</v>
      </c>
      <c r="AU61" s="232">
        <v>5.0000000000000001E-3</v>
      </c>
      <c r="AV61" s="239">
        <f t="shared" si="7"/>
        <v>6.0774681599999996</v>
      </c>
      <c r="AW61" s="239">
        <f>(AS61*AK61/1000000)*(VLOOKUP(N61,FCST!D:I,6,FALSE))</f>
        <v>0</v>
      </c>
      <c r="AX61" s="239">
        <f t="shared" si="8"/>
        <v>0</v>
      </c>
      <c r="AY61" s="239">
        <f>IF($G61="CERVECERIA Y MALTERIA.",($AS61*$AK61/1000000)*(1-VLOOKUP($N61,FCST!D:I,6,FALSE)),0)</f>
        <v>0</v>
      </c>
      <c r="AZ61" s="239">
        <f t="shared" si="4"/>
        <v>0</v>
      </c>
      <c r="BB61" s="240"/>
    </row>
    <row r="62" spans="1:54" x14ac:dyDescent="0.25">
      <c r="A62" s="209">
        <v>1073419</v>
      </c>
      <c r="B62" s="209">
        <v>20</v>
      </c>
      <c r="C62" s="209">
        <v>89260181</v>
      </c>
      <c r="D62" s="209">
        <v>20</v>
      </c>
      <c r="E62" s="209">
        <v>10000002</v>
      </c>
      <c r="F62" s="209">
        <v>20000339</v>
      </c>
      <c r="G62" s="209" t="s">
        <v>105</v>
      </c>
      <c r="H62" s="209">
        <v>20000339</v>
      </c>
      <c r="I62" s="209">
        <v>2</v>
      </c>
      <c r="J62" s="209" t="s">
        <v>169</v>
      </c>
      <c r="K62" s="209" t="s">
        <v>289</v>
      </c>
      <c r="L62" s="209" t="s">
        <v>171</v>
      </c>
      <c r="M62" s="209" t="s">
        <v>172</v>
      </c>
      <c r="N62" s="209">
        <v>50034634</v>
      </c>
      <c r="O62" s="209" t="s">
        <v>219</v>
      </c>
      <c r="P62" s="209">
        <v>5121</v>
      </c>
      <c r="Q62" s="209" t="s">
        <v>174</v>
      </c>
      <c r="R62" s="209" t="s">
        <v>175</v>
      </c>
      <c r="S62" s="209" t="s">
        <v>176</v>
      </c>
      <c r="T62" s="209" t="s">
        <v>177</v>
      </c>
      <c r="U62" s="209" t="s">
        <v>178</v>
      </c>
      <c r="V62" s="209" t="s">
        <v>179</v>
      </c>
      <c r="W62" s="209" t="s">
        <v>179</v>
      </c>
      <c r="X62" s="209" t="s">
        <v>180</v>
      </c>
      <c r="Y62" s="209" t="s">
        <v>180</v>
      </c>
      <c r="Z62" s="209">
        <v>9521066221</v>
      </c>
      <c r="AA62" s="209" t="s">
        <v>290</v>
      </c>
      <c r="AB62" s="209" t="s">
        <v>180</v>
      </c>
      <c r="AC62" s="209" t="s">
        <v>182</v>
      </c>
      <c r="AD62" s="209">
        <v>9</v>
      </c>
      <c r="AE62" s="209">
        <v>2024</v>
      </c>
      <c r="AF62" s="227">
        <v>45544</v>
      </c>
      <c r="AG62" s="227">
        <v>45544</v>
      </c>
      <c r="AH62" s="227">
        <v>45544</v>
      </c>
      <c r="AI62" s="228">
        <v>98112</v>
      </c>
      <c r="AJ62" s="228">
        <v>14</v>
      </c>
      <c r="AK62" s="228">
        <v>98112</v>
      </c>
      <c r="AL62" s="228">
        <v>14</v>
      </c>
      <c r="AM62" s="228">
        <v>0</v>
      </c>
      <c r="AN62" s="228">
        <v>0</v>
      </c>
      <c r="AO62" s="229">
        <v>37</v>
      </c>
      <c r="AP62" s="231">
        <v>9</v>
      </c>
      <c r="AQ62" s="231">
        <v>2024</v>
      </c>
      <c r="AR62" s="231" t="str">
        <f t="shared" si="5"/>
        <v>09/2024</v>
      </c>
      <c r="AS62" s="231">
        <f t="shared" si="6"/>
        <v>52</v>
      </c>
      <c r="AT62" s="239">
        <f>IF(G62="CERVECERIA Y MALTERIA",(AS62*AK62/1000000)*(1-VLOOKUP(N62,FCST!D:I,6,FALSE)),0)</f>
        <v>5.1018239999999997</v>
      </c>
      <c r="AU62" s="232">
        <v>5.0000000000000001E-3</v>
      </c>
      <c r="AV62" s="239">
        <f t="shared" si="7"/>
        <v>5.1273331199999994</v>
      </c>
      <c r="AW62" s="239">
        <f>(AS62*AK62/1000000)*(VLOOKUP(N62,FCST!D:I,6,FALSE))</f>
        <v>0</v>
      </c>
      <c r="AX62" s="239">
        <f t="shared" si="8"/>
        <v>0</v>
      </c>
      <c r="AY62" s="239">
        <f>IF($G62="CERVECERIA Y MALTERIA.",($AS62*$AK62/1000000)*(1-VLOOKUP($N62,FCST!D:I,6,FALSE)),0)</f>
        <v>0</v>
      </c>
      <c r="AZ62" s="239">
        <f t="shared" si="4"/>
        <v>0</v>
      </c>
      <c r="BB62" s="240"/>
    </row>
    <row r="63" spans="1:54" x14ac:dyDescent="0.25">
      <c r="A63" s="209">
        <v>1073426</v>
      </c>
      <c r="B63" s="209">
        <v>10</v>
      </c>
      <c r="C63" s="209">
        <v>89260182</v>
      </c>
      <c r="D63" s="209">
        <v>10</v>
      </c>
      <c r="E63" s="209">
        <v>10000002</v>
      </c>
      <c r="F63" s="209">
        <v>20000339</v>
      </c>
      <c r="G63" s="209" t="s">
        <v>105</v>
      </c>
      <c r="H63" s="209">
        <v>20000339</v>
      </c>
      <c r="I63" s="209">
        <v>2</v>
      </c>
      <c r="J63" s="209" t="s">
        <v>169</v>
      </c>
      <c r="K63" s="209" t="s">
        <v>291</v>
      </c>
      <c r="L63" s="209" t="s">
        <v>171</v>
      </c>
      <c r="M63" s="209" t="s">
        <v>172</v>
      </c>
      <c r="N63" s="209">
        <v>50034577</v>
      </c>
      <c r="O63" s="209" t="s">
        <v>237</v>
      </c>
      <c r="P63" s="209">
        <v>5101</v>
      </c>
      <c r="Q63" s="209" t="s">
        <v>186</v>
      </c>
      <c r="R63" s="209" t="s">
        <v>175</v>
      </c>
      <c r="S63" s="209" t="s">
        <v>176</v>
      </c>
      <c r="T63" s="209" t="s">
        <v>187</v>
      </c>
      <c r="U63" s="209" t="s">
        <v>188</v>
      </c>
      <c r="V63" s="209" t="s">
        <v>179</v>
      </c>
      <c r="W63" s="209" t="s">
        <v>179</v>
      </c>
      <c r="X63" s="209" t="s">
        <v>180</v>
      </c>
      <c r="Y63" s="209" t="s">
        <v>180</v>
      </c>
      <c r="Z63" s="209">
        <v>9511046820</v>
      </c>
      <c r="AA63" s="209" t="s">
        <v>238</v>
      </c>
      <c r="AB63" s="209" t="s">
        <v>180</v>
      </c>
      <c r="AC63" s="209" t="s">
        <v>182</v>
      </c>
      <c r="AD63" s="209">
        <v>9</v>
      </c>
      <c r="AE63" s="209">
        <v>2024</v>
      </c>
      <c r="AF63" s="227">
        <v>45544</v>
      </c>
      <c r="AG63" s="227">
        <v>45544</v>
      </c>
      <c r="AH63" s="227">
        <v>45544</v>
      </c>
      <c r="AI63" s="228">
        <v>314688</v>
      </c>
      <c r="AJ63" s="228">
        <v>22</v>
      </c>
      <c r="AK63" s="228">
        <v>314688</v>
      </c>
      <c r="AL63" s="228">
        <v>22</v>
      </c>
      <c r="AM63" s="228">
        <v>0</v>
      </c>
      <c r="AN63" s="228">
        <v>0</v>
      </c>
      <c r="AO63" s="229">
        <v>37</v>
      </c>
      <c r="AP63" s="231">
        <v>9</v>
      </c>
      <c r="AQ63" s="231">
        <v>2024</v>
      </c>
      <c r="AR63" s="231" t="str">
        <f t="shared" si="5"/>
        <v>09/2024</v>
      </c>
      <c r="AS63" s="231">
        <f t="shared" si="6"/>
        <v>25</v>
      </c>
      <c r="AT63" s="239">
        <f>IF(G63="CERVECERIA Y MALTERIA",(AS63*AK63/1000000)*(1-VLOOKUP(N63,FCST!D:I,6,FALSE)),0)</f>
        <v>7.8672000000000004</v>
      </c>
      <c r="AU63" s="232">
        <v>5.0000000000000001E-3</v>
      </c>
      <c r="AV63" s="239">
        <f t="shared" si="7"/>
        <v>7.906536</v>
      </c>
      <c r="AW63" s="239">
        <f>(AS63*AK63/1000000)*(VLOOKUP(N63,FCST!D:I,6,FALSE))</f>
        <v>0</v>
      </c>
      <c r="AX63" s="239">
        <f t="shared" si="8"/>
        <v>0</v>
      </c>
      <c r="AY63" s="239">
        <f>IF($G63="CERVECERIA Y MALTERIA.",($AS63*$AK63/1000000)*(1-VLOOKUP($N63,FCST!D:I,6,FALSE)),0)</f>
        <v>0</v>
      </c>
      <c r="AZ63" s="239">
        <f t="shared" si="4"/>
        <v>0</v>
      </c>
      <c r="BB63" s="240"/>
    </row>
    <row r="64" spans="1:54" x14ac:dyDescent="0.25">
      <c r="A64" s="209">
        <v>1073114</v>
      </c>
      <c r="B64" s="209">
        <v>10</v>
      </c>
      <c r="C64" s="209">
        <v>89260188</v>
      </c>
      <c r="D64" s="209">
        <v>10</v>
      </c>
      <c r="E64" s="209">
        <v>10000002</v>
      </c>
      <c r="F64" s="209">
        <v>20000337</v>
      </c>
      <c r="G64" s="209" t="s">
        <v>105</v>
      </c>
      <c r="H64" s="209">
        <v>20000337</v>
      </c>
      <c r="I64" s="209">
        <v>2</v>
      </c>
      <c r="J64" s="209" t="s">
        <v>169</v>
      </c>
      <c r="K64" s="209" t="s">
        <v>292</v>
      </c>
      <c r="L64" s="209" t="s">
        <v>171</v>
      </c>
      <c r="M64" s="209" t="s">
        <v>172</v>
      </c>
      <c r="N64" s="209">
        <v>50035183</v>
      </c>
      <c r="O64" s="209" t="s">
        <v>215</v>
      </c>
      <c r="P64" s="209">
        <v>5121</v>
      </c>
      <c r="Q64" s="209" t="s">
        <v>174</v>
      </c>
      <c r="R64" s="209" t="s">
        <v>175</v>
      </c>
      <c r="S64" s="209" t="s">
        <v>176</v>
      </c>
      <c r="T64" s="209" t="s">
        <v>177</v>
      </c>
      <c r="U64" s="209" t="s">
        <v>178</v>
      </c>
      <c r="V64" s="209" t="s">
        <v>179</v>
      </c>
      <c r="W64" s="209" t="s">
        <v>179</v>
      </c>
      <c r="X64" s="209" t="s">
        <v>180</v>
      </c>
      <c r="Y64" s="209" t="s">
        <v>180</v>
      </c>
      <c r="Z64" s="209">
        <v>9521066220</v>
      </c>
      <c r="AA64" s="209" t="s">
        <v>240</v>
      </c>
      <c r="AB64" s="209" t="s">
        <v>180</v>
      </c>
      <c r="AC64" s="209" t="s">
        <v>182</v>
      </c>
      <c r="AD64" s="209">
        <v>9</v>
      </c>
      <c r="AE64" s="209">
        <v>2024</v>
      </c>
      <c r="AF64" s="227">
        <v>45541</v>
      </c>
      <c r="AG64" s="227">
        <v>45544</v>
      </c>
      <c r="AH64" s="227">
        <v>45544</v>
      </c>
      <c r="AI64" s="228">
        <v>426816</v>
      </c>
      <c r="AJ64" s="228">
        <v>52</v>
      </c>
      <c r="AK64" s="228">
        <v>426816</v>
      </c>
      <c r="AL64" s="228">
        <v>52</v>
      </c>
      <c r="AM64" s="228">
        <v>0</v>
      </c>
      <c r="AN64" s="228">
        <v>0</v>
      </c>
      <c r="AO64" s="229">
        <v>37</v>
      </c>
      <c r="AP64" s="231">
        <v>9</v>
      </c>
      <c r="AQ64" s="231">
        <v>2024</v>
      </c>
      <c r="AR64" s="231" t="str">
        <f t="shared" si="5"/>
        <v>09/2024</v>
      </c>
      <c r="AS64" s="231">
        <f t="shared" si="6"/>
        <v>46.6</v>
      </c>
      <c r="AT64" s="239">
        <f>IF(G64="CERVECERIA Y MALTERIA",(AS64*AK64/1000000)*(1-VLOOKUP(N64,FCST!D:I,6,FALSE)),0)</f>
        <v>19.889625600000002</v>
      </c>
      <c r="AU64" s="232">
        <v>5.0000000000000001E-3</v>
      </c>
      <c r="AV64" s="239">
        <f t="shared" si="7"/>
        <v>19.989073728000001</v>
      </c>
      <c r="AW64" s="239">
        <f>(AS64*AK64/1000000)*(VLOOKUP(N64,FCST!D:I,6,FALSE))</f>
        <v>0</v>
      </c>
      <c r="AX64" s="239">
        <f t="shared" si="8"/>
        <v>0</v>
      </c>
      <c r="AY64" s="239">
        <f>IF($G64="CERVECERIA Y MALTERIA.",($AS64*$AK64/1000000)*(1-VLOOKUP($N64,FCST!D:I,6,FALSE)),0)</f>
        <v>0</v>
      </c>
      <c r="AZ64" s="239">
        <f t="shared" si="4"/>
        <v>0</v>
      </c>
      <c r="BB64" s="240"/>
    </row>
    <row r="65" spans="1:54" x14ac:dyDescent="0.25">
      <c r="A65" s="209">
        <v>1073107</v>
      </c>
      <c r="B65" s="209">
        <v>50</v>
      </c>
      <c r="C65" s="209">
        <v>89260537</v>
      </c>
      <c r="D65" s="209">
        <v>10</v>
      </c>
      <c r="E65" s="209">
        <v>10000002</v>
      </c>
      <c r="F65" s="209">
        <v>20000335</v>
      </c>
      <c r="G65" s="209" t="s">
        <v>105</v>
      </c>
      <c r="H65" s="209">
        <v>20000335</v>
      </c>
      <c r="I65" s="209">
        <v>2</v>
      </c>
      <c r="J65" s="209" t="s">
        <v>169</v>
      </c>
      <c r="K65" s="209" t="s">
        <v>293</v>
      </c>
      <c r="L65" s="209" t="s">
        <v>171</v>
      </c>
      <c r="M65" s="209" t="s">
        <v>199</v>
      </c>
      <c r="N65" s="209">
        <v>50032573</v>
      </c>
      <c r="O65" s="209" t="s">
        <v>173</v>
      </c>
      <c r="P65" s="209">
        <v>5121</v>
      </c>
      <c r="Q65" s="209" t="s">
        <v>200</v>
      </c>
      <c r="R65" s="209" t="s">
        <v>201</v>
      </c>
      <c r="S65" s="209" t="s">
        <v>202</v>
      </c>
      <c r="T65" s="209" t="s">
        <v>203</v>
      </c>
      <c r="U65" s="209" t="s">
        <v>201</v>
      </c>
      <c r="V65" s="209" t="s">
        <v>179</v>
      </c>
      <c r="W65" s="209" t="s">
        <v>179</v>
      </c>
      <c r="X65" s="209" t="s">
        <v>180</v>
      </c>
      <c r="Y65" s="209" t="s">
        <v>180</v>
      </c>
      <c r="Z65" s="209">
        <v>9521066207</v>
      </c>
      <c r="AA65" s="209" t="s">
        <v>181</v>
      </c>
      <c r="AB65" s="209" t="s">
        <v>180</v>
      </c>
      <c r="AC65" s="209" t="s">
        <v>182</v>
      </c>
      <c r="AD65" s="209">
        <v>9</v>
      </c>
      <c r="AE65" s="209">
        <v>2024</v>
      </c>
      <c r="AF65" s="227">
        <v>45541</v>
      </c>
      <c r="AG65" s="227">
        <v>45545</v>
      </c>
      <c r="AH65" s="227">
        <v>45545</v>
      </c>
      <c r="AI65" s="228">
        <v>531648</v>
      </c>
      <c r="AJ65" s="228">
        <v>52</v>
      </c>
      <c r="AK65" s="228">
        <v>531648</v>
      </c>
      <c r="AL65" s="228">
        <v>52</v>
      </c>
      <c r="AM65" s="228">
        <v>0</v>
      </c>
      <c r="AN65" s="228">
        <v>0</v>
      </c>
      <c r="AO65" s="229">
        <v>37</v>
      </c>
      <c r="AP65" s="231">
        <v>9</v>
      </c>
      <c r="AQ65" s="231">
        <v>2024</v>
      </c>
      <c r="AR65" s="231" t="str">
        <f t="shared" si="5"/>
        <v>09/2024</v>
      </c>
      <c r="AS65" s="231">
        <f t="shared" si="6"/>
        <v>37.200000000000003</v>
      </c>
      <c r="AT65" s="239">
        <f>IF(G65="CERVECERIA Y MALTERIA",(AS65*AK65/1000000)*(1-VLOOKUP(N65,FCST!D:I,6,FALSE)),0)</f>
        <v>19.777305600000002</v>
      </c>
      <c r="AU65" s="232">
        <v>5.0000000000000001E-3</v>
      </c>
      <c r="AV65" s="239">
        <f t="shared" si="7"/>
        <v>19.876192128</v>
      </c>
      <c r="AW65" s="239">
        <f>(AS65*AK65/1000000)*(VLOOKUP(N65,FCST!D:I,6,FALSE))</f>
        <v>0</v>
      </c>
      <c r="AX65" s="239">
        <f t="shared" si="8"/>
        <v>0</v>
      </c>
      <c r="AY65" s="239">
        <f>IF($G65="CERVECERIA Y MALTERIA.",($AS65*$AK65/1000000)*(1-VLOOKUP($N65,FCST!D:I,6,FALSE)),0)</f>
        <v>0</v>
      </c>
      <c r="AZ65" s="239">
        <f t="shared" si="4"/>
        <v>0</v>
      </c>
      <c r="BB65" s="240"/>
    </row>
    <row r="66" spans="1:54" x14ac:dyDescent="0.25">
      <c r="A66" s="209">
        <v>1073111</v>
      </c>
      <c r="B66" s="209">
        <v>10</v>
      </c>
      <c r="C66" s="209">
        <v>89260489</v>
      </c>
      <c r="D66" s="209">
        <v>10</v>
      </c>
      <c r="E66" s="209">
        <v>10000002</v>
      </c>
      <c r="F66" s="209">
        <v>20000340</v>
      </c>
      <c r="G66" s="209" t="s">
        <v>117</v>
      </c>
      <c r="H66" s="209">
        <v>20000340</v>
      </c>
      <c r="I66" s="209">
        <v>2</v>
      </c>
      <c r="J66" s="209" t="s">
        <v>169</v>
      </c>
      <c r="K66" s="209" t="s">
        <v>294</v>
      </c>
      <c r="L66" s="209" t="s">
        <v>171</v>
      </c>
      <c r="M66" s="209" t="s">
        <v>172</v>
      </c>
      <c r="N66" s="209">
        <v>50025163</v>
      </c>
      <c r="O66" s="209" t="s">
        <v>185</v>
      </c>
      <c r="P66" s="209">
        <v>5101</v>
      </c>
      <c r="Q66" s="209" t="s">
        <v>186</v>
      </c>
      <c r="R66" s="209" t="s">
        <v>175</v>
      </c>
      <c r="S66" s="209" t="s">
        <v>176</v>
      </c>
      <c r="T66" s="209" t="s">
        <v>187</v>
      </c>
      <c r="U66" s="209" t="s">
        <v>188</v>
      </c>
      <c r="V66" s="209" t="s">
        <v>179</v>
      </c>
      <c r="W66" s="209" t="s">
        <v>179</v>
      </c>
      <c r="X66" s="209" t="s">
        <v>180</v>
      </c>
      <c r="Y66" s="209" t="s">
        <v>180</v>
      </c>
      <c r="Z66" s="209">
        <v>9511046822</v>
      </c>
      <c r="AA66" s="209" t="s">
        <v>189</v>
      </c>
      <c r="AB66" s="209" t="s">
        <v>180</v>
      </c>
      <c r="AC66" s="209" t="s">
        <v>182</v>
      </c>
      <c r="AD66" s="209">
        <v>9</v>
      </c>
      <c r="AE66" s="209">
        <v>2024</v>
      </c>
      <c r="AF66" s="227">
        <v>45541</v>
      </c>
      <c r="AG66" s="227">
        <v>45545</v>
      </c>
      <c r="AH66" s="227">
        <v>45545</v>
      </c>
      <c r="AI66" s="228">
        <v>606528</v>
      </c>
      <c r="AJ66" s="228">
        <v>52</v>
      </c>
      <c r="AK66" s="228">
        <v>606528</v>
      </c>
      <c r="AL66" s="228">
        <v>52</v>
      </c>
      <c r="AM66" s="228">
        <v>0</v>
      </c>
      <c r="AN66" s="228">
        <v>0</v>
      </c>
      <c r="AO66" s="229">
        <v>37</v>
      </c>
      <c r="AP66" s="231">
        <v>9</v>
      </c>
      <c r="AQ66" s="231">
        <v>2024</v>
      </c>
      <c r="AR66" s="231" t="str">
        <f t="shared" si="5"/>
        <v>09/2024</v>
      </c>
      <c r="AS66" s="231">
        <f t="shared" si="6"/>
        <v>30</v>
      </c>
      <c r="AT66" s="239">
        <f>IF(G66="CERVECERIA Y MALTERIA",(AS66*AK66/1000000)*(1-VLOOKUP(N66,FCST!D:I,6,FALSE)),0)</f>
        <v>0</v>
      </c>
      <c r="AU66" s="232">
        <v>5.0000000000000001E-3</v>
      </c>
      <c r="AV66" s="239">
        <f t="shared" si="7"/>
        <v>0</v>
      </c>
      <c r="AW66" s="239">
        <f>(AS66*AK66/1000000)*(VLOOKUP(N66,FCST!D:I,6,FALSE))</f>
        <v>0</v>
      </c>
      <c r="AX66" s="239">
        <f t="shared" si="8"/>
        <v>0</v>
      </c>
      <c r="AY66" s="239">
        <f>IF($G66="CERVECERIA Y MALTERIA.",($AS66*$AK66/1000000)*(1-VLOOKUP($N66,FCST!D:I,6,FALSE)),0)</f>
        <v>18.19584</v>
      </c>
      <c r="AZ66" s="239">
        <f t="shared" si="4"/>
        <v>18.2868192</v>
      </c>
      <c r="BB66" s="240"/>
    </row>
    <row r="67" spans="1:54" x14ac:dyDescent="0.25">
      <c r="A67" s="209">
        <v>1073107</v>
      </c>
      <c r="B67" s="209">
        <v>40</v>
      </c>
      <c r="C67" s="209">
        <v>89260490</v>
      </c>
      <c r="D67" s="209">
        <v>10</v>
      </c>
      <c r="E67" s="209">
        <v>10000002</v>
      </c>
      <c r="F67" s="209">
        <v>20000335</v>
      </c>
      <c r="G67" s="209" t="s">
        <v>105</v>
      </c>
      <c r="H67" s="209">
        <v>20000335</v>
      </c>
      <c r="I67" s="209">
        <v>2</v>
      </c>
      <c r="J67" s="209" t="s">
        <v>169</v>
      </c>
      <c r="K67" s="209" t="s">
        <v>295</v>
      </c>
      <c r="L67" s="209" t="s">
        <v>171</v>
      </c>
      <c r="M67" s="209" t="s">
        <v>199</v>
      </c>
      <c r="N67" s="209">
        <v>50034574</v>
      </c>
      <c r="O67" s="209" t="s">
        <v>196</v>
      </c>
      <c r="P67" s="209">
        <v>5121</v>
      </c>
      <c r="Q67" s="209" t="s">
        <v>200</v>
      </c>
      <c r="R67" s="209" t="s">
        <v>201</v>
      </c>
      <c r="S67" s="209" t="s">
        <v>202</v>
      </c>
      <c r="T67" s="209" t="s">
        <v>203</v>
      </c>
      <c r="U67" s="209" t="s">
        <v>201</v>
      </c>
      <c r="V67" s="209" t="s">
        <v>179</v>
      </c>
      <c r="W67" s="209" t="s">
        <v>179</v>
      </c>
      <c r="X67" s="209" t="s">
        <v>180</v>
      </c>
      <c r="Y67" s="209" t="s">
        <v>180</v>
      </c>
      <c r="Z67" s="209">
        <v>9521066204</v>
      </c>
      <c r="AA67" s="209" t="s">
        <v>296</v>
      </c>
      <c r="AB67" s="209" t="s">
        <v>180</v>
      </c>
      <c r="AC67" s="209" t="s">
        <v>182</v>
      </c>
      <c r="AD67" s="209">
        <v>9</v>
      </c>
      <c r="AE67" s="209">
        <v>2024</v>
      </c>
      <c r="AF67" s="227">
        <v>45541</v>
      </c>
      <c r="AG67" s="227">
        <v>45545</v>
      </c>
      <c r="AH67" s="227">
        <v>45545</v>
      </c>
      <c r="AI67" s="228">
        <v>864432</v>
      </c>
      <c r="AJ67" s="228">
        <v>46</v>
      </c>
      <c r="AK67" s="228">
        <v>864432</v>
      </c>
      <c r="AL67" s="228">
        <v>46</v>
      </c>
      <c r="AM67" s="228">
        <v>0</v>
      </c>
      <c r="AN67" s="228">
        <v>0</v>
      </c>
      <c r="AO67" s="229">
        <v>37</v>
      </c>
      <c r="AP67" s="231">
        <v>9</v>
      </c>
      <c r="AQ67" s="231">
        <v>2024</v>
      </c>
      <c r="AR67" s="231" t="str">
        <f t="shared" si="5"/>
        <v>09/2024</v>
      </c>
      <c r="AS67" s="231">
        <f t="shared" si="6"/>
        <v>19.5</v>
      </c>
      <c r="AT67" s="239">
        <f>IF(G67="CERVECERIA Y MALTERIA",(AS67*AK67/1000000)*(1-VLOOKUP(N67,FCST!D:I,6,FALSE)),0)</f>
        <v>16.856424000000001</v>
      </c>
      <c r="AU67" s="232">
        <v>5.0000000000000001E-3</v>
      </c>
      <c r="AV67" s="239">
        <f t="shared" si="7"/>
        <v>16.940706119999998</v>
      </c>
      <c r="AW67" s="239">
        <f>(AS67*AK67/1000000)*(VLOOKUP(N67,FCST!D:I,6,FALSE))</f>
        <v>0</v>
      </c>
      <c r="AX67" s="239">
        <f t="shared" si="8"/>
        <v>0</v>
      </c>
      <c r="AY67" s="239">
        <f>IF($G67="CERVECERIA Y MALTERIA.",($AS67*$AK67/1000000)*(1-VLOOKUP($N67,FCST!D:I,6,FALSE)),0)</f>
        <v>0</v>
      </c>
      <c r="AZ67" s="239">
        <f t="shared" ref="AZ67:AZ112" si="9">+AY67*(1+AU67)</f>
        <v>0</v>
      </c>
      <c r="BB67" s="240"/>
    </row>
    <row r="68" spans="1:54" x14ac:dyDescent="0.25">
      <c r="A68" s="209">
        <v>1071888</v>
      </c>
      <c r="B68" s="209">
        <v>110</v>
      </c>
      <c r="C68" s="209">
        <v>89258229</v>
      </c>
      <c r="D68" s="209">
        <v>10</v>
      </c>
      <c r="E68" s="209">
        <v>10000002</v>
      </c>
      <c r="F68" s="209">
        <v>20000335</v>
      </c>
      <c r="G68" s="209" t="s">
        <v>105</v>
      </c>
      <c r="H68" s="209">
        <v>20000335</v>
      </c>
      <c r="I68" s="209">
        <v>2</v>
      </c>
      <c r="J68" s="209" t="s">
        <v>169</v>
      </c>
      <c r="K68" s="209" t="s">
        <v>297</v>
      </c>
      <c r="L68" s="209" t="s">
        <v>171</v>
      </c>
      <c r="M68" s="209" t="s">
        <v>172</v>
      </c>
      <c r="N68" s="209">
        <v>50032573</v>
      </c>
      <c r="O68" s="209" t="s">
        <v>173</v>
      </c>
      <c r="P68" s="209">
        <v>5121</v>
      </c>
      <c r="Q68" s="209" t="s">
        <v>174</v>
      </c>
      <c r="R68" s="209" t="s">
        <v>175</v>
      </c>
      <c r="S68" s="209" t="s">
        <v>176</v>
      </c>
      <c r="T68" s="209" t="s">
        <v>177</v>
      </c>
      <c r="U68" s="209" t="s">
        <v>178</v>
      </c>
      <c r="V68" s="209" t="s">
        <v>179</v>
      </c>
      <c r="W68" s="209" t="s">
        <v>179</v>
      </c>
      <c r="X68" s="209" t="s">
        <v>180</v>
      </c>
      <c r="Y68" s="209" t="s">
        <v>180</v>
      </c>
      <c r="Z68" s="209">
        <v>9521066207</v>
      </c>
      <c r="AA68" s="209" t="s">
        <v>181</v>
      </c>
      <c r="AB68" s="209" t="s">
        <v>180</v>
      </c>
      <c r="AC68" s="209" t="s">
        <v>182</v>
      </c>
      <c r="AD68" s="209">
        <v>9</v>
      </c>
      <c r="AE68" s="209">
        <v>2024</v>
      </c>
      <c r="AF68" s="227">
        <v>45534</v>
      </c>
      <c r="AG68" s="227">
        <v>45541</v>
      </c>
      <c r="AH68" s="227">
        <v>45541</v>
      </c>
      <c r="AI68" s="228">
        <v>531648</v>
      </c>
      <c r="AJ68" s="228">
        <v>52</v>
      </c>
      <c r="AK68" s="228">
        <v>531648</v>
      </c>
      <c r="AL68" s="228">
        <v>52</v>
      </c>
      <c r="AM68" s="228">
        <v>0</v>
      </c>
      <c r="AN68" s="228">
        <v>0</v>
      </c>
      <c r="AO68" s="229">
        <v>36</v>
      </c>
      <c r="AP68" s="231">
        <v>9</v>
      </c>
      <c r="AQ68" s="231">
        <v>2024</v>
      </c>
      <c r="AR68" s="231" t="str">
        <f t="shared" si="5"/>
        <v>09/2024</v>
      </c>
      <c r="AS68" s="231">
        <f t="shared" si="6"/>
        <v>37.200000000000003</v>
      </c>
      <c r="AT68" s="239">
        <f>IF(G68="CERVECERIA Y MALTERIA",(AS68*AK68/1000000)*(1-VLOOKUP(N68,FCST!D:I,6,FALSE)),0)</f>
        <v>19.777305600000002</v>
      </c>
      <c r="AU68" s="232">
        <v>5.0000000000000001E-3</v>
      </c>
      <c r="AV68" s="239">
        <f t="shared" si="7"/>
        <v>19.876192128</v>
      </c>
      <c r="AW68" s="239">
        <f>(AS68*AK68/1000000)*(VLOOKUP(N68,FCST!D:I,6,FALSE))</f>
        <v>0</v>
      </c>
      <c r="AX68" s="239">
        <f t="shared" si="8"/>
        <v>0</v>
      </c>
      <c r="AY68" s="239">
        <f>IF($G68="CERVECERIA Y MALTERIA.",($AS68*$AK68/1000000)*(1-VLOOKUP($N68,FCST!D:I,6,FALSE)),0)</f>
        <v>0</v>
      </c>
      <c r="AZ68" s="239">
        <f t="shared" si="9"/>
        <v>0</v>
      </c>
      <c r="BB68" s="240"/>
    </row>
    <row r="69" spans="1:54" x14ac:dyDescent="0.25">
      <c r="A69" s="209">
        <v>1071888</v>
      </c>
      <c r="B69" s="209">
        <v>120</v>
      </c>
      <c r="C69" s="209">
        <v>89258343</v>
      </c>
      <c r="D69" s="209">
        <v>10</v>
      </c>
      <c r="E69" s="209">
        <v>10000002</v>
      </c>
      <c r="F69" s="209">
        <v>20000335</v>
      </c>
      <c r="G69" s="209" t="s">
        <v>105</v>
      </c>
      <c r="H69" s="209">
        <v>20000335</v>
      </c>
      <c r="I69" s="209">
        <v>2</v>
      </c>
      <c r="J69" s="209" t="s">
        <v>169</v>
      </c>
      <c r="K69" s="209" t="s">
        <v>298</v>
      </c>
      <c r="L69" s="209" t="s">
        <v>171</v>
      </c>
      <c r="M69" s="209" t="s">
        <v>199</v>
      </c>
      <c r="N69" s="209">
        <v>50034616</v>
      </c>
      <c r="O69" s="209" t="s">
        <v>191</v>
      </c>
      <c r="P69" s="209">
        <v>5121</v>
      </c>
      <c r="Q69" s="209" t="s">
        <v>200</v>
      </c>
      <c r="R69" s="209" t="s">
        <v>201</v>
      </c>
      <c r="S69" s="209" t="s">
        <v>202</v>
      </c>
      <c r="T69" s="209" t="s">
        <v>203</v>
      </c>
      <c r="U69" s="209" t="s">
        <v>201</v>
      </c>
      <c r="V69" s="209" t="s">
        <v>179</v>
      </c>
      <c r="W69" s="209" t="s">
        <v>179</v>
      </c>
      <c r="X69" s="209" t="s">
        <v>180</v>
      </c>
      <c r="Y69" s="209" t="s">
        <v>180</v>
      </c>
      <c r="Z69" s="209">
        <v>9521066210</v>
      </c>
      <c r="AA69" s="209" t="s">
        <v>192</v>
      </c>
      <c r="AB69" s="209" t="s">
        <v>180</v>
      </c>
      <c r="AC69" s="209" t="s">
        <v>182</v>
      </c>
      <c r="AD69" s="209">
        <v>9</v>
      </c>
      <c r="AE69" s="209">
        <v>2024</v>
      </c>
      <c r="AF69" s="227">
        <v>45534</v>
      </c>
      <c r="AG69" s="227">
        <v>45541</v>
      </c>
      <c r="AH69" s="227">
        <v>45541</v>
      </c>
      <c r="AI69" s="228">
        <v>426816</v>
      </c>
      <c r="AJ69" s="228">
        <v>52</v>
      </c>
      <c r="AK69" s="228">
        <v>426816</v>
      </c>
      <c r="AL69" s="228">
        <v>52</v>
      </c>
      <c r="AM69" s="228">
        <v>0</v>
      </c>
      <c r="AN69" s="228">
        <v>0</v>
      </c>
      <c r="AO69" s="229">
        <v>36</v>
      </c>
      <c r="AP69" s="231">
        <v>9</v>
      </c>
      <c r="AQ69" s="231">
        <v>2024</v>
      </c>
      <c r="AR69" s="231" t="str">
        <f t="shared" si="5"/>
        <v>09/2024</v>
      </c>
      <c r="AS69" s="231">
        <f t="shared" si="6"/>
        <v>46.6</v>
      </c>
      <c r="AT69" s="239">
        <f>IF(G69="CERVECERIA Y MALTERIA",(AS69*AK69/1000000)*(1-VLOOKUP(N69,FCST!D:I,6,FALSE)),0)</f>
        <v>19.889625600000002</v>
      </c>
      <c r="AU69" s="232">
        <v>5.0000000000000001E-3</v>
      </c>
      <c r="AV69" s="239">
        <f t="shared" si="7"/>
        <v>19.989073728000001</v>
      </c>
      <c r="AW69" s="239">
        <f>(AS69*AK69/1000000)*(VLOOKUP(N69,FCST!D:I,6,FALSE))</f>
        <v>0</v>
      </c>
      <c r="AX69" s="239">
        <f t="shared" si="8"/>
        <v>0</v>
      </c>
      <c r="AY69" s="239">
        <f>IF($G69="CERVECERIA Y MALTERIA.",($AS69*$AK69/1000000)*(1-VLOOKUP($N69,FCST!D:I,6,FALSE)),0)</f>
        <v>0</v>
      </c>
      <c r="AZ69" s="239">
        <f t="shared" si="9"/>
        <v>0</v>
      </c>
      <c r="BB69" s="240"/>
    </row>
    <row r="70" spans="1:54" x14ac:dyDescent="0.25">
      <c r="A70" s="209">
        <v>1072957</v>
      </c>
      <c r="B70" s="209">
        <v>30</v>
      </c>
      <c r="C70" s="209">
        <v>89258625</v>
      </c>
      <c r="D70" s="209">
        <v>10</v>
      </c>
      <c r="E70" s="209">
        <v>10000002</v>
      </c>
      <c r="F70" s="209">
        <v>20001057</v>
      </c>
      <c r="G70" s="209" t="s">
        <v>105</v>
      </c>
      <c r="H70" s="209">
        <v>20001057</v>
      </c>
      <c r="I70" s="209">
        <v>2</v>
      </c>
      <c r="J70" s="209" t="s">
        <v>169</v>
      </c>
      <c r="K70" s="209" t="s">
        <v>299</v>
      </c>
      <c r="L70" s="209" t="s">
        <v>171</v>
      </c>
      <c r="M70" s="209" t="s">
        <v>172</v>
      </c>
      <c r="N70" s="209">
        <v>50035183</v>
      </c>
      <c r="O70" s="209" t="s">
        <v>215</v>
      </c>
      <c r="P70" s="209">
        <v>5121</v>
      </c>
      <c r="Q70" s="209" t="s">
        <v>174</v>
      </c>
      <c r="R70" s="209" t="s">
        <v>175</v>
      </c>
      <c r="S70" s="209" t="s">
        <v>176</v>
      </c>
      <c r="T70" s="209" t="s">
        <v>177</v>
      </c>
      <c r="U70" s="209" t="s">
        <v>178</v>
      </c>
      <c r="V70" s="209" t="s">
        <v>179</v>
      </c>
      <c r="W70" s="209" t="s">
        <v>179</v>
      </c>
      <c r="X70" s="209" t="s">
        <v>180</v>
      </c>
      <c r="Y70" s="209" t="s">
        <v>180</v>
      </c>
      <c r="Z70" s="209">
        <v>9521066228</v>
      </c>
      <c r="AA70" s="209" t="s">
        <v>300</v>
      </c>
      <c r="AB70" s="209" t="s">
        <v>180</v>
      </c>
      <c r="AC70" s="209" t="s">
        <v>182</v>
      </c>
      <c r="AD70" s="209">
        <v>9</v>
      </c>
      <c r="AE70" s="209">
        <v>2024</v>
      </c>
      <c r="AF70" s="227">
        <v>45540</v>
      </c>
      <c r="AG70" s="227">
        <v>45541</v>
      </c>
      <c r="AH70" s="227">
        <v>45541</v>
      </c>
      <c r="AI70" s="228">
        <v>426816</v>
      </c>
      <c r="AJ70" s="228">
        <v>52</v>
      </c>
      <c r="AK70" s="228">
        <v>426816</v>
      </c>
      <c r="AL70" s="228">
        <v>52</v>
      </c>
      <c r="AM70" s="228">
        <v>0</v>
      </c>
      <c r="AN70" s="228">
        <v>0</v>
      </c>
      <c r="AO70" s="229">
        <v>36</v>
      </c>
      <c r="AP70" s="231">
        <v>9</v>
      </c>
      <c r="AQ70" s="231">
        <v>2024</v>
      </c>
      <c r="AR70" s="231" t="str">
        <f t="shared" si="5"/>
        <v>09/2024</v>
      </c>
      <c r="AS70" s="231">
        <f t="shared" si="6"/>
        <v>46.6</v>
      </c>
      <c r="AT70" s="239">
        <f>IF(G70="CERVECERIA Y MALTERIA",(AS70*AK70/1000000)*(1-VLOOKUP(N70,FCST!D:I,6,FALSE)),0)</f>
        <v>19.889625600000002</v>
      </c>
      <c r="AU70" s="232">
        <v>5.0000000000000001E-3</v>
      </c>
      <c r="AV70" s="239">
        <f t="shared" si="7"/>
        <v>19.989073728000001</v>
      </c>
      <c r="AW70" s="239">
        <f>(AS70*AK70/1000000)*(VLOOKUP(N70,FCST!D:I,6,FALSE))</f>
        <v>0</v>
      </c>
      <c r="AX70" s="239">
        <f t="shared" si="8"/>
        <v>0</v>
      </c>
      <c r="AY70" s="239">
        <f>IF($G70="CERVECERIA Y MALTERIA.",($AS70*$AK70/1000000)*(1-VLOOKUP($N70,FCST!D:I,6,FALSE)),0)</f>
        <v>0</v>
      </c>
      <c r="AZ70" s="239">
        <f t="shared" si="9"/>
        <v>0</v>
      </c>
      <c r="BB70" s="240"/>
    </row>
    <row r="71" spans="1:54" x14ac:dyDescent="0.25">
      <c r="A71" s="209">
        <v>1072957</v>
      </c>
      <c r="B71" s="209">
        <v>10</v>
      </c>
      <c r="C71" s="209">
        <v>89258628</v>
      </c>
      <c r="D71" s="209">
        <v>10</v>
      </c>
      <c r="E71" s="209">
        <v>10000002</v>
      </c>
      <c r="F71" s="209">
        <v>20001057</v>
      </c>
      <c r="G71" s="209" t="s">
        <v>105</v>
      </c>
      <c r="H71" s="209">
        <v>20001057</v>
      </c>
      <c r="I71" s="209">
        <v>2</v>
      </c>
      <c r="J71" s="209" t="s">
        <v>169</v>
      </c>
      <c r="K71" s="209" t="s">
        <v>301</v>
      </c>
      <c r="L71" s="209" t="s">
        <v>171</v>
      </c>
      <c r="M71" s="209" t="s">
        <v>172</v>
      </c>
      <c r="N71" s="209">
        <v>50032573</v>
      </c>
      <c r="O71" s="209" t="s">
        <v>173</v>
      </c>
      <c r="P71" s="209">
        <v>5121</v>
      </c>
      <c r="Q71" s="209" t="s">
        <v>174</v>
      </c>
      <c r="R71" s="209" t="s">
        <v>175</v>
      </c>
      <c r="S71" s="209" t="s">
        <v>176</v>
      </c>
      <c r="T71" s="209" t="s">
        <v>177</v>
      </c>
      <c r="U71" s="209" t="s">
        <v>178</v>
      </c>
      <c r="V71" s="209" t="s">
        <v>179</v>
      </c>
      <c r="W71" s="209" t="s">
        <v>179</v>
      </c>
      <c r="X71" s="209" t="s">
        <v>180</v>
      </c>
      <c r="Y71" s="209" t="s">
        <v>180</v>
      </c>
      <c r="Z71" s="209">
        <v>9521066226</v>
      </c>
      <c r="AA71" s="209" t="s">
        <v>302</v>
      </c>
      <c r="AB71" s="209" t="s">
        <v>180</v>
      </c>
      <c r="AC71" s="209" t="s">
        <v>182</v>
      </c>
      <c r="AD71" s="209">
        <v>9</v>
      </c>
      <c r="AE71" s="209">
        <v>2024</v>
      </c>
      <c r="AF71" s="227">
        <v>45540</v>
      </c>
      <c r="AG71" s="227">
        <v>45541</v>
      </c>
      <c r="AH71" s="227">
        <v>45541</v>
      </c>
      <c r="AI71" s="228">
        <v>531648</v>
      </c>
      <c r="AJ71" s="228">
        <v>52</v>
      </c>
      <c r="AK71" s="228">
        <v>531648</v>
      </c>
      <c r="AL71" s="228">
        <v>52</v>
      </c>
      <c r="AM71" s="228">
        <v>0</v>
      </c>
      <c r="AN71" s="228">
        <v>0</v>
      </c>
      <c r="AO71" s="229">
        <v>36</v>
      </c>
      <c r="AP71" s="231">
        <v>9</v>
      </c>
      <c r="AQ71" s="231">
        <v>2024</v>
      </c>
      <c r="AR71" s="231" t="str">
        <f t="shared" si="5"/>
        <v>09/2024</v>
      </c>
      <c r="AS71" s="231">
        <f t="shared" si="6"/>
        <v>37.200000000000003</v>
      </c>
      <c r="AT71" s="239">
        <f>IF(G71="CERVECERIA Y MALTERIA",(AS71*AK71/1000000)*(1-VLOOKUP(N71,FCST!D:I,6,FALSE)),0)</f>
        <v>19.777305600000002</v>
      </c>
      <c r="AU71" s="232">
        <v>5.0000000000000001E-3</v>
      </c>
      <c r="AV71" s="239">
        <f t="shared" si="7"/>
        <v>19.876192128</v>
      </c>
      <c r="AW71" s="239">
        <f>(AS71*AK71/1000000)*(VLOOKUP(N71,FCST!D:I,6,FALSE))</f>
        <v>0</v>
      </c>
      <c r="AX71" s="239">
        <f t="shared" si="8"/>
        <v>0</v>
      </c>
      <c r="AY71" s="239">
        <f>IF($G71="CERVECERIA Y MALTERIA.",($AS71*$AK71/1000000)*(1-VLOOKUP($N71,FCST!D:I,6,FALSE)),0)</f>
        <v>0</v>
      </c>
      <c r="AZ71" s="239">
        <f t="shared" si="9"/>
        <v>0</v>
      </c>
      <c r="BB71" s="240"/>
    </row>
    <row r="72" spans="1:54" x14ac:dyDescent="0.25">
      <c r="A72" s="209">
        <v>1072957</v>
      </c>
      <c r="B72" s="209">
        <v>20</v>
      </c>
      <c r="C72" s="209">
        <v>89258894</v>
      </c>
      <c r="D72" s="209">
        <v>10</v>
      </c>
      <c r="E72" s="209">
        <v>10000002</v>
      </c>
      <c r="F72" s="209">
        <v>20001057</v>
      </c>
      <c r="G72" s="209" t="s">
        <v>105</v>
      </c>
      <c r="H72" s="209">
        <v>20001057</v>
      </c>
      <c r="I72" s="209">
        <v>2</v>
      </c>
      <c r="J72" s="209" t="s">
        <v>169</v>
      </c>
      <c r="K72" s="209" t="s">
        <v>303</v>
      </c>
      <c r="L72" s="209" t="s">
        <v>171</v>
      </c>
      <c r="M72" s="209" t="s">
        <v>172</v>
      </c>
      <c r="N72" s="209">
        <v>50032573</v>
      </c>
      <c r="O72" s="209" t="s">
        <v>173</v>
      </c>
      <c r="P72" s="209">
        <v>5121</v>
      </c>
      <c r="Q72" s="209" t="s">
        <v>174</v>
      </c>
      <c r="R72" s="209" t="s">
        <v>175</v>
      </c>
      <c r="S72" s="209" t="s">
        <v>176</v>
      </c>
      <c r="T72" s="209" t="s">
        <v>177</v>
      </c>
      <c r="U72" s="209" t="s">
        <v>178</v>
      </c>
      <c r="V72" s="209" t="s">
        <v>179</v>
      </c>
      <c r="W72" s="209" t="s">
        <v>179</v>
      </c>
      <c r="X72" s="209" t="s">
        <v>180</v>
      </c>
      <c r="Y72" s="209" t="s">
        <v>180</v>
      </c>
      <c r="Z72" s="209">
        <v>9521066226</v>
      </c>
      <c r="AA72" s="209" t="s">
        <v>302</v>
      </c>
      <c r="AB72" s="209" t="s">
        <v>180</v>
      </c>
      <c r="AC72" s="209" t="s">
        <v>182</v>
      </c>
      <c r="AD72" s="209">
        <v>9</v>
      </c>
      <c r="AE72" s="209">
        <v>2024</v>
      </c>
      <c r="AF72" s="227">
        <v>45540</v>
      </c>
      <c r="AG72" s="227">
        <v>45541</v>
      </c>
      <c r="AH72" s="227">
        <v>45542</v>
      </c>
      <c r="AI72" s="228">
        <v>531648</v>
      </c>
      <c r="AJ72" s="228">
        <v>52</v>
      </c>
      <c r="AK72" s="228">
        <v>531648</v>
      </c>
      <c r="AL72" s="228">
        <v>52</v>
      </c>
      <c r="AM72" s="228">
        <v>0</v>
      </c>
      <c r="AN72" s="228">
        <v>0</v>
      </c>
      <c r="AO72" s="229">
        <v>36</v>
      </c>
      <c r="AP72" s="231">
        <v>9</v>
      </c>
      <c r="AQ72" s="231">
        <v>2024</v>
      </c>
      <c r="AR72" s="231" t="str">
        <f t="shared" si="5"/>
        <v>09/2024</v>
      </c>
      <c r="AS72" s="231">
        <f t="shared" si="6"/>
        <v>37.200000000000003</v>
      </c>
      <c r="AT72" s="239">
        <f>IF(G72="CERVECERIA Y MALTERIA",(AS72*AK72/1000000)*(1-VLOOKUP(N72,FCST!D:I,6,FALSE)),0)</f>
        <v>19.777305600000002</v>
      </c>
      <c r="AU72" s="232">
        <v>5.0000000000000001E-3</v>
      </c>
      <c r="AV72" s="239">
        <f t="shared" si="7"/>
        <v>19.876192128</v>
      </c>
      <c r="AW72" s="239">
        <f>(AS72*AK72/1000000)*(VLOOKUP(N72,FCST!D:I,6,FALSE))</f>
        <v>0</v>
      </c>
      <c r="AX72" s="239">
        <f t="shared" si="8"/>
        <v>0</v>
      </c>
      <c r="AY72" s="239">
        <f>IF($G72="CERVECERIA Y MALTERIA.",($AS72*$AK72/1000000)*(1-VLOOKUP($N72,FCST!D:I,6,FALSE)),0)</f>
        <v>0</v>
      </c>
      <c r="AZ72" s="239">
        <f t="shared" si="9"/>
        <v>0</v>
      </c>
      <c r="BB72" s="240"/>
    </row>
    <row r="73" spans="1:54" x14ac:dyDescent="0.25">
      <c r="A73" s="209">
        <v>1072958</v>
      </c>
      <c r="B73" s="209">
        <v>10</v>
      </c>
      <c r="C73" s="209">
        <v>89258902</v>
      </c>
      <c r="D73" s="209">
        <v>10</v>
      </c>
      <c r="E73" s="209">
        <v>10000002</v>
      </c>
      <c r="F73" s="209">
        <v>20000337</v>
      </c>
      <c r="G73" s="209" t="s">
        <v>105</v>
      </c>
      <c r="H73" s="209">
        <v>20000337</v>
      </c>
      <c r="I73" s="209">
        <v>2</v>
      </c>
      <c r="J73" s="209" t="s">
        <v>169</v>
      </c>
      <c r="K73" s="209" t="s">
        <v>304</v>
      </c>
      <c r="L73" s="209" t="s">
        <v>171</v>
      </c>
      <c r="M73" s="209" t="s">
        <v>172</v>
      </c>
      <c r="N73" s="209">
        <v>50035183</v>
      </c>
      <c r="O73" s="209" t="s">
        <v>215</v>
      </c>
      <c r="P73" s="209">
        <v>5121</v>
      </c>
      <c r="Q73" s="209" t="s">
        <v>174</v>
      </c>
      <c r="R73" s="209" t="s">
        <v>175</v>
      </c>
      <c r="S73" s="209" t="s">
        <v>176</v>
      </c>
      <c r="T73" s="209" t="s">
        <v>177</v>
      </c>
      <c r="U73" s="209" t="s">
        <v>178</v>
      </c>
      <c r="V73" s="209" t="s">
        <v>179</v>
      </c>
      <c r="W73" s="209" t="s">
        <v>179</v>
      </c>
      <c r="X73" s="209" t="s">
        <v>180</v>
      </c>
      <c r="Y73" s="209" t="s">
        <v>180</v>
      </c>
      <c r="Z73" s="209">
        <v>9521066220</v>
      </c>
      <c r="AA73" s="209" t="s">
        <v>240</v>
      </c>
      <c r="AB73" s="209" t="s">
        <v>180</v>
      </c>
      <c r="AC73" s="209" t="s">
        <v>182</v>
      </c>
      <c r="AD73" s="209">
        <v>9</v>
      </c>
      <c r="AE73" s="209">
        <v>2024</v>
      </c>
      <c r="AF73" s="227">
        <v>45540</v>
      </c>
      <c r="AG73" s="227">
        <v>45541</v>
      </c>
      <c r="AH73" s="227">
        <v>45542</v>
      </c>
      <c r="AI73" s="228">
        <v>426816</v>
      </c>
      <c r="AJ73" s="228">
        <v>52</v>
      </c>
      <c r="AK73" s="228">
        <v>426816</v>
      </c>
      <c r="AL73" s="228">
        <v>52</v>
      </c>
      <c r="AM73" s="228">
        <v>0</v>
      </c>
      <c r="AN73" s="228">
        <v>0</v>
      </c>
      <c r="AO73" s="229">
        <v>36</v>
      </c>
      <c r="AP73" s="231">
        <v>9</v>
      </c>
      <c r="AQ73" s="231">
        <v>2024</v>
      </c>
      <c r="AR73" s="231" t="str">
        <f t="shared" si="5"/>
        <v>09/2024</v>
      </c>
      <c r="AS73" s="231">
        <f t="shared" si="6"/>
        <v>46.6</v>
      </c>
      <c r="AT73" s="239">
        <f>IF(G73="CERVECERIA Y MALTERIA",(AS73*AK73/1000000)*(1-VLOOKUP(N73,FCST!D:I,6,FALSE)),0)</f>
        <v>19.889625600000002</v>
      </c>
      <c r="AU73" s="232">
        <v>5.0000000000000001E-3</v>
      </c>
      <c r="AV73" s="239">
        <f t="shared" si="7"/>
        <v>19.989073728000001</v>
      </c>
      <c r="AW73" s="239">
        <f>(AS73*AK73/1000000)*(VLOOKUP(N73,FCST!D:I,6,FALSE))</f>
        <v>0</v>
      </c>
      <c r="AX73" s="239">
        <f t="shared" si="8"/>
        <v>0</v>
      </c>
      <c r="AY73" s="239">
        <f>IF($G73="CERVECERIA Y MALTERIA.",($AS73*$AK73/1000000)*(1-VLOOKUP($N73,FCST!D:I,6,FALSE)),0)</f>
        <v>0</v>
      </c>
      <c r="AZ73" s="239">
        <f t="shared" si="9"/>
        <v>0</v>
      </c>
      <c r="BB73" s="240"/>
    </row>
    <row r="74" spans="1:54" x14ac:dyDescent="0.25">
      <c r="A74" s="209">
        <v>1073107</v>
      </c>
      <c r="B74" s="209">
        <v>30</v>
      </c>
      <c r="C74" s="209">
        <v>89259280</v>
      </c>
      <c r="D74" s="209">
        <v>10</v>
      </c>
      <c r="E74" s="209">
        <v>10000002</v>
      </c>
      <c r="F74" s="209">
        <v>20000335</v>
      </c>
      <c r="G74" s="209" t="s">
        <v>105</v>
      </c>
      <c r="H74" s="209">
        <v>20000335</v>
      </c>
      <c r="I74" s="209">
        <v>2</v>
      </c>
      <c r="J74" s="209" t="s">
        <v>169</v>
      </c>
      <c r="K74" s="209" t="s">
        <v>305</v>
      </c>
      <c r="L74" s="209" t="s">
        <v>171</v>
      </c>
      <c r="M74" s="209" t="s">
        <v>172</v>
      </c>
      <c r="N74" s="209">
        <v>50035183</v>
      </c>
      <c r="O74" s="209" t="s">
        <v>215</v>
      </c>
      <c r="P74" s="209">
        <v>5121</v>
      </c>
      <c r="Q74" s="209" t="s">
        <v>174</v>
      </c>
      <c r="R74" s="209" t="s">
        <v>175</v>
      </c>
      <c r="S74" s="209" t="s">
        <v>176</v>
      </c>
      <c r="T74" s="209" t="s">
        <v>177</v>
      </c>
      <c r="U74" s="209" t="s">
        <v>178</v>
      </c>
      <c r="V74" s="209" t="s">
        <v>179</v>
      </c>
      <c r="W74" s="209" t="s">
        <v>179</v>
      </c>
      <c r="X74" s="209" t="s">
        <v>180</v>
      </c>
      <c r="Y74" s="209" t="s">
        <v>180</v>
      </c>
      <c r="Z74" s="209">
        <v>9521066211</v>
      </c>
      <c r="AA74" s="209" t="s">
        <v>244</v>
      </c>
      <c r="AB74" s="209" t="s">
        <v>180</v>
      </c>
      <c r="AC74" s="209" t="s">
        <v>182</v>
      </c>
      <c r="AD74" s="209">
        <v>9</v>
      </c>
      <c r="AE74" s="209">
        <v>2024</v>
      </c>
      <c r="AF74" s="227">
        <v>45541</v>
      </c>
      <c r="AG74" s="227">
        <v>45544</v>
      </c>
      <c r="AH74" s="227">
        <v>45544</v>
      </c>
      <c r="AI74" s="228">
        <v>426816</v>
      </c>
      <c r="AJ74" s="228">
        <v>52</v>
      </c>
      <c r="AK74" s="228">
        <v>426816</v>
      </c>
      <c r="AL74" s="228">
        <v>52</v>
      </c>
      <c r="AM74" s="228">
        <v>0</v>
      </c>
      <c r="AN74" s="228">
        <v>0</v>
      </c>
      <c r="AO74" s="229">
        <v>37</v>
      </c>
      <c r="AP74" s="231">
        <v>9</v>
      </c>
      <c r="AQ74" s="231">
        <v>2024</v>
      </c>
      <c r="AR74" s="231" t="str">
        <f t="shared" si="5"/>
        <v>09/2024</v>
      </c>
      <c r="AS74" s="231">
        <f t="shared" si="6"/>
        <v>46.6</v>
      </c>
      <c r="AT74" s="239">
        <f>IF(G74="CERVECERIA Y MALTERIA",(AS74*AK74/1000000)*(1-VLOOKUP(N74,FCST!D:I,6,FALSE)),0)</f>
        <v>19.889625600000002</v>
      </c>
      <c r="AU74" s="232">
        <v>5.0000000000000001E-3</v>
      </c>
      <c r="AV74" s="239">
        <f t="shared" si="7"/>
        <v>19.989073728000001</v>
      </c>
      <c r="AW74" s="239">
        <f>(AS74*AK74/1000000)*(VLOOKUP(N74,FCST!D:I,6,FALSE))</f>
        <v>0</v>
      </c>
      <c r="AX74" s="239">
        <f t="shared" si="8"/>
        <v>0</v>
      </c>
      <c r="AY74" s="239">
        <f>IF($G74="CERVECERIA Y MALTERIA.",($AS74*$AK74/1000000)*(1-VLOOKUP($N74,FCST!D:I,6,FALSE)),0)</f>
        <v>0</v>
      </c>
      <c r="AZ74" s="239">
        <f t="shared" si="9"/>
        <v>0</v>
      </c>
      <c r="BB74" s="240"/>
    </row>
    <row r="75" spans="1:54" x14ac:dyDescent="0.25">
      <c r="A75" s="209">
        <v>1073107</v>
      </c>
      <c r="B75" s="209">
        <v>10</v>
      </c>
      <c r="C75" s="209">
        <v>89259292</v>
      </c>
      <c r="D75" s="209">
        <v>10</v>
      </c>
      <c r="E75" s="209">
        <v>10000002</v>
      </c>
      <c r="F75" s="209">
        <v>20000335</v>
      </c>
      <c r="G75" s="209" t="s">
        <v>105</v>
      </c>
      <c r="H75" s="209">
        <v>20000335</v>
      </c>
      <c r="I75" s="209">
        <v>2</v>
      </c>
      <c r="J75" s="209" t="s">
        <v>169</v>
      </c>
      <c r="K75" s="209" t="s">
        <v>306</v>
      </c>
      <c r="L75" s="209" t="s">
        <v>171</v>
      </c>
      <c r="M75" s="209" t="s">
        <v>172</v>
      </c>
      <c r="N75" s="209">
        <v>50034561</v>
      </c>
      <c r="O75" s="209" t="s">
        <v>307</v>
      </c>
      <c r="P75" s="209">
        <v>5121</v>
      </c>
      <c r="Q75" s="209" t="s">
        <v>174</v>
      </c>
      <c r="R75" s="209" t="s">
        <v>175</v>
      </c>
      <c r="S75" s="209" t="s">
        <v>176</v>
      </c>
      <c r="T75" s="209" t="s">
        <v>177</v>
      </c>
      <c r="U75" s="209" t="s">
        <v>178</v>
      </c>
      <c r="V75" s="209" t="s">
        <v>179</v>
      </c>
      <c r="W75" s="209" t="s">
        <v>179</v>
      </c>
      <c r="X75" s="209" t="s">
        <v>180</v>
      </c>
      <c r="Y75" s="209" t="s">
        <v>180</v>
      </c>
      <c r="Z75" s="209">
        <v>9521066208</v>
      </c>
      <c r="AA75" s="209" t="s">
        <v>308</v>
      </c>
      <c r="AB75" s="209" t="s">
        <v>180</v>
      </c>
      <c r="AC75" s="209" t="s">
        <v>182</v>
      </c>
      <c r="AD75" s="209">
        <v>9</v>
      </c>
      <c r="AE75" s="209">
        <v>2024</v>
      </c>
      <c r="AF75" s="227">
        <v>45541</v>
      </c>
      <c r="AG75" s="227">
        <v>45544</v>
      </c>
      <c r="AH75" s="227">
        <v>45544</v>
      </c>
      <c r="AI75" s="228">
        <v>977184</v>
      </c>
      <c r="AJ75" s="228">
        <v>52</v>
      </c>
      <c r="AK75" s="228">
        <v>977184</v>
      </c>
      <c r="AL75" s="228">
        <v>52</v>
      </c>
      <c r="AM75" s="228">
        <v>0</v>
      </c>
      <c r="AN75" s="228">
        <v>0</v>
      </c>
      <c r="AO75" s="229">
        <v>37</v>
      </c>
      <c r="AP75" s="231">
        <v>9</v>
      </c>
      <c r="AQ75" s="231">
        <v>2024</v>
      </c>
      <c r="AR75" s="231" t="str">
        <f t="shared" si="5"/>
        <v>09/2024</v>
      </c>
      <c r="AS75" s="231">
        <f t="shared" si="6"/>
        <v>19.5</v>
      </c>
      <c r="AT75" s="239">
        <f>IF(G75="CERVECERIA Y MALTERIA",(AS75*AK75/1000000)*(1-VLOOKUP(N75,FCST!D:I,6,FALSE)),0)</f>
        <v>19.055088000000001</v>
      </c>
      <c r="AU75" s="232">
        <v>5.0000000000000001E-3</v>
      </c>
      <c r="AV75" s="239">
        <f t="shared" si="7"/>
        <v>19.15036344</v>
      </c>
      <c r="AW75" s="239">
        <f>(AS75*AK75/1000000)*(VLOOKUP(N75,FCST!D:I,6,FALSE))</f>
        <v>0</v>
      </c>
      <c r="AX75" s="239">
        <f t="shared" si="8"/>
        <v>0</v>
      </c>
      <c r="AY75" s="239">
        <f>IF($G75="CERVECERIA Y MALTERIA.",($AS75*$AK75/1000000)*(1-VLOOKUP($N75,FCST!D:I,6,FALSE)),0)</f>
        <v>0</v>
      </c>
      <c r="AZ75" s="239">
        <f t="shared" si="9"/>
        <v>0</v>
      </c>
      <c r="BB75" s="240"/>
    </row>
    <row r="76" spans="1:54" x14ac:dyDescent="0.25">
      <c r="A76" s="209">
        <v>1072045</v>
      </c>
      <c r="B76" s="209">
        <v>10</v>
      </c>
      <c r="C76" s="209">
        <v>89254467</v>
      </c>
      <c r="D76" s="209">
        <v>10</v>
      </c>
      <c r="E76" s="209">
        <v>10000002</v>
      </c>
      <c r="F76" s="209">
        <v>20000337</v>
      </c>
      <c r="G76" s="209" t="s">
        <v>105</v>
      </c>
      <c r="H76" s="209">
        <v>20000337</v>
      </c>
      <c r="I76" s="209">
        <v>2</v>
      </c>
      <c r="J76" s="209" t="s">
        <v>169</v>
      </c>
      <c r="K76" s="209" t="s">
        <v>309</v>
      </c>
      <c r="L76" s="209" t="s">
        <v>171</v>
      </c>
      <c r="M76" s="209" t="s">
        <v>172</v>
      </c>
      <c r="N76" s="209">
        <v>50034616</v>
      </c>
      <c r="O76" s="209" t="s">
        <v>191</v>
      </c>
      <c r="P76" s="209">
        <v>5121</v>
      </c>
      <c r="Q76" s="209" t="s">
        <v>174</v>
      </c>
      <c r="R76" s="209" t="s">
        <v>175</v>
      </c>
      <c r="S76" s="209" t="s">
        <v>176</v>
      </c>
      <c r="T76" s="209" t="s">
        <v>177</v>
      </c>
      <c r="U76" s="209" t="s">
        <v>178</v>
      </c>
      <c r="V76" s="209" t="s">
        <v>179</v>
      </c>
      <c r="W76" s="209" t="s">
        <v>179</v>
      </c>
      <c r="X76" s="209" t="s">
        <v>180</v>
      </c>
      <c r="Y76" s="209" t="s">
        <v>180</v>
      </c>
      <c r="Z76" s="209">
        <v>9521066219</v>
      </c>
      <c r="AA76" s="209" t="s">
        <v>194</v>
      </c>
      <c r="AB76" s="209" t="s">
        <v>180</v>
      </c>
      <c r="AC76" s="209" t="s">
        <v>182</v>
      </c>
      <c r="AD76" s="209">
        <v>9</v>
      </c>
      <c r="AE76" s="209">
        <v>2024</v>
      </c>
      <c r="AF76" s="227">
        <v>45537</v>
      </c>
      <c r="AG76" s="227">
        <v>45537</v>
      </c>
      <c r="AH76" s="227">
        <v>45537</v>
      </c>
      <c r="AI76" s="228">
        <v>426816</v>
      </c>
      <c r="AJ76" s="228">
        <v>52</v>
      </c>
      <c r="AK76" s="228">
        <v>426816</v>
      </c>
      <c r="AL76" s="228">
        <v>52</v>
      </c>
      <c r="AM76" s="228">
        <v>0</v>
      </c>
      <c r="AN76" s="228">
        <v>0</v>
      </c>
      <c r="AO76" s="229">
        <v>36</v>
      </c>
      <c r="AP76" s="231">
        <v>9</v>
      </c>
      <c r="AQ76" s="231">
        <v>2024</v>
      </c>
      <c r="AR76" s="231" t="str">
        <f t="shared" si="5"/>
        <v>09/2024</v>
      </c>
      <c r="AS76" s="231">
        <f t="shared" si="6"/>
        <v>46.6</v>
      </c>
      <c r="AT76" s="239">
        <f>IF(G76="CERVECERIA Y MALTERIA",(AS76*AK76/1000000)*(1-VLOOKUP(N76,FCST!D:I,6,FALSE)),0)</f>
        <v>19.889625600000002</v>
      </c>
      <c r="AU76" s="232">
        <v>5.0000000000000001E-3</v>
      </c>
      <c r="AV76" s="239">
        <f t="shared" si="7"/>
        <v>19.989073728000001</v>
      </c>
      <c r="AW76" s="239">
        <f>(AS76*AK76/1000000)*(VLOOKUP(N76,FCST!D:I,6,FALSE))</f>
        <v>0</v>
      </c>
      <c r="AX76" s="239">
        <f t="shared" si="8"/>
        <v>0</v>
      </c>
      <c r="AY76" s="239">
        <f>IF($G76="CERVECERIA Y MALTERIA.",($AS76*$AK76/1000000)*(1-VLOOKUP($N76,FCST!D:I,6,FALSE)),0)</f>
        <v>0</v>
      </c>
      <c r="AZ76" s="239">
        <f t="shared" si="9"/>
        <v>0</v>
      </c>
      <c r="BB76" s="240"/>
    </row>
    <row r="77" spans="1:54" x14ac:dyDescent="0.25">
      <c r="A77" s="209">
        <v>1072045</v>
      </c>
      <c r="B77" s="209">
        <v>20</v>
      </c>
      <c r="C77" s="209">
        <v>89254624</v>
      </c>
      <c r="D77" s="209">
        <v>10</v>
      </c>
      <c r="E77" s="209">
        <v>10000002</v>
      </c>
      <c r="F77" s="209">
        <v>20000337</v>
      </c>
      <c r="G77" s="209" t="s">
        <v>105</v>
      </c>
      <c r="H77" s="209">
        <v>20000337</v>
      </c>
      <c r="I77" s="209">
        <v>2</v>
      </c>
      <c r="J77" s="209" t="s">
        <v>169</v>
      </c>
      <c r="K77" s="209" t="s">
        <v>310</v>
      </c>
      <c r="L77" s="209" t="s">
        <v>171</v>
      </c>
      <c r="M77" s="209" t="s">
        <v>172</v>
      </c>
      <c r="N77" s="209">
        <v>50034616</v>
      </c>
      <c r="O77" s="209" t="s">
        <v>191</v>
      </c>
      <c r="P77" s="209">
        <v>5121</v>
      </c>
      <c r="Q77" s="209" t="s">
        <v>174</v>
      </c>
      <c r="R77" s="209" t="s">
        <v>175</v>
      </c>
      <c r="S77" s="209" t="s">
        <v>176</v>
      </c>
      <c r="T77" s="209" t="s">
        <v>177</v>
      </c>
      <c r="U77" s="209" t="s">
        <v>178</v>
      </c>
      <c r="V77" s="209" t="s">
        <v>179</v>
      </c>
      <c r="W77" s="209" t="s">
        <v>179</v>
      </c>
      <c r="X77" s="209" t="s">
        <v>180</v>
      </c>
      <c r="Y77" s="209" t="s">
        <v>180</v>
      </c>
      <c r="Z77" s="209">
        <v>9521066219</v>
      </c>
      <c r="AA77" s="209" t="s">
        <v>194</v>
      </c>
      <c r="AB77" s="209" t="s">
        <v>180</v>
      </c>
      <c r="AC77" s="209" t="s">
        <v>182</v>
      </c>
      <c r="AD77" s="209">
        <v>9</v>
      </c>
      <c r="AE77" s="209">
        <v>2024</v>
      </c>
      <c r="AF77" s="227">
        <v>45537</v>
      </c>
      <c r="AG77" s="227">
        <v>45538</v>
      </c>
      <c r="AH77" s="227">
        <v>45538</v>
      </c>
      <c r="AI77" s="228">
        <v>426816</v>
      </c>
      <c r="AJ77" s="228">
        <v>52</v>
      </c>
      <c r="AK77" s="228">
        <v>426816</v>
      </c>
      <c r="AL77" s="228">
        <v>52</v>
      </c>
      <c r="AM77" s="228">
        <v>0</v>
      </c>
      <c r="AN77" s="228">
        <v>0</v>
      </c>
      <c r="AO77" s="229">
        <v>36</v>
      </c>
      <c r="AP77" s="231">
        <v>9</v>
      </c>
      <c r="AQ77" s="231">
        <v>2024</v>
      </c>
      <c r="AR77" s="231" t="str">
        <f t="shared" si="5"/>
        <v>09/2024</v>
      </c>
      <c r="AS77" s="231">
        <f t="shared" si="6"/>
        <v>46.6</v>
      </c>
      <c r="AT77" s="239">
        <f>IF(G77="CERVECERIA Y MALTERIA",(AS77*AK77/1000000)*(1-VLOOKUP(N77,FCST!D:I,6,FALSE)),0)</f>
        <v>19.889625600000002</v>
      </c>
      <c r="AU77" s="232">
        <v>5.0000000000000001E-3</v>
      </c>
      <c r="AV77" s="239">
        <f t="shared" si="7"/>
        <v>19.989073728000001</v>
      </c>
      <c r="AW77" s="239">
        <f>(AS77*AK77/1000000)*(VLOOKUP(N77,FCST!D:I,6,FALSE))</f>
        <v>0</v>
      </c>
      <c r="AX77" s="239">
        <f t="shared" si="8"/>
        <v>0</v>
      </c>
      <c r="AY77" s="239">
        <f>IF($G77="CERVECERIA Y MALTERIA.",($AS77*$AK77/1000000)*(1-VLOOKUP($N77,FCST!D:I,6,FALSE)),0)</f>
        <v>0</v>
      </c>
      <c r="AZ77" s="239">
        <f t="shared" si="9"/>
        <v>0</v>
      </c>
      <c r="BB77" s="240"/>
    </row>
    <row r="78" spans="1:54" x14ac:dyDescent="0.25">
      <c r="A78" s="209">
        <v>1071895</v>
      </c>
      <c r="B78" s="209">
        <v>10</v>
      </c>
      <c r="C78" s="209">
        <v>89254187</v>
      </c>
      <c r="D78" s="209">
        <v>10</v>
      </c>
      <c r="E78" s="209">
        <v>10000002</v>
      </c>
      <c r="F78" s="209">
        <v>20000340</v>
      </c>
      <c r="G78" s="209" t="s">
        <v>117</v>
      </c>
      <c r="H78" s="209">
        <v>20000340</v>
      </c>
      <c r="I78" s="209">
        <v>2</v>
      </c>
      <c r="J78" s="209" t="s">
        <v>169</v>
      </c>
      <c r="K78" s="209" t="s">
        <v>311</v>
      </c>
      <c r="L78" s="209" t="s">
        <v>171</v>
      </c>
      <c r="M78" s="209" t="s">
        <v>172</v>
      </c>
      <c r="N78" s="209">
        <v>50027468</v>
      </c>
      <c r="O78" s="209" t="s">
        <v>285</v>
      </c>
      <c r="P78" s="209">
        <v>5101</v>
      </c>
      <c r="Q78" s="209" t="s">
        <v>186</v>
      </c>
      <c r="R78" s="209" t="s">
        <v>175</v>
      </c>
      <c r="S78" s="209" t="s">
        <v>176</v>
      </c>
      <c r="T78" s="209" t="s">
        <v>187</v>
      </c>
      <c r="U78" s="209" t="s">
        <v>188</v>
      </c>
      <c r="V78" s="209" t="s">
        <v>179</v>
      </c>
      <c r="W78" s="209" t="s">
        <v>179</v>
      </c>
      <c r="X78" s="209" t="s">
        <v>180</v>
      </c>
      <c r="Y78" s="209" t="s">
        <v>180</v>
      </c>
      <c r="Z78" s="209">
        <v>9511046821</v>
      </c>
      <c r="AA78" s="209" t="s">
        <v>286</v>
      </c>
      <c r="AB78" s="209" t="s">
        <v>180</v>
      </c>
      <c r="AC78" s="209" t="s">
        <v>182</v>
      </c>
      <c r="AD78" s="209">
        <v>9</v>
      </c>
      <c r="AE78" s="209">
        <v>2024</v>
      </c>
      <c r="AF78" s="227">
        <v>45534</v>
      </c>
      <c r="AG78" s="227">
        <v>45537</v>
      </c>
      <c r="AH78" s="227">
        <v>45537</v>
      </c>
      <c r="AI78" s="228">
        <v>399360</v>
      </c>
      <c r="AJ78" s="228">
        <v>52</v>
      </c>
      <c r="AK78" s="228">
        <v>399360</v>
      </c>
      <c r="AL78" s="228">
        <v>52</v>
      </c>
      <c r="AM78" s="228">
        <v>0</v>
      </c>
      <c r="AN78" s="228">
        <v>0</v>
      </c>
      <c r="AO78" s="229">
        <v>36</v>
      </c>
      <c r="AP78" s="231">
        <v>9</v>
      </c>
      <c r="AQ78" s="231">
        <v>2024</v>
      </c>
      <c r="AR78" s="231" t="str">
        <f t="shared" si="5"/>
        <v>09/2024</v>
      </c>
      <c r="AS78" s="231">
        <f t="shared" si="6"/>
        <v>52</v>
      </c>
      <c r="AT78" s="239">
        <f>IF(G78="CERVECERIA Y MALTERIA",(AS78*AK78/1000000)*(1-VLOOKUP(N78,FCST!D:I,6,FALSE)),0)</f>
        <v>0</v>
      </c>
      <c r="AU78" s="232">
        <v>5.0000000000000001E-3</v>
      </c>
      <c r="AV78" s="239">
        <f t="shared" si="7"/>
        <v>0</v>
      </c>
      <c r="AW78" s="239">
        <f>(AS78*AK78/1000000)*(VLOOKUP(N78,FCST!D:I,6,FALSE))</f>
        <v>0</v>
      </c>
      <c r="AX78" s="239">
        <f t="shared" si="8"/>
        <v>0</v>
      </c>
      <c r="AY78" s="239">
        <f>IF($G78="CERVECERIA Y MALTERIA.",($AS78*$AK78/1000000)*(1-VLOOKUP($N78,FCST!D:I,6,FALSE)),0)</f>
        <v>20.766719999999999</v>
      </c>
      <c r="AZ78" s="239">
        <f t="shared" si="9"/>
        <v>20.870553599999997</v>
      </c>
      <c r="BB78" s="240"/>
    </row>
    <row r="79" spans="1:54" x14ac:dyDescent="0.25">
      <c r="A79" s="209">
        <v>1071888</v>
      </c>
      <c r="B79" s="209">
        <v>10</v>
      </c>
      <c r="C79" s="209">
        <v>89254189</v>
      </c>
      <c r="D79" s="209">
        <v>10</v>
      </c>
      <c r="E79" s="209">
        <v>10000002</v>
      </c>
      <c r="F79" s="209">
        <v>20000335</v>
      </c>
      <c r="G79" s="209" t="s">
        <v>105</v>
      </c>
      <c r="H79" s="209">
        <v>20000335</v>
      </c>
      <c r="I79" s="209">
        <v>2</v>
      </c>
      <c r="J79" s="209" t="s">
        <v>169</v>
      </c>
      <c r="K79" s="209" t="s">
        <v>312</v>
      </c>
      <c r="L79" s="209" t="s">
        <v>171</v>
      </c>
      <c r="M79" s="209" t="s">
        <v>172</v>
      </c>
      <c r="N79" s="209">
        <v>50032573</v>
      </c>
      <c r="O79" s="209" t="s">
        <v>173</v>
      </c>
      <c r="P79" s="209">
        <v>5121</v>
      </c>
      <c r="Q79" s="209" t="s">
        <v>174</v>
      </c>
      <c r="R79" s="209" t="s">
        <v>175</v>
      </c>
      <c r="S79" s="209" t="s">
        <v>176</v>
      </c>
      <c r="T79" s="209" t="s">
        <v>177</v>
      </c>
      <c r="U79" s="209" t="s">
        <v>178</v>
      </c>
      <c r="V79" s="209" t="s">
        <v>179</v>
      </c>
      <c r="W79" s="209" t="s">
        <v>179</v>
      </c>
      <c r="X79" s="209" t="s">
        <v>180</v>
      </c>
      <c r="Y79" s="209" t="s">
        <v>180</v>
      </c>
      <c r="Z79" s="209">
        <v>9521066207</v>
      </c>
      <c r="AA79" s="209" t="s">
        <v>181</v>
      </c>
      <c r="AB79" s="209" t="s">
        <v>180</v>
      </c>
      <c r="AC79" s="209" t="s">
        <v>182</v>
      </c>
      <c r="AD79" s="209">
        <v>9</v>
      </c>
      <c r="AE79" s="209">
        <v>2024</v>
      </c>
      <c r="AF79" s="227">
        <v>45534</v>
      </c>
      <c r="AG79" s="227">
        <v>45537</v>
      </c>
      <c r="AH79" s="227">
        <v>45537</v>
      </c>
      <c r="AI79" s="228">
        <v>511200</v>
      </c>
      <c r="AJ79" s="228">
        <v>50</v>
      </c>
      <c r="AK79" s="228">
        <v>511200</v>
      </c>
      <c r="AL79" s="228">
        <v>50</v>
      </c>
      <c r="AM79" s="228">
        <v>0</v>
      </c>
      <c r="AN79" s="228">
        <v>0</v>
      </c>
      <c r="AO79" s="229">
        <v>36</v>
      </c>
      <c r="AP79" s="231">
        <v>9</v>
      </c>
      <c r="AQ79" s="231">
        <v>2024</v>
      </c>
      <c r="AR79" s="231" t="str">
        <f t="shared" si="5"/>
        <v>09/2024</v>
      </c>
      <c r="AS79" s="231">
        <f t="shared" si="6"/>
        <v>37.200000000000003</v>
      </c>
      <c r="AT79" s="239">
        <f>IF(G79="CERVECERIA Y MALTERIA",(AS79*AK79/1000000)*(1-VLOOKUP(N79,FCST!D:I,6,FALSE)),0)</f>
        <v>19.016639999999999</v>
      </c>
      <c r="AU79" s="232">
        <v>5.0000000000000001E-3</v>
      </c>
      <c r="AV79" s="239">
        <f t="shared" si="7"/>
        <v>19.111723199999997</v>
      </c>
      <c r="AW79" s="239">
        <f>(AS79*AK79/1000000)*(VLOOKUP(N79,FCST!D:I,6,FALSE))</f>
        <v>0</v>
      </c>
      <c r="AX79" s="239">
        <f t="shared" si="8"/>
        <v>0</v>
      </c>
      <c r="AY79" s="239">
        <f>IF($G79="CERVECERIA Y MALTERIA.",($AS79*$AK79/1000000)*(1-VLOOKUP($N79,FCST!D:I,6,FALSE)),0)</f>
        <v>0</v>
      </c>
      <c r="AZ79" s="239">
        <f t="shared" si="9"/>
        <v>0</v>
      </c>
      <c r="BB79" s="240"/>
    </row>
    <row r="80" spans="1:54" x14ac:dyDescent="0.25">
      <c r="A80" s="209">
        <v>1071888</v>
      </c>
      <c r="B80" s="209">
        <v>20</v>
      </c>
      <c r="C80" s="209">
        <v>89254243</v>
      </c>
      <c r="D80" s="209">
        <v>10</v>
      </c>
      <c r="E80" s="209">
        <v>10000002</v>
      </c>
      <c r="F80" s="209">
        <v>20000335</v>
      </c>
      <c r="G80" s="209" t="s">
        <v>105</v>
      </c>
      <c r="H80" s="209">
        <v>20000335</v>
      </c>
      <c r="I80" s="209">
        <v>2</v>
      </c>
      <c r="J80" s="209" t="s">
        <v>169</v>
      </c>
      <c r="K80" s="209" t="s">
        <v>313</v>
      </c>
      <c r="L80" s="209" t="s">
        <v>171</v>
      </c>
      <c r="M80" s="209" t="s">
        <v>199</v>
      </c>
      <c r="N80" s="209">
        <v>50034616</v>
      </c>
      <c r="O80" s="209" t="s">
        <v>191</v>
      </c>
      <c r="P80" s="209">
        <v>5121</v>
      </c>
      <c r="Q80" s="209" t="s">
        <v>200</v>
      </c>
      <c r="R80" s="209" t="s">
        <v>201</v>
      </c>
      <c r="S80" s="209" t="s">
        <v>202</v>
      </c>
      <c r="T80" s="209" t="s">
        <v>203</v>
      </c>
      <c r="U80" s="209" t="s">
        <v>201</v>
      </c>
      <c r="V80" s="209" t="s">
        <v>179</v>
      </c>
      <c r="W80" s="209" t="s">
        <v>179</v>
      </c>
      <c r="X80" s="209" t="s">
        <v>180</v>
      </c>
      <c r="Y80" s="209" t="s">
        <v>180</v>
      </c>
      <c r="Z80" s="209">
        <v>9521066210</v>
      </c>
      <c r="AA80" s="209" t="s">
        <v>192</v>
      </c>
      <c r="AB80" s="209" t="s">
        <v>180</v>
      </c>
      <c r="AC80" s="209" t="s">
        <v>182</v>
      </c>
      <c r="AD80" s="209">
        <v>9</v>
      </c>
      <c r="AE80" s="209">
        <v>2024</v>
      </c>
      <c r="AF80" s="227">
        <v>45534</v>
      </c>
      <c r="AG80" s="227">
        <v>45537</v>
      </c>
      <c r="AH80" s="227">
        <v>45537</v>
      </c>
      <c r="AI80" s="228">
        <v>426816</v>
      </c>
      <c r="AJ80" s="228">
        <v>52</v>
      </c>
      <c r="AK80" s="228">
        <v>426816</v>
      </c>
      <c r="AL80" s="228">
        <v>52</v>
      </c>
      <c r="AM80" s="228">
        <v>0</v>
      </c>
      <c r="AN80" s="228">
        <v>0</v>
      </c>
      <c r="AO80" s="229">
        <v>36</v>
      </c>
      <c r="AP80" s="231">
        <v>9</v>
      </c>
      <c r="AQ80" s="231">
        <v>2024</v>
      </c>
      <c r="AR80" s="231" t="str">
        <f t="shared" si="5"/>
        <v>09/2024</v>
      </c>
      <c r="AS80" s="231">
        <f t="shared" si="6"/>
        <v>46.6</v>
      </c>
      <c r="AT80" s="239">
        <f>IF(G80="CERVECERIA Y MALTERIA",(AS80*AK80/1000000)*(1-VLOOKUP(N80,FCST!D:I,6,FALSE)),0)</f>
        <v>19.889625600000002</v>
      </c>
      <c r="AU80" s="232">
        <v>5.0000000000000001E-3</v>
      </c>
      <c r="AV80" s="239">
        <f t="shared" si="7"/>
        <v>19.989073728000001</v>
      </c>
      <c r="AW80" s="239">
        <f>(AS80*AK80/1000000)*(VLOOKUP(N80,FCST!D:I,6,FALSE))</f>
        <v>0</v>
      </c>
      <c r="AX80" s="239">
        <f t="shared" si="8"/>
        <v>0</v>
      </c>
      <c r="AY80" s="239">
        <f>IF($G80="CERVECERIA Y MALTERIA.",($AS80*$AK80/1000000)*(1-VLOOKUP($N80,FCST!D:I,6,FALSE)),0)</f>
        <v>0</v>
      </c>
      <c r="AZ80" s="239">
        <f t="shared" si="9"/>
        <v>0</v>
      </c>
      <c r="BB80" s="240"/>
    </row>
    <row r="81" spans="1:54" x14ac:dyDescent="0.25">
      <c r="A81" s="209">
        <v>10001856</v>
      </c>
      <c r="B81" s="209">
        <v>10</v>
      </c>
      <c r="C81" s="209">
        <v>89254247</v>
      </c>
      <c r="D81" s="209">
        <v>10</v>
      </c>
      <c r="E81" s="209">
        <v>10000002</v>
      </c>
      <c r="F81" s="209">
        <v>20000340</v>
      </c>
      <c r="G81" s="209" t="s">
        <v>117</v>
      </c>
      <c r="H81" s="209">
        <v>20000340</v>
      </c>
      <c r="I81" s="209">
        <v>2</v>
      </c>
      <c r="J81" s="209" t="s">
        <v>169</v>
      </c>
      <c r="K81" s="209" t="s">
        <v>314</v>
      </c>
      <c r="L81" s="209" t="s">
        <v>171</v>
      </c>
      <c r="M81" s="209" t="s">
        <v>172</v>
      </c>
      <c r="N81" s="209">
        <v>50036718</v>
      </c>
      <c r="O81" s="209" t="s">
        <v>259</v>
      </c>
      <c r="P81" s="209">
        <v>5101</v>
      </c>
      <c r="Q81" s="209" t="s">
        <v>186</v>
      </c>
      <c r="R81" s="209" t="s">
        <v>175</v>
      </c>
      <c r="S81" s="209" t="s">
        <v>176</v>
      </c>
      <c r="T81" s="209" t="s">
        <v>187</v>
      </c>
      <c r="U81" s="209" t="s">
        <v>188</v>
      </c>
      <c r="V81" s="209" t="s">
        <v>179</v>
      </c>
      <c r="W81" s="209" t="s">
        <v>179</v>
      </c>
      <c r="X81" s="209" t="s">
        <v>180</v>
      </c>
      <c r="Y81" s="209" t="s">
        <v>180</v>
      </c>
      <c r="Z81" s="209" t="s">
        <v>180</v>
      </c>
      <c r="AA81" s="209" t="s">
        <v>180</v>
      </c>
      <c r="AB81" s="209" t="s">
        <v>180</v>
      </c>
      <c r="AC81" s="209" t="s">
        <v>182</v>
      </c>
      <c r="AD81" s="209">
        <v>9</v>
      </c>
      <c r="AE81" s="209">
        <v>2024</v>
      </c>
      <c r="AF81" s="227">
        <v>45537</v>
      </c>
      <c r="AG81" s="227">
        <v>45537</v>
      </c>
      <c r="AH81" s="227">
        <v>45537</v>
      </c>
      <c r="AI81" s="228">
        <v>19968</v>
      </c>
      <c r="AJ81" s="228">
        <v>2</v>
      </c>
      <c r="AK81" s="228">
        <v>19968</v>
      </c>
      <c r="AL81" s="228">
        <v>2</v>
      </c>
      <c r="AM81" s="228">
        <v>0</v>
      </c>
      <c r="AN81" s="228">
        <v>0</v>
      </c>
      <c r="AO81" s="229">
        <v>36</v>
      </c>
      <c r="AP81" s="231">
        <v>9</v>
      </c>
      <c r="AQ81" s="231">
        <v>2024</v>
      </c>
      <c r="AR81" s="231" t="str">
        <f t="shared" si="5"/>
        <v>09/2024</v>
      </c>
      <c r="AS81" s="231">
        <f t="shared" si="6"/>
        <v>34</v>
      </c>
      <c r="AT81" s="239">
        <f>IF(G81="CERVECERIA Y MALTERIA",(AS81*AK81/1000000)*(1-VLOOKUP(N81,FCST!D:I,6,FALSE)),0)</f>
        <v>0</v>
      </c>
      <c r="AU81" s="232">
        <v>5.0000000000000001E-3</v>
      </c>
      <c r="AV81" s="239">
        <f t="shared" si="7"/>
        <v>0</v>
      </c>
      <c r="AW81" s="239">
        <f>(AS81*AK81/1000000)*(VLOOKUP(N81,FCST!D:I,6,FALSE))</f>
        <v>0</v>
      </c>
      <c r="AX81" s="239">
        <f t="shared" si="8"/>
        <v>0</v>
      </c>
      <c r="AY81" s="239">
        <f>IF($G81="CERVECERIA Y MALTERIA.",($AS81*$AK81/1000000)*(1-VLOOKUP($N81,FCST!D:I,6,FALSE)),0)</f>
        <v>0.67891199999999996</v>
      </c>
      <c r="AZ81" s="239">
        <f t="shared" si="9"/>
        <v>0.6823065599999999</v>
      </c>
      <c r="BB81" s="240"/>
    </row>
    <row r="82" spans="1:54" x14ac:dyDescent="0.25">
      <c r="A82" s="209">
        <v>1071888</v>
      </c>
      <c r="B82" s="209">
        <v>60</v>
      </c>
      <c r="C82" s="209">
        <v>89256094</v>
      </c>
      <c r="D82" s="209">
        <v>10</v>
      </c>
      <c r="E82" s="209">
        <v>10000002</v>
      </c>
      <c r="F82" s="209">
        <v>20000335</v>
      </c>
      <c r="G82" s="209" t="s">
        <v>105</v>
      </c>
      <c r="H82" s="209">
        <v>20000335</v>
      </c>
      <c r="I82" s="209">
        <v>2</v>
      </c>
      <c r="J82" s="209" t="s">
        <v>169</v>
      </c>
      <c r="K82" s="209" t="s">
        <v>315</v>
      </c>
      <c r="L82" s="209" t="s">
        <v>171</v>
      </c>
      <c r="M82" s="209" t="s">
        <v>199</v>
      </c>
      <c r="N82" s="209">
        <v>50034616</v>
      </c>
      <c r="O82" s="209" t="s">
        <v>191</v>
      </c>
      <c r="P82" s="209">
        <v>5121</v>
      </c>
      <c r="Q82" s="209" t="s">
        <v>200</v>
      </c>
      <c r="R82" s="209" t="s">
        <v>201</v>
      </c>
      <c r="S82" s="209" t="s">
        <v>202</v>
      </c>
      <c r="T82" s="209" t="s">
        <v>203</v>
      </c>
      <c r="U82" s="209" t="s">
        <v>201</v>
      </c>
      <c r="V82" s="209" t="s">
        <v>179</v>
      </c>
      <c r="W82" s="209" t="s">
        <v>179</v>
      </c>
      <c r="X82" s="209" t="s">
        <v>180</v>
      </c>
      <c r="Y82" s="209" t="s">
        <v>180</v>
      </c>
      <c r="Z82" s="209">
        <v>9521066210</v>
      </c>
      <c r="AA82" s="209" t="s">
        <v>192</v>
      </c>
      <c r="AB82" s="209" t="s">
        <v>180</v>
      </c>
      <c r="AC82" s="209" t="s">
        <v>182</v>
      </c>
      <c r="AD82" s="209">
        <v>9</v>
      </c>
      <c r="AE82" s="209">
        <v>2024</v>
      </c>
      <c r="AF82" s="227">
        <v>45534</v>
      </c>
      <c r="AG82" s="227">
        <v>45539</v>
      </c>
      <c r="AH82" s="227">
        <v>45539</v>
      </c>
      <c r="AI82" s="228">
        <v>426816</v>
      </c>
      <c r="AJ82" s="228">
        <v>52</v>
      </c>
      <c r="AK82" s="228">
        <v>426816</v>
      </c>
      <c r="AL82" s="228">
        <v>52</v>
      </c>
      <c r="AM82" s="228">
        <v>0</v>
      </c>
      <c r="AN82" s="228">
        <v>0</v>
      </c>
      <c r="AO82" s="229">
        <v>36</v>
      </c>
      <c r="AP82" s="231">
        <v>9</v>
      </c>
      <c r="AQ82" s="231">
        <v>2024</v>
      </c>
      <c r="AR82" s="231" t="str">
        <f t="shared" si="5"/>
        <v>09/2024</v>
      </c>
      <c r="AS82" s="231">
        <f t="shared" si="6"/>
        <v>46.6</v>
      </c>
      <c r="AT82" s="239">
        <f>IF(G82="CERVECERIA Y MALTERIA",(AS82*AK82/1000000)*(1-VLOOKUP(N82,FCST!D:I,6,FALSE)),0)</f>
        <v>19.889625600000002</v>
      </c>
      <c r="AU82" s="232">
        <v>5.0000000000000001E-3</v>
      </c>
      <c r="AV82" s="239">
        <f t="shared" si="7"/>
        <v>19.989073728000001</v>
      </c>
      <c r="AW82" s="239">
        <f>(AS82*AK82/1000000)*(VLOOKUP(N82,FCST!D:I,6,FALSE))</f>
        <v>0</v>
      </c>
      <c r="AX82" s="239">
        <f t="shared" si="8"/>
        <v>0</v>
      </c>
      <c r="AY82" s="239">
        <f>IF($G82="CERVECERIA Y MALTERIA.",($AS82*$AK82/1000000)*(1-VLOOKUP($N82,FCST!D:I,6,FALSE)),0)</f>
        <v>0</v>
      </c>
      <c r="AZ82" s="239">
        <f t="shared" si="9"/>
        <v>0</v>
      </c>
      <c r="BB82" s="240"/>
    </row>
    <row r="83" spans="1:54" x14ac:dyDescent="0.25">
      <c r="A83" s="209">
        <v>1072491</v>
      </c>
      <c r="B83" s="209">
        <v>10</v>
      </c>
      <c r="C83" s="209">
        <v>89256471</v>
      </c>
      <c r="D83" s="209">
        <v>10</v>
      </c>
      <c r="E83" s="209">
        <v>10000002</v>
      </c>
      <c r="F83" s="209">
        <v>20000336</v>
      </c>
      <c r="G83" s="209" t="s">
        <v>105</v>
      </c>
      <c r="H83" s="209">
        <v>20000336</v>
      </c>
      <c r="I83" s="209">
        <v>2</v>
      </c>
      <c r="J83" s="209" t="s">
        <v>169</v>
      </c>
      <c r="K83" s="209" t="s">
        <v>316</v>
      </c>
      <c r="L83" s="209" t="s">
        <v>171</v>
      </c>
      <c r="M83" s="209" t="s">
        <v>172</v>
      </c>
      <c r="N83" s="209">
        <v>50033268</v>
      </c>
      <c r="O83" s="209" t="s">
        <v>253</v>
      </c>
      <c r="P83" s="209">
        <v>5121</v>
      </c>
      <c r="Q83" s="209" t="s">
        <v>174</v>
      </c>
      <c r="R83" s="209" t="s">
        <v>175</v>
      </c>
      <c r="S83" s="209" t="s">
        <v>176</v>
      </c>
      <c r="T83" s="209" t="s">
        <v>177</v>
      </c>
      <c r="U83" s="209" t="s">
        <v>178</v>
      </c>
      <c r="V83" s="209" t="s">
        <v>179</v>
      </c>
      <c r="W83" s="209" t="s">
        <v>179</v>
      </c>
      <c r="X83" s="209" t="s">
        <v>180</v>
      </c>
      <c r="Y83" s="209" t="s">
        <v>180</v>
      </c>
      <c r="Z83" s="209">
        <v>9521066214</v>
      </c>
      <c r="AA83" s="209" t="s">
        <v>317</v>
      </c>
      <c r="AB83" s="209" t="s">
        <v>180</v>
      </c>
      <c r="AC83" s="209" t="s">
        <v>182</v>
      </c>
      <c r="AD83" s="209">
        <v>9</v>
      </c>
      <c r="AE83" s="209">
        <v>2024</v>
      </c>
      <c r="AF83" s="227">
        <v>45538</v>
      </c>
      <c r="AG83" s="227">
        <v>45539</v>
      </c>
      <c r="AH83" s="227">
        <v>45539</v>
      </c>
      <c r="AI83" s="228">
        <v>406848</v>
      </c>
      <c r="AJ83" s="228">
        <v>52</v>
      </c>
      <c r="AK83" s="228">
        <v>406848</v>
      </c>
      <c r="AL83" s="228">
        <v>52</v>
      </c>
      <c r="AM83" s="228">
        <v>0</v>
      </c>
      <c r="AN83" s="228">
        <v>0</v>
      </c>
      <c r="AO83" s="229">
        <v>36</v>
      </c>
      <c r="AP83" s="231">
        <v>9</v>
      </c>
      <c r="AQ83" s="231">
        <v>2024</v>
      </c>
      <c r="AR83" s="231" t="str">
        <f t="shared" si="5"/>
        <v>09/2024</v>
      </c>
      <c r="AS83" s="231">
        <f t="shared" si="6"/>
        <v>44</v>
      </c>
      <c r="AT83" s="239">
        <f>IF(G83="CERVECERIA Y MALTERIA",(AS83*AK83/1000000)*(1-VLOOKUP(N83,FCST!D:I,6,FALSE)),0)</f>
        <v>17.901312000000001</v>
      </c>
      <c r="AU83" s="232">
        <v>5.0000000000000001E-3</v>
      </c>
      <c r="AV83" s="239">
        <f t="shared" si="7"/>
        <v>17.990818559999997</v>
      </c>
      <c r="AW83" s="239">
        <f>(AS83*AK83/1000000)*(VLOOKUP(N83,FCST!D:I,6,FALSE))</f>
        <v>0</v>
      </c>
      <c r="AX83" s="239">
        <f t="shared" si="8"/>
        <v>0</v>
      </c>
      <c r="AY83" s="239">
        <f>IF($G83="CERVECERIA Y MALTERIA.",($AS83*$AK83/1000000)*(1-VLOOKUP($N83,FCST!D:I,6,FALSE)),0)</f>
        <v>0</v>
      </c>
      <c r="AZ83" s="239">
        <f t="shared" si="9"/>
        <v>0</v>
      </c>
      <c r="BB83" s="240"/>
    </row>
    <row r="84" spans="1:54" x14ac:dyDescent="0.25">
      <c r="A84" s="209">
        <v>1071895</v>
      </c>
      <c r="B84" s="209">
        <v>20</v>
      </c>
      <c r="C84" s="209">
        <v>89256513</v>
      </c>
      <c r="D84" s="209">
        <v>10</v>
      </c>
      <c r="E84" s="209">
        <v>10000002</v>
      </c>
      <c r="F84" s="209">
        <v>20000340</v>
      </c>
      <c r="G84" s="209" t="s">
        <v>117</v>
      </c>
      <c r="H84" s="209">
        <v>20000340</v>
      </c>
      <c r="I84" s="209">
        <v>2</v>
      </c>
      <c r="J84" s="209" t="s">
        <v>169</v>
      </c>
      <c r="K84" s="209" t="s">
        <v>318</v>
      </c>
      <c r="L84" s="209" t="s">
        <v>171</v>
      </c>
      <c r="M84" s="209" t="s">
        <v>172</v>
      </c>
      <c r="N84" s="209">
        <v>50027468</v>
      </c>
      <c r="O84" s="209" t="s">
        <v>285</v>
      </c>
      <c r="P84" s="209">
        <v>5101</v>
      </c>
      <c r="Q84" s="209" t="s">
        <v>186</v>
      </c>
      <c r="R84" s="209" t="s">
        <v>175</v>
      </c>
      <c r="S84" s="209" t="s">
        <v>176</v>
      </c>
      <c r="T84" s="209" t="s">
        <v>187</v>
      </c>
      <c r="U84" s="209" t="s">
        <v>188</v>
      </c>
      <c r="V84" s="209" t="s">
        <v>179</v>
      </c>
      <c r="W84" s="209" t="s">
        <v>179</v>
      </c>
      <c r="X84" s="209" t="s">
        <v>180</v>
      </c>
      <c r="Y84" s="209" t="s">
        <v>180</v>
      </c>
      <c r="Z84" s="209">
        <v>9511046821</v>
      </c>
      <c r="AA84" s="209" t="s">
        <v>286</v>
      </c>
      <c r="AB84" s="209" t="s">
        <v>180</v>
      </c>
      <c r="AC84" s="209" t="s">
        <v>182</v>
      </c>
      <c r="AD84" s="209">
        <v>9</v>
      </c>
      <c r="AE84" s="209">
        <v>2024</v>
      </c>
      <c r="AF84" s="227">
        <v>45534</v>
      </c>
      <c r="AG84" s="227">
        <v>45539</v>
      </c>
      <c r="AH84" s="227">
        <v>45539</v>
      </c>
      <c r="AI84" s="228">
        <v>360960</v>
      </c>
      <c r="AJ84" s="228">
        <v>47</v>
      </c>
      <c r="AK84" s="228">
        <v>360960</v>
      </c>
      <c r="AL84" s="228">
        <v>47</v>
      </c>
      <c r="AM84" s="228">
        <v>0</v>
      </c>
      <c r="AN84" s="228">
        <v>0</v>
      </c>
      <c r="AO84" s="229">
        <v>36</v>
      </c>
      <c r="AP84" s="231">
        <v>9</v>
      </c>
      <c r="AQ84" s="231">
        <v>2024</v>
      </c>
      <c r="AR84" s="231" t="str">
        <f t="shared" si="5"/>
        <v>09/2024</v>
      </c>
      <c r="AS84" s="231">
        <f t="shared" si="6"/>
        <v>52</v>
      </c>
      <c r="AT84" s="239">
        <f>IF(G84="CERVECERIA Y MALTERIA",(AS84*AK84/1000000)*(1-VLOOKUP(N84,FCST!D:I,6,FALSE)),0)</f>
        <v>0</v>
      </c>
      <c r="AU84" s="232">
        <v>5.0000000000000001E-3</v>
      </c>
      <c r="AV84" s="239">
        <f t="shared" si="7"/>
        <v>0</v>
      </c>
      <c r="AW84" s="239">
        <f>(AS84*AK84/1000000)*(VLOOKUP(N84,FCST!D:I,6,FALSE))</f>
        <v>0</v>
      </c>
      <c r="AX84" s="239">
        <f t="shared" si="8"/>
        <v>0</v>
      </c>
      <c r="AY84" s="239">
        <f>IF($G84="CERVECERIA Y MALTERIA.",($AS84*$AK84/1000000)*(1-VLOOKUP($N84,FCST!D:I,6,FALSE)),0)</f>
        <v>18.769919999999999</v>
      </c>
      <c r="AZ84" s="239">
        <f t="shared" si="9"/>
        <v>18.863769599999998</v>
      </c>
      <c r="BB84" s="240"/>
    </row>
    <row r="85" spans="1:54" x14ac:dyDescent="0.25">
      <c r="A85" s="209">
        <v>1072491</v>
      </c>
      <c r="B85" s="209">
        <v>20</v>
      </c>
      <c r="C85" s="209">
        <v>89256662</v>
      </c>
      <c r="D85" s="209">
        <v>10</v>
      </c>
      <c r="E85" s="209">
        <v>10000002</v>
      </c>
      <c r="F85" s="209">
        <v>20000336</v>
      </c>
      <c r="G85" s="209" t="s">
        <v>105</v>
      </c>
      <c r="H85" s="209">
        <v>20000336</v>
      </c>
      <c r="I85" s="209">
        <v>2</v>
      </c>
      <c r="J85" s="209" t="s">
        <v>169</v>
      </c>
      <c r="K85" s="209" t="s">
        <v>319</v>
      </c>
      <c r="L85" s="209" t="s">
        <v>171</v>
      </c>
      <c r="M85" s="209" t="s">
        <v>172</v>
      </c>
      <c r="N85" s="209">
        <v>50033268</v>
      </c>
      <c r="O85" s="209" t="s">
        <v>253</v>
      </c>
      <c r="P85" s="209">
        <v>5121</v>
      </c>
      <c r="Q85" s="209" t="s">
        <v>174</v>
      </c>
      <c r="R85" s="209" t="s">
        <v>175</v>
      </c>
      <c r="S85" s="209" t="s">
        <v>176</v>
      </c>
      <c r="T85" s="209" t="s">
        <v>177</v>
      </c>
      <c r="U85" s="209" t="s">
        <v>178</v>
      </c>
      <c r="V85" s="209" t="s">
        <v>179</v>
      </c>
      <c r="W85" s="209" t="s">
        <v>179</v>
      </c>
      <c r="X85" s="209" t="s">
        <v>180</v>
      </c>
      <c r="Y85" s="209" t="s">
        <v>180</v>
      </c>
      <c r="Z85" s="209">
        <v>9521066214</v>
      </c>
      <c r="AA85" s="209" t="s">
        <v>317</v>
      </c>
      <c r="AB85" s="209" t="s">
        <v>180</v>
      </c>
      <c r="AC85" s="209" t="s">
        <v>182</v>
      </c>
      <c r="AD85" s="209">
        <v>9</v>
      </c>
      <c r="AE85" s="209">
        <v>2024</v>
      </c>
      <c r="AF85" s="227">
        <v>45538</v>
      </c>
      <c r="AG85" s="227">
        <v>45539</v>
      </c>
      <c r="AH85" s="227">
        <v>45539</v>
      </c>
      <c r="AI85" s="228">
        <v>406848</v>
      </c>
      <c r="AJ85" s="228">
        <v>52</v>
      </c>
      <c r="AK85" s="228">
        <v>406848</v>
      </c>
      <c r="AL85" s="228">
        <v>52</v>
      </c>
      <c r="AM85" s="228">
        <v>0</v>
      </c>
      <c r="AN85" s="228">
        <v>0</v>
      </c>
      <c r="AO85" s="229">
        <v>36</v>
      </c>
      <c r="AP85" s="231">
        <v>9</v>
      </c>
      <c r="AQ85" s="231">
        <v>2024</v>
      </c>
      <c r="AR85" s="231" t="str">
        <f t="shared" si="5"/>
        <v>09/2024</v>
      </c>
      <c r="AS85" s="231">
        <f t="shared" si="6"/>
        <v>44</v>
      </c>
      <c r="AT85" s="239">
        <f>IF(G85="CERVECERIA Y MALTERIA",(AS85*AK85/1000000)*(1-VLOOKUP(N85,FCST!D:I,6,FALSE)),0)</f>
        <v>17.901312000000001</v>
      </c>
      <c r="AU85" s="232">
        <v>5.0000000000000001E-3</v>
      </c>
      <c r="AV85" s="239">
        <f t="shared" si="7"/>
        <v>17.990818559999997</v>
      </c>
      <c r="AW85" s="239">
        <f>(AS85*AK85/1000000)*(VLOOKUP(N85,FCST!D:I,6,FALSE))</f>
        <v>0</v>
      </c>
      <c r="AX85" s="239">
        <f t="shared" si="8"/>
        <v>0</v>
      </c>
      <c r="AY85" s="239">
        <f>IF($G85="CERVECERIA Y MALTERIA.",($AS85*$AK85/1000000)*(1-VLOOKUP($N85,FCST!D:I,6,FALSE)),0)</f>
        <v>0</v>
      </c>
      <c r="AZ85" s="239">
        <f t="shared" si="9"/>
        <v>0</v>
      </c>
      <c r="BB85" s="240"/>
    </row>
    <row r="86" spans="1:54" x14ac:dyDescent="0.25">
      <c r="A86" s="209">
        <v>1071895</v>
      </c>
      <c r="B86" s="209">
        <v>30</v>
      </c>
      <c r="C86" s="209">
        <v>89255840</v>
      </c>
      <c r="D86" s="209">
        <v>10</v>
      </c>
      <c r="E86" s="209">
        <v>10000002</v>
      </c>
      <c r="F86" s="209">
        <v>20000340</v>
      </c>
      <c r="G86" s="209" t="s">
        <v>117</v>
      </c>
      <c r="H86" s="209">
        <v>20000340</v>
      </c>
      <c r="I86" s="209">
        <v>2</v>
      </c>
      <c r="J86" s="209" t="s">
        <v>169</v>
      </c>
      <c r="K86" s="209" t="s">
        <v>320</v>
      </c>
      <c r="L86" s="209" t="s">
        <v>171</v>
      </c>
      <c r="M86" s="209" t="s">
        <v>172</v>
      </c>
      <c r="N86" s="209">
        <v>50027468</v>
      </c>
      <c r="O86" s="209" t="s">
        <v>285</v>
      </c>
      <c r="P86" s="209">
        <v>5101</v>
      </c>
      <c r="Q86" s="209" t="s">
        <v>186</v>
      </c>
      <c r="R86" s="209" t="s">
        <v>175</v>
      </c>
      <c r="S86" s="209" t="s">
        <v>176</v>
      </c>
      <c r="T86" s="209" t="s">
        <v>187</v>
      </c>
      <c r="U86" s="209" t="s">
        <v>188</v>
      </c>
      <c r="V86" s="209" t="s">
        <v>179</v>
      </c>
      <c r="W86" s="209" t="s">
        <v>179</v>
      </c>
      <c r="X86" s="209" t="s">
        <v>180</v>
      </c>
      <c r="Y86" s="209" t="s">
        <v>180</v>
      </c>
      <c r="Z86" s="209">
        <v>9511046821</v>
      </c>
      <c r="AA86" s="209" t="s">
        <v>286</v>
      </c>
      <c r="AB86" s="209" t="s">
        <v>180</v>
      </c>
      <c r="AC86" s="209" t="s">
        <v>182</v>
      </c>
      <c r="AD86" s="209">
        <v>9</v>
      </c>
      <c r="AE86" s="209">
        <v>2024</v>
      </c>
      <c r="AF86" s="227">
        <v>45534</v>
      </c>
      <c r="AG86" s="227">
        <v>45539</v>
      </c>
      <c r="AH86" s="227">
        <v>45539</v>
      </c>
      <c r="AI86" s="228">
        <v>399360</v>
      </c>
      <c r="AJ86" s="228">
        <v>52</v>
      </c>
      <c r="AK86" s="228">
        <v>399360</v>
      </c>
      <c r="AL86" s="228">
        <v>52</v>
      </c>
      <c r="AM86" s="228">
        <v>0</v>
      </c>
      <c r="AN86" s="228">
        <v>0</v>
      </c>
      <c r="AO86" s="229">
        <v>36</v>
      </c>
      <c r="AP86" s="231">
        <v>9</v>
      </c>
      <c r="AQ86" s="231">
        <v>2024</v>
      </c>
      <c r="AR86" s="231" t="str">
        <f t="shared" si="5"/>
        <v>09/2024</v>
      </c>
      <c r="AS86" s="231">
        <f t="shared" si="6"/>
        <v>52</v>
      </c>
      <c r="AT86" s="239">
        <f>IF(G86="CERVECERIA Y MALTERIA",(AS86*AK86/1000000)*(1-VLOOKUP(N86,FCST!D:I,6,FALSE)),0)</f>
        <v>0</v>
      </c>
      <c r="AU86" s="232">
        <v>5.0000000000000001E-3</v>
      </c>
      <c r="AV86" s="239">
        <f t="shared" si="7"/>
        <v>0</v>
      </c>
      <c r="AW86" s="239">
        <f>(AS86*AK86/1000000)*(VLOOKUP(N86,FCST!D:I,6,FALSE))</f>
        <v>0</v>
      </c>
      <c r="AX86" s="239">
        <f t="shared" si="8"/>
        <v>0</v>
      </c>
      <c r="AY86" s="239">
        <f>IF($G86="CERVECERIA Y MALTERIA.",($AS86*$AK86/1000000)*(1-VLOOKUP($N86,FCST!D:I,6,FALSE)),0)</f>
        <v>20.766719999999999</v>
      </c>
      <c r="AZ86" s="239">
        <f t="shared" si="9"/>
        <v>20.870553599999997</v>
      </c>
      <c r="BB86" s="240"/>
    </row>
    <row r="87" spans="1:54" x14ac:dyDescent="0.25">
      <c r="A87" s="209">
        <v>1071888</v>
      </c>
      <c r="B87" s="209">
        <v>50</v>
      </c>
      <c r="C87" s="209">
        <v>89255936</v>
      </c>
      <c r="D87" s="209">
        <v>10</v>
      </c>
      <c r="E87" s="209">
        <v>10000002</v>
      </c>
      <c r="F87" s="209">
        <v>20000335</v>
      </c>
      <c r="G87" s="209" t="s">
        <v>105</v>
      </c>
      <c r="H87" s="209">
        <v>20000335</v>
      </c>
      <c r="I87" s="209">
        <v>2</v>
      </c>
      <c r="J87" s="209" t="s">
        <v>169</v>
      </c>
      <c r="K87" s="209" t="s">
        <v>321</v>
      </c>
      <c r="L87" s="209" t="s">
        <v>171</v>
      </c>
      <c r="M87" s="209" t="s">
        <v>172</v>
      </c>
      <c r="N87" s="209">
        <v>50034561</v>
      </c>
      <c r="O87" s="209" t="s">
        <v>307</v>
      </c>
      <c r="P87" s="209">
        <v>5121</v>
      </c>
      <c r="Q87" s="209" t="s">
        <v>174</v>
      </c>
      <c r="R87" s="209" t="s">
        <v>175</v>
      </c>
      <c r="S87" s="209" t="s">
        <v>176</v>
      </c>
      <c r="T87" s="209" t="s">
        <v>177</v>
      </c>
      <c r="U87" s="209" t="s">
        <v>178</v>
      </c>
      <c r="V87" s="209" t="s">
        <v>179</v>
      </c>
      <c r="W87" s="209" t="s">
        <v>179</v>
      </c>
      <c r="X87" s="209" t="s">
        <v>180</v>
      </c>
      <c r="Y87" s="209" t="s">
        <v>180</v>
      </c>
      <c r="Z87" s="209">
        <v>9521066208</v>
      </c>
      <c r="AA87" s="209" t="s">
        <v>308</v>
      </c>
      <c r="AB87" s="209" t="s">
        <v>180</v>
      </c>
      <c r="AC87" s="209" t="s">
        <v>182</v>
      </c>
      <c r="AD87" s="209">
        <v>9</v>
      </c>
      <c r="AE87" s="209">
        <v>2024</v>
      </c>
      <c r="AF87" s="227">
        <v>45534</v>
      </c>
      <c r="AG87" s="227">
        <v>45539</v>
      </c>
      <c r="AH87" s="227">
        <v>45539</v>
      </c>
      <c r="AI87" s="228">
        <v>902016</v>
      </c>
      <c r="AJ87" s="228">
        <v>48</v>
      </c>
      <c r="AK87" s="228">
        <v>902016</v>
      </c>
      <c r="AL87" s="228">
        <v>48</v>
      </c>
      <c r="AM87" s="228">
        <v>0</v>
      </c>
      <c r="AN87" s="228">
        <v>0</v>
      </c>
      <c r="AO87" s="229">
        <v>36</v>
      </c>
      <c r="AP87" s="231">
        <v>9</v>
      </c>
      <c r="AQ87" s="231">
        <v>2024</v>
      </c>
      <c r="AR87" s="231" t="str">
        <f t="shared" si="5"/>
        <v>09/2024</v>
      </c>
      <c r="AS87" s="231">
        <f t="shared" si="6"/>
        <v>19.5</v>
      </c>
      <c r="AT87" s="239">
        <f>IF(G87="CERVECERIA Y MALTERIA",(AS87*AK87/1000000)*(1-VLOOKUP(N87,FCST!D:I,6,FALSE)),0)</f>
        <v>17.589312</v>
      </c>
      <c r="AU87" s="232">
        <v>5.0000000000000001E-3</v>
      </c>
      <c r="AV87" s="239">
        <f t="shared" si="7"/>
        <v>17.677258559999999</v>
      </c>
      <c r="AW87" s="239">
        <f>(AS87*AK87/1000000)*(VLOOKUP(N87,FCST!D:I,6,FALSE))</f>
        <v>0</v>
      </c>
      <c r="AX87" s="239">
        <f t="shared" si="8"/>
        <v>0</v>
      </c>
      <c r="AY87" s="239">
        <f>IF($G87="CERVECERIA Y MALTERIA.",($AS87*$AK87/1000000)*(1-VLOOKUP($N87,FCST!D:I,6,FALSE)),0)</f>
        <v>0</v>
      </c>
      <c r="AZ87" s="239">
        <f t="shared" si="9"/>
        <v>0</v>
      </c>
      <c r="BB87" s="240"/>
    </row>
    <row r="88" spans="1:54" x14ac:dyDescent="0.25">
      <c r="A88" s="209">
        <v>1071888</v>
      </c>
      <c r="B88" s="209">
        <v>30</v>
      </c>
      <c r="C88" s="209">
        <v>89254850</v>
      </c>
      <c r="D88" s="209">
        <v>10</v>
      </c>
      <c r="E88" s="209">
        <v>10000002</v>
      </c>
      <c r="F88" s="209">
        <v>20000335</v>
      </c>
      <c r="G88" s="209" t="s">
        <v>105</v>
      </c>
      <c r="H88" s="209">
        <v>20000335</v>
      </c>
      <c r="I88" s="209">
        <v>2</v>
      </c>
      <c r="J88" s="209" t="s">
        <v>169</v>
      </c>
      <c r="K88" s="209" t="s">
        <v>322</v>
      </c>
      <c r="L88" s="209" t="s">
        <v>171</v>
      </c>
      <c r="M88" s="209" t="s">
        <v>172</v>
      </c>
      <c r="N88" s="209">
        <v>50032573</v>
      </c>
      <c r="O88" s="209" t="s">
        <v>173</v>
      </c>
      <c r="P88" s="209">
        <v>5121</v>
      </c>
      <c r="Q88" s="209" t="s">
        <v>174</v>
      </c>
      <c r="R88" s="209" t="s">
        <v>175</v>
      </c>
      <c r="S88" s="209" t="s">
        <v>176</v>
      </c>
      <c r="T88" s="209" t="s">
        <v>177</v>
      </c>
      <c r="U88" s="209" t="s">
        <v>178</v>
      </c>
      <c r="V88" s="209" t="s">
        <v>179</v>
      </c>
      <c r="W88" s="209" t="s">
        <v>179</v>
      </c>
      <c r="X88" s="209" t="s">
        <v>180</v>
      </c>
      <c r="Y88" s="209" t="s">
        <v>180</v>
      </c>
      <c r="Z88" s="209">
        <v>9521066207</v>
      </c>
      <c r="AA88" s="209" t="s">
        <v>181</v>
      </c>
      <c r="AB88" s="209" t="s">
        <v>180</v>
      </c>
      <c r="AC88" s="209" t="s">
        <v>182</v>
      </c>
      <c r="AD88" s="209">
        <v>9</v>
      </c>
      <c r="AE88" s="209">
        <v>2024</v>
      </c>
      <c r="AF88" s="227">
        <v>45534</v>
      </c>
      <c r="AG88" s="227">
        <v>45538</v>
      </c>
      <c r="AH88" s="227">
        <v>45538</v>
      </c>
      <c r="AI88" s="228">
        <v>490752</v>
      </c>
      <c r="AJ88" s="228">
        <v>48</v>
      </c>
      <c r="AK88" s="228">
        <v>490752</v>
      </c>
      <c r="AL88" s="228">
        <v>48</v>
      </c>
      <c r="AM88" s="228">
        <v>0</v>
      </c>
      <c r="AN88" s="228">
        <v>0</v>
      </c>
      <c r="AO88" s="229">
        <v>36</v>
      </c>
      <c r="AP88" s="231">
        <v>9</v>
      </c>
      <c r="AQ88" s="231">
        <v>2024</v>
      </c>
      <c r="AR88" s="231" t="str">
        <f t="shared" si="5"/>
        <v>09/2024</v>
      </c>
      <c r="AS88" s="231">
        <f t="shared" si="6"/>
        <v>37.200000000000003</v>
      </c>
      <c r="AT88" s="239">
        <f>IF(G88="CERVECERIA Y MALTERIA",(AS88*AK88/1000000)*(1-VLOOKUP(N88,FCST!D:I,6,FALSE)),0)</f>
        <v>18.255974400000003</v>
      </c>
      <c r="AU88" s="232">
        <v>5.0000000000000001E-3</v>
      </c>
      <c r="AV88" s="239">
        <f t="shared" si="7"/>
        <v>18.347254272000001</v>
      </c>
      <c r="AW88" s="239">
        <f>(AS88*AK88/1000000)*(VLOOKUP(N88,FCST!D:I,6,FALSE))</f>
        <v>0</v>
      </c>
      <c r="AX88" s="239">
        <f t="shared" si="8"/>
        <v>0</v>
      </c>
      <c r="AY88" s="239">
        <f>IF($G88="CERVECERIA Y MALTERIA.",($AS88*$AK88/1000000)*(1-VLOOKUP($N88,FCST!D:I,6,FALSE)),0)</f>
        <v>0</v>
      </c>
      <c r="AZ88" s="239">
        <f t="shared" si="9"/>
        <v>0</v>
      </c>
      <c r="BB88" s="240"/>
    </row>
    <row r="89" spans="1:54" x14ac:dyDescent="0.25">
      <c r="A89" s="209">
        <v>10001858</v>
      </c>
      <c r="B89" s="209">
        <v>10</v>
      </c>
      <c r="C89" s="209">
        <v>89254851</v>
      </c>
      <c r="D89" s="209">
        <v>10</v>
      </c>
      <c r="E89" s="209">
        <v>10000002</v>
      </c>
      <c r="F89" s="209">
        <v>20000340</v>
      </c>
      <c r="G89" s="209" t="s">
        <v>117</v>
      </c>
      <c r="H89" s="209">
        <v>20000340</v>
      </c>
      <c r="I89" s="209">
        <v>2</v>
      </c>
      <c r="J89" s="209" t="s">
        <v>169</v>
      </c>
      <c r="K89" s="209" t="s">
        <v>323</v>
      </c>
      <c r="L89" s="209" t="s">
        <v>171</v>
      </c>
      <c r="M89" s="209" t="s">
        <v>172</v>
      </c>
      <c r="N89" s="209">
        <v>50036718</v>
      </c>
      <c r="O89" s="209" t="s">
        <v>259</v>
      </c>
      <c r="P89" s="209">
        <v>5101</v>
      </c>
      <c r="Q89" s="209" t="s">
        <v>186</v>
      </c>
      <c r="R89" s="209" t="s">
        <v>175</v>
      </c>
      <c r="S89" s="209" t="s">
        <v>176</v>
      </c>
      <c r="T89" s="209" t="s">
        <v>187</v>
      </c>
      <c r="U89" s="209" t="s">
        <v>188</v>
      </c>
      <c r="V89" s="209" t="s">
        <v>179</v>
      </c>
      <c r="W89" s="209" t="s">
        <v>179</v>
      </c>
      <c r="X89" s="209" t="s">
        <v>180</v>
      </c>
      <c r="Y89" s="209" t="s">
        <v>180</v>
      </c>
      <c r="Z89" s="209" t="s">
        <v>180</v>
      </c>
      <c r="AA89" s="209" t="s">
        <v>180</v>
      </c>
      <c r="AB89" s="209" t="s">
        <v>180</v>
      </c>
      <c r="AC89" s="209" t="s">
        <v>182</v>
      </c>
      <c r="AD89" s="209">
        <v>9</v>
      </c>
      <c r="AE89" s="209">
        <v>2024</v>
      </c>
      <c r="AF89" s="227">
        <v>45538</v>
      </c>
      <c r="AG89" s="227">
        <v>45538</v>
      </c>
      <c r="AH89" s="227">
        <v>45538</v>
      </c>
      <c r="AI89" s="228">
        <v>39936</v>
      </c>
      <c r="AJ89" s="228">
        <v>4</v>
      </c>
      <c r="AK89" s="228">
        <v>39936</v>
      </c>
      <c r="AL89" s="228">
        <v>4</v>
      </c>
      <c r="AM89" s="228">
        <v>0</v>
      </c>
      <c r="AN89" s="228">
        <v>0</v>
      </c>
      <c r="AO89" s="229">
        <v>36</v>
      </c>
      <c r="AP89" s="231">
        <v>9</v>
      </c>
      <c r="AQ89" s="231">
        <v>2024</v>
      </c>
      <c r="AR89" s="231" t="str">
        <f t="shared" si="5"/>
        <v>09/2024</v>
      </c>
      <c r="AS89" s="231">
        <f t="shared" si="6"/>
        <v>34</v>
      </c>
      <c r="AT89" s="239">
        <f>IF(G89="CERVECERIA Y MALTERIA",(AS89*AK89/1000000)*(1-VLOOKUP(N89,FCST!D:I,6,FALSE)),0)</f>
        <v>0</v>
      </c>
      <c r="AU89" s="232">
        <v>5.0000000000000001E-3</v>
      </c>
      <c r="AV89" s="239">
        <f t="shared" si="7"/>
        <v>0</v>
      </c>
      <c r="AW89" s="239">
        <f>(AS89*AK89/1000000)*(VLOOKUP(N89,FCST!D:I,6,FALSE))</f>
        <v>0</v>
      </c>
      <c r="AX89" s="239">
        <f t="shared" si="8"/>
        <v>0</v>
      </c>
      <c r="AY89" s="239">
        <f>IF($G89="CERVECERIA Y MALTERIA.",($AS89*$AK89/1000000)*(1-VLOOKUP($N89,FCST!D:I,6,FALSE)),0)</f>
        <v>1.3578239999999999</v>
      </c>
      <c r="AZ89" s="239">
        <f t="shared" si="9"/>
        <v>1.3646131199999998</v>
      </c>
      <c r="BB89" s="240"/>
    </row>
    <row r="90" spans="1:54" x14ac:dyDescent="0.25">
      <c r="A90" s="209">
        <v>1071888</v>
      </c>
      <c r="B90" s="209">
        <v>40</v>
      </c>
      <c r="C90" s="209">
        <v>89254882</v>
      </c>
      <c r="D90" s="209">
        <v>10</v>
      </c>
      <c r="E90" s="209">
        <v>10000002</v>
      </c>
      <c r="F90" s="209">
        <v>20000335</v>
      </c>
      <c r="G90" s="209" t="s">
        <v>105</v>
      </c>
      <c r="H90" s="209">
        <v>20000335</v>
      </c>
      <c r="I90" s="209">
        <v>2</v>
      </c>
      <c r="J90" s="209" t="s">
        <v>169</v>
      </c>
      <c r="K90" s="209" t="s">
        <v>324</v>
      </c>
      <c r="L90" s="209" t="s">
        <v>171</v>
      </c>
      <c r="M90" s="209" t="s">
        <v>199</v>
      </c>
      <c r="N90" s="209">
        <v>50034616</v>
      </c>
      <c r="O90" s="209" t="s">
        <v>191</v>
      </c>
      <c r="P90" s="209">
        <v>5121</v>
      </c>
      <c r="Q90" s="209" t="s">
        <v>200</v>
      </c>
      <c r="R90" s="209" t="s">
        <v>201</v>
      </c>
      <c r="S90" s="209" t="s">
        <v>202</v>
      </c>
      <c r="T90" s="209" t="s">
        <v>203</v>
      </c>
      <c r="U90" s="209" t="s">
        <v>201</v>
      </c>
      <c r="V90" s="209" t="s">
        <v>179</v>
      </c>
      <c r="W90" s="209" t="s">
        <v>179</v>
      </c>
      <c r="X90" s="209" t="s">
        <v>180</v>
      </c>
      <c r="Y90" s="209" t="s">
        <v>180</v>
      </c>
      <c r="Z90" s="209">
        <v>9521066210</v>
      </c>
      <c r="AA90" s="209" t="s">
        <v>192</v>
      </c>
      <c r="AB90" s="209" t="s">
        <v>180</v>
      </c>
      <c r="AC90" s="209" t="s">
        <v>182</v>
      </c>
      <c r="AD90" s="209">
        <v>9</v>
      </c>
      <c r="AE90" s="209">
        <v>2024</v>
      </c>
      <c r="AF90" s="227">
        <v>45534</v>
      </c>
      <c r="AG90" s="227">
        <v>45538</v>
      </c>
      <c r="AH90" s="227">
        <v>45538</v>
      </c>
      <c r="AI90" s="228">
        <v>426816</v>
      </c>
      <c r="AJ90" s="228">
        <v>52</v>
      </c>
      <c r="AK90" s="228">
        <v>426816</v>
      </c>
      <c r="AL90" s="228">
        <v>52</v>
      </c>
      <c r="AM90" s="228">
        <v>0</v>
      </c>
      <c r="AN90" s="228">
        <v>0</v>
      </c>
      <c r="AO90" s="229">
        <v>36</v>
      </c>
      <c r="AP90" s="231">
        <v>9</v>
      </c>
      <c r="AQ90" s="231">
        <v>2024</v>
      </c>
      <c r="AR90" s="231" t="str">
        <f t="shared" si="5"/>
        <v>09/2024</v>
      </c>
      <c r="AS90" s="231">
        <f t="shared" si="6"/>
        <v>46.6</v>
      </c>
      <c r="AT90" s="239">
        <f>IF(G90="CERVECERIA Y MALTERIA",(AS90*AK90/1000000)*(1-VLOOKUP(N90,FCST!D:I,6,FALSE)),0)</f>
        <v>19.889625600000002</v>
      </c>
      <c r="AU90" s="232">
        <v>5.0000000000000001E-3</v>
      </c>
      <c r="AV90" s="239">
        <f t="shared" si="7"/>
        <v>19.989073728000001</v>
      </c>
      <c r="AW90" s="239">
        <f>(AS90*AK90/1000000)*(VLOOKUP(N90,FCST!D:I,6,FALSE))</f>
        <v>0</v>
      </c>
      <c r="AX90" s="239">
        <f t="shared" si="8"/>
        <v>0</v>
      </c>
      <c r="AY90" s="239">
        <f>IF($G90="CERVECERIA Y MALTERIA.",($AS90*$AK90/1000000)*(1-VLOOKUP($N90,FCST!D:I,6,FALSE)),0)</f>
        <v>0</v>
      </c>
      <c r="AZ90" s="239">
        <f t="shared" si="9"/>
        <v>0</v>
      </c>
      <c r="BB90" s="240"/>
    </row>
    <row r="91" spans="1:54" x14ac:dyDescent="0.25">
      <c r="A91" s="209">
        <v>1073107</v>
      </c>
      <c r="B91" s="209">
        <v>100</v>
      </c>
      <c r="C91" s="209">
        <v>89260490</v>
      </c>
      <c r="D91" s="209">
        <v>20</v>
      </c>
      <c r="E91" s="209">
        <v>10000002</v>
      </c>
      <c r="F91" s="209">
        <v>20000335</v>
      </c>
      <c r="G91" s="209" t="s">
        <v>105</v>
      </c>
      <c r="H91" s="209">
        <v>20000335</v>
      </c>
      <c r="I91" s="209">
        <v>2</v>
      </c>
      <c r="J91" s="209" t="s">
        <v>169</v>
      </c>
      <c r="K91" s="209" t="s">
        <v>295</v>
      </c>
      <c r="L91" s="209" t="s">
        <v>171</v>
      </c>
      <c r="M91" s="209" t="s">
        <v>199</v>
      </c>
      <c r="N91" s="209">
        <v>50032573</v>
      </c>
      <c r="O91" s="209" t="s">
        <v>173</v>
      </c>
      <c r="P91" s="209">
        <v>5121</v>
      </c>
      <c r="Q91" s="209" t="s">
        <v>200</v>
      </c>
      <c r="R91" s="209" t="s">
        <v>201</v>
      </c>
      <c r="S91" s="209" t="s">
        <v>202</v>
      </c>
      <c r="T91" s="209" t="s">
        <v>203</v>
      </c>
      <c r="U91" s="209" t="s">
        <v>201</v>
      </c>
      <c r="V91" s="209" t="s">
        <v>179</v>
      </c>
      <c r="W91" s="209" t="s">
        <v>179</v>
      </c>
      <c r="X91" s="209" t="s">
        <v>180</v>
      </c>
      <c r="Y91" s="209" t="s">
        <v>180</v>
      </c>
      <c r="Z91" s="209">
        <v>9521066204</v>
      </c>
      <c r="AA91" s="209" t="s">
        <v>296</v>
      </c>
      <c r="AB91" s="209" t="s">
        <v>180</v>
      </c>
      <c r="AC91" s="209" t="s">
        <v>182</v>
      </c>
      <c r="AD91" s="209">
        <v>9</v>
      </c>
      <c r="AE91" s="209">
        <v>2024</v>
      </c>
      <c r="AF91" s="227">
        <v>45541</v>
      </c>
      <c r="AG91" s="227">
        <v>45545</v>
      </c>
      <c r="AH91" s="227">
        <v>45545</v>
      </c>
      <c r="AI91" s="228">
        <v>61344</v>
      </c>
      <c r="AJ91" s="228">
        <v>6</v>
      </c>
      <c r="AK91" s="228">
        <v>61344</v>
      </c>
      <c r="AL91" s="228">
        <v>6</v>
      </c>
      <c r="AM91" s="228">
        <v>0</v>
      </c>
      <c r="AN91" s="228">
        <v>0</v>
      </c>
      <c r="AO91" s="229">
        <v>37</v>
      </c>
      <c r="AP91" s="231">
        <v>9</v>
      </c>
      <c r="AQ91" s="231">
        <v>2024</v>
      </c>
      <c r="AR91" s="231" t="str">
        <f t="shared" si="5"/>
        <v>09/2024</v>
      </c>
      <c r="AS91" s="231">
        <f t="shared" si="6"/>
        <v>37.200000000000003</v>
      </c>
      <c r="AT91" s="239">
        <f>IF(G91="CERVECERIA Y MALTERIA",(AS91*AK91/1000000)*(1-VLOOKUP(N91,FCST!D:I,6,FALSE)),0)</f>
        <v>2.2819968000000004</v>
      </c>
      <c r="AU91" s="232">
        <v>5.0000000000000001E-3</v>
      </c>
      <c r="AV91" s="239">
        <f t="shared" si="7"/>
        <v>2.2934067840000001</v>
      </c>
      <c r="AW91" s="239">
        <f>(AS91*AK91/1000000)*(VLOOKUP(N91,FCST!D:I,6,FALSE))</f>
        <v>0</v>
      </c>
      <c r="AX91" s="239">
        <f t="shared" si="8"/>
        <v>0</v>
      </c>
      <c r="AY91" s="239">
        <f>IF($G91="CERVECERIA Y MALTERIA.",($AS91*$AK91/1000000)*(1-VLOOKUP($N91,FCST!D:I,6,FALSE)),0)</f>
        <v>0</v>
      </c>
      <c r="AZ91" s="239">
        <f t="shared" si="9"/>
        <v>0</v>
      </c>
      <c r="BB91" s="240"/>
    </row>
    <row r="92" spans="1:54" x14ac:dyDescent="0.25">
      <c r="A92" s="209">
        <v>1073518</v>
      </c>
      <c r="B92" s="209">
        <v>20</v>
      </c>
      <c r="C92" s="209">
        <v>89264765</v>
      </c>
      <c r="D92" s="209">
        <v>10</v>
      </c>
      <c r="E92" s="209">
        <v>10000002</v>
      </c>
      <c r="F92" s="209">
        <v>20000337</v>
      </c>
      <c r="G92" s="209" t="s">
        <v>105</v>
      </c>
      <c r="H92" s="209">
        <v>20000337</v>
      </c>
      <c r="I92" s="209">
        <v>2</v>
      </c>
      <c r="J92" s="209" t="s">
        <v>169</v>
      </c>
      <c r="K92" s="209" t="s">
        <v>325</v>
      </c>
      <c r="L92" s="209" t="s">
        <v>171</v>
      </c>
      <c r="M92" s="209" t="s">
        <v>184</v>
      </c>
      <c r="N92" s="209">
        <v>50032583</v>
      </c>
      <c r="O92" s="209" t="s">
        <v>205</v>
      </c>
      <c r="P92" s="209">
        <v>5121</v>
      </c>
      <c r="Q92" s="209" t="s">
        <v>174</v>
      </c>
      <c r="R92" s="209" t="s">
        <v>175</v>
      </c>
      <c r="S92" s="209" t="s">
        <v>176</v>
      </c>
      <c r="T92" s="209" t="s">
        <v>177</v>
      </c>
      <c r="U92" s="209" t="s">
        <v>178</v>
      </c>
      <c r="V92" s="209" t="s">
        <v>179</v>
      </c>
      <c r="W92" s="209" t="s">
        <v>179</v>
      </c>
      <c r="X92" s="209" t="s">
        <v>180</v>
      </c>
      <c r="Y92" s="209" t="s">
        <v>180</v>
      </c>
      <c r="Z92" s="209">
        <v>9521066218</v>
      </c>
      <c r="AA92" s="209" t="s">
        <v>326</v>
      </c>
      <c r="AB92" s="209" t="s">
        <v>180</v>
      </c>
      <c r="AC92" s="209" t="s">
        <v>182</v>
      </c>
      <c r="AD92" s="209">
        <v>9</v>
      </c>
      <c r="AE92" s="209">
        <v>2024</v>
      </c>
      <c r="AF92" s="227">
        <v>45545</v>
      </c>
      <c r="AG92" s="227">
        <v>45548</v>
      </c>
      <c r="AH92" s="227">
        <v>45548</v>
      </c>
      <c r="AI92" s="228">
        <v>351936</v>
      </c>
      <c r="AJ92" s="228">
        <v>52</v>
      </c>
      <c r="AK92" s="228">
        <v>351936</v>
      </c>
      <c r="AL92" s="228">
        <v>52</v>
      </c>
      <c r="AM92" s="228">
        <v>0</v>
      </c>
      <c r="AN92" s="228">
        <v>0</v>
      </c>
      <c r="AO92" s="229">
        <v>37</v>
      </c>
      <c r="AP92" s="231">
        <v>9</v>
      </c>
      <c r="AQ92" s="231">
        <v>2024</v>
      </c>
      <c r="AR92" s="231" t="str">
        <f t="shared" si="5"/>
        <v>09/2024</v>
      </c>
      <c r="AS92" s="231">
        <f t="shared" si="6"/>
        <v>54.7</v>
      </c>
      <c r="AT92" s="239">
        <f>IF(G92="CERVECERIA Y MALTERIA",(AS92*AK92/1000000)*(1-VLOOKUP(N92,FCST!D:I,6,FALSE)),0)</f>
        <v>19.250899199999999</v>
      </c>
      <c r="AU92" s="232">
        <v>5.0000000000000001E-3</v>
      </c>
      <c r="AV92" s="239">
        <f t="shared" si="7"/>
        <v>19.347153695999996</v>
      </c>
      <c r="AW92" s="239">
        <f>(AS92*AK92/1000000)*(VLOOKUP(N92,FCST!D:I,6,FALSE))</f>
        <v>0</v>
      </c>
      <c r="AX92" s="239">
        <f t="shared" si="8"/>
        <v>0</v>
      </c>
      <c r="AY92" s="239">
        <f>IF($G92="CERVECERIA Y MALTERIA.",($AS92*$AK92/1000000)*(1-VLOOKUP($N92,FCST!D:I,6,FALSE)),0)</f>
        <v>0</v>
      </c>
      <c r="AZ92" s="239">
        <f t="shared" si="9"/>
        <v>0</v>
      </c>
      <c r="BB92" s="240"/>
    </row>
    <row r="93" spans="1:54" x14ac:dyDescent="0.25">
      <c r="A93" s="209">
        <v>1074046</v>
      </c>
      <c r="B93" s="209">
        <v>10</v>
      </c>
      <c r="C93" s="209">
        <v>89264891</v>
      </c>
      <c r="D93" s="209">
        <v>10</v>
      </c>
      <c r="E93" s="209">
        <v>10000002</v>
      </c>
      <c r="F93" s="209">
        <v>20001057</v>
      </c>
      <c r="G93" s="209" t="s">
        <v>105</v>
      </c>
      <c r="H93" s="209">
        <v>20001057</v>
      </c>
      <c r="I93" s="209">
        <v>2</v>
      </c>
      <c r="J93" s="209" t="s">
        <v>169</v>
      </c>
      <c r="K93" s="209" t="s">
        <v>327</v>
      </c>
      <c r="L93" s="209" t="s">
        <v>171</v>
      </c>
      <c r="M93" s="209" t="s">
        <v>328</v>
      </c>
      <c r="N93" s="209">
        <v>50032578</v>
      </c>
      <c r="O93" s="209" t="s">
        <v>329</v>
      </c>
      <c r="P93" s="209">
        <v>5121</v>
      </c>
      <c r="Q93" s="209" t="s">
        <v>174</v>
      </c>
      <c r="R93" s="209" t="s">
        <v>175</v>
      </c>
      <c r="S93" s="209" t="s">
        <v>176</v>
      </c>
      <c r="T93" s="209" t="s">
        <v>177</v>
      </c>
      <c r="U93" s="209" t="s">
        <v>178</v>
      </c>
      <c r="V93" s="209" t="s">
        <v>179</v>
      </c>
      <c r="W93" s="209" t="s">
        <v>179</v>
      </c>
      <c r="X93" s="209" t="s">
        <v>180</v>
      </c>
      <c r="Y93" s="209" t="s">
        <v>180</v>
      </c>
      <c r="Z93" s="209">
        <v>9521066224</v>
      </c>
      <c r="AA93" s="209" t="s">
        <v>330</v>
      </c>
      <c r="AB93" s="209" t="s">
        <v>180</v>
      </c>
      <c r="AC93" s="209" t="s">
        <v>182</v>
      </c>
      <c r="AD93" s="209">
        <v>9</v>
      </c>
      <c r="AE93" s="209">
        <v>2024</v>
      </c>
      <c r="AF93" s="227">
        <v>45547</v>
      </c>
      <c r="AG93" s="227">
        <v>45548</v>
      </c>
      <c r="AH93" s="227">
        <v>45549</v>
      </c>
      <c r="AI93" s="228">
        <v>163584</v>
      </c>
      <c r="AJ93" s="228">
        <v>16</v>
      </c>
      <c r="AK93" s="228">
        <v>163584</v>
      </c>
      <c r="AL93" s="228">
        <v>16</v>
      </c>
      <c r="AM93" s="228">
        <v>0</v>
      </c>
      <c r="AN93" s="228">
        <v>0</v>
      </c>
      <c r="AO93" s="229">
        <v>37</v>
      </c>
      <c r="AP93" s="231">
        <v>9</v>
      </c>
      <c r="AQ93" s="231">
        <v>2024</v>
      </c>
      <c r="AR93" s="231" t="str">
        <f t="shared" si="5"/>
        <v>09/2024</v>
      </c>
      <c r="AS93" s="231">
        <f t="shared" si="6"/>
        <v>37.200000000000003</v>
      </c>
      <c r="AT93" s="239">
        <f>IF(G93="CERVECERIA Y MALTERIA",(AS93*AK93/1000000)*(1-VLOOKUP(N93,FCST!D:I,6,FALSE)),0)</f>
        <v>6.0853248000000004</v>
      </c>
      <c r="AU93" s="232">
        <v>5.0000000000000001E-3</v>
      </c>
      <c r="AV93" s="239">
        <f t="shared" si="7"/>
        <v>6.1157514239999999</v>
      </c>
      <c r="AW93" s="239">
        <f>(AS93*AK93/1000000)*(VLOOKUP(N93,FCST!D:I,6,FALSE))</f>
        <v>0</v>
      </c>
      <c r="AX93" s="239">
        <f t="shared" si="8"/>
        <v>0</v>
      </c>
      <c r="AY93" s="239">
        <f>IF($G93="CERVECERIA Y MALTERIA.",($AS93*$AK93/1000000)*(1-VLOOKUP($N93,FCST!D:I,6,FALSE)),0)</f>
        <v>0</v>
      </c>
      <c r="AZ93" s="239">
        <f t="shared" si="9"/>
        <v>0</v>
      </c>
      <c r="BB93" s="240"/>
    </row>
    <row r="94" spans="1:54" x14ac:dyDescent="0.25">
      <c r="A94" s="209">
        <v>1074046</v>
      </c>
      <c r="B94" s="209">
        <v>20</v>
      </c>
      <c r="C94" s="209">
        <v>89264891</v>
      </c>
      <c r="D94" s="209">
        <v>20</v>
      </c>
      <c r="E94" s="209">
        <v>10000002</v>
      </c>
      <c r="F94" s="209">
        <v>20001057</v>
      </c>
      <c r="G94" s="209" t="s">
        <v>105</v>
      </c>
      <c r="H94" s="209">
        <v>20001057</v>
      </c>
      <c r="I94" s="209">
        <v>2</v>
      </c>
      <c r="J94" s="209" t="s">
        <v>169</v>
      </c>
      <c r="K94" s="209" t="s">
        <v>327</v>
      </c>
      <c r="L94" s="209" t="s">
        <v>171</v>
      </c>
      <c r="M94" s="209" t="s">
        <v>328</v>
      </c>
      <c r="N94" s="209">
        <v>50034574</v>
      </c>
      <c r="O94" s="209" t="s">
        <v>196</v>
      </c>
      <c r="P94" s="209">
        <v>5121</v>
      </c>
      <c r="Q94" s="209" t="s">
        <v>174</v>
      </c>
      <c r="R94" s="209" t="s">
        <v>175</v>
      </c>
      <c r="S94" s="209" t="s">
        <v>176</v>
      </c>
      <c r="T94" s="209" t="s">
        <v>177</v>
      </c>
      <c r="U94" s="209" t="s">
        <v>178</v>
      </c>
      <c r="V94" s="209" t="s">
        <v>179</v>
      </c>
      <c r="W94" s="209" t="s">
        <v>179</v>
      </c>
      <c r="X94" s="209" t="s">
        <v>180</v>
      </c>
      <c r="Y94" s="209" t="s">
        <v>180</v>
      </c>
      <c r="Z94" s="209">
        <v>9521066224</v>
      </c>
      <c r="AA94" s="209" t="s">
        <v>330</v>
      </c>
      <c r="AB94" s="209" t="s">
        <v>180</v>
      </c>
      <c r="AC94" s="209" t="s">
        <v>182</v>
      </c>
      <c r="AD94" s="209">
        <v>9</v>
      </c>
      <c r="AE94" s="209">
        <v>2024</v>
      </c>
      <c r="AF94" s="227">
        <v>45547</v>
      </c>
      <c r="AG94" s="227">
        <v>45548</v>
      </c>
      <c r="AH94" s="227">
        <v>45549</v>
      </c>
      <c r="AI94" s="228">
        <v>563760</v>
      </c>
      <c r="AJ94" s="228">
        <v>30</v>
      </c>
      <c r="AK94" s="228">
        <v>563760</v>
      </c>
      <c r="AL94" s="228">
        <v>30</v>
      </c>
      <c r="AM94" s="228">
        <v>0</v>
      </c>
      <c r="AN94" s="228">
        <v>0</v>
      </c>
      <c r="AO94" s="229">
        <v>37</v>
      </c>
      <c r="AP94" s="231">
        <v>9</v>
      </c>
      <c r="AQ94" s="231">
        <v>2024</v>
      </c>
      <c r="AR94" s="231" t="str">
        <f t="shared" si="5"/>
        <v>09/2024</v>
      </c>
      <c r="AS94" s="231">
        <f t="shared" si="6"/>
        <v>19.5</v>
      </c>
      <c r="AT94" s="239">
        <f>IF(G94="CERVECERIA Y MALTERIA",(AS94*AK94/1000000)*(1-VLOOKUP(N94,FCST!D:I,6,FALSE)),0)</f>
        <v>10.993320000000001</v>
      </c>
      <c r="AU94" s="232">
        <v>5.0000000000000001E-3</v>
      </c>
      <c r="AV94" s="239">
        <f t="shared" si="7"/>
        <v>11.048286599999999</v>
      </c>
      <c r="AW94" s="239">
        <f>(AS94*AK94/1000000)*(VLOOKUP(N94,FCST!D:I,6,FALSE))</f>
        <v>0</v>
      </c>
      <c r="AX94" s="239">
        <f t="shared" si="8"/>
        <v>0</v>
      </c>
      <c r="AY94" s="239">
        <f>IF($G94="CERVECERIA Y MALTERIA.",($AS94*$AK94/1000000)*(1-VLOOKUP($N94,FCST!D:I,6,FALSE)),0)</f>
        <v>0</v>
      </c>
      <c r="AZ94" s="239">
        <f t="shared" si="9"/>
        <v>0</v>
      </c>
      <c r="BB94" s="240"/>
    </row>
    <row r="95" spans="1:54" x14ac:dyDescent="0.25">
      <c r="A95" s="209">
        <v>1074046</v>
      </c>
      <c r="B95" s="209">
        <v>30</v>
      </c>
      <c r="C95" s="209">
        <v>89264891</v>
      </c>
      <c r="D95" s="209">
        <v>30</v>
      </c>
      <c r="E95" s="209">
        <v>10000002</v>
      </c>
      <c r="F95" s="209">
        <v>20001057</v>
      </c>
      <c r="G95" s="209" t="s">
        <v>105</v>
      </c>
      <c r="H95" s="209">
        <v>20001057</v>
      </c>
      <c r="I95" s="209">
        <v>2</v>
      </c>
      <c r="J95" s="209" t="s">
        <v>169</v>
      </c>
      <c r="K95" s="209" t="s">
        <v>327</v>
      </c>
      <c r="L95" s="209" t="s">
        <v>171</v>
      </c>
      <c r="M95" s="209" t="s">
        <v>328</v>
      </c>
      <c r="N95" s="209">
        <v>50032583</v>
      </c>
      <c r="O95" s="209" t="s">
        <v>205</v>
      </c>
      <c r="P95" s="209">
        <v>5121</v>
      </c>
      <c r="Q95" s="209" t="s">
        <v>174</v>
      </c>
      <c r="R95" s="209" t="s">
        <v>175</v>
      </c>
      <c r="S95" s="209" t="s">
        <v>176</v>
      </c>
      <c r="T95" s="209" t="s">
        <v>177</v>
      </c>
      <c r="U95" s="209" t="s">
        <v>178</v>
      </c>
      <c r="V95" s="209" t="s">
        <v>179</v>
      </c>
      <c r="W95" s="209" t="s">
        <v>179</v>
      </c>
      <c r="X95" s="209" t="s">
        <v>180</v>
      </c>
      <c r="Y95" s="209" t="s">
        <v>180</v>
      </c>
      <c r="Z95" s="209">
        <v>9521066224</v>
      </c>
      <c r="AA95" s="209" t="s">
        <v>330</v>
      </c>
      <c r="AB95" s="209" t="s">
        <v>180</v>
      </c>
      <c r="AC95" s="209" t="s">
        <v>182</v>
      </c>
      <c r="AD95" s="209">
        <v>9</v>
      </c>
      <c r="AE95" s="209">
        <v>2024</v>
      </c>
      <c r="AF95" s="227">
        <v>45547</v>
      </c>
      <c r="AG95" s="227">
        <v>45548</v>
      </c>
      <c r="AH95" s="227">
        <v>45549</v>
      </c>
      <c r="AI95" s="228">
        <v>40608</v>
      </c>
      <c r="AJ95" s="228">
        <v>6</v>
      </c>
      <c r="AK95" s="228">
        <v>40608</v>
      </c>
      <c r="AL95" s="228">
        <v>6</v>
      </c>
      <c r="AM95" s="228">
        <v>0</v>
      </c>
      <c r="AN95" s="228">
        <v>0</v>
      </c>
      <c r="AO95" s="229">
        <v>37</v>
      </c>
      <c r="AP95" s="231">
        <v>9</v>
      </c>
      <c r="AQ95" s="231">
        <v>2024</v>
      </c>
      <c r="AR95" s="231" t="str">
        <f t="shared" si="5"/>
        <v>09/2024</v>
      </c>
      <c r="AS95" s="231">
        <f t="shared" si="6"/>
        <v>54.7</v>
      </c>
      <c r="AT95" s="239">
        <f>IF(G95="CERVECERIA Y MALTERIA",(AS95*AK95/1000000)*(1-VLOOKUP(N95,FCST!D:I,6,FALSE)),0)</f>
        <v>2.2212575999999999</v>
      </c>
      <c r="AU95" s="232">
        <v>5.0000000000000001E-3</v>
      </c>
      <c r="AV95" s="239">
        <f t="shared" si="7"/>
        <v>2.2323638879999996</v>
      </c>
      <c r="AW95" s="239">
        <f>(AS95*AK95/1000000)*(VLOOKUP(N95,FCST!D:I,6,FALSE))</f>
        <v>0</v>
      </c>
      <c r="AX95" s="239">
        <f t="shared" si="8"/>
        <v>0</v>
      </c>
      <c r="AY95" s="239">
        <f>IF($G95="CERVECERIA Y MALTERIA.",($AS95*$AK95/1000000)*(1-VLOOKUP($N95,FCST!D:I,6,FALSE)),0)</f>
        <v>0</v>
      </c>
      <c r="AZ95" s="239">
        <f t="shared" si="9"/>
        <v>0</v>
      </c>
      <c r="BB95" s="240"/>
    </row>
    <row r="96" spans="1:54" x14ac:dyDescent="0.25">
      <c r="A96" s="209">
        <v>1074259</v>
      </c>
      <c r="B96" s="209">
        <v>20</v>
      </c>
      <c r="C96" s="209">
        <v>89265397</v>
      </c>
      <c r="D96" s="209">
        <v>10</v>
      </c>
      <c r="E96" s="209">
        <v>10000002</v>
      </c>
      <c r="F96" s="209">
        <v>20000335</v>
      </c>
      <c r="G96" s="209" t="s">
        <v>105</v>
      </c>
      <c r="H96" s="209">
        <v>20000335</v>
      </c>
      <c r="I96" s="209">
        <v>2</v>
      </c>
      <c r="J96" s="209" t="s">
        <v>169</v>
      </c>
      <c r="K96" s="209" t="s">
        <v>331</v>
      </c>
      <c r="L96" s="209" t="s">
        <v>171</v>
      </c>
      <c r="M96" s="209" t="s">
        <v>199</v>
      </c>
      <c r="N96" s="209">
        <v>50034616</v>
      </c>
      <c r="O96" s="209" t="s">
        <v>191</v>
      </c>
      <c r="P96" s="209">
        <v>5121</v>
      </c>
      <c r="Q96" s="209" t="s">
        <v>200</v>
      </c>
      <c r="R96" s="209" t="s">
        <v>201</v>
      </c>
      <c r="S96" s="209" t="s">
        <v>202</v>
      </c>
      <c r="T96" s="209" t="s">
        <v>203</v>
      </c>
      <c r="U96" s="209" t="s">
        <v>201</v>
      </c>
      <c r="V96" s="209" t="s">
        <v>179</v>
      </c>
      <c r="W96" s="209" t="s">
        <v>179</v>
      </c>
      <c r="X96" s="209" t="s">
        <v>180</v>
      </c>
      <c r="Y96" s="209" t="s">
        <v>180</v>
      </c>
      <c r="Z96" s="209">
        <v>9521066210</v>
      </c>
      <c r="AA96" s="209" t="s">
        <v>192</v>
      </c>
      <c r="AB96" s="209" t="s">
        <v>180</v>
      </c>
      <c r="AC96" s="209" t="s">
        <v>182</v>
      </c>
      <c r="AD96" s="209">
        <v>9</v>
      </c>
      <c r="AE96" s="209">
        <v>2024</v>
      </c>
      <c r="AF96" s="227">
        <v>45548</v>
      </c>
      <c r="AG96" s="227">
        <v>45551</v>
      </c>
      <c r="AH96" s="227">
        <v>45551</v>
      </c>
      <c r="AI96" s="228">
        <v>426816</v>
      </c>
      <c r="AJ96" s="228">
        <v>52</v>
      </c>
      <c r="AK96" s="228">
        <v>426816</v>
      </c>
      <c r="AL96" s="228">
        <v>52</v>
      </c>
      <c r="AM96" s="228">
        <v>0</v>
      </c>
      <c r="AN96" s="228">
        <v>0</v>
      </c>
      <c r="AO96" s="229">
        <v>38</v>
      </c>
      <c r="AP96" s="231">
        <v>9</v>
      </c>
      <c r="AQ96" s="231">
        <v>2024</v>
      </c>
      <c r="AR96" s="231" t="str">
        <f t="shared" si="5"/>
        <v>09/2024</v>
      </c>
      <c r="AS96" s="231">
        <f t="shared" si="6"/>
        <v>46.6</v>
      </c>
      <c r="AT96" s="239">
        <f>IF(G96="CERVECERIA Y MALTERIA",(AS96*AK96/1000000)*(1-VLOOKUP(N96,FCST!D:I,6,FALSE)),0)</f>
        <v>19.889625600000002</v>
      </c>
      <c r="AU96" s="232">
        <v>5.0000000000000001E-3</v>
      </c>
      <c r="AV96" s="239">
        <f t="shared" si="7"/>
        <v>19.989073728000001</v>
      </c>
      <c r="AW96" s="239">
        <f>(AS96*AK96/1000000)*(VLOOKUP(N96,FCST!D:I,6,FALSE))</f>
        <v>0</v>
      </c>
      <c r="AX96" s="239">
        <f t="shared" si="8"/>
        <v>0</v>
      </c>
      <c r="AY96" s="239">
        <f>IF($G96="CERVECERIA Y MALTERIA.",($AS96*$AK96/1000000)*(1-VLOOKUP($N96,FCST!D:I,6,FALSE)),0)</f>
        <v>0</v>
      </c>
      <c r="AZ96" s="239">
        <f t="shared" si="9"/>
        <v>0</v>
      </c>
      <c r="BB96" s="240"/>
    </row>
    <row r="97" spans="1:54" x14ac:dyDescent="0.25">
      <c r="A97" s="209">
        <v>1073107</v>
      </c>
      <c r="B97" s="209">
        <v>90</v>
      </c>
      <c r="C97" s="209">
        <v>89263929</v>
      </c>
      <c r="D97" s="209">
        <v>10</v>
      </c>
      <c r="E97" s="209">
        <v>10000002</v>
      </c>
      <c r="F97" s="209">
        <v>20000335</v>
      </c>
      <c r="G97" s="209" t="s">
        <v>105</v>
      </c>
      <c r="H97" s="209">
        <v>20000335</v>
      </c>
      <c r="I97" s="209">
        <v>2</v>
      </c>
      <c r="J97" s="209" t="s">
        <v>169</v>
      </c>
      <c r="K97" s="209" t="s">
        <v>332</v>
      </c>
      <c r="L97" s="209" t="s">
        <v>171</v>
      </c>
      <c r="M97" s="209" t="s">
        <v>199</v>
      </c>
      <c r="N97" s="209">
        <v>50034574</v>
      </c>
      <c r="O97" s="209" t="s">
        <v>196</v>
      </c>
      <c r="P97" s="209">
        <v>5121</v>
      </c>
      <c r="Q97" s="209" t="s">
        <v>200</v>
      </c>
      <c r="R97" s="209" t="s">
        <v>201</v>
      </c>
      <c r="S97" s="209" t="s">
        <v>202</v>
      </c>
      <c r="T97" s="209" t="s">
        <v>203</v>
      </c>
      <c r="U97" s="209" t="s">
        <v>201</v>
      </c>
      <c r="V97" s="209" t="s">
        <v>179</v>
      </c>
      <c r="W97" s="209" t="s">
        <v>179</v>
      </c>
      <c r="X97" s="209" t="s">
        <v>180</v>
      </c>
      <c r="Y97" s="209" t="s">
        <v>180</v>
      </c>
      <c r="Z97" s="209">
        <v>9521066209</v>
      </c>
      <c r="AA97" s="209" t="s">
        <v>197</v>
      </c>
      <c r="AB97" s="209" t="s">
        <v>180</v>
      </c>
      <c r="AC97" s="209" t="s">
        <v>182</v>
      </c>
      <c r="AD97" s="209">
        <v>9</v>
      </c>
      <c r="AE97" s="209">
        <v>2024</v>
      </c>
      <c r="AF97" s="227">
        <v>45541</v>
      </c>
      <c r="AG97" s="227">
        <v>45548</v>
      </c>
      <c r="AH97" s="227">
        <v>45548</v>
      </c>
      <c r="AI97" s="228">
        <v>977184</v>
      </c>
      <c r="AJ97" s="228">
        <v>52</v>
      </c>
      <c r="AK97" s="228">
        <v>977184</v>
      </c>
      <c r="AL97" s="228">
        <v>52</v>
      </c>
      <c r="AM97" s="228">
        <v>0</v>
      </c>
      <c r="AN97" s="228">
        <v>0</v>
      </c>
      <c r="AO97" s="229">
        <v>37</v>
      </c>
      <c r="AP97" s="231">
        <v>9</v>
      </c>
      <c r="AQ97" s="231">
        <v>2024</v>
      </c>
      <c r="AR97" s="231" t="str">
        <f t="shared" si="5"/>
        <v>09/2024</v>
      </c>
      <c r="AS97" s="231">
        <f t="shared" si="6"/>
        <v>19.5</v>
      </c>
      <c r="AT97" s="239">
        <f>IF(G97="CERVECERIA Y MALTERIA",(AS97*AK97/1000000)*(1-VLOOKUP(N97,FCST!D:I,6,FALSE)),0)</f>
        <v>19.055088000000001</v>
      </c>
      <c r="AU97" s="232">
        <v>5.0000000000000001E-3</v>
      </c>
      <c r="AV97" s="239">
        <f t="shared" si="7"/>
        <v>19.15036344</v>
      </c>
      <c r="AW97" s="239">
        <f>(AS97*AK97/1000000)*(VLOOKUP(N97,FCST!D:I,6,FALSE))</f>
        <v>0</v>
      </c>
      <c r="AX97" s="239">
        <f t="shared" si="8"/>
        <v>0</v>
      </c>
      <c r="AY97" s="239">
        <f>IF($G97="CERVECERIA Y MALTERIA.",($AS97*$AK97/1000000)*(1-VLOOKUP($N97,FCST!D:I,6,FALSE)),0)</f>
        <v>0</v>
      </c>
      <c r="AZ97" s="239">
        <f t="shared" si="9"/>
        <v>0</v>
      </c>
      <c r="BB97" s="240"/>
    </row>
    <row r="98" spans="1:54" x14ac:dyDescent="0.25">
      <c r="A98" s="209">
        <v>1073111</v>
      </c>
      <c r="B98" s="209">
        <v>40</v>
      </c>
      <c r="C98" s="209">
        <v>89263938</v>
      </c>
      <c r="D98" s="209">
        <v>10</v>
      </c>
      <c r="E98" s="209">
        <v>10000002</v>
      </c>
      <c r="F98" s="209">
        <v>20000340</v>
      </c>
      <c r="G98" s="209" t="s">
        <v>117</v>
      </c>
      <c r="H98" s="209">
        <v>20000340</v>
      </c>
      <c r="I98" s="209">
        <v>2</v>
      </c>
      <c r="J98" s="209" t="s">
        <v>169</v>
      </c>
      <c r="K98" s="209" t="s">
        <v>333</v>
      </c>
      <c r="L98" s="209" t="s">
        <v>171</v>
      </c>
      <c r="M98" s="209" t="s">
        <v>172</v>
      </c>
      <c r="N98" s="209">
        <v>50025163</v>
      </c>
      <c r="O98" s="209" t="s">
        <v>185</v>
      </c>
      <c r="P98" s="209">
        <v>5101</v>
      </c>
      <c r="Q98" s="209" t="s">
        <v>186</v>
      </c>
      <c r="R98" s="209" t="s">
        <v>175</v>
      </c>
      <c r="S98" s="209" t="s">
        <v>176</v>
      </c>
      <c r="T98" s="209" t="s">
        <v>187</v>
      </c>
      <c r="U98" s="209" t="s">
        <v>188</v>
      </c>
      <c r="V98" s="209" t="s">
        <v>179</v>
      </c>
      <c r="W98" s="209" t="s">
        <v>179</v>
      </c>
      <c r="X98" s="209" t="s">
        <v>180</v>
      </c>
      <c r="Y98" s="209" t="s">
        <v>180</v>
      </c>
      <c r="Z98" s="209">
        <v>9511046822</v>
      </c>
      <c r="AA98" s="209" t="s">
        <v>189</v>
      </c>
      <c r="AB98" s="209" t="s">
        <v>180</v>
      </c>
      <c r="AC98" s="209" t="s">
        <v>182</v>
      </c>
      <c r="AD98" s="209">
        <v>9</v>
      </c>
      <c r="AE98" s="209">
        <v>2024</v>
      </c>
      <c r="AF98" s="227">
        <v>45541</v>
      </c>
      <c r="AG98" s="227">
        <v>45548</v>
      </c>
      <c r="AH98" s="227">
        <v>45548</v>
      </c>
      <c r="AI98" s="228">
        <v>606528</v>
      </c>
      <c r="AJ98" s="228">
        <v>52</v>
      </c>
      <c r="AK98" s="228">
        <v>606528</v>
      </c>
      <c r="AL98" s="228">
        <v>52</v>
      </c>
      <c r="AM98" s="228">
        <v>0</v>
      </c>
      <c r="AN98" s="228">
        <v>0</v>
      </c>
      <c r="AO98" s="229">
        <v>37</v>
      </c>
      <c r="AP98" s="231">
        <v>9</v>
      </c>
      <c r="AQ98" s="231">
        <v>2024</v>
      </c>
      <c r="AR98" s="231" t="str">
        <f t="shared" si="5"/>
        <v>09/2024</v>
      </c>
      <c r="AS98" s="231">
        <f t="shared" si="6"/>
        <v>30</v>
      </c>
      <c r="AT98" s="239">
        <f>IF(G98="CERVECERIA Y MALTERIA",(AS98*AK98/1000000)*(1-VLOOKUP(N98,FCST!D:I,6,FALSE)),0)</f>
        <v>0</v>
      </c>
      <c r="AU98" s="232">
        <v>5.0000000000000001E-3</v>
      </c>
      <c r="AV98" s="239">
        <f t="shared" si="7"/>
        <v>0</v>
      </c>
      <c r="AW98" s="239">
        <f>(AS98*AK98/1000000)*(VLOOKUP(N98,FCST!D:I,6,FALSE))</f>
        <v>0</v>
      </c>
      <c r="AX98" s="239">
        <f t="shared" si="8"/>
        <v>0</v>
      </c>
      <c r="AY98" s="239">
        <f>IF($G98="CERVECERIA Y MALTERIA.",($AS98*$AK98/1000000)*(1-VLOOKUP($N98,FCST!D:I,6,FALSE)),0)</f>
        <v>18.19584</v>
      </c>
      <c r="AZ98" s="239">
        <f t="shared" si="9"/>
        <v>18.2868192</v>
      </c>
      <c r="BB98" s="240"/>
    </row>
    <row r="99" spans="1:54" x14ac:dyDescent="0.25">
      <c r="A99" s="209">
        <v>1074263</v>
      </c>
      <c r="B99" s="209">
        <v>30</v>
      </c>
      <c r="C99" s="209">
        <v>89266195</v>
      </c>
      <c r="D99" s="209">
        <v>10</v>
      </c>
      <c r="E99" s="209">
        <v>10000002</v>
      </c>
      <c r="F99" s="209">
        <v>20000340</v>
      </c>
      <c r="G99" s="209" t="s">
        <v>117</v>
      </c>
      <c r="H99" s="209">
        <v>20000340</v>
      </c>
      <c r="I99" s="209">
        <v>2</v>
      </c>
      <c r="J99" s="209" t="s">
        <v>169</v>
      </c>
      <c r="K99" s="209" t="s">
        <v>334</v>
      </c>
      <c r="L99" s="209" t="s">
        <v>171</v>
      </c>
      <c r="M99" s="209" t="s">
        <v>184</v>
      </c>
      <c r="N99" s="209">
        <v>50025163</v>
      </c>
      <c r="O99" s="209" t="s">
        <v>185</v>
      </c>
      <c r="P99" s="209">
        <v>5101</v>
      </c>
      <c r="Q99" s="209" t="s">
        <v>186</v>
      </c>
      <c r="R99" s="209" t="s">
        <v>175</v>
      </c>
      <c r="S99" s="209" t="s">
        <v>176</v>
      </c>
      <c r="T99" s="209" t="s">
        <v>187</v>
      </c>
      <c r="U99" s="209" t="s">
        <v>188</v>
      </c>
      <c r="V99" s="209" t="s">
        <v>179</v>
      </c>
      <c r="W99" s="209" t="s">
        <v>179</v>
      </c>
      <c r="X99" s="209" t="s">
        <v>180</v>
      </c>
      <c r="Y99" s="209" t="s">
        <v>180</v>
      </c>
      <c r="Z99" s="209">
        <v>9511046822</v>
      </c>
      <c r="AA99" s="209" t="s">
        <v>189</v>
      </c>
      <c r="AB99" s="209" t="s">
        <v>180</v>
      </c>
      <c r="AC99" s="209" t="s">
        <v>182</v>
      </c>
      <c r="AD99" s="209">
        <v>9</v>
      </c>
      <c r="AE99" s="209">
        <v>2024</v>
      </c>
      <c r="AF99" s="227">
        <v>45548</v>
      </c>
      <c r="AG99" s="227">
        <v>45553</v>
      </c>
      <c r="AH99" s="227">
        <v>45552</v>
      </c>
      <c r="AI99" s="228">
        <v>606528</v>
      </c>
      <c r="AJ99" s="228">
        <v>52</v>
      </c>
      <c r="AK99" s="228">
        <v>606528</v>
      </c>
      <c r="AL99" s="228">
        <v>52</v>
      </c>
      <c r="AM99" s="228">
        <v>0</v>
      </c>
      <c r="AN99" s="228">
        <v>0</v>
      </c>
      <c r="AO99" s="229">
        <v>38</v>
      </c>
      <c r="AP99" s="231">
        <v>9</v>
      </c>
      <c r="AQ99" s="231">
        <v>2024</v>
      </c>
      <c r="AR99" s="231" t="str">
        <f t="shared" si="5"/>
        <v>09/2024</v>
      </c>
      <c r="AS99" s="231">
        <f t="shared" si="6"/>
        <v>30</v>
      </c>
      <c r="AT99" s="239">
        <f>IF(G99="CERVECERIA Y MALTERIA",(AS99*AK99/1000000)*(1-VLOOKUP(N99,FCST!D:I,6,FALSE)),0)</f>
        <v>0</v>
      </c>
      <c r="AU99" s="232">
        <v>5.0000000000000001E-3</v>
      </c>
      <c r="AV99" s="239">
        <f t="shared" si="7"/>
        <v>0</v>
      </c>
      <c r="AW99" s="239">
        <f>(AS99*AK99/1000000)*(VLOOKUP(N99,FCST!D:I,6,FALSE))</f>
        <v>0</v>
      </c>
      <c r="AX99" s="239">
        <f t="shared" si="8"/>
        <v>0</v>
      </c>
      <c r="AY99" s="239">
        <f>IF($G99="CERVECERIA Y MALTERIA.",($AS99*$AK99/1000000)*(1-VLOOKUP($N99,FCST!D:I,6,FALSE)),0)</f>
        <v>18.19584</v>
      </c>
      <c r="AZ99" s="239">
        <f t="shared" si="9"/>
        <v>18.2868192</v>
      </c>
      <c r="BB99" s="240"/>
    </row>
    <row r="100" spans="1:54" x14ac:dyDescent="0.25">
      <c r="A100" s="209">
        <v>1074265</v>
      </c>
      <c r="B100" s="209">
        <v>10</v>
      </c>
      <c r="C100" s="209">
        <v>89266265</v>
      </c>
      <c r="D100" s="209">
        <v>10</v>
      </c>
      <c r="E100" s="209">
        <v>10000002</v>
      </c>
      <c r="F100" s="209">
        <v>20000336</v>
      </c>
      <c r="G100" s="209" t="s">
        <v>105</v>
      </c>
      <c r="H100" s="209">
        <v>20000336</v>
      </c>
      <c r="I100" s="209">
        <v>2</v>
      </c>
      <c r="J100" s="209" t="s">
        <v>169</v>
      </c>
      <c r="K100" s="209" t="s">
        <v>335</v>
      </c>
      <c r="L100" s="209" t="s">
        <v>171</v>
      </c>
      <c r="M100" s="209" t="s">
        <v>184</v>
      </c>
      <c r="N100" s="209">
        <v>50034634</v>
      </c>
      <c r="O100" s="209" t="s">
        <v>219</v>
      </c>
      <c r="P100" s="209">
        <v>5121</v>
      </c>
      <c r="Q100" s="209" t="s">
        <v>174</v>
      </c>
      <c r="R100" s="209" t="s">
        <v>175</v>
      </c>
      <c r="S100" s="209" t="s">
        <v>176</v>
      </c>
      <c r="T100" s="209" t="s">
        <v>177</v>
      </c>
      <c r="U100" s="209" t="s">
        <v>178</v>
      </c>
      <c r="V100" s="209" t="s">
        <v>179</v>
      </c>
      <c r="W100" s="209" t="s">
        <v>179</v>
      </c>
      <c r="X100" s="209" t="s">
        <v>180</v>
      </c>
      <c r="Y100" s="209" t="s">
        <v>180</v>
      </c>
      <c r="Z100" s="209">
        <v>9521066215</v>
      </c>
      <c r="AA100" s="209" t="s">
        <v>220</v>
      </c>
      <c r="AB100" s="209" t="s">
        <v>180</v>
      </c>
      <c r="AC100" s="209" t="s">
        <v>182</v>
      </c>
      <c r="AD100" s="209">
        <v>9</v>
      </c>
      <c r="AE100" s="209">
        <v>2024</v>
      </c>
      <c r="AF100" s="227">
        <v>45548</v>
      </c>
      <c r="AG100" s="227">
        <v>45552</v>
      </c>
      <c r="AH100" s="227">
        <v>45552</v>
      </c>
      <c r="AI100" s="228">
        <v>364416</v>
      </c>
      <c r="AJ100" s="228">
        <v>52</v>
      </c>
      <c r="AK100" s="228">
        <v>364416</v>
      </c>
      <c r="AL100" s="228">
        <v>52</v>
      </c>
      <c r="AM100" s="228">
        <v>0</v>
      </c>
      <c r="AN100" s="228">
        <v>0</v>
      </c>
      <c r="AO100" s="229">
        <v>38</v>
      </c>
      <c r="AP100" s="231">
        <v>9</v>
      </c>
      <c r="AQ100" s="231">
        <v>2024</v>
      </c>
      <c r="AR100" s="231" t="str">
        <f t="shared" si="5"/>
        <v>09/2024</v>
      </c>
      <c r="AS100" s="231">
        <f t="shared" si="6"/>
        <v>52</v>
      </c>
      <c r="AT100" s="239">
        <f>IF(G100="CERVECERIA Y MALTERIA",(AS100*AK100/1000000)*(1-VLOOKUP(N100,FCST!D:I,6,FALSE)),0)</f>
        <v>18.949632000000001</v>
      </c>
      <c r="AU100" s="232">
        <v>5.0000000000000001E-3</v>
      </c>
      <c r="AV100" s="239">
        <f t="shared" si="7"/>
        <v>19.044380159999999</v>
      </c>
      <c r="AW100" s="239">
        <f>(AS100*AK100/1000000)*(VLOOKUP(N100,FCST!D:I,6,FALSE))</f>
        <v>0</v>
      </c>
      <c r="AX100" s="239">
        <f t="shared" si="8"/>
        <v>0</v>
      </c>
      <c r="AY100" s="239">
        <f>IF($G100="CERVECERIA Y MALTERIA.",($AS100*$AK100/1000000)*(1-VLOOKUP($N100,FCST!D:I,6,FALSE)),0)</f>
        <v>0</v>
      </c>
      <c r="AZ100" s="239">
        <f t="shared" si="9"/>
        <v>0</v>
      </c>
      <c r="BB100" s="240"/>
    </row>
    <row r="101" spans="1:54" x14ac:dyDescent="0.25">
      <c r="A101" s="209">
        <v>1074259</v>
      </c>
      <c r="B101" s="209">
        <v>30</v>
      </c>
      <c r="C101" s="209">
        <v>89267107</v>
      </c>
      <c r="D101" s="209">
        <v>10</v>
      </c>
      <c r="E101" s="209">
        <v>10000002</v>
      </c>
      <c r="F101" s="209">
        <v>20000335</v>
      </c>
      <c r="G101" s="209" t="s">
        <v>105</v>
      </c>
      <c r="H101" s="209">
        <v>20000335</v>
      </c>
      <c r="I101" s="209">
        <v>2</v>
      </c>
      <c r="J101" s="209" t="s">
        <v>169</v>
      </c>
      <c r="K101" s="209" t="s">
        <v>336</v>
      </c>
      <c r="L101" s="209" t="s">
        <v>171</v>
      </c>
      <c r="M101" s="209" t="s">
        <v>172</v>
      </c>
      <c r="N101" s="209">
        <v>50032573</v>
      </c>
      <c r="O101" s="209" t="s">
        <v>173</v>
      </c>
      <c r="P101" s="209">
        <v>5121</v>
      </c>
      <c r="Q101" s="209" t="s">
        <v>174</v>
      </c>
      <c r="R101" s="209" t="s">
        <v>175</v>
      </c>
      <c r="S101" s="209" t="s">
        <v>176</v>
      </c>
      <c r="T101" s="209" t="s">
        <v>177</v>
      </c>
      <c r="U101" s="209" t="s">
        <v>178</v>
      </c>
      <c r="V101" s="209" t="s">
        <v>179</v>
      </c>
      <c r="W101" s="209" t="s">
        <v>179</v>
      </c>
      <c r="X101" s="209" t="s">
        <v>180</v>
      </c>
      <c r="Y101" s="209" t="s">
        <v>180</v>
      </c>
      <c r="Z101" s="209">
        <v>9521066207</v>
      </c>
      <c r="AA101" s="209" t="s">
        <v>181</v>
      </c>
      <c r="AB101" s="209" t="s">
        <v>180</v>
      </c>
      <c r="AC101" s="209" t="s">
        <v>182</v>
      </c>
      <c r="AD101" s="209">
        <v>9</v>
      </c>
      <c r="AE101" s="209">
        <v>2024</v>
      </c>
      <c r="AF101" s="227">
        <v>45548</v>
      </c>
      <c r="AG101" s="227">
        <v>45552</v>
      </c>
      <c r="AH101" s="227">
        <v>45552</v>
      </c>
      <c r="AI101" s="228">
        <v>531648</v>
      </c>
      <c r="AJ101" s="228">
        <v>52</v>
      </c>
      <c r="AK101" s="228">
        <v>531648</v>
      </c>
      <c r="AL101" s="228">
        <v>52</v>
      </c>
      <c r="AM101" s="228">
        <v>0</v>
      </c>
      <c r="AN101" s="228">
        <v>0</v>
      </c>
      <c r="AO101" s="229">
        <v>38</v>
      </c>
      <c r="AP101" s="231">
        <v>9</v>
      </c>
      <c r="AQ101" s="231">
        <v>2024</v>
      </c>
      <c r="AR101" s="231" t="str">
        <f t="shared" si="5"/>
        <v>09/2024</v>
      </c>
      <c r="AS101" s="231">
        <f t="shared" si="6"/>
        <v>37.200000000000003</v>
      </c>
      <c r="AT101" s="239">
        <f>IF(G101="CERVECERIA Y MALTERIA",(AS101*AK101/1000000)*(1-VLOOKUP(N101,FCST!D:I,6,FALSE)),0)</f>
        <v>19.777305600000002</v>
      </c>
      <c r="AU101" s="232">
        <v>5.0000000000000001E-3</v>
      </c>
      <c r="AV101" s="239">
        <f t="shared" si="7"/>
        <v>19.876192128</v>
      </c>
      <c r="AW101" s="239">
        <f>(AS101*AK101/1000000)*(VLOOKUP(N101,FCST!D:I,6,FALSE))</f>
        <v>0</v>
      </c>
      <c r="AX101" s="239">
        <f t="shared" si="8"/>
        <v>0</v>
      </c>
      <c r="AY101" s="239">
        <f>IF($G101="CERVECERIA Y MALTERIA.",($AS101*$AK101/1000000)*(1-VLOOKUP($N101,FCST!D:I,6,FALSE)),0)</f>
        <v>0</v>
      </c>
      <c r="AZ101" s="239">
        <f t="shared" si="9"/>
        <v>0</v>
      </c>
      <c r="BB101" s="240"/>
    </row>
    <row r="102" spans="1:54" x14ac:dyDescent="0.25">
      <c r="A102" s="209">
        <v>1074264</v>
      </c>
      <c r="B102" s="209">
        <v>10</v>
      </c>
      <c r="C102" s="209">
        <v>89265639</v>
      </c>
      <c r="D102" s="209">
        <v>10</v>
      </c>
      <c r="E102" s="209">
        <v>10000002</v>
      </c>
      <c r="F102" s="209">
        <v>20000337</v>
      </c>
      <c r="G102" s="209" t="s">
        <v>105</v>
      </c>
      <c r="H102" s="209">
        <v>20000337</v>
      </c>
      <c r="I102" s="209">
        <v>2</v>
      </c>
      <c r="J102" s="209" t="s">
        <v>169</v>
      </c>
      <c r="K102" s="209" t="s">
        <v>337</v>
      </c>
      <c r="L102" s="209" t="s">
        <v>171</v>
      </c>
      <c r="M102" s="209" t="s">
        <v>199</v>
      </c>
      <c r="N102" s="209">
        <v>50032583</v>
      </c>
      <c r="O102" s="209" t="s">
        <v>205</v>
      </c>
      <c r="P102" s="209">
        <v>5121</v>
      </c>
      <c r="Q102" s="209" t="s">
        <v>200</v>
      </c>
      <c r="R102" s="209" t="s">
        <v>201</v>
      </c>
      <c r="S102" s="209" t="s">
        <v>202</v>
      </c>
      <c r="T102" s="209" t="s">
        <v>203</v>
      </c>
      <c r="U102" s="209" t="s">
        <v>201</v>
      </c>
      <c r="V102" s="209" t="s">
        <v>179</v>
      </c>
      <c r="W102" s="209" t="s">
        <v>179</v>
      </c>
      <c r="X102" s="209" t="s">
        <v>180</v>
      </c>
      <c r="Y102" s="209" t="s">
        <v>180</v>
      </c>
      <c r="Z102" s="209">
        <v>9521066216</v>
      </c>
      <c r="AA102" s="209" t="s">
        <v>338</v>
      </c>
      <c r="AB102" s="209" t="s">
        <v>180</v>
      </c>
      <c r="AC102" s="209" t="s">
        <v>182</v>
      </c>
      <c r="AD102" s="209">
        <v>9</v>
      </c>
      <c r="AE102" s="209">
        <v>2024</v>
      </c>
      <c r="AF102" s="227">
        <v>45548</v>
      </c>
      <c r="AG102" s="227">
        <v>45551</v>
      </c>
      <c r="AH102" s="227">
        <v>45551</v>
      </c>
      <c r="AI102" s="228">
        <v>270720</v>
      </c>
      <c r="AJ102" s="228">
        <v>40</v>
      </c>
      <c r="AK102" s="228">
        <v>270720</v>
      </c>
      <c r="AL102" s="228">
        <v>40</v>
      </c>
      <c r="AM102" s="228">
        <v>0</v>
      </c>
      <c r="AN102" s="228">
        <v>0</v>
      </c>
      <c r="AO102" s="229">
        <v>38</v>
      </c>
      <c r="AP102" s="231">
        <v>9</v>
      </c>
      <c r="AQ102" s="231">
        <v>2024</v>
      </c>
      <c r="AR102" s="231" t="str">
        <f t="shared" si="5"/>
        <v>09/2024</v>
      </c>
      <c r="AS102" s="231">
        <f t="shared" si="6"/>
        <v>54.7</v>
      </c>
      <c r="AT102" s="239">
        <f>IF(G102="CERVECERIA Y MALTERIA",(AS102*AK102/1000000)*(1-VLOOKUP(N102,FCST!D:I,6,FALSE)),0)</f>
        <v>14.808384</v>
      </c>
      <c r="AU102" s="232">
        <v>5.0000000000000001E-3</v>
      </c>
      <c r="AV102" s="239">
        <f t="shared" si="7"/>
        <v>14.882425919999999</v>
      </c>
      <c r="AW102" s="239">
        <f>(AS102*AK102/1000000)*(VLOOKUP(N102,FCST!D:I,6,FALSE))</f>
        <v>0</v>
      </c>
      <c r="AX102" s="239">
        <f t="shared" si="8"/>
        <v>0</v>
      </c>
      <c r="AY102" s="239">
        <f>IF($G102="CERVECERIA Y MALTERIA.",($AS102*$AK102/1000000)*(1-VLOOKUP($N102,FCST!D:I,6,FALSE)),0)</f>
        <v>0</v>
      </c>
      <c r="AZ102" s="239">
        <f t="shared" si="9"/>
        <v>0</v>
      </c>
      <c r="BB102" s="240"/>
    </row>
    <row r="103" spans="1:54" x14ac:dyDescent="0.25">
      <c r="A103" s="209">
        <v>1074264</v>
      </c>
      <c r="B103" s="209">
        <v>20</v>
      </c>
      <c r="C103" s="209">
        <v>89265639</v>
      </c>
      <c r="D103" s="209">
        <v>20</v>
      </c>
      <c r="E103" s="209">
        <v>10000002</v>
      </c>
      <c r="F103" s="209">
        <v>20000337</v>
      </c>
      <c r="G103" s="209" t="s">
        <v>105</v>
      </c>
      <c r="H103" s="209">
        <v>20000337</v>
      </c>
      <c r="I103" s="209">
        <v>2</v>
      </c>
      <c r="J103" s="209" t="s">
        <v>169</v>
      </c>
      <c r="K103" s="209" t="s">
        <v>337</v>
      </c>
      <c r="L103" s="209" t="s">
        <v>171</v>
      </c>
      <c r="M103" s="209" t="s">
        <v>199</v>
      </c>
      <c r="N103" s="209">
        <v>50035183</v>
      </c>
      <c r="O103" s="209" t="s">
        <v>215</v>
      </c>
      <c r="P103" s="209">
        <v>5121</v>
      </c>
      <c r="Q103" s="209" t="s">
        <v>200</v>
      </c>
      <c r="R103" s="209" t="s">
        <v>201</v>
      </c>
      <c r="S103" s="209" t="s">
        <v>202</v>
      </c>
      <c r="T103" s="209" t="s">
        <v>203</v>
      </c>
      <c r="U103" s="209" t="s">
        <v>201</v>
      </c>
      <c r="V103" s="209" t="s">
        <v>179</v>
      </c>
      <c r="W103" s="209" t="s">
        <v>179</v>
      </c>
      <c r="X103" s="209" t="s">
        <v>180</v>
      </c>
      <c r="Y103" s="209" t="s">
        <v>180</v>
      </c>
      <c r="Z103" s="209">
        <v>9521066216</v>
      </c>
      <c r="AA103" s="209" t="s">
        <v>338</v>
      </c>
      <c r="AB103" s="209" t="s">
        <v>180</v>
      </c>
      <c r="AC103" s="209" t="s">
        <v>182</v>
      </c>
      <c r="AD103" s="209">
        <v>9</v>
      </c>
      <c r="AE103" s="209">
        <v>2024</v>
      </c>
      <c r="AF103" s="227">
        <v>45548</v>
      </c>
      <c r="AG103" s="227">
        <v>45551</v>
      </c>
      <c r="AH103" s="227">
        <v>45551</v>
      </c>
      <c r="AI103" s="228">
        <v>98496</v>
      </c>
      <c r="AJ103" s="228">
        <v>12</v>
      </c>
      <c r="AK103" s="228">
        <v>98496</v>
      </c>
      <c r="AL103" s="228">
        <v>12</v>
      </c>
      <c r="AM103" s="228">
        <v>0</v>
      </c>
      <c r="AN103" s="228">
        <v>0</v>
      </c>
      <c r="AO103" s="229">
        <v>38</v>
      </c>
      <c r="AP103" s="231">
        <v>9</v>
      </c>
      <c r="AQ103" s="231">
        <v>2024</v>
      </c>
      <c r="AR103" s="231" t="str">
        <f t="shared" si="5"/>
        <v>09/2024</v>
      </c>
      <c r="AS103" s="231">
        <f t="shared" si="6"/>
        <v>46.6</v>
      </c>
      <c r="AT103" s="239">
        <f>IF(G103="CERVECERIA Y MALTERIA",(AS103*AK103/1000000)*(1-VLOOKUP(N103,FCST!D:I,6,FALSE)),0)</f>
        <v>4.5899136000000009</v>
      </c>
      <c r="AU103" s="232">
        <v>5.0000000000000001E-3</v>
      </c>
      <c r="AV103" s="239">
        <f t="shared" si="7"/>
        <v>4.6128631680000005</v>
      </c>
      <c r="AW103" s="239">
        <f>(AS103*AK103/1000000)*(VLOOKUP(N103,FCST!D:I,6,FALSE))</f>
        <v>0</v>
      </c>
      <c r="AX103" s="239">
        <f t="shared" si="8"/>
        <v>0</v>
      </c>
      <c r="AY103" s="239">
        <f>IF($G103="CERVECERIA Y MALTERIA.",($AS103*$AK103/1000000)*(1-VLOOKUP($N103,FCST!D:I,6,FALSE)),0)</f>
        <v>0</v>
      </c>
      <c r="AZ103" s="239">
        <f t="shared" si="9"/>
        <v>0</v>
      </c>
      <c r="BB103" s="240"/>
    </row>
    <row r="104" spans="1:54" x14ac:dyDescent="0.25">
      <c r="A104" s="209">
        <v>1074259</v>
      </c>
      <c r="B104" s="209">
        <v>10</v>
      </c>
      <c r="C104" s="209">
        <v>89266066</v>
      </c>
      <c r="D104" s="209">
        <v>10</v>
      </c>
      <c r="E104" s="209">
        <v>10000002</v>
      </c>
      <c r="F104" s="209">
        <v>20000335</v>
      </c>
      <c r="G104" s="209" t="s">
        <v>105</v>
      </c>
      <c r="H104" s="209">
        <v>20000335</v>
      </c>
      <c r="I104" s="209">
        <v>2</v>
      </c>
      <c r="J104" s="209" t="s">
        <v>169</v>
      </c>
      <c r="K104" s="209" t="s">
        <v>339</v>
      </c>
      <c r="L104" s="209" t="s">
        <v>171</v>
      </c>
      <c r="M104" s="209" t="s">
        <v>172</v>
      </c>
      <c r="N104" s="209">
        <v>50032573</v>
      </c>
      <c r="O104" s="209" t="s">
        <v>173</v>
      </c>
      <c r="P104" s="209">
        <v>5121</v>
      </c>
      <c r="Q104" s="209" t="s">
        <v>174</v>
      </c>
      <c r="R104" s="209" t="s">
        <v>175</v>
      </c>
      <c r="S104" s="209" t="s">
        <v>176</v>
      </c>
      <c r="T104" s="209" t="s">
        <v>177</v>
      </c>
      <c r="U104" s="209" t="s">
        <v>178</v>
      </c>
      <c r="V104" s="209" t="s">
        <v>179</v>
      </c>
      <c r="W104" s="209" t="s">
        <v>179</v>
      </c>
      <c r="X104" s="209" t="s">
        <v>180</v>
      </c>
      <c r="Y104" s="209" t="s">
        <v>180</v>
      </c>
      <c r="Z104" s="209">
        <v>9521066207</v>
      </c>
      <c r="AA104" s="209" t="s">
        <v>181</v>
      </c>
      <c r="AB104" s="209" t="s">
        <v>180</v>
      </c>
      <c r="AC104" s="209" t="s">
        <v>182</v>
      </c>
      <c r="AD104" s="209">
        <v>9</v>
      </c>
      <c r="AE104" s="209">
        <v>2024</v>
      </c>
      <c r="AF104" s="227">
        <v>45548</v>
      </c>
      <c r="AG104" s="227">
        <v>45551</v>
      </c>
      <c r="AH104" s="227">
        <v>45551</v>
      </c>
      <c r="AI104" s="228">
        <v>531648</v>
      </c>
      <c r="AJ104" s="228">
        <v>52</v>
      </c>
      <c r="AK104" s="228">
        <v>531648</v>
      </c>
      <c r="AL104" s="228">
        <v>52</v>
      </c>
      <c r="AM104" s="228">
        <v>0</v>
      </c>
      <c r="AN104" s="228">
        <v>0</v>
      </c>
      <c r="AO104" s="229">
        <v>38</v>
      </c>
      <c r="AP104" s="231">
        <v>9</v>
      </c>
      <c r="AQ104" s="231">
        <v>2024</v>
      </c>
      <c r="AR104" s="231" t="str">
        <f t="shared" si="5"/>
        <v>09/2024</v>
      </c>
      <c r="AS104" s="231">
        <f t="shared" si="6"/>
        <v>37.200000000000003</v>
      </c>
      <c r="AT104" s="239">
        <f>IF(G104="CERVECERIA Y MALTERIA",(AS104*AK104/1000000)*(1-VLOOKUP(N104,FCST!D:I,6,FALSE)),0)</f>
        <v>19.777305600000002</v>
      </c>
      <c r="AU104" s="232">
        <v>5.0000000000000001E-3</v>
      </c>
      <c r="AV104" s="239">
        <f t="shared" si="7"/>
        <v>19.876192128</v>
      </c>
      <c r="AW104" s="239">
        <f>(AS104*AK104/1000000)*(VLOOKUP(N104,FCST!D:I,6,FALSE))</f>
        <v>0</v>
      </c>
      <c r="AX104" s="239">
        <f t="shared" si="8"/>
        <v>0</v>
      </c>
      <c r="AY104" s="239">
        <f>IF($G104="CERVECERIA Y MALTERIA.",($AS104*$AK104/1000000)*(1-VLOOKUP($N104,FCST!D:I,6,FALSE)),0)</f>
        <v>0</v>
      </c>
      <c r="AZ104" s="239">
        <f t="shared" si="9"/>
        <v>0</v>
      </c>
      <c r="BB104" s="240"/>
    </row>
    <row r="105" spans="1:54" x14ac:dyDescent="0.25">
      <c r="A105" s="209">
        <v>1073107</v>
      </c>
      <c r="B105" s="209">
        <v>110</v>
      </c>
      <c r="C105" s="209">
        <v>89262239</v>
      </c>
      <c r="D105" s="209">
        <v>10</v>
      </c>
      <c r="E105" s="209">
        <v>10000002</v>
      </c>
      <c r="F105" s="209">
        <v>20000335</v>
      </c>
      <c r="G105" s="209" t="s">
        <v>105</v>
      </c>
      <c r="H105" s="209">
        <v>20000335</v>
      </c>
      <c r="I105" s="209">
        <v>2</v>
      </c>
      <c r="J105" s="209" t="s">
        <v>169</v>
      </c>
      <c r="K105" s="209" t="s">
        <v>340</v>
      </c>
      <c r="L105" s="209" t="s">
        <v>171</v>
      </c>
      <c r="M105" s="209" t="s">
        <v>199</v>
      </c>
      <c r="N105" s="209">
        <v>50032573</v>
      </c>
      <c r="O105" s="209" t="s">
        <v>173</v>
      </c>
      <c r="P105" s="209">
        <v>5121</v>
      </c>
      <c r="Q105" s="209" t="s">
        <v>200</v>
      </c>
      <c r="R105" s="209" t="s">
        <v>201</v>
      </c>
      <c r="S105" s="209" t="s">
        <v>202</v>
      </c>
      <c r="T105" s="209" t="s">
        <v>203</v>
      </c>
      <c r="U105" s="209" t="s">
        <v>201</v>
      </c>
      <c r="V105" s="209" t="s">
        <v>179</v>
      </c>
      <c r="W105" s="209" t="s">
        <v>179</v>
      </c>
      <c r="X105" s="209" t="s">
        <v>180</v>
      </c>
      <c r="Y105" s="209" t="s">
        <v>180</v>
      </c>
      <c r="Z105" s="209">
        <v>9521066207</v>
      </c>
      <c r="AA105" s="209" t="s">
        <v>181</v>
      </c>
      <c r="AB105" s="209" t="s">
        <v>180</v>
      </c>
      <c r="AC105" s="209" t="s">
        <v>182</v>
      </c>
      <c r="AD105" s="209">
        <v>9</v>
      </c>
      <c r="AE105" s="209">
        <v>2024</v>
      </c>
      <c r="AF105" s="227">
        <v>45541</v>
      </c>
      <c r="AG105" s="227">
        <v>45546</v>
      </c>
      <c r="AH105" s="227">
        <v>45546</v>
      </c>
      <c r="AI105" s="228">
        <v>531648</v>
      </c>
      <c r="AJ105" s="228">
        <v>52</v>
      </c>
      <c r="AK105" s="228">
        <v>531648</v>
      </c>
      <c r="AL105" s="228">
        <v>52</v>
      </c>
      <c r="AM105" s="228">
        <v>0</v>
      </c>
      <c r="AN105" s="228">
        <v>0</v>
      </c>
      <c r="AO105" s="229">
        <v>37</v>
      </c>
      <c r="AP105" s="231">
        <v>9</v>
      </c>
      <c r="AQ105" s="231">
        <v>2024</v>
      </c>
      <c r="AR105" s="231" t="str">
        <f t="shared" si="5"/>
        <v>09/2024</v>
      </c>
      <c r="AS105" s="231">
        <f t="shared" si="6"/>
        <v>37.200000000000003</v>
      </c>
      <c r="AT105" s="239">
        <f>IF(G105="CERVECERIA Y MALTERIA",(AS105*AK105/1000000)*(1-VLOOKUP(N105,FCST!D:I,6,FALSE)),0)</f>
        <v>19.777305600000002</v>
      </c>
      <c r="AU105" s="232">
        <v>5.0000000000000001E-3</v>
      </c>
      <c r="AV105" s="239">
        <f t="shared" si="7"/>
        <v>19.876192128</v>
      </c>
      <c r="AW105" s="239">
        <f>(AS105*AK105/1000000)*(VLOOKUP(N105,FCST!D:I,6,FALSE))</f>
        <v>0</v>
      </c>
      <c r="AX105" s="239">
        <f t="shared" si="8"/>
        <v>0</v>
      </c>
      <c r="AY105" s="239">
        <f>IF($G105="CERVECERIA Y MALTERIA.",($AS105*$AK105/1000000)*(1-VLOOKUP($N105,FCST!D:I,6,FALSE)),0)</f>
        <v>0</v>
      </c>
      <c r="AZ105" s="239">
        <f t="shared" si="9"/>
        <v>0</v>
      </c>
      <c r="BB105" s="240"/>
    </row>
    <row r="106" spans="1:54" x14ac:dyDescent="0.25">
      <c r="A106" s="209">
        <v>1073518</v>
      </c>
      <c r="B106" s="209">
        <v>10</v>
      </c>
      <c r="C106" s="209">
        <v>89262291</v>
      </c>
      <c r="D106" s="209">
        <v>10</v>
      </c>
      <c r="E106" s="209">
        <v>10000002</v>
      </c>
      <c r="F106" s="209">
        <v>20000337</v>
      </c>
      <c r="G106" s="209" t="s">
        <v>105</v>
      </c>
      <c r="H106" s="209">
        <v>20000337</v>
      </c>
      <c r="I106" s="209">
        <v>2</v>
      </c>
      <c r="J106" s="209" t="s">
        <v>169</v>
      </c>
      <c r="K106" s="209" t="s">
        <v>341</v>
      </c>
      <c r="L106" s="209" t="s">
        <v>171</v>
      </c>
      <c r="M106" s="209" t="s">
        <v>184</v>
      </c>
      <c r="N106" s="209">
        <v>50034616</v>
      </c>
      <c r="O106" s="209" t="s">
        <v>191</v>
      </c>
      <c r="P106" s="209">
        <v>5121</v>
      </c>
      <c r="Q106" s="209" t="s">
        <v>174</v>
      </c>
      <c r="R106" s="209" t="s">
        <v>175</v>
      </c>
      <c r="S106" s="209" t="s">
        <v>176</v>
      </c>
      <c r="T106" s="209" t="s">
        <v>177</v>
      </c>
      <c r="U106" s="209" t="s">
        <v>178</v>
      </c>
      <c r="V106" s="209" t="s">
        <v>179</v>
      </c>
      <c r="W106" s="209" t="s">
        <v>179</v>
      </c>
      <c r="X106" s="209" t="s">
        <v>180</v>
      </c>
      <c r="Y106" s="209" t="s">
        <v>180</v>
      </c>
      <c r="Z106" s="209">
        <v>9521066219</v>
      </c>
      <c r="AA106" s="209" t="s">
        <v>194</v>
      </c>
      <c r="AB106" s="209" t="s">
        <v>180</v>
      </c>
      <c r="AC106" s="209" t="s">
        <v>182</v>
      </c>
      <c r="AD106" s="209">
        <v>9</v>
      </c>
      <c r="AE106" s="209">
        <v>2024</v>
      </c>
      <c r="AF106" s="227">
        <v>45545</v>
      </c>
      <c r="AG106" s="227">
        <v>45546</v>
      </c>
      <c r="AH106" s="227">
        <v>45546</v>
      </c>
      <c r="AI106" s="228">
        <v>426816</v>
      </c>
      <c r="AJ106" s="228">
        <v>52</v>
      </c>
      <c r="AK106" s="228">
        <v>426816</v>
      </c>
      <c r="AL106" s="228">
        <v>52</v>
      </c>
      <c r="AM106" s="228">
        <v>0</v>
      </c>
      <c r="AN106" s="228">
        <v>0</v>
      </c>
      <c r="AO106" s="229">
        <v>37</v>
      </c>
      <c r="AP106" s="231">
        <v>9</v>
      </c>
      <c r="AQ106" s="231">
        <v>2024</v>
      </c>
      <c r="AR106" s="231" t="str">
        <f t="shared" si="5"/>
        <v>09/2024</v>
      </c>
      <c r="AS106" s="231">
        <f t="shared" si="6"/>
        <v>46.6</v>
      </c>
      <c r="AT106" s="239">
        <f>IF(G106="CERVECERIA Y MALTERIA",(AS106*AK106/1000000)*(1-VLOOKUP(N106,FCST!D:I,6,FALSE)),0)</f>
        <v>19.889625600000002</v>
      </c>
      <c r="AU106" s="232">
        <v>5.0000000000000001E-3</v>
      </c>
      <c r="AV106" s="239">
        <f t="shared" si="7"/>
        <v>19.989073728000001</v>
      </c>
      <c r="AW106" s="239">
        <f>(AS106*AK106/1000000)*(VLOOKUP(N106,FCST!D:I,6,FALSE))</f>
        <v>0</v>
      </c>
      <c r="AX106" s="239">
        <f t="shared" si="8"/>
        <v>0</v>
      </c>
      <c r="AY106" s="239">
        <f>IF($G106="CERVECERIA Y MALTERIA.",($AS106*$AK106/1000000)*(1-VLOOKUP($N106,FCST!D:I,6,FALSE)),0)</f>
        <v>0</v>
      </c>
      <c r="AZ106" s="239">
        <f t="shared" si="9"/>
        <v>0</v>
      </c>
      <c r="BB106" s="240"/>
    </row>
    <row r="107" spans="1:54" x14ac:dyDescent="0.25">
      <c r="A107" s="209">
        <v>1073107</v>
      </c>
      <c r="B107" s="209">
        <v>70</v>
      </c>
      <c r="C107" s="209">
        <v>89262999</v>
      </c>
      <c r="D107" s="209">
        <v>10</v>
      </c>
      <c r="E107" s="209">
        <v>10000002</v>
      </c>
      <c r="F107" s="209">
        <v>20000335</v>
      </c>
      <c r="G107" s="209" t="s">
        <v>105</v>
      </c>
      <c r="H107" s="209">
        <v>20000335</v>
      </c>
      <c r="I107" s="209">
        <v>2</v>
      </c>
      <c r="J107" s="209" t="s">
        <v>169</v>
      </c>
      <c r="K107" s="209" t="s">
        <v>342</v>
      </c>
      <c r="L107" s="209" t="s">
        <v>171</v>
      </c>
      <c r="M107" s="209" t="s">
        <v>199</v>
      </c>
      <c r="N107" s="209">
        <v>50032573</v>
      </c>
      <c r="O107" s="209" t="s">
        <v>173</v>
      </c>
      <c r="P107" s="209">
        <v>5121</v>
      </c>
      <c r="Q107" s="209" t="s">
        <v>200</v>
      </c>
      <c r="R107" s="209" t="s">
        <v>201</v>
      </c>
      <c r="S107" s="209" t="s">
        <v>202</v>
      </c>
      <c r="T107" s="209" t="s">
        <v>203</v>
      </c>
      <c r="U107" s="209" t="s">
        <v>201</v>
      </c>
      <c r="V107" s="209" t="s">
        <v>179</v>
      </c>
      <c r="W107" s="209" t="s">
        <v>179</v>
      </c>
      <c r="X107" s="209" t="s">
        <v>180</v>
      </c>
      <c r="Y107" s="209" t="s">
        <v>180</v>
      </c>
      <c r="Z107" s="209">
        <v>9521066207</v>
      </c>
      <c r="AA107" s="209" t="s">
        <v>181</v>
      </c>
      <c r="AB107" s="209" t="s">
        <v>180</v>
      </c>
      <c r="AC107" s="209" t="s">
        <v>182</v>
      </c>
      <c r="AD107" s="209">
        <v>9</v>
      </c>
      <c r="AE107" s="209">
        <v>2024</v>
      </c>
      <c r="AF107" s="227">
        <v>45541</v>
      </c>
      <c r="AG107" s="227">
        <v>45547</v>
      </c>
      <c r="AH107" s="227">
        <v>45547</v>
      </c>
      <c r="AI107" s="228">
        <v>531648</v>
      </c>
      <c r="AJ107" s="228">
        <v>52</v>
      </c>
      <c r="AK107" s="228">
        <v>531648</v>
      </c>
      <c r="AL107" s="228">
        <v>52</v>
      </c>
      <c r="AM107" s="228">
        <v>0</v>
      </c>
      <c r="AN107" s="228">
        <v>0</v>
      </c>
      <c r="AO107" s="229">
        <v>37</v>
      </c>
      <c r="AP107" s="231">
        <v>9</v>
      </c>
      <c r="AQ107" s="231">
        <v>2024</v>
      </c>
      <c r="AR107" s="231" t="str">
        <f t="shared" si="5"/>
        <v>09/2024</v>
      </c>
      <c r="AS107" s="231">
        <f t="shared" si="6"/>
        <v>37.200000000000003</v>
      </c>
      <c r="AT107" s="239">
        <f>IF(G107="CERVECERIA Y MALTERIA",(AS107*AK107/1000000)*(1-VLOOKUP(N107,FCST!D:I,6,FALSE)),0)</f>
        <v>19.777305600000002</v>
      </c>
      <c r="AU107" s="232">
        <v>5.0000000000000001E-3</v>
      </c>
      <c r="AV107" s="239">
        <f t="shared" si="7"/>
        <v>19.876192128</v>
      </c>
      <c r="AW107" s="239">
        <f>(AS107*AK107/1000000)*(VLOOKUP(N107,FCST!D:I,6,FALSE))</f>
        <v>0</v>
      </c>
      <c r="AX107" s="239">
        <f t="shared" si="8"/>
        <v>0</v>
      </c>
      <c r="AY107" s="239">
        <f>IF($G107="CERVECERIA Y MALTERIA.",($AS107*$AK107/1000000)*(1-VLOOKUP($N107,FCST!D:I,6,FALSE)),0)</f>
        <v>0</v>
      </c>
      <c r="AZ107" s="239">
        <f t="shared" si="9"/>
        <v>0</v>
      </c>
      <c r="BB107" s="240"/>
    </row>
    <row r="108" spans="1:54" x14ac:dyDescent="0.25">
      <c r="A108" s="209">
        <v>1073107</v>
      </c>
      <c r="B108" s="209">
        <v>80</v>
      </c>
      <c r="C108" s="209">
        <v>89263395</v>
      </c>
      <c r="D108" s="209">
        <v>10</v>
      </c>
      <c r="E108" s="209">
        <v>10000002</v>
      </c>
      <c r="F108" s="209">
        <v>20000335</v>
      </c>
      <c r="G108" s="209" t="s">
        <v>105</v>
      </c>
      <c r="H108" s="209">
        <v>20000335</v>
      </c>
      <c r="I108" s="209">
        <v>2</v>
      </c>
      <c r="J108" s="209" t="s">
        <v>169</v>
      </c>
      <c r="K108" s="209" t="s">
        <v>343</v>
      </c>
      <c r="L108" s="209" t="s">
        <v>171</v>
      </c>
      <c r="M108" s="209" t="s">
        <v>199</v>
      </c>
      <c r="N108" s="209">
        <v>50034616</v>
      </c>
      <c r="O108" s="209" t="s">
        <v>191</v>
      </c>
      <c r="P108" s="209">
        <v>5121</v>
      </c>
      <c r="Q108" s="209" t="s">
        <v>200</v>
      </c>
      <c r="R108" s="209" t="s">
        <v>201</v>
      </c>
      <c r="S108" s="209" t="s">
        <v>202</v>
      </c>
      <c r="T108" s="209" t="s">
        <v>203</v>
      </c>
      <c r="U108" s="209" t="s">
        <v>201</v>
      </c>
      <c r="V108" s="209" t="s">
        <v>179</v>
      </c>
      <c r="W108" s="209" t="s">
        <v>179</v>
      </c>
      <c r="X108" s="209" t="s">
        <v>180</v>
      </c>
      <c r="Y108" s="209" t="s">
        <v>180</v>
      </c>
      <c r="Z108" s="209">
        <v>9521066210</v>
      </c>
      <c r="AA108" s="209" t="s">
        <v>192</v>
      </c>
      <c r="AB108" s="209" t="s">
        <v>180</v>
      </c>
      <c r="AC108" s="209" t="s">
        <v>182</v>
      </c>
      <c r="AD108" s="209">
        <v>9</v>
      </c>
      <c r="AE108" s="209">
        <v>2024</v>
      </c>
      <c r="AF108" s="227">
        <v>45541</v>
      </c>
      <c r="AG108" s="227">
        <v>45547</v>
      </c>
      <c r="AH108" s="227">
        <v>45547</v>
      </c>
      <c r="AI108" s="228">
        <v>426816</v>
      </c>
      <c r="AJ108" s="228">
        <v>52</v>
      </c>
      <c r="AK108" s="228">
        <v>426816</v>
      </c>
      <c r="AL108" s="228">
        <v>52</v>
      </c>
      <c r="AM108" s="228">
        <v>0</v>
      </c>
      <c r="AN108" s="228">
        <v>0</v>
      </c>
      <c r="AO108" s="229">
        <v>37</v>
      </c>
      <c r="AP108" s="231">
        <v>9</v>
      </c>
      <c r="AQ108" s="231">
        <v>2024</v>
      </c>
      <c r="AR108" s="231" t="str">
        <f t="shared" si="5"/>
        <v>09/2024</v>
      </c>
      <c r="AS108" s="231">
        <f t="shared" si="6"/>
        <v>46.6</v>
      </c>
      <c r="AT108" s="239">
        <f>IF(G108="CERVECERIA Y MALTERIA",(AS108*AK108/1000000)*(1-VLOOKUP(N108,FCST!D:I,6,FALSE)),0)</f>
        <v>19.889625600000002</v>
      </c>
      <c r="AU108" s="232">
        <v>5.0000000000000001E-3</v>
      </c>
      <c r="AV108" s="239">
        <f t="shared" si="7"/>
        <v>19.989073728000001</v>
      </c>
      <c r="AW108" s="239">
        <f>(AS108*AK108/1000000)*(VLOOKUP(N108,FCST!D:I,6,FALSE))</f>
        <v>0</v>
      </c>
      <c r="AX108" s="239">
        <f t="shared" si="8"/>
        <v>0</v>
      </c>
      <c r="AY108" s="239">
        <f>IF($G108="CERVECERIA Y MALTERIA.",($AS108*$AK108/1000000)*(1-VLOOKUP($N108,FCST!D:I,6,FALSE)),0)</f>
        <v>0</v>
      </c>
      <c r="AZ108" s="239">
        <f t="shared" si="9"/>
        <v>0</v>
      </c>
      <c r="BB108" s="240"/>
    </row>
    <row r="109" spans="1:54" x14ac:dyDescent="0.25">
      <c r="A109" s="209">
        <v>1073111</v>
      </c>
      <c r="B109" s="209">
        <v>20</v>
      </c>
      <c r="C109" s="209">
        <v>89261805</v>
      </c>
      <c r="D109" s="209">
        <v>10</v>
      </c>
      <c r="E109" s="209">
        <v>10000002</v>
      </c>
      <c r="F109" s="209">
        <v>20000340</v>
      </c>
      <c r="G109" s="209" t="s">
        <v>117</v>
      </c>
      <c r="H109" s="209">
        <v>20000340</v>
      </c>
      <c r="I109" s="209">
        <v>2</v>
      </c>
      <c r="J109" s="209" t="s">
        <v>169</v>
      </c>
      <c r="K109" s="209" t="s">
        <v>344</v>
      </c>
      <c r="L109" s="209" t="s">
        <v>171</v>
      </c>
      <c r="M109" s="209" t="s">
        <v>172</v>
      </c>
      <c r="N109" s="209">
        <v>50025163</v>
      </c>
      <c r="O109" s="209" t="s">
        <v>185</v>
      </c>
      <c r="P109" s="209">
        <v>5101</v>
      </c>
      <c r="Q109" s="209" t="s">
        <v>186</v>
      </c>
      <c r="R109" s="209" t="s">
        <v>175</v>
      </c>
      <c r="S109" s="209" t="s">
        <v>176</v>
      </c>
      <c r="T109" s="209" t="s">
        <v>187</v>
      </c>
      <c r="U109" s="209" t="s">
        <v>188</v>
      </c>
      <c r="V109" s="209" t="s">
        <v>179</v>
      </c>
      <c r="W109" s="209" t="s">
        <v>179</v>
      </c>
      <c r="X109" s="209" t="s">
        <v>180</v>
      </c>
      <c r="Y109" s="209" t="s">
        <v>180</v>
      </c>
      <c r="Z109" s="209">
        <v>9511046822</v>
      </c>
      <c r="AA109" s="209" t="s">
        <v>189</v>
      </c>
      <c r="AB109" s="209" t="s">
        <v>180</v>
      </c>
      <c r="AC109" s="209" t="s">
        <v>182</v>
      </c>
      <c r="AD109" s="209">
        <v>9</v>
      </c>
      <c r="AE109" s="209">
        <v>2024</v>
      </c>
      <c r="AF109" s="227">
        <v>45541</v>
      </c>
      <c r="AG109" s="227">
        <v>45546</v>
      </c>
      <c r="AH109" s="227">
        <v>45546</v>
      </c>
      <c r="AI109" s="228">
        <v>489888</v>
      </c>
      <c r="AJ109" s="228">
        <v>42</v>
      </c>
      <c r="AK109" s="228">
        <v>489888</v>
      </c>
      <c r="AL109" s="228">
        <v>42</v>
      </c>
      <c r="AM109" s="228">
        <v>0</v>
      </c>
      <c r="AN109" s="228">
        <v>0</v>
      </c>
      <c r="AO109" s="229">
        <v>37</v>
      </c>
      <c r="AP109" s="231">
        <v>9</v>
      </c>
      <c r="AQ109" s="231">
        <v>2024</v>
      </c>
      <c r="AR109" s="231" t="str">
        <f t="shared" si="5"/>
        <v>09/2024</v>
      </c>
      <c r="AS109" s="231">
        <f t="shared" si="6"/>
        <v>30</v>
      </c>
      <c r="AT109" s="239">
        <f>IF(G109="CERVECERIA Y MALTERIA",(AS109*AK109/1000000)*(1-VLOOKUP(N109,FCST!D:I,6,FALSE)),0)</f>
        <v>0</v>
      </c>
      <c r="AU109" s="232">
        <v>5.0000000000000001E-3</v>
      </c>
      <c r="AV109" s="239">
        <f t="shared" si="7"/>
        <v>0</v>
      </c>
      <c r="AW109" s="239">
        <f>(AS109*AK109/1000000)*(VLOOKUP(N109,FCST!D:I,6,FALSE))</f>
        <v>0</v>
      </c>
      <c r="AX109" s="239">
        <f t="shared" si="8"/>
        <v>0</v>
      </c>
      <c r="AY109" s="239">
        <f>IF($G109="CERVECERIA Y MALTERIA.",($AS109*$AK109/1000000)*(1-VLOOKUP($N109,FCST!D:I,6,FALSE)),0)</f>
        <v>14.69664</v>
      </c>
      <c r="AZ109" s="239">
        <f t="shared" si="9"/>
        <v>14.770123199999999</v>
      </c>
      <c r="BB109" s="240"/>
    </row>
    <row r="110" spans="1:54" x14ac:dyDescent="0.25">
      <c r="A110" s="209">
        <v>1073542</v>
      </c>
      <c r="B110" s="209">
        <v>10</v>
      </c>
      <c r="C110" s="209">
        <v>89261806</v>
      </c>
      <c r="D110" s="209">
        <v>10</v>
      </c>
      <c r="E110" s="209">
        <v>10000002</v>
      </c>
      <c r="F110" s="209">
        <v>20000335</v>
      </c>
      <c r="G110" s="209" t="s">
        <v>105</v>
      </c>
      <c r="H110" s="209">
        <v>20000335</v>
      </c>
      <c r="I110" s="209">
        <v>2</v>
      </c>
      <c r="J110" s="209" t="s">
        <v>169</v>
      </c>
      <c r="K110" s="209" t="s">
        <v>345</v>
      </c>
      <c r="L110" s="209" t="s">
        <v>171</v>
      </c>
      <c r="M110" s="209" t="s">
        <v>172</v>
      </c>
      <c r="N110" s="209">
        <v>50035359</v>
      </c>
      <c r="O110" s="209" t="s">
        <v>346</v>
      </c>
      <c r="P110" s="209">
        <v>5121</v>
      </c>
      <c r="Q110" s="209" t="s">
        <v>174</v>
      </c>
      <c r="R110" s="209" t="s">
        <v>175</v>
      </c>
      <c r="S110" s="209" t="s">
        <v>176</v>
      </c>
      <c r="T110" s="209" t="s">
        <v>177</v>
      </c>
      <c r="U110" s="209" t="s">
        <v>178</v>
      </c>
      <c r="V110" s="209" t="s">
        <v>179</v>
      </c>
      <c r="W110" s="209" t="s">
        <v>179</v>
      </c>
      <c r="X110" s="209" t="s">
        <v>180</v>
      </c>
      <c r="Y110" s="209" t="s">
        <v>180</v>
      </c>
      <c r="Z110" s="209">
        <v>9521066212</v>
      </c>
      <c r="AA110" s="209" t="s">
        <v>347</v>
      </c>
      <c r="AB110" s="209" t="s">
        <v>180</v>
      </c>
      <c r="AC110" s="209" t="s">
        <v>182</v>
      </c>
      <c r="AD110" s="209">
        <v>9</v>
      </c>
      <c r="AE110" s="209">
        <v>2024</v>
      </c>
      <c r="AF110" s="227">
        <v>45545</v>
      </c>
      <c r="AG110" s="227">
        <v>45546</v>
      </c>
      <c r="AH110" s="227">
        <v>45546</v>
      </c>
      <c r="AI110" s="228">
        <v>73872</v>
      </c>
      <c r="AJ110" s="228">
        <v>9</v>
      </c>
      <c r="AK110" s="228">
        <v>73872</v>
      </c>
      <c r="AL110" s="228">
        <v>9</v>
      </c>
      <c r="AM110" s="228">
        <v>0</v>
      </c>
      <c r="AN110" s="228">
        <v>0</v>
      </c>
      <c r="AO110" s="229">
        <v>37</v>
      </c>
      <c r="AP110" s="231">
        <v>9</v>
      </c>
      <c r="AQ110" s="231">
        <v>2024</v>
      </c>
      <c r="AR110" s="231" t="str">
        <f t="shared" si="5"/>
        <v>09/2024</v>
      </c>
      <c r="AS110" s="231">
        <f t="shared" si="6"/>
        <v>46.6</v>
      </c>
      <c r="AT110" s="239">
        <f>IF(G110="CERVECERIA Y MALTERIA",(AS110*AK110/1000000)*(1-VLOOKUP(N110,FCST!D:I,6,FALSE)),0)</f>
        <v>3.4424352000000003</v>
      </c>
      <c r="AU110" s="232">
        <v>5.0000000000000001E-3</v>
      </c>
      <c r="AV110" s="239">
        <f t="shared" si="7"/>
        <v>3.4596473759999999</v>
      </c>
      <c r="AW110" s="239">
        <f>(AS110*AK110/1000000)*(VLOOKUP(N110,FCST!D:I,6,FALSE))</f>
        <v>0</v>
      </c>
      <c r="AX110" s="239">
        <f t="shared" si="8"/>
        <v>0</v>
      </c>
      <c r="AY110" s="239">
        <f>IF($G110="CERVECERIA Y MALTERIA.",($AS110*$AK110/1000000)*(1-VLOOKUP($N110,FCST!D:I,6,FALSE)),0)</f>
        <v>0</v>
      </c>
      <c r="AZ110" s="239">
        <f t="shared" si="9"/>
        <v>0</v>
      </c>
      <c r="BB110" s="240"/>
    </row>
    <row r="111" spans="1:54" x14ac:dyDescent="0.25">
      <c r="A111" s="209">
        <v>1073107</v>
      </c>
      <c r="B111" s="209">
        <v>60</v>
      </c>
      <c r="C111" s="209">
        <v>89261809</v>
      </c>
      <c r="D111" s="209">
        <v>10</v>
      </c>
      <c r="E111" s="209">
        <v>10000002</v>
      </c>
      <c r="F111" s="209">
        <v>20000335</v>
      </c>
      <c r="G111" s="209" t="s">
        <v>105</v>
      </c>
      <c r="H111" s="209">
        <v>20000335</v>
      </c>
      <c r="I111" s="209">
        <v>2</v>
      </c>
      <c r="J111" s="209" t="s">
        <v>169</v>
      </c>
      <c r="K111" s="209" t="s">
        <v>348</v>
      </c>
      <c r="L111" s="209" t="s">
        <v>171</v>
      </c>
      <c r="M111" s="209" t="s">
        <v>199</v>
      </c>
      <c r="N111" s="209">
        <v>50034616</v>
      </c>
      <c r="O111" s="209" t="s">
        <v>191</v>
      </c>
      <c r="P111" s="209">
        <v>5121</v>
      </c>
      <c r="Q111" s="209" t="s">
        <v>200</v>
      </c>
      <c r="R111" s="209" t="s">
        <v>201</v>
      </c>
      <c r="S111" s="209" t="s">
        <v>202</v>
      </c>
      <c r="T111" s="209" t="s">
        <v>203</v>
      </c>
      <c r="U111" s="209" t="s">
        <v>201</v>
      </c>
      <c r="V111" s="209" t="s">
        <v>179</v>
      </c>
      <c r="W111" s="209" t="s">
        <v>179</v>
      </c>
      <c r="X111" s="209" t="s">
        <v>180</v>
      </c>
      <c r="Y111" s="209" t="s">
        <v>180</v>
      </c>
      <c r="Z111" s="209">
        <v>9521066210</v>
      </c>
      <c r="AA111" s="209" t="s">
        <v>192</v>
      </c>
      <c r="AB111" s="209" t="s">
        <v>180</v>
      </c>
      <c r="AC111" s="209" t="s">
        <v>182</v>
      </c>
      <c r="AD111" s="209">
        <v>9</v>
      </c>
      <c r="AE111" s="209">
        <v>2024</v>
      </c>
      <c r="AF111" s="227">
        <v>45541</v>
      </c>
      <c r="AG111" s="227">
        <v>45546</v>
      </c>
      <c r="AH111" s="227">
        <v>45546</v>
      </c>
      <c r="AI111" s="228">
        <v>426816</v>
      </c>
      <c r="AJ111" s="228">
        <v>52</v>
      </c>
      <c r="AK111" s="228">
        <v>426816</v>
      </c>
      <c r="AL111" s="228">
        <v>52</v>
      </c>
      <c r="AM111" s="228">
        <v>0</v>
      </c>
      <c r="AN111" s="228">
        <v>0</v>
      </c>
      <c r="AO111" s="229">
        <v>37</v>
      </c>
      <c r="AP111" s="231">
        <v>9</v>
      </c>
      <c r="AQ111" s="231">
        <v>2024</v>
      </c>
      <c r="AR111" s="231" t="str">
        <f t="shared" si="5"/>
        <v>09/2024</v>
      </c>
      <c r="AS111" s="231">
        <f t="shared" si="6"/>
        <v>46.6</v>
      </c>
      <c r="AT111" s="239">
        <f>IF(G111="CERVECERIA Y MALTERIA",(AS111*AK111/1000000)*(1-VLOOKUP(N111,FCST!D:I,6,FALSE)),0)</f>
        <v>19.889625600000002</v>
      </c>
      <c r="AU111" s="232">
        <v>5.0000000000000001E-3</v>
      </c>
      <c r="AV111" s="239">
        <f t="shared" si="7"/>
        <v>19.989073728000001</v>
      </c>
      <c r="AW111" s="239">
        <f>(AS111*AK111/1000000)*(VLOOKUP(N111,FCST!D:I,6,FALSE))</f>
        <v>0</v>
      </c>
      <c r="AX111" s="239">
        <f t="shared" si="8"/>
        <v>0</v>
      </c>
      <c r="AY111" s="239">
        <f>IF($G111="CERVECERIA Y MALTERIA.",($AS111*$AK111/1000000)*(1-VLOOKUP($N111,FCST!D:I,6,FALSE)),0)</f>
        <v>0</v>
      </c>
      <c r="AZ111" s="239">
        <f t="shared" si="9"/>
        <v>0</v>
      </c>
      <c r="BB111" s="240"/>
    </row>
    <row r="112" spans="1:54" x14ac:dyDescent="0.25">
      <c r="A112" s="209">
        <v>1073111</v>
      </c>
      <c r="B112" s="209">
        <v>30</v>
      </c>
      <c r="C112" s="209">
        <v>89262812</v>
      </c>
      <c r="D112" s="209">
        <v>10</v>
      </c>
      <c r="E112" s="209">
        <v>10000002</v>
      </c>
      <c r="F112" s="209">
        <v>20000340</v>
      </c>
      <c r="G112" s="209" t="s">
        <v>117</v>
      </c>
      <c r="H112" s="209">
        <v>20000340</v>
      </c>
      <c r="I112" s="209">
        <v>2</v>
      </c>
      <c r="J112" s="209" t="s">
        <v>169</v>
      </c>
      <c r="K112" s="209" t="s">
        <v>349</v>
      </c>
      <c r="L112" s="209" t="s">
        <v>171</v>
      </c>
      <c r="M112" s="209" t="s">
        <v>172</v>
      </c>
      <c r="N112" s="209">
        <v>50025163</v>
      </c>
      <c r="O112" s="209" t="s">
        <v>185</v>
      </c>
      <c r="P112" s="209">
        <v>5101</v>
      </c>
      <c r="Q112" s="209" t="s">
        <v>186</v>
      </c>
      <c r="R112" s="209" t="s">
        <v>175</v>
      </c>
      <c r="S112" s="209" t="s">
        <v>176</v>
      </c>
      <c r="T112" s="209" t="s">
        <v>187</v>
      </c>
      <c r="U112" s="209" t="s">
        <v>188</v>
      </c>
      <c r="V112" s="209" t="s">
        <v>179</v>
      </c>
      <c r="W112" s="209" t="s">
        <v>179</v>
      </c>
      <c r="X112" s="209" t="s">
        <v>180</v>
      </c>
      <c r="Y112" s="209" t="s">
        <v>180</v>
      </c>
      <c r="Z112" s="209">
        <v>9511046822</v>
      </c>
      <c r="AA112" s="209" t="s">
        <v>189</v>
      </c>
      <c r="AB112" s="209" t="s">
        <v>180</v>
      </c>
      <c r="AC112" s="209" t="s">
        <v>182</v>
      </c>
      <c r="AD112" s="209">
        <v>9</v>
      </c>
      <c r="AE112" s="209">
        <v>2024</v>
      </c>
      <c r="AF112" s="227">
        <v>45541</v>
      </c>
      <c r="AG112" s="227">
        <v>45547</v>
      </c>
      <c r="AH112" s="227">
        <v>45547</v>
      </c>
      <c r="AI112" s="228">
        <v>606528</v>
      </c>
      <c r="AJ112" s="228">
        <v>52</v>
      </c>
      <c r="AK112" s="228">
        <v>606528</v>
      </c>
      <c r="AL112" s="228">
        <v>52</v>
      </c>
      <c r="AM112" s="228">
        <v>0</v>
      </c>
      <c r="AN112" s="228">
        <v>0</v>
      </c>
      <c r="AO112" s="229">
        <v>37</v>
      </c>
      <c r="AP112" s="231">
        <v>9</v>
      </c>
      <c r="AQ112" s="231">
        <v>2024</v>
      </c>
      <c r="AR112" s="231" t="str">
        <f t="shared" si="5"/>
        <v>09/2024</v>
      </c>
      <c r="AS112" s="231">
        <f t="shared" si="6"/>
        <v>30</v>
      </c>
      <c r="AT112" s="239">
        <f>IF(G112="CERVECERIA Y MALTERIA",(AS112*AK112/1000000)*(1-VLOOKUP(N112,FCST!D:I,6,FALSE)),0)</f>
        <v>0</v>
      </c>
      <c r="AU112" s="232">
        <v>5.0000000000000001E-3</v>
      </c>
      <c r="AV112" s="239">
        <f t="shared" si="7"/>
        <v>0</v>
      </c>
      <c r="AW112" s="239">
        <f>(AS112*AK112/1000000)*(VLOOKUP(N112,FCST!D:I,6,FALSE))</f>
        <v>0</v>
      </c>
      <c r="AX112" s="239">
        <f t="shared" si="8"/>
        <v>0</v>
      </c>
      <c r="AY112" s="239">
        <f>IF($G112="CERVECERIA Y MALTERIA.",($AS112*$AK112/1000000)*(1-VLOOKUP($N112,FCST!D:I,6,FALSE)),0)</f>
        <v>18.19584</v>
      </c>
      <c r="AZ112" s="239">
        <f t="shared" si="9"/>
        <v>18.2868192</v>
      </c>
      <c r="BB112" s="240"/>
    </row>
    <row r="114" spans="1:54" x14ac:dyDescent="0.25">
      <c r="A114" s="209">
        <v>1080543</v>
      </c>
      <c r="B114" s="209">
        <v>90</v>
      </c>
      <c r="C114" s="209">
        <v>89296318</v>
      </c>
      <c r="D114" s="209">
        <v>20</v>
      </c>
      <c r="E114" s="209">
        <v>10000002</v>
      </c>
      <c r="F114" s="209">
        <v>20000335</v>
      </c>
      <c r="G114" s="209" t="s">
        <v>105</v>
      </c>
      <c r="H114" s="209">
        <v>20000335</v>
      </c>
      <c r="I114" s="209">
        <v>2</v>
      </c>
      <c r="J114" s="209" t="s">
        <v>169</v>
      </c>
      <c r="K114" s="209" t="s">
        <v>350</v>
      </c>
      <c r="L114" s="209" t="s">
        <v>171</v>
      </c>
      <c r="M114" s="209" t="s">
        <v>172</v>
      </c>
      <c r="N114" s="209">
        <v>50032573</v>
      </c>
      <c r="O114" s="209" t="s">
        <v>173</v>
      </c>
      <c r="P114" s="209">
        <v>5121</v>
      </c>
      <c r="Q114" s="209" t="s">
        <v>174</v>
      </c>
      <c r="R114" s="209" t="s">
        <v>175</v>
      </c>
      <c r="S114" s="209" t="s">
        <v>176</v>
      </c>
      <c r="T114" s="209" t="s">
        <v>177</v>
      </c>
      <c r="U114" s="209" t="s">
        <v>178</v>
      </c>
      <c r="V114" s="209" t="s">
        <v>179</v>
      </c>
      <c r="W114" s="209" t="s">
        <v>179</v>
      </c>
      <c r="X114" s="209" t="s">
        <v>180</v>
      </c>
      <c r="Y114" s="209" t="s">
        <v>180</v>
      </c>
      <c r="Z114" s="209">
        <v>9521066476</v>
      </c>
      <c r="AA114" s="209" t="s">
        <v>351</v>
      </c>
      <c r="AB114" s="209" t="s">
        <v>180</v>
      </c>
      <c r="AC114" s="209" t="s">
        <v>182</v>
      </c>
      <c r="AD114" s="209">
        <v>10</v>
      </c>
      <c r="AE114" s="209">
        <v>2024</v>
      </c>
      <c r="AF114" s="227">
        <v>45583</v>
      </c>
      <c r="AG114" s="227">
        <v>45588</v>
      </c>
      <c r="AH114" s="227">
        <v>45588</v>
      </c>
      <c r="AI114" s="228">
        <v>122688</v>
      </c>
      <c r="AJ114" s="228">
        <v>12</v>
      </c>
      <c r="AK114" s="228">
        <v>122688</v>
      </c>
      <c r="AL114" s="228">
        <v>12</v>
      </c>
      <c r="AM114" s="228">
        <v>0</v>
      </c>
      <c r="AN114" s="228">
        <v>0</v>
      </c>
      <c r="AO114" s="229">
        <v>43</v>
      </c>
      <c r="AP114" s="231">
        <v>10</v>
      </c>
      <c r="AQ114" s="231">
        <v>2024</v>
      </c>
      <c r="AR114" s="231" t="str">
        <f t="shared" ref="AR114:AR145" si="10">+IF(AP114&lt;10,"0"&amp;AP114&amp; "/"&amp;AQ114,AP114&amp; "/"&amp;AQ114)</f>
        <v>10/2024</v>
      </c>
      <c r="AS114" s="231">
        <f t="shared" ref="AS114:AS145" si="11">VALUE(MID(INDEX(_xlfn.TEXTSPLIT(O114, ","), 1, 3), 1,FIND("G", INDEX(_xlfn.TEXTSPLIT(O114, ","), 1, 3))-1))</f>
        <v>37.200000000000003</v>
      </c>
      <c r="AT114" s="239">
        <f>IF(G114="CERVECERIA Y MALTERIA",(AS114*AK114/1000000)*(1-VLOOKUP(N114,FCST!D:I,6,FALSE)),0)</f>
        <v>4.5639936000000008</v>
      </c>
      <c r="AU114" s="232">
        <v>5.0000000000000001E-3</v>
      </c>
      <c r="AV114" s="239">
        <f t="shared" ref="AV114:AV145" si="12">+AT114*(1+AU114)</f>
        <v>4.5868135680000002</v>
      </c>
      <c r="AW114" s="239">
        <f>(AS114*AK114/1000000)*(VLOOKUP(N114,FCST!D:I,6,FALSE))</f>
        <v>0</v>
      </c>
      <c r="AX114" s="239">
        <f t="shared" ref="AX114:AX145" si="13">+AW114*(1+AU114)</f>
        <v>0</v>
      </c>
      <c r="AY114" s="239">
        <f>IF($G114="CERVECERIA Y MALTERIA.",($AS114*$AK114/1000000)*(1-VLOOKUP($N114,FCST!D:I,6,FALSE)),0)</f>
        <v>0</v>
      </c>
      <c r="AZ114" s="239">
        <f t="shared" ref="AZ114:AZ145" si="14">+AY114*(1+AU114)</f>
        <v>0</v>
      </c>
      <c r="BB114" s="240"/>
    </row>
    <row r="115" spans="1:54" x14ac:dyDescent="0.25">
      <c r="A115" s="209">
        <v>1080543</v>
      </c>
      <c r="B115" s="209">
        <v>50</v>
      </c>
      <c r="C115" s="209">
        <v>89296318</v>
      </c>
      <c r="D115" s="209">
        <v>10</v>
      </c>
      <c r="E115" s="209">
        <v>10000002</v>
      </c>
      <c r="F115" s="209">
        <v>20000335</v>
      </c>
      <c r="G115" s="209" t="s">
        <v>105</v>
      </c>
      <c r="H115" s="209">
        <v>20000335</v>
      </c>
      <c r="I115" s="209">
        <v>2</v>
      </c>
      <c r="J115" s="209" t="s">
        <v>169</v>
      </c>
      <c r="K115" s="209" t="s">
        <v>350</v>
      </c>
      <c r="L115" s="209" t="s">
        <v>171</v>
      </c>
      <c r="M115" s="209" t="s">
        <v>172</v>
      </c>
      <c r="N115" s="209">
        <v>50034561</v>
      </c>
      <c r="O115" s="209" t="s">
        <v>307</v>
      </c>
      <c r="P115" s="209">
        <v>5121</v>
      </c>
      <c r="Q115" s="209" t="s">
        <v>174</v>
      </c>
      <c r="R115" s="209" t="s">
        <v>175</v>
      </c>
      <c r="S115" s="209" t="s">
        <v>176</v>
      </c>
      <c r="T115" s="209" t="s">
        <v>177</v>
      </c>
      <c r="U115" s="209" t="s">
        <v>178</v>
      </c>
      <c r="V115" s="209" t="s">
        <v>179</v>
      </c>
      <c r="W115" s="209" t="s">
        <v>179</v>
      </c>
      <c r="X115" s="209" t="s">
        <v>180</v>
      </c>
      <c r="Y115" s="209" t="s">
        <v>180</v>
      </c>
      <c r="Z115" s="209">
        <v>9521066476</v>
      </c>
      <c r="AA115" s="209" t="s">
        <v>351</v>
      </c>
      <c r="AB115" s="209" t="s">
        <v>180</v>
      </c>
      <c r="AC115" s="209" t="s">
        <v>182</v>
      </c>
      <c r="AD115" s="209">
        <v>10</v>
      </c>
      <c r="AE115" s="209">
        <v>2024</v>
      </c>
      <c r="AF115" s="227">
        <v>45583</v>
      </c>
      <c r="AG115" s="227">
        <v>45588</v>
      </c>
      <c r="AH115" s="227">
        <v>45588</v>
      </c>
      <c r="AI115" s="228">
        <v>750168</v>
      </c>
      <c r="AJ115" s="228">
        <v>40</v>
      </c>
      <c r="AK115" s="228">
        <v>750168</v>
      </c>
      <c r="AL115" s="228">
        <v>40</v>
      </c>
      <c r="AM115" s="228">
        <v>0</v>
      </c>
      <c r="AN115" s="228">
        <v>0</v>
      </c>
      <c r="AO115" s="229">
        <v>43</v>
      </c>
      <c r="AP115" s="231">
        <v>10</v>
      </c>
      <c r="AQ115" s="231">
        <v>2024</v>
      </c>
      <c r="AR115" s="231" t="str">
        <f t="shared" si="10"/>
        <v>10/2024</v>
      </c>
      <c r="AS115" s="231">
        <f t="shared" si="11"/>
        <v>19.5</v>
      </c>
      <c r="AT115" s="239">
        <f>IF(G115="CERVECERIA Y MALTERIA",(AS115*AK115/1000000)*(1-VLOOKUP(N115,FCST!D:I,6,FALSE)),0)</f>
        <v>14.628276</v>
      </c>
      <c r="AU115" s="232">
        <v>5.0000000000000001E-3</v>
      </c>
      <c r="AV115" s="239">
        <f t="shared" si="12"/>
        <v>14.701417379999999</v>
      </c>
      <c r="AW115" s="239">
        <f>(AS115*AK115/1000000)*(VLOOKUP(N115,FCST!D:I,6,FALSE))</f>
        <v>0</v>
      </c>
      <c r="AX115" s="239">
        <f t="shared" si="13"/>
        <v>0</v>
      </c>
      <c r="AY115" s="239">
        <f>IF($G115="CERVECERIA Y MALTERIA.",($AS115*$AK115/1000000)*(1-VLOOKUP($N115,FCST!D:I,6,FALSE)),0)</f>
        <v>0</v>
      </c>
      <c r="AZ115" s="239">
        <f t="shared" si="14"/>
        <v>0</v>
      </c>
      <c r="BB115" s="240"/>
    </row>
    <row r="116" spans="1:54" x14ac:dyDescent="0.25">
      <c r="A116" s="209">
        <v>1080591</v>
      </c>
      <c r="B116" s="209">
        <v>20</v>
      </c>
      <c r="C116" s="209">
        <v>89296380</v>
      </c>
      <c r="D116" s="209">
        <v>10</v>
      </c>
      <c r="E116" s="209">
        <v>10000002</v>
      </c>
      <c r="F116" s="209">
        <v>20000337</v>
      </c>
      <c r="G116" s="209" t="s">
        <v>105</v>
      </c>
      <c r="H116" s="209">
        <v>20000337</v>
      </c>
      <c r="I116" s="209">
        <v>2</v>
      </c>
      <c r="J116" s="209" t="s">
        <v>169</v>
      </c>
      <c r="K116" s="209" t="s">
        <v>352</v>
      </c>
      <c r="L116" s="209" t="s">
        <v>171</v>
      </c>
      <c r="M116" s="209" t="s">
        <v>199</v>
      </c>
      <c r="N116" s="209">
        <v>50034616</v>
      </c>
      <c r="O116" s="209" t="s">
        <v>191</v>
      </c>
      <c r="P116" s="209">
        <v>5121</v>
      </c>
      <c r="Q116" s="209" t="s">
        <v>200</v>
      </c>
      <c r="R116" s="209" t="s">
        <v>201</v>
      </c>
      <c r="S116" s="209" t="s">
        <v>202</v>
      </c>
      <c r="T116" s="209" t="s">
        <v>203</v>
      </c>
      <c r="U116" s="209" t="s">
        <v>201</v>
      </c>
      <c r="V116" s="209" t="s">
        <v>179</v>
      </c>
      <c r="W116" s="209" t="s">
        <v>179</v>
      </c>
      <c r="X116" s="209" t="s">
        <v>180</v>
      </c>
      <c r="Y116" s="209" t="s">
        <v>180</v>
      </c>
      <c r="Z116" s="209">
        <v>9521066475</v>
      </c>
      <c r="AA116" s="209" t="s">
        <v>353</v>
      </c>
      <c r="AB116" s="209" t="s">
        <v>180</v>
      </c>
      <c r="AC116" s="209" t="s">
        <v>182</v>
      </c>
      <c r="AD116" s="209">
        <v>10</v>
      </c>
      <c r="AE116" s="209">
        <v>2024</v>
      </c>
      <c r="AF116" s="227">
        <v>45583</v>
      </c>
      <c r="AG116" s="227">
        <v>45588</v>
      </c>
      <c r="AH116" s="227">
        <v>45588</v>
      </c>
      <c r="AI116" s="228">
        <v>344736</v>
      </c>
      <c r="AJ116" s="228">
        <v>42</v>
      </c>
      <c r="AK116" s="228">
        <v>344736</v>
      </c>
      <c r="AL116" s="228">
        <v>42</v>
      </c>
      <c r="AM116" s="228">
        <v>0</v>
      </c>
      <c r="AN116" s="228">
        <v>0</v>
      </c>
      <c r="AO116" s="229">
        <v>43</v>
      </c>
      <c r="AP116" s="231">
        <v>10</v>
      </c>
      <c r="AQ116" s="231">
        <v>2024</v>
      </c>
      <c r="AR116" s="231" t="str">
        <f t="shared" si="10"/>
        <v>10/2024</v>
      </c>
      <c r="AS116" s="231">
        <f t="shared" si="11"/>
        <v>46.6</v>
      </c>
      <c r="AT116" s="239">
        <f>IF(G116="CERVECERIA Y MALTERIA",(AS116*AK116/1000000)*(1-VLOOKUP(N116,FCST!D:I,6,FALSE)),0)</f>
        <v>16.064697599999999</v>
      </c>
      <c r="AU116" s="232">
        <v>5.0000000000000001E-3</v>
      </c>
      <c r="AV116" s="239">
        <f t="shared" si="12"/>
        <v>16.145021087999996</v>
      </c>
      <c r="AW116" s="239">
        <f>(AS116*AK116/1000000)*(VLOOKUP(N116,FCST!D:I,6,FALSE))</f>
        <v>0</v>
      </c>
      <c r="AX116" s="239">
        <f t="shared" si="13"/>
        <v>0</v>
      </c>
      <c r="AY116" s="239">
        <f>IF($G116="CERVECERIA Y MALTERIA.",($AS116*$AK116/1000000)*(1-VLOOKUP($N116,FCST!D:I,6,FALSE)),0)</f>
        <v>0</v>
      </c>
      <c r="AZ116" s="239">
        <f t="shared" si="14"/>
        <v>0</v>
      </c>
    </row>
    <row r="117" spans="1:54" x14ac:dyDescent="0.25">
      <c r="A117" s="209">
        <v>1080591</v>
      </c>
      <c r="B117" s="209">
        <v>30</v>
      </c>
      <c r="C117" s="209">
        <v>89296380</v>
      </c>
      <c r="D117" s="209">
        <v>20</v>
      </c>
      <c r="E117" s="209">
        <v>10000002</v>
      </c>
      <c r="F117" s="209">
        <v>20000337</v>
      </c>
      <c r="G117" s="209" t="s">
        <v>105</v>
      </c>
      <c r="H117" s="209">
        <v>20000337</v>
      </c>
      <c r="I117" s="209">
        <v>2</v>
      </c>
      <c r="J117" s="209" t="s">
        <v>169</v>
      </c>
      <c r="K117" s="209" t="s">
        <v>352</v>
      </c>
      <c r="L117" s="209" t="s">
        <v>171</v>
      </c>
      <c r="M117" s="209" t="s">
        <v>199</v>
      </c>
      <c r="N117" s="209">
        <v>50032583</v>
      </c>
      <c r="O117" s="209" t="s">
        <v>205</v>
      </c>
      <c r="P117" s="209">
        <v>5121</v>
      </c>
      <c r="Q117" s="209" t="s">
        <v>200</v>
      </c>
      <c r="R117" s="209" t="s">
        <v>201</v>
      </c>
      <c r="S117" s="209" t="s">
        <v>202</v>
      </c>
      <c r="T117" s="209" t="s">
        <v>203</v>
      </c>
      <c r="U117" s="209" t="s">
        <v>201</v>
      </c>
      <c r="V117" s="209" t="s">
        <v>179</v>
      </c>
      <c r="W117" s="209" t="s">
        <v>179</v>
      </c>
      <c r="X117" s="209" t="s">
        <v>180</v>
      </c>
      <c r="Y117" s="209" t="s">
        <v>180</v>
      </c>
      <c r="Z117" s="209">
        <v>9521066475</v>
      </c>
      <c r="AA117" s="209" t="s">
        <v>353</v>
      </c>
      <c r="AB117" s="209" t="s">
        <v>180</v>
      </c>
      <c r="AC117" s="209" t="s">
        <v>182</v>
      </c>
      <c r="AD117" s="209">
        <v>10</v>
      </c>
      <c r="AE117" s="209">
        <v>2024</v>
      </c>
      <c r="AF117" s="227">
        <v>45583</v>
      </c>
      <c r="AG117" s="227">
        <v>45588</v>
      </c>
      <c r="AH117" s="227">
        <v>45588</v>
      </c>
      <c r="AI117" s="228">
        <v>67680</v>
      </c>
      <c r="AJ117" s="228">
        <v>10</v>
      </c>
      <c r="AK117" s="228">
        <v>67680</v>
      </c>
      <c r="AL117" s="228">
        <v>10</v>
      </c>
      <c r="AM117" s="228">
        <v>0</v>
      </c>
      <c r="AN117" s="228">
        <v>0</v>
      </c>
      <c r="AO117" s="229">
        <v>43</v>
      </c>
      <c r="AP117" s="231">
        <v>10</v>
      </c>
      <c r="AQ117" s="231">
        <v>2024</v>
      </c>
      <c r="AR117" s="231" t="str">
        <f t="shared" si="10"/>
        <v>10/2024</v>
      </c>
      <c r="AS117" s="231">
        <f t="shared" si="11"/>
        <v>54.7</v>
      </c>
      <c r="AT117" s="239">
        <f>IF(G117="CERVECERIA Y MALTERIA",(AS117*AK117/1000000)*(1-VLOOKUP(N117,FCST!D:I,6,FALSE)),0)</f>
        <v>3.7020960000000001</v>
      </c>
      <c r="AU117" s="232">
        <v>5.0000000000000001E-3</v>
      </c>
      <c r="AV117" s="239">
        <f t="shared" si="12"/>
        <v>3.7206064799999998</v>
      </c>
      <c r="AW117" s="239">
        <f>(AS117*AK117/1000000)*(VLOOKUP(N117,FCST!D:I,6,FALSE))</f>
        <v>0</v>
      </c>
      <c r="AX117" s="239">
        <f t="shared" si="13"/>
        <v>0</v>
      </c>
      <c r="AY117" s="239">
        <f>IF($G117="CERVECERIA Y MALTERIA.",($AS117*$AK117/1000000)*(1-VLOOKUP($N117,FCST!D:I,6,FALSE)),0)</f>
        <v>0</v>
      </c>
      <c r="AZ117" s="239">
        <f t="shared" si="14"/>
        <v>0</v>
      </c>
    </row>
    <row r="118" spans="1:54" x14ac:dyDescent="0.25">
      <c r="A118" s="209">
        <v>1080528</v>
      </c>
      <c r="B118" s="209">
        <v>30</v>
      </c>
      <c r="C118" s="209">
        <v>89296273</v>
      </c>
      <c r="D118" s="209">
        <v>10</v>
      </c>
      <c r="E118" s="209">
        <v>10000002</v>
      </c>
      <c r="F118" s="209">
        <v>20000340</v>
      </c>
      <c r="G118" s="209" t="s">
        <v>117</v>
      </c>
      <c r="H118" s="209">
        <v>20000340</v>
      </c>
      <c r="I118" s="209">
        <v>2</v>
      </c>
      <c r="J118" s="209" t="s">
        <v>169</v>
      </c>
      <c r="K118" s="209" t="s">
        <v>354</v>
      </c>
      <c r="L118" s="209" t="s">
        <v>171</v>
      </c>
      <c r="M118" s="209" t="s">
        <v>172</v>
      </c>
      <c r="N118" s="209">
        <v>50036718</v>
      </c>
      <c r="O118" s="209" t="s">
        <v>259</v>
      </c>
      <c r="P118" s="209">
        <v>5101</v>
      </c>
      <c r="Q118" s="209" t="s">
        <v>186</v>
      </c>
      <c r="R118" s="209" t="s">
        <v>175</v>
      </c>
      <c r="S118" s="209" t="s">
        <v>176</v>
      </c>
      <c r="T118" s="209" t="s">
        <v>187</v>
      </c>
      <c r="U118" s="209" t="s">
        <v>188</v>
      </c>
      <c r="V118" s="209" t="s">
        <v>179</v>
      </c>
      <c r="W118" s="209" t="s">
        <v>179</v>
      </c>
      <c r="X118" s="209" t="s">
        <v>180</v>
      </c>
      <c r="Y118" s="209" t="s">
        <v>180</v>
      </c>
      <c r="Z118" s="209">
        <v>9511046925</v>
      </c>
      <c r="AA118" s="209" t="s">
        <v>355</v>
      </c>
      <c r="AB118" s="209" t="s">
        <v>180</v>
      </c>
      <c r="AC118" s="209" t="s">
        <v>182</v>
      </c>
      <c r="AD118" s="209">
        <v>10</v>
      </c>
      <c r="AE118" s="209">
        <v>2024</v>
      </c>
      <c r="AF118" s="227">
        <v>45583</v>
      </c>
      <c r="AG118" s="227">
        <v>45588</v>
      </c>
      <c r="AH118" s="227">
        <v>45588</v>
      </c>
      <c r="AI118" s="228">
        <v>519168</v>
      </c>
      <c r="AJ118" s="228">
        <v>52</v>
      </c>
      <c r="AK118" s="228">
        <v>519168</v>
      </c>
      <c r="AL118" s="228">
        <v>52</v>
      </c>
      <c r="AM118" s="228">
        <v>0</v>
      </c>
      <c r="AN118" s="228">
        <v>0</v>
      </c>
      <c r="AO118" s="229">
        <v>43</v>
      </c>
      <c r="AP118" s="231">
        <v>10</v>
      </c>
      <c r="AQ118" s="231">
        <v>2024</v>
      </c>
      <c r="AR118" s="231" t="str">
        <f t="shared" si="10"/>
        <v>10/2024</v>
      </c>
      <c r="AS118" s="231">
        <f t="shared" si="11"/>
        <v>34</v>
      </c>
      <c r="AT118" s="239">
        <f>IF(G118="CERVECERIA Y MALTERIA",(AS118*AK118/1000000)*(1-VLOOKUP(N118,FCST!D:I,6,FALSE)),0)</f>
        <v>0</v>
      </c>
      <c r="AU118" s="232">
        <v>5.0000000000000001E-3</v>
      </c>
      <c r="AV118" s="239">
        <f t="shared" si="12"/>
        <v>0</v>
      </c>
      <c r="AW118" s="239">
        <f>(AS118*AK118/1000000)*(VLOOKUP(N118,FCST!D:I,6,FALSE))</f>
        <v>0</v>
      </c>
      <c r="AX118" s="239">
        <f t="shared" si="13"/>
        <v>0</v>
      </c>
      <c r="AY118" s="239">
        <f>IF($G118="CERVECERIA Y MALTERIA.",($AS118*$AK118/1000000)*(1-VLOOKUP($N118,FCST!D:I,6,FALSE)),0)</f>
        <v>17.651712</v>
      </c>
      <c r="AZ118" s="239">
        <f t="shared" si="14"/>
        <v>17.73997056</v>
      </c>
    </row>
    <row r="119" spans="1:54" x14ac:dyDescent="0.25">
      <c r="A119" s="209">
        <v>1080543</v>
      </c>
      <c r="B119" s="209">
        <v>40</v>
      </c>
      <c r="C119" s="209">
        <v>89296274</v>
      </c>
      <c r="D119" s="209">
        <v>10</v>
      </c>
      <c r="E119" s="209">
        <v>10000002</v>
      </c>
      <c r="F119" s="209">
        <v>20000335</v>
      </c>
      <c r="G119" s="209" t="s">
        <v>105</v>
      </c>
      <c r="H119" s="209">
        <v>20000335</v>
      </c>
      <c r="I119" s="209">
        <v>2</v>
      </c>
      <c r="J119" s="209" t="s">
        <v>169</v>
      </c>
      <c r="K119" s="209" t="s">
        <v>356</v>
      </c>
      <c r="L119" s="209" t="s">
        <v>171</v>
      </c>
      <c r="M119" s="209" t="s">
        <v>199</v>
      </c>
      <c r="N119" s="209">
        <v>50034616</v>
      </c>
      <c r="O119" s="209" t="s">
        <v>191</v>
      </c>
      <c r="P119" s="209">
        <v>5121</v>
      </c>
      <c r="Q119" s="209" t="s">
        <v>200</v>
      </c>
      <c r="R119" s="209" t="s">
        <v>201</v>
      </c>
      <c r="S119" s="209" t="s">
        <v>202</v>
      </c>
      <c r="T119" s="209" t="s">
        <v>203</v>
      </c>
      <c r="U119" s="209" t="s">
        <v>201</v>
      </c>
      <c r="V119" s="209" t="s">
        <v>179</v>
      </c>
      <c r="W119" s="209" t="s">
        <v>179</v>
      </c>
      <c r="X119" s="209" t="s">
        <v>180</v>
      </c>
      <c r="Y119" s="209" t="s">
        <v>180</v>
      </c>
      <c r="Z119" s="209">
        <v>9521066478</v>
      </c>
      <c r="AA119" s="209" t="s">
        <v>357</v>
      </c>
      <c r="AB119" s="209" t="s">
        <v>180</v>
      </c>
      <c r="AC119" s="209" t="s">
        <v>182</v>
      </c>
      <c r="AD119" s="209">
        <v>10</v>
      </c>
      <c r="AE119" s="209">
        <v>2024</v>
      </c>
      <c r="AF119" s="227">
        <v>45583</v>
      </c>
      <c r="AG119" s="227">
        <v>45588</v>
      </c>
      <c r="AH119" s="227">
        <v>45588</v>
      </c>
      <c r="AI119" s="228">
        <v>426816</v>
      </c>
      <c r="AJ119" s="228">
        <v>52</v>
      </c>
      <c r="AK119" s="228">
        <v>426816</v>
      </c>
      <c r="AL119" s="228">
        <v>52</v>
      </c>
      <c r="AM119" s="228">
        <v>0</v>
      </c>
      <c r="AN119" s="228">
        <v>0</v>
      </c>
      <c r="AO119" s="229">
        <v>43</v>
      </c>
      <c r="AP119" s="231">
        <v>10</v>
      </c>
      <c r="AQ119" s="231">
        <v>2024</v>
      </c>
      <c r="AR119" s="231" t="str">
        <f t="shared" si="10"/>
        <v>10/2024</v>
      </c>
      <c r="AS119" s="231">
        <f t="shared" si="11"/>
        <v>46.6</v>
      </c>
      <c r="AT119" s="239">
        <f>IF(G119="CERVECERIA Y MALTERIA",(AS119*AK119/1000000)*(1-VLOOKUP(N119,FCST!D:I,6,FALSE)),0)</f>
        <v>19.889625600000002</v>
      </c>
      <c r="AU119" s="232">
        <v>5.0000000000000001E-3</v>
      </c>
      <c r="AV119" s="239">
        <f t="shared" si="12"/>
        <v>19.989073728000001</v>
      </c>
      <c r="AW119" s="239">
        <f>(AS119*AK119/1000000)*(VLOOKUP(N119,FCST!D:I,6,FALSE))</f>
        <v>0</v>
      </c>
      <c r="AX119" s="239">
        <f t="shared" si="13"/>
        <v>0</v>
      </c>
      <c r="AY119" s="239">
        <f>IF($G119="CERVECERIA Y MALTERIA.",($AS119*$AK119/1000000)*(1-VLOOKUP($N119,FCST!D:I,6,FALSE)),0)</f>
        <v>0</v>
      </c>
      <c r="AZ119" s="239">
        <f t="shared" si="14"/>
        <v>0</v>
      </c>
    </row>
    <row r="120" spans="1:54" x14ac:dyDescent="0.25">
      <c r="A120" s="209">
        <v>1080543</v>
      </c>
      <c r="B120" s="209">
        <v>70</v>
      </c>
      <c r="C120" s="209">
        <v>89297121</v>
      </c>
      <c r="D120" s="209">
        <v>10</v>
      </c>
      <c r="E120" s="209">
        <v>10000002</v>
      </c>
      <c r="F120" s="209">
        <v>20000335</v>
      </c>
      <c r="G120" s="209" t="s">
        <v>105</v>
      </c>
      <c r="H120" s="209">
        <v>20000335</v>
      </c>
      <c r="I120" s="209">
        <v>2</v>
      </c>
      <c r="J120" s="209" t="s">
        <v>169</v>
      </c>
      <c r="K120" s="209" t="s">
        <v>358</v>
      </c>
      <c r="L120" s="209" t="s">
        <v>171</v>
      </c>
      <c r="M120" s="209" t="s">
        <v>172</v>
      </c>
      <c r="N120" s="209">
        <v>50034574</v>
      </c>
      <c r="O120" s="209" t="s">
        <v>196</v>
      </c>
      <c r="P120" s="209">
        <v>5121</v>
      </c>
      <c r="Q120" s="209" t="s">
        <v>174</v>
      </c>
      <c r="R120" s="209" t="s">
        <v>175</v>
      </c>
      <c r="S120" s="209" t="s">
        <v>176</v>
      </c>
      <c r="T120" s="209" t="s">
        <v>177</v>
      </c>
      <c r="U120" s="209" t="s">
        <v>178</v>
      </c>
      <c r="V120" s="209" t="s">
        <v>179</v>
      </c>
      <c r="W120" s="209" t="s">
        <v>179</v>
      </c>
      <c r="X120" s="209" t="s">
        <v>180</v>
      </c>
      <c r="Y120" s="209" t="s">
        <v>180</v>
      </c>
      <c r="Z120" s="209">
        <v>9521066482</v>
      </c>
      <c r="AA120" s="209" t="s">
        <v>359</v>
      </c>
      <c r="AB120" s="209" t="s">
        <v>180</v>
      </c>
      <c r="AC120" s="209" t="s">
        <v>182</v>
      </c>
      <c r="AD120" s="209">
        <v>10</v>
      </c>
      <c r="AE120" s="209">
        <v>2024</v>
      </c>
      <c r="AF120" s="227">
        <v>45583</v>
      </c>
      <c r="AG120" s="227">
        <v>45589</v>
      </c>
      <c r="AH120" s="227">
        <v>45589</v>
      </c>
      <c r="AI120" s="228">
        <v>977184</v>
      </c>
      <c r="AJ120" s="228">
        <v>52</v>
      </c>
      <c r="AK120" s="228">
        <v>977184</v>
      </c>
      <c r="AL120" s="228">
        <v>52</v>
      </c>
      <c r="AM120" s="228">
        <v>0</v>
      </c>
      <c r="AN120" s="228">
        <v>0</v>
      </c>
      <c r="AO120" s="229">
        <v>43</v>
      </c>
      <c r="AP120" s="231">
        <v>10</v>
      </c>
      <c r="AQ120" s="231">
        <v>2024</v>
      </c>
      <c r="AR120" s="231" t="str">
        <f t="shared" si="10"/>
        <v>10/2024</v>
      </c>
      <c r="AS120" s="231">
        <f t="shared" si="11"/>
        <v>19.5</v>
      </c>
      <c r="AT120" s="239">
        <f>IF(G120="CERVECERIA Y MALTERIA",(AS120*AK120/1000000)*(1-VLOOKUP(N120,FCST!D:I,6,FALSE)),0)</f>
        <v>19.055088000000001</v>
      </c>
      <c r="AU120" s="232">
        <v>5.0000000000000001E-3</v>
      </c>
      <c r="AV120" s="239">
        <f t="shared" si="12"/>
        <v>19.15036344</v>
      </c>
      <c r="AW120" s="239">
        <f>(AS120*AK120/1000000)*(VLOOKUP(N120,FCST!D:I,6,FALSE))</f>
        <v>0</v>
      </c>
      <c r="AX120" s="239">
        <f t="shared" si="13"/>
        <v>0</v>
      </c>
      <c r="AY120" s="239">
        <f>IF($G120="CERVECERIA Y MALTERIA.",($AS120*$AK120/1000000)*(1-VLOOKUP($N120,FCST!D:I,6,FALSE)),0)</f>
        <v>0</v>
      </c>
      <c r="AZ120" s="239">
        <f t="shared" si="14"/>
        <v>0</v>
      </c>
    </row>
    <row r="121" spans="1:54" x14ac:dyDescent="0.25">
      <c r="A121" s="209">
        <v>1080528</v>
      </c>
      <c r="B121" s="209">
        <v>40</v>
      </c>
      <c r="C121" s="209">
        <v>89297169</v>
      </c>
      <c r="D121" s="209">
        <v>10</v>
      </c>
      <c r="E121" s="209">
        <v>10000002</v>
      </c>
      <c r="F121" s="209">
        <v>20000340</v>
      </c>
      <c r="G121" s="209" t="s">
        <v>117</v>
      </c>
      <c r="H121" s="209">
        <v>20000340</v>
      </c>
      <c r="I121" s="209">
        <v>2</v>
      </c>
      <c r="J121" s="209" t="s">
        <v>169</v>
      </c>
      <c r="K121" s="209" t="s">
        <v>360</v>
      </c>
      <c r="L121" s="209" t="s">
        <v>171</v>
      </c>
      <c r="M121" s="209" t="s">
        <v>172</v>
      </c>
      <c r="N121" s="209">
        <v>50036718</v>
      </c>
      <c r="O121" s="209" t="s">
        <v>259</v>
      </c>
      <c r="P121" s="209">
        <v>5101</v>
      </c>
      <c r="Q121" s="209" t="s">
        <v>186</v>
      </c>
      <c r="R121" s="209" t="s">
        <v>175</v>
      </c>
      <c r="S121" s="209" t="s">
        <v>176</v>
      </c>
      <c r="T121" s="209" t="s">
        <v>187</v>
      </c>
      <c r="U121" s="209" t="s">
        <v>188</v>
      </c>
      <c r="V121" s="209" t="s">
        <v>179</v>
      </c>
      <c r="W121" s="209" t="s">
        <v>179</v>
      </c>
      <c r="X121" s="209" t="s">
        <v>180</v>
      </c>
      <c r="Y121" s="209" t="s">
        <v>180</v>
      </c>
      <c r="Z121" s="209">
        <v>9511046942</v>
      </c>
      <c r="AA121" s="209" t="s">
        <v>361</v>
      </c>
      <c r="AB121" s="209" t="s">
        <v>180</v>
      </c>
      <c r="AC121" s="209" t="s">
        <v>182</v>
      </c>
      <c r="AD121" s="209">
        <v>10</v>
      </c>
      <c r="AE121" s="209">
        <v>2024</v>
      </c>
      <c r="AF121" s="227">
        <v>45583</v>
      </c>
      <c r="AG121" s="227">
        <v>45589</v>
      </c>
      <c r="AH121" s="227">
        <v>45589</v>
      </c>
      <c r="AI121" s="228">
        <v>519168</v>
      </c>
      <c r="AJ121" s="228">
        <v>52</v>
      </c>
      <c r="AK121" s="228">
        <v>519168</v>
      </c>
      <c r="AL121" s="228">
        <v>52</v>
      </c>
      <c r="AM121" s="228">
        <v>0</v>
      </c>
      <c r="AN121" s="228">
        <v>0</v>
      </c>
      <c r="AO121" s="229">
        <v>43</v>
      </c>
      <c r="AP121" s="231">
        <v>10</v>
      </c>
      <c r="AQ121" s="231">
        <v>2024</v>
      </c>
      <c r="AR121" s="231" t="str">
        <f t="shared" si="10"/>
        <v>10/2024</v>
      </c>
      <c r="AS121" s="231">
        <f t="shared" si="11"/>
        <v>34</v>
      </c>
      <c r="AT121" s="239">
        <f>IF(G121="CERVECERIA Y MALTERIA",(AS121*AK121/1000000)*(1-VLOOKUP(N121,FCST!D:I,6,FALSE)),0)</f>
        <v>0</v>
      </c>
      <c r="AU121" s="232">
        <v>5.0000000000000001E-3</v>
      </c>
      <c r="AV121" s="239">
        <f t="shared" si="12"/>
        <v>0</v>
      </c>
      <c r="AW121" s="239">
        <f>(AS121*AK121/1000000)*(VLOOKUP(N121,FCST!D:I,6,FALSE))</f>
        <v>0</v>
      </c>
      <c r="AX121" s="239">
        <f t="shared" si="13"/>
        <v>0</v>
      </c>
      <c r="AY121" s="239">
        <f>IF($G121="CERVECERIA Y MALTERIA.",($AS121*$AK121/1000000)*(1-VLOOKUP($N121,FCST!D:I,6,FALSE)),0)</f>
        <v>17.651712</v>
      </c>
      <c r="AZ121" s="239">
        <f t="shared" si="14"/>
        <v>17.73997056</v>
      </c>
    </row>
    <row r="122" spans="1:54" x14ac:dyDescent="0.25">
      <c r="A122" s="209">
        <v>1080543</v>
      </c>
      <c r="B122" s="209">
        <v>60</v>
      </c>
      <c r="C122" s="209">
        <v>89297490</v>
      </c>
      <c r="D122" s="209">
        <v>10</v>
      </c>
      <c r="E122" s="209">
        <v>10000002</v>
      </c>
      <c r="F122" s="209">
        <v>20000335</v>
      </c>
      <c r="G122" s="209" t="s">
        <v>105</v>
      </c>
      <c r="H122" s="209">
        <v>20000335</v>
      </c>
      <c r="I122" s="209">
        <v>2</v>
      </c>
      <c r="J122" s="209" t="s">
        <v>169</v>
      </c>
      <c r="K122" s="209" t="s">
        <v>362</v>
      </c>
      <c r="L122" s="209" t="s">
        <v>171</v>
      </c>
      <c r="M122" s="209" t="s">
        <v>172</v>
      </c>
      <c r="N122" s="209">
        <v>50034574</v>
      </c>
      <c r="O122" s="209" t="s">
        <v>196</v>
      </c>
      <c r="P122" s="209">
        <v>5121</v>
      </c>
      <c r="Q122" s="209" t="s">
        <v>174</v>
      </c>
      <c r="R122" s="209" t="s">
        <v>175</v>
      </c>
      <c r="S122" s="209" t="s">
        <v>176</v>
      </c>
      <c r="T122" s="209" t="s">
        <v>177</v>
      </c>
      <c r="U122" s="209" t="s">
        <v>178</v>
      </c>
      <c r="V122" s="209" t="s">
        <v>179</v>
      </c>
      <c r="W122" s="209" t="s">
        <v>179</v>
      </c>
      <c r="X122" s="209" t="s">
        <v>180</v>
      </c>
      <c r="Y122" s="209" t="s">
        <v>180</v>
      </c>
      <c r="Z122" s="209">
        <v>9521066482</v>
      </c>
      <c r="AA122" s="209" t="s">
        <v>359</v>
      </c>
      <c r="AB122" s="209" t="s">
        <v>180</v>
      </c>
      <c r="AC122" s="209" t="s">
        <v>182</v>
      </c>
      <c r="AD122" s="209">
        <v>10</v>
      </c>
      <c r="AE122" s="209">
        <v>2024</v>
      </c>
      <c r="AF122" s="227">
        <v>45583</v>
      </c>
      <c r="AG122" s="227">
        <v>45589</v>
      </c>
      <c r="AH122" s="227">
        <v>45589</v>
      </c>
      <c r="AI122" s="228">
        <v>977184</v>
      </c>
      <c r="AJ122" s="228">
        <v>52</v>
      </c>
      <c r="AK122" s="228">
        <v>977184</v>
      </c>
      <c r="AL122" s="228">
        <v>52</v>
      </c>
      <c r="AM122" s="228">
        <v>0</v>
      </c>
      <c r="AN122" s="228">
        <v>0</v>
      </c>
      <c r="AO122" s="229">
        <v>43</v>
      </c>
      <c r="AP122" s="231">
        <v>10</v>
      </c>
      <c r="AQ122" s="231">
        <v>2024</v>
      </c>
      <c r="AR122" s="231" t="str">
        <f t="shared" si="10"/>
        <v>10/2024</v>
      </c>
      <c r="AS122" s="231">
        <f t="shared" si="11"/>
        <v>19.5</v>
      </c>
      <c r="AT122" s="239">
        <f>IF(G122="CERVECERIA Y MALTERIA",(AS122*AK122/1000000)*(1-VLOOKUP(N122,FCST!D:I,6,FALSE)),0)</f>
        <v>19.055088000000001</v>
      </c>
      <c r="AU122" s="232">
        <v>5.0000000000000001E-3</v>
      </c>
      <c r="AV122" s="239">
        <f t="shared" si="12"/>
        <v>19.15036344</v>
      </c>
      <c r="AW122" s="239">
        <f>(AS122*AK122/1000000)*(VLOOKUP(N122,FCST!D:I,6,FALSE))</f>
        <v>0</v>
      </c>
      <c r="AX122" s="239">
        <f t="shared" si="13"/>
        <v>0</v>
      </c>
      <c r="AY122" s="239">
        <f>IF($G122="CERVECERIA Y MALTERIA.",($AS122*$AK122/1000000)*(1-VLOOKUP($N122,FCST!D:I,6,FALSE)),0)</f>
        <v>0</v>
      </c>
      <c r="AZ122" s="239">
        <f t="shared" si="14"/>
        <v>0</v>
      </c>
    </row>
    <row r="123" spans="1:54" x14ac:dyDescent="0.25">
      <c r="A123" s="209">
        <v>1080591</v>
      </c>
      <c r="B123" s="209">
        <v>40</v>
      </c>
      <c r="C123" s="209">
        <v>89298007</v>
      </c>
      <c r="D123" s="209">
        <v>10</v>
      </c>
      <c r="E123" s="209">
        <v>10000002</v>
      </c>
      <c r="F123" s="209">
        <v>20000337</v>
      </c>
      <c r="G123" s="209" t="s">
        <v>105</v>
      </c>
      <c r="H123" s="209">
        <v>20000337</v>
      </c>
      <c r="I123" s="209">
        <v>2</v>
      </c>
      <c r="J123" s="209" t="s">
        <v>169</v>
      </c>
      <c r="K123" s="209" t="s">
        <v>363</v>
      </c>
      <c r="L123" s="209" t="s">
        <v>171</v>
      </c>
      <c r="M123" s="209" t="s">
        <v>172</v>
      </c>
      <c r="N123" s="209">
        <v>50034616</v>
      </c>
      <c r="O123" s="209" t="s">
        <v>191</v>
      </c>
      <c r="P123" s="209">
        <v>5121</v>
      </c>
      <c r="Q123" s="209" t="s">
        <v>174</v>
      </c>
      <c r="R123" s="209" t="s">
        <v>175</v>
      </c>
      <c r="S123" s="209" t="s">
        <v>176</v>
      </c>
      <c r="T123" s="209" t="s">
        <v>177</v>
      </c>
      <c r="U123" s="209" t="s">
        <v>178</v>
      </c>
      <c r="V123" s="209" t="s">
        <v>179</v>
      </c>
      <c r="W123" s="209" t="s">
        <v>179</v>
      </c>
      <c r="X123" s="209" t="s">
        <v>180</v>
      </c>
      <c r="Y123" s="209" t="s">
        <v>180</v>
      </c>
      <c r="Z123" s="209">
        <v>9521066502</v>
      </c>
      <c r="AA123" s="209" t="s">
        <v>364</v>
      </c>
      <c r="AB123" s="209" t="s">
        <v>180</v>
      </c>
      <c r="AC123" s="209" t="s">
        <v>182</v>
      </c>
      <c r="AD123" s="209">
        <v>10</v>
      </c>
      <c r="AE123" s="209">
        <v>2024</v>
      </c>
      <c r="AF123" s="227">
        <v>45583</v>
      </c>
      <c r="AG123" s="227">
        <v>45590</v>
      </c>
      <c r="AH123" s="227">
        <v>45590</v>
      </c>
      <c r="AI123" s="228">
        <v>426816</v>
      </c>
      <c r="AJ123" s="228">
        <v>52</v>
      </c>
      <c r="AK123" s="228">
        <v>426816</v>
      </c>
      <c r="AL123" s="228">
        <v>52</v>
      </c>
      <c r="AM123" s="228">
        <v>0</v>
      </c>
      <c r="AN123" s="228">
        <v>0</v>
      </c>
      <c r="AO123" s="229">
        <v>43</v>
      </c>
      <c r="AP123" s="231">
        <v>10</v>
      </c>
      <c r="AQ123" s="231">
        <v>2024</v>
      </c>
      <c r="AR123" s="231" t="str">
        <f t="shared" si="10"/>
        <v>10/2024</v>
      </c>
      <c r="AS123" s="231">
        <f t="shared" si="11"/>
        <v>46.6</v>
      </c>
      <c r="AT123" s="239">
        <f>IF(G123="CERVECERIA Y MALTERIA",(AS123*AK123/1000000)*(1-VLOOKUP(N123,FCST!D:I,6,FALSE)),0)</f>
        <v>19.889625600000002</v>
      </c>
      <c r="AU123" s="232">
        <v>5.0000000000000001E-3</v>
      </c>
      <c r="AV123" s="239">
        <f t="shared" si="12"/>
        <v>19.989073728000001</v>
      </c>
      <c r="AW123" s="239">
        <f>(AS123*AK123/1000000)*(VLOOKUP(N123,FCST!D:I,6,FALSE))</f>
        <v>0</v>
      </c>
      <c r="AX123" s="239">
        <f t="shared" si="13"/>
        <v>0</v>
      </c>
      <c r="AY123" s="239">
        <f>IF($G123="CERVECERIA Y MALTERIA.",($AS123*$AK123/1000000)*(1-VLOOKUP($N123,FCST!D:I,6,FALSE)),0)</f>
        <v>0</v>
      </c>
      <c r="AZ123" s="239">
        <f t="shared" si="14"/>
        <v>0</v>
      </c>
    </row>
    <row r="124" spans="1:54" x14ac:dyDescent="0.25">
      <c r="A124" s="209">
        <v>1078962</v>
      </c>
      <c r="B124" s="209">
        <v>30</v>
      </c>
      <c r="C124" s="209">
        <v>89292875</v>
      </c>
      <c r="D124" s="209">
        <v>10</v>
      </c>
      <c r="E124" s="209">
        <v>10000002</v>
      </c>
      <c r="F124" s="209">
        <v>20000337</v>
      </c>
      <c r="G124" s="209" t="s">
        <v>105</v>
      </c>
      <c r="H124" s="209">
        <v>20000337</v>
      </c>
      <c r="I124" s="209">
        <v>2</v>
      </c>
      <c r="J124" s="209" t="s">
        <v>169</v>
      </c>
      <c r="K124" s="209" t="s">
        <v>365</v>
      </c>
      <c r="L124" s="209" t="s">
        <v>171</v>
      </c>
      <c r="M124" s="209" t="s">
        <v>172</v>
      </c>
      <c r="N124" s="209">
        <v>50034616</v>
      </c>
      <c r="O124" s="209" t="s">
        <v>191</v>
      </c>
      <c r="P124" s="209">
        <v>5121</v>
      </c>
      <c r="Q124" s="209" t="s">
        <v>174</v>
      </c>
      <c r="R124" s="209" t="s">
        <v>175</v>
      </c>
      <c r="S124" s="209" t="s">
        <v>176</v>
      </c>
      <c r="T124" s="209" t="s">
        <v>177</v>
      </c>
      <c r="U124" s="209" t="s">
        <v>178</v>
      </c>
      <c r="V124" s="209" t="s">
        <v>179</v>
      </c>
      <c r="W124" s="209" t="s">
        <v>179</v>
      </c>
      <c r="X124" s="209" t="s">
        <v>180</v>
      </c>
      <c r="Y124" s="209" t="s">
        <v>180</v>
      </c>
      <c r="Z124" s="209">
        <v>9521066417</v>
      </c>
      <c r="AA124" s="209" t="s">
        <v>366</v>
      </c>
      <c r="AB124" s="209" t="s">
        <v>180</v>
      </c>
      <c r="AC124" s="209" t="s">
        <v>182</v>
      </c>
      <c r="AD124" s="209">
        <v>10</v>
      </c>
      <c r="AE124" s="209">
        <v>2024</v>
      </c>
      <c r="AF124" s="227">
        <v>45575</v>
      </c>
      <c r="AG124" s="227">
        <v>45583</v>
      </c>
      <c r="AH124" s="227">
        <v>45583</v>
      </c>
      <c r="AI124" s="228">
        <v>295488</v>
      </c>
      <c r="AJ124" s="228">
        <v>36</v>
      </c>
      <c r="AK124" s="228">
        <v>295488</v>
      </c>
      <c r="AL124" s="228">
        <v>36</v>
      </c>
      <c r="AM124" s="228">
        <v>0</v>
      </c>
      <c r="AN124" s="228">
        <v>0</v>
      </c>
      <c r="AO124" s="229">
        <v>42</v>
      </c>
      <c r="AP124" s="231">
        <v>10</v>
      </c>
      <c r="AQ124" s="231">
        <v>2024</v>
      </c>
      <c r="AR124" s="231" t="str">
        <f t="shared" si="10"/>
        <v>10/2024</v>
      </c>
      <c r="AS124" s="231">
        <f t="shared" si="11"/>
        <v>46.6</v>
      </c>
      <c r="AT124" s="239">
        <f>IF(G124="CERVECERIA Y MALTERIA",(AS124*AK124/1000000)*(1-VLOOKUP(N124,FCST!D:I,6,FALSE)),0)</f>
        <v>13.769740800000001</v>
      </c>
      <c r="AU124" s="232">
        <v>5.0000000000000001E-3</v>
      </c>
      <c r="AV124" s="239">
        <f t="shared" si="12"/>
        <v>13.838589504</v>
      </c>
      <c r="AW124" s="239">
        <f>(AS124*AK124/1000000)*(VLOOKUP(N124,FCST!D:I,6,FALSE))</f>
        <v>0</v>
      </c>
      <c r="AX124" s="239">
        <f t="shared" si="13"/>
        <v>0</v>
      </c>
      <c r="AY124" s="239">
        <f>IF($G124="CERVECERIA Y MALTERIA.",($AS124*$AK124/1000000)*(1-VLOOKUP($N124,FCST!D:I,6,FALSE)),0)</f>
        <v>0</v>
      </c>
      <c r="AZ124" s="239">
        <f t="shared" si="14"/>
        <v>0</v>
      </c>
    </row>
    <row r="125" spans="1:54" x14ac:dyDescent="0.25">
      <c r="A125" s="209">
        <v>1079856</v>
      </c>
      <c r="B125" s="209">
        <v>30</v>
      </c>
      <c r="C125" s="209">
        <v>89292045</v>
      </c>
      <c r="D125" s="209">
        <v>10</v>
      </c>
      <c r="E125" s="209">
        <v>10000002</v>
      </c>
      <c r="F125" s="209">
        <v>20000339</v>
      </c>
      <c r="G125" s="209" t="s">
        <v>105</v>
      </c>
      <c r="H125" s="209">
        <v>20000339</v>
      </c>
      <c r="I125" s="209">
        <v>2</v>
      </c>
      <c r="J125" s="209" t="s">
        <v>169</v>
      </c>
      <c r="K125" s="209" t="s">
        <v>367</v>
      </c>
      <c r="L125" s="209" t="s">
        <v>171</v>
      </c>
      <c r="M125" s="209" t="s">
        <v>172</v>
      </c>
      <c r="N125" s="209">
        <v>50034634</v>
      </c>
      <c r="O125" s="209" t="s">
        <v>219</v>
      </c>
      <c r="P125" s="209">
        <v>5121</v>
      </c>
      <c r="Q125" s="209" t="s">
        <v>174</v>
      </c>
      <c r="R125" s="209" t="s">
        <v>175</v>
      </c>
      <c r="S125" s="209" t="s">
        <v>176</v>
      </c>
      <c r="T125" s="209" t="s">
        <v>177</v>
      </c>
      <c r="U125" s="209" t="s">
        <v>178</v>
      </c>
      <c r="V125" s="209" t="s">
        <v>179</v>
      </c>
      <c r="W125" s="209" t="s">
        <v>179</v>
      </c>
      <c r="X125" s="209" t="s">
        <v>180</v>
      </c>
      <c r="Y125" s="209" t="s">
        <v>180</v>
      </c>
      <c r="Z125" s="209">
        <v>9521066394</v>
      </c>
      <c r="AA125" s="209" t="s">
        <v>368</v>
      </c>
      <c r="AB125" s="209" t="s">
        <v>180</v>
      </c>
      <c r="AC125" s="209" t="s">
        <v>182</v>
      </c>
      <c r="AD125" s="209">
        <v>10</v>
      </c>
      <c r="AE125" s="209">
        <v>2024</v>
      </c>
      <c r="AF125" s="227">
        <v>45580</v>
      </c>
      <c r="AG125" s="227">
        <v>45582</v>
      </c>
      <c r="AH125" s="227">
        <v>45582</v>
      </c>
      <c r="AI125" s="228">
        <v>364416</v>
      </c>
      <c r="AJ125" s="228">
        <v>52</v>
      </c>
      <c r="AK125" s="228">
        <v>364416</v>
      </c>
      <c r="AL125" s="228">
        <v>52</v>
      </c>
      <c r="AM125" s="228">
        <v>0</v>
      </c>
      <c r="AN125" s="228">
        <v>0</v>
      </c>
      <c r="AO125" s="229">
        <v>42</v>
      </c>
      <c r="AP125" s="231">
        <v>10</v>
      </c>
      <c r="AQ125" s="231">
        <v>2024</v>
      </c>
      <c r="AR125" s="231" t="str">
        <f t="shared" si="10"/>
        <v>10/2024</v>
      </c>
      <c r="AS125" s="231">
        <f t="shared" si="11"/>
        <v>52</v>
      </c>
      <c r="AT125" s="239">
        <f>IF(G125="CERVECERIA Y MALTERIA",(AS125*AK125/1000000)*(1-VLOOKUP(N125,FCST!D:I,6,FALSE)),0)</f>
        <v>18.949632000000001</v>
      </c>
      <c r="AU125" s="232">
        <v>5.0000000000000001E-3</v>
      </c>
      <c r="AV125" s="239">
        <f t="shared" si="12"/>
        <v>19.044380159999999</v>
      </c>
      <c r="AW125" s="239">
        <f>(AS125*AK125/1000000)*(VLOOKUP(N125,FCST!D:I,6,FALSE))</f>
        <v>0</v>
      </c>
      <c r="AX125" s="239">
        <f t="shared" si="13"/>
        <v>0</v>
      </c>
      <c r="AY125" s="239">
        <f>IF($G125="CERVECERIA Y MALTERIA.",($AS125*$AK125/1000000)*(1-VLOOKUP($N125,FCST!D:I,6,FALSE)),0)</f>
        <v>0</v>
      </c>
      <c r="AZ125" s="239">
        <f t="shared" si="14"/>
        <v>0</v>
      </c>
    </row>
    <row r="126" spans="1:54" x14ac:dyDescent="0.25">
      <c r="A126" s="209">
        <v>1078961</v>
      </c>
      <c r="B126" s="209">
        <v>50</v>
      </c>
      <c r="C126" s="209">
        <v>89292309</v>
      </c>
      <c r="D126" s="209">
        <v>10</v>
      </c>
      <c r="E126" s="209">
        <v>10000002</v>
      </c>
      <c r="F126" s="209">
        <v>20000340</v>
      </c>
      <c r="G126" s="209" t="s">
        <v>117</v>
      </c>
      <c r="H126" s="209">
        <v>20000340</v>
      </c>
      <c r="I126" s="209">
        <v>2</v>
      </c>
      <c r="J126" s="209" t="s">
        <v>169</v>
      </c>
      <c r="K126" s="209" t="s">
        <v>369</v>
      </c>
      <c r="L126" s="209" t="s">
        <v>171</v>
      </c>
      <c r="M126" s="209" t="s">
        <v>184</v>
      </c>
      <c r="N126" s="209">
        <v>50027468</v>
      </c>
      <c r="O126" s="209" t="s">
        <v>285</v>
      </c>
      <c r="P126" s="209">
        <v>5101</v>
      </c>
      <c r="Q126" s="209" t="s">
        <v>186</v>
      </c>
      <c r="R126" s="209" t="s">
        <v>175</v>
      </c>
      <c r="S126" s="209" t="s">
        <v>176</v>
      </c>
      <c r="T126" s="209" t="s">
        <v>187</v>
      </c>
      <c r="U126" s="209" t="s">
        <v>188</v>
      </c>
      <c r="V126" s="209" t="s">
        <v>179</v>
      </c>
      <c r="W126" s="209" t="s">
        <v>179</v>
      </c>
      <c r="X126" s="209" t="s">
        <v>180</v>
      </c>
      <c r="Y126" s="209" t="s">
        <v>180</v>
      </c>
      <c r="Z126" s="209">
        <v>9511046901</v>
      </c>
      <c r="AA126" s="209" t="s">
        <v>370</v>
      </c>
      <c r="AB126" s="209" t="s">
        <v>180</v>
      </c>
      <c r="AC126" s="209" t="s">
        <v>182</v>
      </c>
      <c r="AD126" s="209">
        <v>10</v>
      </c>
      <c r="AE126" s="209">
        <v>2024</v>
      </c>
      <c r="AF126" s="227">
        <v>45575</v>
      </c>
      <c r="AG126" s="227">
        <v>45583</v>
      </c>
      <c r="AH126" s="227">
        <v>45583</v>
      </c>
      <c r="AI126" s="228">
        <v>399360</v>
      </c>
      <c r="AJ126" s="228">
        <v>52</v>
      </c>
      <c r="AK126" s="228">
        <v>399360</v>
      </c>
      <c r="AL126" s="228">
        <v>52</v>
      </c>
      <c r="AM126" s="228">
        <v>0</v>
      </c>
      <c r="AN126" s="228">
        <v>0</v>
      </c>
      <c r="AO126" s="229">
        <v>42</v>
      </c>
      <c r="AP126" s="231">
        <v>10</v>
      </c>
      <c r="AQ126" s="231">
        <v>2024</v>
      </c>
      <c r="AR126" s="231" t="str">
        <f t="shared" si="10"/>
        <v>10/2024</v>
      </c>
      <c r="AS126" s="231">
        <f t="shared" si="11"/>
        <v>52</v>
      </c>
      <c r="AT126" s="239">
        <f>IF(G126="CERVECERIA Y MALTERIA",(AS126*AK126/1000000)*(1-VLOOKUP(N126,FCST!D:I,6,FALSE)),0)</f>
        <v>0</v>
      </c>
      <c r="AU126" s="232">
        <v>5.0000000000000001E-3</v>
      </c>
      <c r="AV126" s="239">
        <f t="shared" si="12"/>
        <v>0</v>
      </c>
      <c r="AW126" s="239">
        <f>(AS126*AK126/1000000)*(VLOOKUP(N126,FCST!D:I,6,FALSE))</f>
        <v>0</v>
      </c>
      <c r="AX126" s="239">
        <f t="shared" si="13"/>
        <v>0</v>
      </c>
      <c r="AY126" s="239">
        <f>IF($G126="CERVECERIA Y MALTERIA.",($AS126*$AK126/1000000)*(1-VLOOKUP($N126,FCST!D:I,6,FALSE)),0)</f>
        <v>20.766719999999999</v>
      </c>
      <c r="AZ126" s="239">
        <f t="shared" si="14"/>
        <v>20.870553599999997</v>
      </c>
    </row>
    <row r="127" spans="1:54" x14ac:dyDescent="0.25">
      <c r="A127" s="209">
        <v>1078960</v>
      </c>
      <c r="B127" s="209">
        <v>100</v>
      </c>
      <c r="C127" s="209">
        <v>89292349</v>
      </c>
      <c r="D127" s="209">
        <v>10</v>
      </c>
      <c r="E127" s="209">
        <v>10000002</v>
      </c>
      <c r="F127" s="209">
        <v>20000335</v>
      </c>
      <c r="G127" s="209" t="s">
        <v>105</v>
      </c>
      <c r="H127" s="209">
        <v>20000335</v>
      </c>
      <c r="I127" s="209">
        <v>2</v>
      </c>
      <c r="J127" s="209" t="s">
        <v>169</v>
      </c>
      <c r="K127" s="209" t="s">
        <v>371</v>
      </c>
      <c r="L127" s="209" t="s">
        <v>171</v>
      </c>
      <c r="M127" s="209" t="s">
        <v>199</v>
      </c>
      <c r="N127" s="209">
        <v>50035183</v>
      </c>
      <c r="O127" s="209" t="s">
        <v>215</v>
      </c>
      <c r="P127" s="209">
        <v>5121</v>
      </c>
      <c r="Q127" s="209" t="s">
        <v>200</v>
      </c>
      <c r="R127" s="209" t="s">
        <v>201</v>
      </c>
      <c r="S127" s="209" t="s">
        <v>202</v>
      </c>
      <c r="T127" s="209" t="s">
        <v>203</v>
      </c>
      <c r="U127" s="209" t="s">
        <v>201</v>
      </c>
      <c r="V127" s="209" t="s">
        <v>179</v>
      </c>
      <c r="W127" s="209" t="s">
        <v>179</v>
      </c>
      <c r="X127" s="209" t="s">
        <v>180</v>
      </c>
      <c r="Y127" s="209" t="s">
        <v>180</v>
      </c>
      <c r="Z127" s="209">
        <v>9521066415</v>
      </c>
      <c r="AA127" s="209" t="s">
        <v>372</v>
      </c>
      <c r="AB127" s="209" t="s">
        <v>180</v>
      </c>
      <c r="AC127" s="209" t="s">
        <v>182</v>
      </c>
      <c r="AD127" s="209">
        <v>10</v>
      </c>
      <c r="AE127" s="209">
        <v>2024</v>
      </c>
      <c r="AF127" s="227">
        <v>45575</v>
      </c>
      <c r="AG127" s="227">
        <v>45583</v>
      </c>
      <c r="AH127" s="227">
        <v>45583</v>
      </c>
      <c r="AI127" s="228">
        <v>426816</v>
      </c>
      <c r="AJ127" s="228">
        <v>52</v>
      </c>
      <c r="AK127" s="228">
        <v>426816</v>
      </c>
      <c r="AL127" s="228">
        <v>52</v>
      </c>
      <c r="AM127" s="228">
        <v>0</v>
      </c>
      <c r="AN127" s="228">
        <v>0</v>
      </c>
      <c r="AO127" s="229">
        <v>42</v>
      </c>
      <c r="AP127" s="231">
        <v>10</v>
      </c>
      <c r="AQ127" s="231">
        <v>2024</v>
      </c>
      <c r="AR127" s="231" t="str">
        <f t="shared" si="10"/>
        <v>10/2024</v>
      </c>
      <c r="AS127" s="231">
        <f t="shared" si="11"/>
        <v>46.6</v>
      </c>
      <c r="AT127" s="239">
        <f>IF(G127="CERVECERIA Y MALTERIA",(AS127*AK127/1000000)*(1-VLOOKUP(N127,FCST!D:I,6,FALSE)),0)</f>
        <v>19.889625600000002</v>
      </c>
      <c r="AU127" s="232">
        <v>5.0000000000000001E-3</v>
      </c>
      <c r="AV127" s="239">
        <f t="shared" si="12"/>
        <v>19.989073728000001</v>
      </c>
      <c r="AW127" s="239">
        <f>(AS127*AK127/1000000)*(VLOOKUP(N127,FCST!D:I,6,FALSE))</f>
        <v>0</v>
      </c>
      <c r="AX127" s="239">
        <f t="shared" si="13"/>
        <v>0</v>
      </c>
      <c r="AY127" s="239">
        <f>IF($G127="CERVECERIA Y MALTERIA.",($AS127*$AK127/1000000)*(1-VLOOKUP($N127,FCST!D:I,6,FALSE)),0)</f>
        <v>0</v>
      </c>
      <c r="AZ127" s="239">
        <f t="shared" si="14"/>
        <v>0</v>
      </c>
    </row>
    <row r="128" spans="1:54" x14ac:dyDescent="0.25">
      <c r="A128" s="209">
        <v>1080260</v>
      </c>
      <c r="B128" s="209">
        <v>20</v>
      </c>
      <c r="C128" s="209">
        <v>89294508</v>
      </c>
      <c r="D128" s="209">
        <v>10</v>
      </c>
      <c r="E128" s="209">
        <v>10000002</v>
      </c>
      <c r="F128" s="209">
        <v>20000336</v>
      </c>
      <c r="G128" s="209" t="s">
        <v>105</v>
      </c>
      <c r="H128" s="209">
        <v>20000336</v>
      </c>
      <c r="I128" s="209">
        <v>2</v>
      </c>
      <c r="J128" s="209" t="s">
        <v>169</v>
      </c>
      <c r="K128" s="209" t="s">
        <v>373</v>
      </c>
      <c r="L128" s="209" t="s">
        <v>171</v>
      </c>
      <c r="M128" s="209" t="s">
        <v>184</v>
      </c>
      <c r="N128" s="209">
        <v>50034194</v>
      </c>
      <c r="O128" s="209" t="s">
        <v>276</v>
      </c>
      <c r="P128" s="209">
        <v>5121</v>
      </c>
      <c r="Q128" s="209" t="s">
        <v>174</v>
      </c>
      <c r="R128" s="209" t="s">
        <v>175</v>
      </c>
      <c r="S128" s="209" t="s">
        <v>176</v>
      </c>
      <c r="T128" s="209" t="s">
        <v>177</v>
      </c>
      <c r="U128" s="209" t="s">
        <v>178</v>
      </c>
      <c r="V128" s="209" t="s">
        <v>179</v>
      </c>
      <c r="W128" s="209" t="s">
        <v>179</v>
      </c>
      <c r="X128" s="209" t="s">
        <v>180</v>
      </c>
      <c r="Y128" s="209" t="s">
        <v>180</v>
      </c>
      <c r="Z128" s="209">
        <v>9521066440</v>
      </c>
      <c r="AA128" s="209" t="s">
        <v>374</v>
      </c>
      <c r="AB128" s="209" t="s">
        <v>180</v>
      </c>
      <c r="AC128" s="209" t="s">
        <v>182</v>
      </c>
      <c r="AD128" s="209">
        <v>10</v>
      </c>
      <c r="AE128" s="209">
        <v>2024</v>
      </c>
      <c r="AF128" s="227">
        <v>45582</v>
      </c>
      <c r="AG128" s="227">
        <v>45586</v>
      </c>
      <c r="AH128" s="227">
        <v>45586</v>
      </c>
      <c r="AI128" s="228">
        <v>316992</v>
      </c>
      <c r="AJ128" s="228">
        <v>52</v>
      </c>
      <c r="AK128" s="228">
        <v>316992</v>
      </c>
      <c r="AL128" s="228">
        <v>52</v>
      </c>
      <c r="AM128" s="228">
        <v>0</v>
      </c>
      <c r="AN128" s="228">
        <v>0</v>
      </c>
      <c r="AO128" s="229">
        <v>43</v>
      </c>
      <c r="AP128" s="231">
        <v>10</v>
      </c>
      <c r="AQ128" s="231">
        <v>2024</v>
      </c>
      <c r="AR128" s="231" t="str">
        <f t="shared" si="10"/>
        <v>10/2024</v>
      </c>
      <c r="AS128" s="231">
        <f t="shared" si="11"/>
        <v>62</v>
      </c>
      <c r="AT128" s="239">
        <f>IF(G128="CERVECERIA Y MALTERIA",(AS128*AK128/1000000)*(1-VLOOKUP(N128,FCST!D:I,6,FALSE)),0)</f>
        <v>19.653504000000002</v>
      </c>
      <c r="AU128" s="232">
        <v>5.0000000000000001E-3</v>
      </c>
      <c r="AV128" s="239">
        <f t="shared" si="12"/>
        <v>19.751771519999998</v>
      </c>
      <c r="AW128" s="239">
        <f>(AS128*AK128/1000000)*(VLOOKUP(N128,FCST!D:I,6,FALSE))</f>
        <v>0</v>
      </c>
      <c r="AX128" s="239">
        <f t="shared" si="13"/>
        <v>0</v>
      </c>
      <c r="AY128" s="239">
        <f>IF($G128="CERVECERIA Y MALTERIA.",($AS128*$AK128/1000000)*(1-VLOOKUP($N128,FCST!D:I,6,FALSE)),0)</f>
        <v>0</v>
      </c>
      <c r="AZ128" s="239">
        <f t="shared" si="14"/>
        <v>0</v>
      </c>
    </row>
    <row r="129" spans="1:52" x14ac:dyDescent="0.25">
      <c r="A129" s="209">
        <v>1080543</v>
      </c>
      <c r="B129" s="209">
        <v>30</v>
      </c>
      <c r="C129" s="209">
        <v>89295003</v>
      </c>
      <c r="D129" s="209">
        <v>10</v>
      </c>
      <c r="E129" s="209">
        <v>10000002</v>
      </c>
      <c r="F129" s="209">
        <v>20000335</v>
      </c>
      <c r="G129" s="209" t="s">
        <v>105</v>
      </c>
      <c r="H129" s="209">
        <v>20000335</v>
      </c>
      <c r="I129" s="209">
        <v>2</v>
      </c>
      <c r="J129" s="209" t="s">
        <v>169</v>
      </c>
      <c r="K129" s="209" t="s">
        <v>375</v>
      </c>
      <c r="L129" s="209" t="s">
        <v>171</v>
      </c>
      <c r="M129" s="209" t="s">
        <v>172</v>
      </c>
      <c r="N129" s="209">
        <v>50032573</v>
      </c>
      <c r="O129" s="209" t="s">
        <v>173</v>
      </c>
      <c r="P129" s="209">
        <v>5121</v>
      </c>
      <c r="Q129" s="209" t="s">
        <v>174</v>
      </c>
      <c r="R129" s="209" t="s">
        <v>175</v>
      </c>
      <c r="S129" s="209" t="s">
        <v>176</v>
      </c>
      <c r="T129" s="209" t="s">
        <v>177</v>
      </c>
      <c r="U129" s="209" t="s">
        <v>178</v>
      </c>
      <c r="V129" s="209" t="s">
        <v>179</v>
      </c>
      <c r="W129" s="209" t="s">
        <v>179</v>
      </c>
      <c r="X129" s="209" t="s">
        <v>180</v>
      </c>
      <c r="Y129" s="209" t="s">
        <v>180</v>
      </c>
      <c r="Z129" s="209">
        <v>9521066445</v>
      </c>
      <c r="AA129" s="209" t="s">
        <v>376</v>
      </c>
      <c r="AB129" s="209" t="s">
        <v>180</v>
      </c>
      <c r="AC129" s="209" t="s">
        <v>182</v>
      </c>
      <c r="AD129" s="209">
        <v>10</v>
      </c>
      <c r="AE129" s="209">
        <v>2024</v>
      </c>
      <c r="AF129" s="227">
        <v>45583</v>
      </c>
      <c r="AG129" s="227">
        <v>45587</v>
      </c>
      <c r="AH129" s="227">
        <v>45587</v>
      </c>
      <c r="AI129" s="228">
        <v>531648</v>
      </c>
      <c r="AJ129" s="228">
        <v>52</v>
      </c>
      <c r="AK129" s="228">
        <v>531648</v>
      </c>
      <c r="AL129" s="228">
        <v>52</v>
      </c>
      <c r="AM129" s="228">
        <v>0</v>
      </c>
      <c r="AN129" s="228">
        <v>0</v>
      </c>
      <c r="AO129" s="229">
        <v>43</v>
      </c>
      <c r="AP129" s="231">
        <v>10</v>
      </c>
      <c r="AQ129" s="231">
        <v>2024</v>
      </c>
      <c r="AR129" s="231" t="str">
        <f t="shared" si="10"/>
        <v>10/2024</v>
      </c>
      <c r="AS129" s="231">
        <f t="shared" si="11"/>
        <v>37.200000000000003</v>
      </c>
      <c r="AT129" s="239">
        <f>IF(G129="CERVECERIA Y MALTERIA",(AS129*AK129/1000000)*(1-VLOOKUP(N129,FCST!D:I,6,FALSE)),0)</f>
        <v>19.777305600000002</v>
      </c>
      <c r="AU129" s="232">
        <v>5.0000000000000001E-3</v>
      </c>
      <c r="AV129" s="239">
        <f t="shared" si="12"/>
        <v>19.876192128</v>
      </c>
      <c r="AW129" s="239">
        <f>(AS129*AK129/1000000)*(VLOOKUP(N129,FCST!D:I,6,FALSE))</f>
        <v>0</v>
      </c>
      <c r="AX129" s="239">
        <f t="shared" si="13"/>
        <v>0</v>
      </c>
      <c r="AY129" s="239">
        <f>IF($G129="CERVECERIA Y MALTERIA.",($AS129*$AK129/1000000)*(1-VLOOKUP($N129,FCST!D:I,6,FALSE)),0)</f>
        <v>0</v>
      </c>
      <c r="AZ129" s="239">
        <f t="shared" si="14"/>
        <v>0</v>
      </c>
    </row>
    <row r="130" spans="1:52" x14ac:dyDescent="0.25">
      <c r="A130" s="209">
        <v>1080528</v>
      </c>
      <c r="B130" s="209">
        <v>20</v>
      </c>
      <c r="C130" s="209">
        <v>89295035</v>
      </c>
      <c r="D130" s="209">
        <v>10</v>
      </c>
      <c r="E130" s="209">
        <v>10000002</v>
      </c>
      <c r="F130" s="209">
        <v>20000340</v>
      </c>
      <c r="G130" s="209" t="s">
        <v>117</v>
      </c>
      <c r="H130" s="209">
        <v>20000340</v>
      </c>
      <c r="I130" s="209">
        <v>2</v>
      </c>
      <c r="J130" s="209" t="s">
        <v>169</v>
      </c>
      <c r="K130" s="209" t="s">
        <v>377</v>
      </c>
      <c r="L130" s="209" t="s">
        <v>171</v>
      </c>
      <c r="M130" s="209" t="s">
        <v>172</v>
      </c>
      <c r="N130" s="209">
        <v>50036718</v>
      </c>
      <c r="O130" s="209" t="s">
        <v>259</v>
      </c>
      <c r="P130" s="209">
        <v>5101</v>
      </c>
      <c r="Q130" s="209" t="s">
        <v>186</v>
      </c>
      <c r="R130" s="209" t="s">
        <v>175</v>
      </c>
      <c r="S130" s="209" t="s">
        <v>176</v>
      </c>
      <c r="T130" s="209" t="s">
        <v>187</v>
      </c>
      <c r="U130" s="209" t="s">
        <v>188</v>
      </c>
      <c r="V130" s="209" t="s">
        <v>179</v>
      </c>
      <c r="W130" s="209" t="s">
        <v>179</v>
      </c>
      <c r="X130" s="209" t="s">
        <v>180</v>
      </c>
      <c r="Y130" s="209" t="s">
        <v>180</v>
      </c>
      <c r="Z130" s="209">
        <v>9511046918</v>
      </c>
      <c r="AA130" s="209" t="s">
        <v>378</v>
      </c>
      <c r="AB130" s="209" t="s">
        <v>180</v>
      </c>
      <c r="AC130" s="209" t="s">
        <v>182</v>
      </c>
      <c r="AD130" s="209">
        <v>10</v>
      </c>
      <c r="AE130" s="209">
        <v>2024</v>
      </c>
      <c r="AF130" s="227">
        <v>45583</v>
      </c>
      <c r="AG130" s="227">
        <v>45587</v>
      </c>
      <c r="AH130" s="227">
        <v>45587</v>
      </c>
      <c r="AI130" s="228">
        <v>519168</v>
      </c>
      <c r="AJ130" s="228">
        <v>52</v>
      </c>
      <c r="AK130" s="228">
        <v>519168</v>
      </c>
      <c r="AL130" s="228">
        <v>52</v>
      </c>
      <c r="AM130" s="228">
        <v>0</v>
      </c>
      <c r="AN130" s="228">
        <v>0</v>
      </c>
      <c r="AO130" s="229">
        <v>43</v>
      </c>
      <c r="AP130" s="231">
        <v>10</v>
      </c>
      <c r="AQ130" s="231">
        <v>2024</v>
      </c>
      <c r="AR130" s="231" t="str">
        <f t="shared" si="10"/>
        <v>10/2024</v>
      </c>
      <c r="AS130" s="231">
        <f t="shared" si="11"/>
        <v>34</v>
      </c>
      <c r="AT130" s="239">
        <f>IF(G130="CERVECERIA Y MALTERIA",(AS130*AK130/1000000)*(1-VLOOKUP(N130,FCST!D:I,6,FALSE)),0)</f>
        <v>0</v>
      </c>
      <c r="AU130" s="232">
        <v>5.0000000000000001E-3</v>
      </c>
      <c r="AV130" s="239">
        <f t="shared" si="12"/>
        <v>0</v>
      </c>
      <c r="AW130" s="239">
        <f>(AS130*AK130/1000000)*(VLOOKUP(N130,FCST!D:I,6,FALSE))</f>
        <v>0</v>
      </c>
      <c r="AX130" s="239">
        <f t="shared" si="13"/>
        <v>0</v>
      </c>
      <c r="AY130" s="239">
        <f>IF($G130="CERVECERIA Y MALTERIA.",($AS130*$AK130/1000000)*(1-VLOOKUP($N130,FCST!D:I,6,FALSE)),0)</f>
        <v>17.651712</v>
      </c>
      <c r="AZ130" s="239">
        <f t="shared" si="14"/>
        <v>17.73997056</v>
      </c>
    </row>
    <row r="131" spans="1:52" x14ac:dyDescent="0.25">
      <c r="A131" s="209">
        <v>1080260</v>
      </c>
      <c r="B131" s="209">
        <v>10</v>
      </c>
      <c r="C131" s="209">
        <v>89295560</v>
      </c>
      <c r="D131" s="209">
        <v>10</v>
      </c>
      <c r="E131" s="209">
        <v>10000002</v>
      </c>
      <c r="F131" s="209">
        <v>20000336</v>
      </c>
      <c r="G131" s="209" t="s">
        <v>105</v>
      </c>
      <c r="H131" s="209">
        <v>20000336</v>
      </c>
      <c r="I131" s="209">
        <v>2</v>
      </c>
      <c r="J131" s="209" t="s">
        <v>169</v>
      </c>
      <c r="K131" s="209" t="s">
        <v>379</v>
      </c>
      <c r="L131" s="209" t="s">
        <v>171</v>
      </c>
      <c r="M131" s="209" t="s">
        <v>172</v>
      </c>
      <c r="N131" s="209">
        <v>50034634</v>
      </c>
      <c r="O131" s="209" t="s">
        <v>219</v>
      </c>
      <c r="P131" s="209">
        <v>5121</v>
      </c>
      <c r="Q131" s="209" t="s">
        <v>174</v>
      </c>
      <c r="R131" s="209" t="s">
        <v>175</v>
      </c>
      <c r="S131" s="209" t="s">
        <v>176</v>
      </c>
      <c r="T131" s="209" t="s">
        <v>177</v>
      </c>
      <c r="U131" s="209" t="s">
        <v>178</v>
      </c>
      <c r="V131" s="209" t="s">
        <v>179</v>
      </c>
      <c r="W131" s="209" t="s">
        <v>179</v>
      </c>
      <c r="X131" s="209" t="s">
        <v>180</v>
      </c>
      <c r="Y131" s="209" t="s">
        <v>180</v>
      </c>
      <c r="Z131" s="209">
        <v>9521066446</v>
      </c>
      <c r="AA131" s="209" t="s">
        <v>380</v>
      </c>
      <c r="AB131" s="209" t="s">
        <v>180</v>
      </c>
      <c r="AC131" s="209" t="s">
        <v>182</v>
      </c>
      <c r="AD131" s="209">
        <v>10</v>
      </c>
      <c r="AE131" s="209">
        <v>2024</v>
      </c>
      <c r="AF131" s="227">
        <v>45582</v>
      </c>
      <c r="AG131" s="227">
        <v>45587</v>
      </c>
      <c r="AH131" s="227">
        <v>45587</v>
      </c>
      <c r="AI131" s="228">
        <v>364416</v>
      </c>
      <c r="AJ131" s="228">
        <v>52</v>
      </c>
      <c r="AK131" s="228">
        <v>364416</v>
      </c>
      <c r="AL131" s="228">
        <v>52</v>
      </c>
      <c r="AM131" s="228">
        <v>0</v>
      </c>
      <c r="AN131" s="228">
        <v>0</v>
      </c>
      <c r="AO131" s="229">
        <v>43</v>
      </c>
      <c r="AP131" s="231">
        <v>10</v>
      </c>
      <c r="AQ131" s="231">
        <v>2024</v>
      </c>
      <c r="AR131" s="231" t="str">
        <f t="shared" si="10"/>
        <v>10/2024</v>
      </c>
      <c r="AS131" s="231">
        <f t="shared" si="11"/>
        <v>52</v>
      </c>
      <c r="AT131" s="239">
        <f>IF(G131="CERVECERIA Y MALTERIA",(AS131*AK131/1000000)*(1-VLOOKUP(N131,FCST!D:I,6,FALSE)),0)</f>
        <v>18.949632000000001</v>
      </c>
      <c r="AU131" s="232">
        <v>5.0000000000000001E-3</v>
      </c>
      <c r="AV131" s="239">
        <f t="shared" si="12"/>
        <v>19.044380159999999</v>
      </c>
      <c r="AW131" s="239">
        <f>(AS131*AK131/1000000)*(VLOOKUP(N131,FCST!D:I,6,FALSE))</f>
        <v>0</v>
      </c>
      <c r="AX131" s="239">
        <f t="shared" si="13"/>
        <v>0</v>
      </c>
      <c r="AY131" s="239">
        <f>IF($G131="CERVECERIA Y MALTERIA.",($AS131*$AK131/1000000)*(1-VLOOKUP($N131,FCST!D:I,6,FALSE)),0)</f>
        <v>0</v>
      </c>
      <c r="AZ131" s="239">
        <f t="shared" si="14"/>
        <v>0</v>
      </c>
    </row>
    <row r="132" spans="1:52" x14ac:dyDescent="0.25">
      <c r="A132" s="209">
        <v>1079856</v>
      </c>
      <c r="B132" s="209">
        <v>20</v>
      </c>
      <c r="C132" s="209">
        <v>89293312</v>
      </c>
      <c r="D132" s="209">
        <v>10</v>
      </c>
      <c r="E132" s="209">
        <v>10000002</v>
      </c>
      <c r="F132" s="209">
        <v>20000339</v>
      </c>
      <c r="G132" s="209" t="s">
        <v>105</v>
      </c>
      <c r="H132" s="209">
        <v>20000339</v>
      </c>
      <c r="I132" s="209">
        <v>2</v>
      </c>
      <c r="J132" s="209" t="s">
        <v>169</v>
      </c>
      <c r="K132" s="209" t="s">
        <v>381</v>
      </c>
      <c r="L132" s="209" t="s">
        <v>171</v>
      </c>
      <c r="M132" s="209" t="s">
        <v>172</v>
      </c>
      <c r="N132" s="209">
        <v>50034634</v>
      </c>
      <c r="O132" s="209" t="s">
        <v>219</v>
      </c>
      <c r="P132" s="209">
        <v>5121</v>
      </c>
      <c r="Q132" s="209" t="s">
        <v>174</v>
      </c>
      <c r="R132" s="209" t="s">
        <v>175</v>
      </c>
      <c r="S132" s="209" t="s">
        <v>176</v>
      </c>
      <c r="T132" s="209" t="s">
        <v>177</v>
      </c>
      <c r="U132" s="209" t="s">
        <v>178</v>
      </c>
      <c r="V132" s="209" t="s">
        <v>179</v>
      </c>
      <c r="W132" s="209" t="s">
        <v>179</v>
      </c>
      <c r="X132" s="209" t="s">
        <v>180</v>
      </c>
      <c r="Y132" s="209" t="s">
        <v>180</v>
      </c>
      <c r="Z132" s="209">
        <v>9521066416</v>
      </c>
      <c r="AA132" s="209" t="s">
        <v>382</v>
      </c>
      <c r="AB132" s="209" t="s">
        <v>180</v>
      </c>
      <c r="AC132" s="209" t="s">
        <v>182</v>
      </c>
      <c r="AD132" s="209">
        <v>10</v>
      </c>
      <c r="AE132" s="209">
        <v>2024</v>
      </c>
      <c r="AF132" s="227">
        <v>45580</v>
      </c>
      <c r="AG132" s="227">
        <v>45583</v>
      </c>
      <c r="AH132" s="227">
        <v>45583</v>
      </c>
      <c r="AI132" s="228">
        <v>364416</v>
      </c>
      <c r="AJ132" s="228">
        <v>52</v>
      </c>
      <c r="AK132" s="228">
        <v>364416</v>
      </c>
      <c r="AL132" s="228">
        <v>52</v>
      </c>
      <c r="AM132" s="228">
        <v>0</v>
      </c>
      <c r="AN132" s="228">
        <v>0</v>
      </c>
      <c r="AO132" s="229">
        <v>42</v>
      </c>
      <c r="AP132" s="231">
        <v>10</v>
      </c>
      <c r="AQ132" s="231">
        <v>2024</v>
      </c>
      <c r="AR132" s="231" t="str">
        <f t="shared" si="10"/>
        <v>10/2024</v>
      </c>
      <c r="AS132" s="231">
        <f t="shared" si="11"/>
        <v>52</v>
      </c>
      <c r="AT132" s="239">
        <f>IF(G132="CERVECERIA Y MALTERIA",(AS132*AK132/1000000)*(1-VLOOKUP(N132,FCST!D:I,6,FALSE)),0)</f>
        <v>18.949632000000001</v>
      </c>
      <c r="AU132" s="232">
        <v>5.0000000000000001E-3</v>
      </c>
      <c r="AV132" s="239">
        <f t="shared" si="12"/>
        <v>19.044380159999999</v>
      </c>
      <c r="AW132" s="239">
        <f>(AS132*AK132/1000000)*(VLOOKUP(N132,FCST!D:I,6,FALSE))</f>
        <v>0</v>
      </c>
      <c r="AX132" s="239">
        <f t="shared" si="13"/>
        <v>0</v>
      </c>
      <c r="AY132" s="239">
        <f>IF($G132="CERVECERIA Y MALTERIA.",($AS132*$AK132/1000000)*(1-VLOOKUP($N132,FCST!D:I,6,FALSE)),0)</f>
        <v>0</v>
      </c>
      <c r="AZ132" s="239">
        <f t="shared" si="14"/>
        <v>0</v>
      </c>
    </row>
    <row r="133" spans="1:52" x14ac:dyDescent="0.25">
      <c r="A133" s="209">
        <v>1080543</v>
      </c>
      <c r="B133" s="209">
        <v>20</v>
      </c>
      <c r="C133" s="209">
        <v>89293890</v>
      </c>
      <c r="D133" s="209">
        <v>10</v>
      </c>
      <c r="E133" s="209">
        <v>10000002</v>
      </c>
      <c r="F133" s="209">
        <v>20000335</v>
      </c>
      <c r="G133" s="209" t="s">
        <v>105</v>
      </c>
      <c r="H133" s="209">
        <v>20000335</v>
      </c>
      <c r="I133" s="209">
        <v>2</v>
      </c>
      <c r="J133" s="209" t="s">
        <v>169</v>
      </c>
      <c r="K133" s="209" t="s">
        <v>383</v>
      </c>
      <c r="L133" s="209" t="s">
        <v>171</v>
      </c>
      <c r="M133" s="209" t="s">
        <v>172</v>
      </c>
      <c r="N133" s="209">
        <v>50034616</v>
      </c>
      <c r="O133" s="209" t="s">
        <v>191</v>
      </c>
      <c r="P133" s="209">
        <v>5121</v>
      </c>
      <c r="Q133" s="209" t="s">
        <v>174</v>
      </c>
      <c r="R133" s="209" t="s">
        <v>175</v>
      </c>
      <c r="S133" s="209" t="s">
        <v>176</v>
      </c>
      <c r="T133" s="209" t="s">
        <v>177</v>
      </c>
      <c r="U133" s="209" t="s">
        <v>178</v>
      </c>
      <c r="V133" s="209" t="s">
        <v>179</v>
      </c>
      <c r="W133" s="209" t="s">
        <v>179</v>
      </c>
      <c r="X133" s="209" t="s">
        <v>180</v>
      </c>
      <c r="Y133" s="209" t="s">
        <v>180</v>
      </c>
      <c r="Z133" s="209">
        <v>9521066439</v>
      </c>
      <c r="AA133" s="209" t="s">
        <v>384</v>
      </c>
      <c r="AB133" s="209" t="s">
        <v>180</v>
      </c>
      <c r="AC133" s="209" t="s">
        <v>182</v>
      </c>
      <c r="AD133" s="209">
        <v>10</v>
      </c>
      <c r="AE133" s="209">
        <v>2024</v>
      </c>
      <c r="AF133" s="227">
        <v>45583</v>
      </c>
      <c r="AG133" s="227">
        <v>45586</v>
      </c>
      <c r="AH133" s="227">
        <v>45586</v>
      </c>
      <c r="AI133" s="228">
        <v>426816</v>
      </c>
      <c r="AJ133" s="228">
        <v>52</v>
      </c>
      <c r="AK133" s="228">
        <v>426816</v>
      </c>
      <c r="AL133" s="228">
        <v>52</v>
      </c>
      <c r="AM133" s="228">
        <v>0</v>
      </c>
      <c r="AN133" s="228">
        <v>0</v>
      </c>
      <c r="AO133" s="229">
        <v>43</v>
      </c>
      <c r="AP133" s="231">
        <v>10</v>
      </c>
      <c r="AQ133" s="231">
        <v>2024</v>
      </c>
      <c r="AR133" s="231" t="str">
        <f t="shared" si="10"/>
        <v>10/2024</v>
      </c>
      <c r="AS133" s="231">
        <f t="shared" si="11"/>
        <v>46.6</v>
      </c>
      <c r="AT133" s="239">
        <f>IF(G133="CERVECERIA Y MALTERIA",(AS133*AK133/1000000)*(1-VLOOKUP(N133,FCST!D:I,6,FALSE)),0)</f>
        <v>19.889625600000002</v>
      </c>
      <c r="AU133" s="232">
        <v>5.0000000000000001E-3</v>
      </c>
      <c r="AV133" s="239">
        <f t="shared" si="12"/>
        <v>19.989073728000001</v>
      </c>
      <c r="AW133" s="239">
        <f>(AS133*AK133/1000000)*(VLOOKUP(N133,FCST!D:I,6,FALSE))</f>
        <v>0</v>
      </c>
      <c r="AX133" s="239">
        <f t="shared" si="13"/>
        <v>0</v>
      </c>
      <c r="AY133" s="239">
        <f>IF($G133="CERVECERIA Y MALTERIA.",($AS133*$AK133/1000000)*(1-VLOOKUP($N133,FCST!D:I,6,FALSE)),0)</f>
        <v>0</v>
      </c>
      <c r="AZ133" s="239">
        <f t="shared" si="14"/>
        <v>0</v>
      </c>
    </row>
    <row r="134" spans="1:52" x14ac:dyDescent="0.25">
      <c r="A134" s="209">
        <v>1080543</v>
      </c>
      <c r="B134" s="209">
        <v>10</v>
      </c>
      <c r="C134" s="209">
        <v>89294122</v>
      </c>
      <c r="D134" s="209">
        <v>10</v>
      </c>
      <c r="E134" s="209">
        <v>10000002</v>
      </c>
      <c r="F134" s="209">
        <v>20000335</v>
      </c>
      <c r="G134" s="209" t="s">
        <v>105</v>
      </c>
      <c r="H134" s="209">
        <v>20000335</v>
      </c>
      <c r="I134" s="209">
        <v>2</v>
      </c>
      <c r="J134" s="209" t="s">
        <v>169</v>
      </c>
      <c r="K134" s="209" t="s">
        <v>385</v>
      </c>
      <c r="L134" s="209" t="s">
        <v>171</v>
      </c>
      <c r="M134" s="209" t="s">
        <v>172</v>
      </c>
      <c r="N134" s="209">
        <v>50032573</v>
      </c>
      <c r="O134" s="209" t="s">
        <v>173</v>
      </c>
      <c r="P134" s="209">
        <v>5121</v>
      </c>
      <c r="Q134" s="209" t="s">
        <v>174</v>
      </c>
      <c r="R134" s="209" t="s">
        <v>175</v>
      </c>
      <c r="S134" s="209" t="s">
        <v>176</v>
      </c>
      <c r="T134" s="209" t="s">
        <v>177</v>
      </c>
      <c r="U134" s="209" t="s">
        <v>178</v>
      </c>
      <c r="V134" s="209" t="s">
        <v>179</v>
      </c>
      <c r="W134" s="209" t="s">
        <v>179</v>
      </c>
      <c r="X134" s="209" t="s">
        <v>180</v>
      </c>
      <c r="Y134" s="209" t="s">
        <v>180</v>
      </c>
      <c r="Z134" s="209">
        <v>9521066437</v>
      </c>
      <c r="AA134" s="209" t="s">
        <v>386</v>
      </c>
      <c r="AB134" s="209" t="s">
        <v>180</v>
      </c>
      <c r="AC134" s="209" t="s">
        <v>182</v>
      </c>
      <c r="AD134" s="209">
        <v>10</v>
      </c>
      <c r="AE134" s="209">
        <v>2024</v>
      </c>
      <c r="AF134" s="227">
        <v>45583</v>
      </c>
      <c r="AG134" s="227">
        <v>45586</v>
      </c>
      <c r="AH134" s="227">
        <v>45586</v>
      </c>
      <c r="AI134" s="228">
        <v>531648</v>
      </c>
      <c r="AJ134" s="228">
        <v>52</v>
      </c>
      <c r="AK134" s="228">
        <v>531648</v>
      </c>
      <c r="AL134" s="228">
        <v>52</v>
      </c>
      <c r="AM134" s="228">
        <v>0</v>
      </c>
      <c r="AN134" s="228">
        <v>0</v>
      </c>
      <c r="AO134" s="229">
        <v>43</v>
      </c>
      <c r="AP134" s="231">
        <v>10</v>
      </c>
      <c r="AQ134" s="231">
        <v>2024</v>
      </c>
      <c r="AR134" s="231" t="str">
        <f t="shared" si="10"/>
        <v>10/2024</v>
      </c>
      <c r="AS134" s="231">
        <f t="shared" si="11"/>
        <v>37.200000000000003</v>
      </c>
      <c r="AT134" s="239">
        <f>IF(G134="CERVECERIA Y MALTERIA",(AS134*AK134/1000000)*(1-VLOOKUP(N134,FCST!D:I,6,FALSE)),0)</f>
        <v>19.777305600000002</v>
      </c>
      <c r="AU134" s="232">
        <v>5.0000000000000001E-3</v>
      </c>
      <c r="AV134" s="239">
        <f t="shared" si="12"/>
        <v>19.876192128</v>
      </c>
      <c r="AW134" s="239">
        <f>(AS134*AK134/1000000)*(VLOOKUP(N134,FCST!D:I,6,FALSE))</f>
        <v>0</v>
      </c>
      <c r="AX134" s="239">
        <f t="shared" si="13"/>
        <v>0</v>
      </c>
      <c r="AY134" s="239">
        <f>IF($G134="CERVECERIA Y MALTERIA.",($AS134*$AK134/1000000)*(1-VLOOKUP($N134,FCST!D:I,6,FALSE)),0)</f>
        <v>0</v>
      </c>
      <c r="AZ134" s="239">
        <f t="shared" si="14"/>
        <v>0</v>
      </c>
    </row>
    <row r="135" spans="1:52" x14ac:dyDescent="0.25">
      <c r="A135" s="209">
        <v>1080591</v>
      </c>
      <c r="B135" s="209">
        <v>10</v>
      </c>
      <c r="C135" s="209">
        <v>89294145</v>
      </c>
      <c r="D135" s="209">
        <v>10</v>
      </c>
      <c r="E135" s="209">
        <v>10000002</v>
      </c>
      <c r="F135" s="209">
        <v>20000337</v>
      </c>
      <c r="G135" s="209" t="s">
        <v>105</v>
      </c>
      <c r="H135" s="209">
        <v>20000337</v>
      </c>
      <c r="I135" s="209">
        <v>2</v>
      </c>
      <c r="J135" s="209" t="s">
        <v>169</v>
      </c>
      <c r="K135" s="209" t="s">
        <v>387</v>
      </c>
      <c r="L135" s="209" t="s">
        <v>171</v>
      </c>
      <c r="M135" s="209" t="s">
        <v>199</v>
      </c>
      <c r="N135" s="209">
        <v>50034616</v>
      </c>
      <c r="O135" s="209" t="s">
        <v>191</v>
      </c>
      <c r="P135" s="209">
        <v>5121</v>
      </c>
      <c r="Q135" s="209" t="s">
        <v>200</v>
      </c>
      <c r="R135" s="209" t="s">
        <v>201</v>
      </c>
      <c r="S135" s="209" t="s">
        <v>202</v>
      </c>
      <c r="T135" s="209" t="s">
        <v>203</v>
      </c>
      <c r="U135" s="209" t="s">
        <v>201</v>
      </c>
      <c r="V135" s="209" t="s">
        <v>179</v>
      </c>
      <c r="W135" s="209" t="s">
        <v>179</v>
      </c>
      <c r="X135" s="209" t="s">
        <v>180</v>
      </c>
      <c r="Y135" s="209" t="s">
        <v>180</v>
      </c>
      <c r="Z135" s="209">
        <v>9521066438</v>
      </c>
      <c r="AA135" s="209" t="s">
        <v>388</v>
      </c>
      <c r="AB135" s="209" t="s">
        <v>180</v>
      </c>
      <c r="AC135" s="209" t="s">
        <v>182</v>
      </c>
      <c r="AD135" s="209">
        <v>10</v>
      </c>
      <c r="AE135" s="209">
        <v>2024</v>
      </c>
      <c r="AF135" s="227">
        <v>45583</v>
      </c>
      <c r="AG135" s="227">
        <v>45586</v>
      </c>
      <c r="AH135" s="227">
        <v>45586</v>
      </c>
      <c r="AI135" s="228">
        <v>426816</v>
      </c>
      <c r="AJ135" s="228">
        <v>52</v>
      </c>
      <c r="AK135" s="228">
        <v>426816</v>
      </c>
      <c r="AL135" s="228">
        <v>52</v>
      </c>
      <c r="AM135" s="228">
        <v>0</v>
      </c>
      <c r="AN135" s="228">
        <v>0</v>
      </c>
      <c r="AO135" s="229">
        <v>43</v>
      </c>
      <c r="AP135" s="231">
        <v>10</v>
      </c>
      <c r="AQ135" s="231">
        <v>2024</v>
      </c>
      <c r="AR135" s="231" t="str">
        <f t="shared" si="10"/>
        <v>10/2024</v>
      </c>
      <c r="AS135" s="231">
        <f t="shared" si="11"/>
        <v>46.6</v>
      </c>
      <c r="AT135" s="239">
        <f>IF(G135="CERVECERIA Y MALTERIA",(AS135*AK135/1000000)*(1-VLOOKUP(N135,FCST!D:I,6,FALSE)),0)</f>
        <v>19.889625600000002</v>
      </c>
      <c r="AU135" s="232">
        <v>5.0000000000000001E-3</v>
      </c>
      <c r="AV135" s="239">
        <f t="shared" si="12"/>
        <v>19.989073728000001</v>
      </c>
      <c r="AW135" s="239">
        <f>(AS135*AK135/1000000)*(VLOOKUP(N135,FCST!D:I,6,FALSE))</f>
        <v>0</v>
      </c>
      <c r="AX135" s="239">
        <f t="shared" si="13"/>
        <v>0</v>
      </c>
      <c r="AY135" s="239">
        <f>IF($G135="CERVECERIA Y MALTERIA.",($AS135*$AK135/1000000)*(1-VLOOKUP($N135,FCST!D:I,6,FALSE)),0)</f>
        <v>0</v>
      </c>
      <c r="AZ135" s="239">
        <f t="shared" si="14"/>
        <v>0</v>
      </c>
    </row>
    <row r="136" spans="1:52" x14ac:dyDescent="0.25">
      <c r="A136" s="209">
        <v>1080528</v>
      </c>
      <c r="B136" s="209">
        <v>10</v>
      </c>
      <c r="C136" s="209">
        <v>89294250</v>
      </c>
      <c r="D136" s="209">
        <v>10</v>
      </c>
      <c r="E136" s="209">
        <v>10000002</v>
      </c>
      <c r="F136" s="209">
        <v>20000340</v>
      </c>
      <c r="G136" s="209" t="s">
        <v>117</v>
      </c>
      <c r="H136" s="209">
        <v>20000340</v>
      </c>
      <c r="I136" s="209">
        <v>2</v>
      </c>
      <c r="J136" s="209" t="s">
        <v>169</v>
      </c>
      <c r="K136" s="209" t="s">
        <v>389</v>
      </c>
      <c r="L136" s="209" t="s">
        <v>171</v>
      </c>
      <c r="M136" s="209" t="s">
        <v>172</v>
      </c>
      <c r="N136" s="209">
        <v>50036718</v>
      </c>
      <c r="O136" s="209" t="s">
        <v>259</v>
      </c>
      <c r="P136" s="209">
        <v>5101</v>
      </c>
      <c r="Q136" s="209" t="s">
        <v>186</v>
      </c>
      <c r="R136" s="209" t="s">
        <v>175</v>
      </c>
      <c r="S136" s="209" t="s">
        <v>176</v>
      </c>
      <c r="T136" s="209" t="s">
        <v>187</v>
      </c>
      <c r="U136" s="209" t="s">
        <v>188</v>
      </c>
      <c r="V136" s="209" t="s">
        <v>179</v>
      </c>
      <c r="W136" s="209" t="s">
        <v>179</v>
      </c>
      <c r="X136" s="209" t="s">
        <v>180</v>
      </c>
      <c r="Y136" s="209" t="s">
        <v>180</v>
      </c>
      <c r="Z136" s="209">
        <v>9511046912</v>
      </c>
      <c r="AA136" s="209" t="s">
        <v>390</v>
      </c>
      <c r="AB136" s="209" t="s">
        <v>180</v>
      </c>
      <c r="AC136" s="209" t="s">
        <v>182</v>
      </c>
      <c r="AD136" s="209">
        <v>10</v>
      </c>
      <c r="AE136" s="209">
        <v>2024</v>
      </c>
      <c r="AF136" s="227">
        <v>45583</v>
      </c>
      <c r="AG136" s="227">
        <v>45586</v>
      </c>
      <c r="AH136" s="227">
        <v>45586</v>
      </c>
      <c r="AI136" s="228">
        <v>519168</v>
      </c>
      <c r="AJ136" s="228">
        <v>52</v>
      </c>
      <c r="AK136" s="228">
        <v>519168</v>
      </c>
      <c r="AL136" s="228">
        <v>52</v>
      </c>
      <c r="AM136" s="228">
        <v>0</v>
      </c>
      <c r="AN136" s="228">
        <v>0</v>
      </c>
      <c r="AO136" s="229">
        <v>43</v>
      </c>
      <c r="AP136" s="231">
        <v>10</v>
      </c>
      <c r="AQ136" s="231">
        <v>2024</v>
      </c>
      <c r="AR136" s="231" t="str">
        <f t="shared" si="10"/>
        <v>10/2024</v>
      </c>
      <c r="AS136" s="231">
        <f t="shared" si="11"/>
        <v>34</v>
      </c>
      <c r="AT136" s="239">
        <f>IF(G136="CERVECERIA Y MALTERIA",(AS136*AK136/1000000)*(1-VLOOKUP(N136,FCST!D:I,6,FALSE)),0)</f>
        <v>0</v>
      </c>
      <c r="AU136" s="232">
        <v>5.0000000000000001E-3</v>
      </c>
      <c r="AV136" s="239">
        <f t="shared" si="12"/>
        <v>0</v>
      </c>
      <c r="AW136" s="239">
        <f>(AS136*AK136/1000000)*(VLOOKUP(N136,FCST!D:I,6,FALSE))</f>
        <v>0</v>
      </c>
      <c r="AX136" s="239">
        <f t="shared" si="13"/>
        <v>0</v>
      </c>
      <c r="AY136" s="239">
        <f>IF($G136="CERVECERIA Y MALTERIA.",($AS136*$AK136/1000000)*(1-VLOOKUP($N136,FCST!D:I,6,FALSE)),0)</f>
        <v>17.651712</v>
      </c>
      <c r="AZ136" s="239">
        <f t="shared" si="14"/>
        <v>17.73997056</v>
      </c>
    </row>
    <row r="137" spans="1:52" x14ac:dyDescent="0.25">
      <c r="A137" s="209">
        <v>1080528</v>
      </c>
      <c r="B137" s="209">
        <v>50</v>
      </c>
      <c r="C137" s="209">
        <v>89298235</v>
      </c>
      <c r="D137" s="209">
        <v>10</v>
      </c>
      <c r="E137" s="209">
        <v>10000002</v>
      </c>
      <c r="F137" s="209">
        <v>20000340</v>
      </c>
      <c r="G137" s="209" t="s">
        <v>117</v>
      </c>
      <c r="H137" s="209">
        <v>20000340</v>
      </c>
      <c r="I137" s="209">
        <v>2</v>
      </c>
      <c r="J137" s="209" t="s">
        <v>169</v>
      </c>
      <c r="K137" s="209" t="s">
        <v>391</v>
      </c>
      <c r="L137" s="209" t="s">
        <v>171</v>
      </c>
      <c r="M137" s="209" t="s">
        <v>172</v>
      </c>
      <c r="N137" s="209">
        <v>50036718</v>
      </c>
      <c r="O137" s="209" t="s">
        <v>259</v>
      </c>
      <c r="P137" s="209">
        <v>5101</v>
      </c>
      <c r="Q137" s="209" t="s">
        <v>186</v>
      </c>
      <c r="R137" s="209" t="s">
        <v>175</v>
      </c>
      <c r="S137" s="209" t="s">
        <v>176</v>
      </c>
      <c r="T137" s="209" t="s">
        <v>187</v>
      </c>
      <c r="U137" s="209" t="s">
        <v>188</v>
      </c>
      <c r="V137" s="209" t="s">
        <v>179</v>
      </c>
      <c r="W137" s="209" t="s">
        <v>179</v>
      </c>
      <c r="X137" s="209" t="s">
        <v>180</v>
      </c>
      <c r="Y137" s="209" t="s">
        <v>180</v>
      </c>
      <c r="Z137" s="209">
        <v>9511046944</v>
      </c>
      <c r="AA137" s="209" t="s">
        <v>392</v>
      </c>
      <c r="AB137" s="209" t="s">
        <v>180</v>
      </c>
      <c r="AC137" s="209" t="s">
        <v>182</v>
      </c>
      <c r="AD137" s="209">
        <v>10</v>
      </c>
      <c r="AE137" s="209">
        <v>2024</v>
      </c>
      <c r="AF137" s="227">
        <v>45583</v>
      </c>
      <c r="AG137" s="227">
        <v>45590</v>
      </c>
      <c r="AH137" s="227">
        <v>45590</v>
      </c>
      <c r="AI137" s="228">
        <v>519168</v>
      </c>
      <c r="AJ137" s="228">
        <v>52</v>
      </c>
      <c r="AK137" s="228">
        <v>519168</v>
      </c>
      <c r="AL137" s="228">
        <v>52</v>
      </c>
      <c r="AM137" s="228">
        <v>0</v>
      </c>
      <c r="AN137" s="228">
        <v>0</v>
      </c>
      <c r="AO137" s="229">
        <v>43</v>
      </c>
      <c r="AP137" s="231">
        <v>10</v>
      </c>
      <c r="AQ137" s="231">
        <v>2024</v>
      </c>
      <c r="AR137" s="231" t="str">
        <f t="shared" si="10"/>
        <v>10/2024</v>
      </c>
      <c r="AS137" s="231">
        <f t="shared" si="11"/>
        <v>34</v>
      </c>
      <c r="AT137" s="239">
        <f>IF(G137="CERVECERIA Y MALTERIA",(AS137*AK137/1000000)*(1-VLOOKUP(N137,FCST!D:I,6,FALSE)),0)</f>
        <v>0</v>
      </c>
      <c r="AU137" s="232">
        <v>5.0000000000000001E-3</v>
      </c>
      <c r="AV137" s="239">
        <f t="shared" si="12"/>
        <v>0</v>
      </c>
      <c r="AW137" s="239">
        <f>(AS137*AK137/1000000)*(VLOOKUP(N137,FCST!D:I,6,FALSE))</f>
        <v>0</v>
      </c>
      <c r="AX137" s="239">
        <f t="shared" si="13"/>
        <v>0</v>
      </c>
      <c r="AY137" s="239">
        <f>IF($G137="CERVECERIA Y MALTERIA.",($AS137*$AK137/1000000)*(1-VLOOKUP($N137,FCST!D:I,6,FALSE)),0)</f>
        <v>17.651712</v>
      </c>
      <c r="AZ137" s="239">
        <f t="shared" si="14"/>
        <v>17.73997056</v>
      </c>
    </row>
    <row r="138" spans="1:52" x14ac:dyDescent="0.25">
      <c r="A138" s="209">
        <v>1082624</v>
      </c>
      <c r="B138" s="209">
        <v>10</v>
      </c>
      <c r="C138" s="209">
        <v>89301619</v>
      </c>
      <c r="D138" s="209">
        <v>10</v>
      </c>
      <c r="E138" s="209">
        <v>10000002</v>
      </c>
      <c r="F138" s="209">
        <v>20000339</v>
      </c>
      <c r="G138" s="209" t="s">
        <v>105</v>
      </c>
      <c r="H138" s="209">
        <v>20000339</v>
      </c>
      <c r="I138" s="209">
        <v>2</v>
      </c>
      <c r="J138" s="209" t="s">
        <v>169</v>
      </c>
      <c r="K138" s="209" t="s">
        <v>393</v>
      </c>
      <c r="L138" s="209" t="s">
        <v>171</v>
      </c>
      <c r="M138" s="209" t="s">
        <v>172</v>
      </c>
      <c r="N138" s="209">
        <v>50034194</v>
      </c>
      <c r="O138" s="209" t="s">
        <v>276</v>
      </c>
      <c r="P138" s="209">
        <v>5121</v>
      </c>
      <c r="Q138" s="209" t="s">
        <v>174</v>
      </c>
      <c r="R138" s="209" t="s">
        <v>175</v>
      </c>
      <c r="S138" s="209" t="s">
        <v>176</v>
      </c>
      <c r="T138" s="209" t="s">
        <v>177</v>
      </c>
      <c r="U138" s="209" t="s">
        <v>178</v>
      </c>
      <c r="V138" s="209" t="s">
        <v>179</v>
      </c>
      <c r="W138" s="209" t="s">
        <v>179</v>
      </c>
      <c r="X138" s="209" t="s">
        <v>180</v>
      </c>
      <c r="Y138" s="209" t="s">
        <v>180</v>
      </c>
      <c r="Z138" s="209">
        <v>9521066568</v>
      </c>
      <c r="AA138" s="209" t="s">
        <v>394</v>
      </c>
      <c r="AB138" s="209" t="s">
        <v>180</v>
      </c>
      <c r="AC138" s="209" t="s">
        <v>182</v>
      </c>
      <c r="AD138" s="209">
        <v>10</v>
      </c>
      <c r="AE138" s="209">
        <v>2024</v>
      </c>
      <c r="AF138" s="227">
        <v>45594</v>
      </c>
      <c r="AG138" s="227">
        <v>45594</v>
      </c>
      <c r="AH138" s="227">
        <v>45595</v>
      </c>
      <c r="AI138" s="228">
        <v>243840</v>
      </c>
      <c r="AJ138" s="228">
        <v>40</v>
      </c>
      <c r="AK138" s="228">
        <v>243840</v>
      </c>
      <c r="AL138" s="228">
        <v>40</v>
      </c>
      <c r="AM138" s="228">
        <v>0</v>
      </c>
      <c r="AN138" s="228">
        <v>0</v>
      </c>
      <c r="AO138" s="229">
        <v>44</v>
      </c>
      <c r="AP138" s="231">
        <v>10</v>
      </c>
      <c r="AQ138" s="231">
        <v>2024</v>
      </c>
      <c r="AR138" s="231" t="str">
        <f t="shared" si="10"/>
        <v>10/2024</v>
      </c>
      <c r="AS138" s="231">
        <f t="shared" si="11"/>
        <v>62</v>
      </c>
      <c r="AT138" s="239">
        <f>IF(G138="CERVECERIA Y MALTERIA",(AS138*AK138/1000000)*(1-VLOOKUP(N138,FCST!D:I,6,FALSE)),0)</f>
        <v>15.118080000000001</v>
      </c>
      <c r="AU138" s="232">
        <v>5.0000000000000001E-3</v>
      </c>
      <c r="AV138" s="239">
        <f t="shared" si="12"/>
        <v>15.193670399999998</v>
      </c>
      <c r="AW138" s="239">
        <f>(AS138*AK138/1000000)*(VLOOKUP(N138,FCST!D:I,6,FALSE))</f>
        <v>0</v>
      </c>
      <c r="AX138" s="239">
        <f t="shared" si="13"/>
        <v>0</v>
      </c>
      <c r="AY138" s="239">
        <f>IF($G138="CERVECERIA Y MALTERIA.",($AS138*$AK138/1000000)*(1-VLOOKUP($N138,FCST!D:I,6,FALSE)),0)</f>
        <v>0</v>
      </c>
      <c r="AZ138" s="239">
        <f t="shared" si="14"/>
        <v>0</v>
      </c>
    </row>
    <row r="139" spans="1:52" x14ac:dyDescent="0.25">
      <c r="A139" s="209">
        <v>1082624</v>
      </c>
      <c r="B139" s="209">
        <v>20</v>
      </c>
      <c r="C139" s="209">
        <v>89301619</v>
      </c>
      <c r="D139" s="209">
        <v>20</v>
      </c>
      <c r="E139" s="209">
        <v>10000002</v>
      </c>
      <c r="F139" s="209">
        <v>20000339</v>
      </c>
      <c r="G139" s="209" t="s">
        <v>105</v>
      </c>
      <c r="H139" s="209">
        <v>20000339</v>
      </c>
      <c r="I139" s="209">
        <v>2</v>
      </c>
      <c r="J139" s="209" t="s">
        <v>169</v>
      </c>
      <c r="K139" s="209" t="s">
        <v>393</v>
      </c>
      <c r="L139" s="209" t="s">
        <v>171</v>
      </c>
      <c r="M139" s="209" t="s">
        <v>172</v>
      </c>
      <c r="N139" s="209">
        <v>50034634</v>
      </c>
      <c r="O139" s="209" t="s">
        <v>219</v>
      </c>
      <c r="P139" s="209">
        <v>5121</v>
      </c>
      <c r="Q139" s="209" t="s">
        <v>174</v>
      </c>
      <c r="R139" s="209" t="s">
        <v>175</v>
      </c>
      <c r="S139" s="209" t="s">
        <v>176</v>
      </c>
      <c r="T139" s="209" t="s">
        <v>177</v>
      </c>
      <c r="U139" s="209" t="s">
        <v>178</v>
      </c>
      <c r="V139" s="209" t="s">
        <v>179</v>
      </c>
      <c r="W139" s="209" t="s">
        <v>179</v>
      </c>
      <c r="X139" s="209" t="s">
        <v>180</v>
      </c>
      <c r="Y139" s="209" t="s">
        <v>180</v>
      </c>
      <c r="Z139" s="209">
        <v>9521066568</v>
      </c>
      <c r="AA139" s="209" t="s">
        <v>394</v>
      </c>
      <c r="AB139" s="209" t="s">
        <v>180</v>
      </c>
      <c r="AC139" s="209" t="s">
        <v>182</v>
      </c>
      <c r="AD139" s="209">
        <v>10</v>
      </c>
      <c r="AE139" s="209">
        <v>2024</v>
      </c>
      <c r="AF139" s="227">
        <v>45594</v>
      </c>
      <c r="AG139" s="227">
        <v>45594</v>
      </c>
      <c r="AH139" s="227">
        <v>45595</v>
      </c>
      <c r="AI139" s="228">
        <v>84096</v>
      </c>
      <c r="AJ139" s="228">
        <v>12</v>
      </c>
      <c r="AK139" s="228">
        <v>84096</v>
      </c>
      <c r="AL139" s="228">
        <v>12</v>
      </c>
      <c r="AM139" s="228">
        <v>0</v>
      </c>
      <c r="AN139" s="228">
        <v>0</v>
      </c>
      <c r="AO139" s="229">
        <v>44</v>
      </c>
      <c r="AP139" s="231">
        <v>10</v>
      </c>
      <c r="AQ139" s="231">
        <v>2024</v>
      </c>
      <c r="AR139" s="231" t="str">
        <f t="shared" si="10"/>
        <v>10/2024</v>
      </c>
      <c r="AS139" s="231">
        <f t="shared" si="11"/>
        <v>52</v>
      </c>
      <c r="AT139" s="239">
        <f>IF(G139="CERVECERIA Y MALTERIA",(AS139*AK139/1000000)*(1-VLOOKUP(N139,FCST!D:I,6,FALSE)),0)</f>
        <v>4.372992</v>
      </c>
      <c r="AU139" s="232">
        <v>5.0000000000000001E-3</v>
      </c>
      <c r="AV139" s="239">
        <f t="shared" si="12"/>
        <v>4.3948569599999994</v>
      </c>
      <c r="AW139" s="239">
        <f>(AS139*AK139/1000000)*(VLOOKUP(N139,FCST!D:I,6,FALSE))</f>
        <v>0</v>
      </c>
      <c r="AX139" s="239">
        <f t="shared" si="13"/>
        <v>0</v>
      </c>
      <c r="AY139" s="239">
        <f>IF($G139="CERVECERIA Y MALTERIA.",($AS139*$AK139/1000000)*(1-VLOOKUP($N139,FCST!D:I,6,FALSE)),0)</f>
        <v>0</v>
      </c>
      <c r="AZ139" s="239">
        <f t="shared" si="14"/>
        <v>0</v>
      </c>
    </row>
    <row r="140" spans="1:52" x14ac:dyDescent="0.25">
      <c r="A140" s="209">
        <v>1081829</v>
      </c>
      <c r="B140" s="209">
        <v>70</v>
      </c>
      <c r="C140" s="209">
        <v>89302743</v>
      </c>
      <c r="D140" s="209">
        <v>10</v>
      </c>
      <c r="E140" s="209">
        <v>10000002</v>
      </c>
      <c r="F140" s="209">
        <v>20000340</v>
      </c>
      <c r="G140" s="209" t="s">
        <v>117</v>
      </c>
      <c r="H140" s="209">
        <v>20000340</v>
      </c>
      <c r="I140" s="209">
        <v>2</v>
      </c>
      <c r="J140" s="209" t="s">
        <v>169</v>
      </c>
      <c r="K140" s="209" t="s">
        <v>395</v>
      </c>
      <c r="L140" s="209" t="s">
        <v>171</v>
      </c>
      <c r="M140" s="209" t="s">
        <v>184</v>
      </c>
      <c r="N140" s="209">
        <v>50029817</v>
      </c>
      <c r="O140" s="209" t="s">
        <v>396</v>
      </c>
      <c r="P140" s="209">
        <v>5101</v>
      </c>
      <c r="Q140" s="209" t="s">
        <v>186</v>
      </c>
      <c r="R140" s="209" t="s">
        <v>175</v>
      </c>
      <c r="S140" s="209" t="s">
        <v>176</v>
      </c>
      <c r="T140" s="209" t="s">
        <v>187</v>
      </c>
      <c r="U140" s="209" t="s">
        <v>188</v>
      </c>
      <c r="V140" s="209" t="s">
        <v>179</v>
      </c>
      <c r="W140" s="209" t="s">
        <v>179</v>
      </c>
      <c r="X140" s="209" t="s">
        <v>180</v>
      </c>
      <c r="Y140" s="209" t="s">
        <v>180</v>
      </c>
      <c r="Z140" s="209">
        <v>9511046982</v>
      </c>
      <c r="AA140" s="209" t="s">
        <v>397</v>
      </c>
      <c r="AB140" s="209" t="s">
        <v>180</v>
      </c>
      <c r="AC140" s="209" t="s">
        <v>182</v>
      </c>
      <c r="AD140" s="209">
        <v>10</v>
      </c>
      <c r="AE140" s="209">
        <v>2024</v>
      </c>
      <c r="AF140" s="227">
        <v>45590</v>
      </c>
      <c r="AG140" s="227">
        <v>45596</v>
      </c>
      <c r="AH140" s="227">
        <v>45596</v>
      </c>
      <c r="AI140" s="228">
        <v>606528</v>
      </c>
      <c r="AJ140" s="228">
        <v>52</v>
      </c>
      <c r="AK140" s="228">
        <v>606528</v>
      </c>
      <c r="AL140" s="228">
        <v>52</v>
      </c>
      <c r="AM140" s="228">
        <v>0</v>
      </c>
      <c r="AN140" s="228">
        <v>0</v>
      </c>
      <c r="AO140" s="229">
        <v>44</v>
      </c>
      <c r="AP140" s="231">
        <v>10</v>
      </c>
      <c r="AQ140" s="231">
        <v>2024</v>
      </c>
      <c r="AR140" s="231" t="str">
        <f t="shared" si="10"/>
        <v>10/2024</v>
      </c>
      <c r="AS140" s="231">
        <f t="shared" si="11"/>
        <v>30</v>
      </c>
      <c r="AT140" s="239">
        <f>IF(G140="CERVECERIA Y MALTERIA",(AS140*AK140/1000000)*(1-VLOOKUP(N140,FCST!D:I,6,FALSE)),0)</f>
        <v>0</v>
      </c>
      <c r="AU140" s="232">
        <v>5.0000000000000001E-3</v>
      </c>
      <c r="AV140" s="239">
        <f t="shared" si="12"/>
        <v>0</v>
      </c>
      <c r="AW140" s="239">
        <f>(AS140*AK140/1000000)*(VLOOKUP(N140,FCST!D:I,6,FALSE))</f>
        <v>5.4587519999999996</v>
      </c>
      <c r="AX140" s="239">
        <f t="shared" si="13"/>
        <v>5.4860457599999988</v>
      </c>
      <c r="AY140" s="239">
        <f>IF($G140="CERVECERIA Y MALTERIA.",($AS140*$AK140/1000000)*(1-VLOOKUP($N140,FCST!D:I,6,FALSE)),0)</f>
        <v>12.737088</v>
      </c>
      <c r="AZ140" s="239">
        <f t="shared" si="14"/>
        <v>12.800773439999999</v>
      </c>
    </row>
    <row r="141" spans="1:52" x14ac:dyDescent="0.25">
      <c r="A141" s="209">
        <v>1082146</v>
      </c>
      <c r="B141" s="209">
        <v>30</v>
      </c>
      <c r="C141" s="209">
        <v>89302756</v>
      </c>
      <c r="D141" s="209">
        <v>10</v>
      </c>
      <c r="E141" s="209">
        <v>10000002</v>
      </c>
      <c r="F141" s="209">
        <v>20000337</v>
      </c>
      <c r="G141" s="209" t="s">
        <v>105</v>
      </c>
      <c r="H141" s="209">
        <v>20000337</v>
      </c>
      <c r="I141" s="209">
        <v>2</v>
      </c>
      <c r="J141" s="209" t="s">
        <v>169</v>
      </c>
      <c r="K141" s="209" t="s">
        <v>398</v>
      </c>
      <c r="L141" s="209" t="s">
        <v>171</v>
      </c>
      <c r="M141" s="209" t="s">
        <v>184</v>
      </c>
      <c r="N141" s="209">
        <v>50034616</v>
      </c>
      <c r="O141" s="209" t="s">
        <v>191</v>
      </c>
      <c r="P141" s="209">
        <v>5121</v>
      </c>
      <c r="Q141" s="209" t="s">
        <v>174</v>
      </c>
      <c r="R141" s="209" t="s">
        <v>175</v>
      </c>
      <c r="S141" s="209" t="s">
        <v>176</v>
      </c>
      <c r="T141" s="209" t="s">
        <v>177</v>
      </c>
      <c r="U141" s="209" t="s">
        <v>178</v>
      </c>
      <c r="V141" s="209" t="s">
        <v>179</v>
      </c>
      <c r="W141" s="209" t="s">
        <v>179</v>
      </c>
      <c r="X141" s="209" t="s">
        <v>180</v>
      </c>
      <c r="Y141" s="209" t="s">
        <v>180</v>
      </c>
      <c r="Z141" s="209">
        <v>9521066578</v>
      </c>
      <c r="AA141" s="209" t="s">
        <v>399</v>
      </c>
      <c r="AB141" s="209" t="s">
        <v>180</v>
      </c>
      <c r="AC141" s="209" t="s">
        <v>182</v>
      </c>
      <c r="AD141" s="209">
        <v>10</v>
      </c>
      <c r="AE141" s="209">
        <v>2024</v>
      </c>
      <c r="AF141" s="227">
        <v>45593</v>
      </c>
      <c r="AG141" s="227">
        <v>45596</v>
      </c>
      <c r="AH141" s="227">
        <v>45596</v>
      </c>
      <c r="AI141" s="228">
        <v>426816</v>
      </c>
      <c r="AJ141" s="228">
        <v>52</v>
      </c>
      <c r="AK141" s="228">
        <v>426816</v>
      </c>
      <c r="AL141" s="228">
        <v>52</v>
      </c>
      <c r="AM141" s="228">
        <v>0</v>
      </c>
      <c r="AN141" s="228">
        <v>0</v>
      </c>
      <c r="AO141" s="229">
        <v>44</v>
      </c>
      <c r="AP141" s="231">
        <v>10</v>
      </c>
      <c r="AQ141" s="231">
        <v>2024</v>
      </c>
      <c r="AR141" s="231" t="str">
        <f t="shared" si="10"/>
        <v>10/2024</v>
      </c>
      <c r="AS141" s="231">
        <f t="shared" si="11"/>
        <v>46.6</v>
      </c>
      <c r="AT141" s="239">
        <f>IF(G141="CERVECERIA Y MALTERIA",(AS141*AK141/1000000)*(1-VLOOKUP(N141,FCST!D:I,6,FALSE)),0)</f>
        <v>19.889625600000002</v>
      </c>
      <c r="AU141" s="232">
        <v>5.0000000000000001E-3</v>
      </c>
      <c r="AV141" s="239">
        <f t="shared" si="12"/>
        <v>19.989073728000001</v>
      </c>
      <c r="AW141" s="239">
        <f>(AS141*AK141/1000000)*(VLOOKUP(N141,FCST!D:I,6,FALSE))</f>
        <v>0</v>
      </c>
      <c r="AX141" s="239">
        <f t="shared" si="13"/>
        <v>0</v>
      </c>
      <c r="AY141" s="239">
        <f>IF($G141="CERVECERIA Y MALTERIA.",($AS141*$AK141/1000000)*(1-VLOOKUP($N141,FCST!D:I,6,FALSE)),0)</f>
        <v>0</v>
      </c>
      <c r="AZ141" s="239">
        <f t="shared" si="14"/>
        <v>0</v>
      </c>
    </row>
    <row r="142" spans="1:52" x14ac:dyDescent="0.25">
      <c r="A142" s="209">
        <v>1082146</v>
      </c>
      <c r="B142" s="209">
        <v>20</v>
      </c>
      <c r="C142" s="209">
        <v>89300754</v>
      </c>
      <c r="D142" s="209">
        <v>10</v>
      </c>
      <c r="E142" s="209">
        <v>10000002</v>
      </c>
      <c r="F142" s="209">
        <v>20000337</v>
      </c>
      <c r="G142" s="209" t="s">
        <v>105</v>
      </c>
      <c r="H142" s="209">
        <v>20000337</v>
      </c>
      <c r="I142" s="209">
        <v>2</v>
      </c>
      <c r="J142" s="209" t="s">
        <v>169</v>
      </c>
      <c r="K142" s="209" t="s">
        <v>400</v>
      </c>
      <c r="L142" s="209" t="s">
        <v>171</v>
      </c>
      <c r="M142" s="209" t="s">
        <v>199</v>
      </c>
      <c r="N142" s="209">
        <v>50034616</v>
      </c>
      <c r="O142" s="209" t="s">
        <v>191</v>
      </c>
      <c r="P142" s="209">
        <v>5121</v>
      </c>
      <c r="Q142" s="209" t="s">
        <v>200</v>
      </c>
      <c r="R142" s="209" t="s">
        <v>201</v>
      </c>
      <c r="S142" s="209" t="s">
        <v>202</v>
      </c>
      <c r="T142" s="209" t="s">
        <v>203</v>
      </c>
      <c r="U142" s="209" t="s">
        <v>201</v>
      </c>
      <c r="V142" s="209" t="s">
        <v>179</v>
      </c>
      <c r="W142" s="209" t="s">
        <v>179</v>
      </c>
      <c r="X142" s="209" t="s">
        <v>180</v>
      </c>
      <c r="Y142" s="209" t="s">
        <v>180</v>
      </c>
      <c r="Z142" s="209">
        <v>9521066539</v>
      </c>
      <c r="AA142" s="209" t="s">
        <v>401</v>
      </c>
      <c r="AB142" s="209" t="s">
        <v>180</v>
      </c>
      <c r="AC142" s="209" t="s">
        <v>182</v>
      </c>
      <c r="AD142" s="209">
        <v>10</v>
      </c>
      <c r="AE142" s="209">
        <v>2024</v>
      </c>
      <c r="AF142" s="227">
        <v>45593</v>
      </c>
      <c r="AG142" s="227">
        <v>45594</v>
      </c>
      <c r="AH142" s="227">
        <v>45594</v>
      </c>
      <c r="AI142" s="228">
        <v>426816</v>
      </c>
      <c r="AJ142" s="228">
        <v>52</v>
      </c>
      <c r="AK142" s="228">
        <v>426816</v>
      </c>
      <c r="AL142" s="228">
        <v>52</v>
      </c>
      <c r="AM142" s="228">
        <v>0</v>
      </c>
      <c r="AN142" s="228">
        <v>0</v>
      </c>
      <c r="AO142" s="229">
        <v>44</v>
      </c>
      <c r="AP142" s="231">
        <v>10</v>
      </c>
      <c r="AQ142" s="231">
        <v>2024</v>
      </c>
      <c r="AR142" s="231" t="str">
        <f t="shared" si="10"/>
        <v>10/2024</v>
      </c>
      <c r="AS142" s="231">
        <f t="shared" si="11"/>
        <v>46.6</v>
      </c>
      <c r="AT142" s="239">
        <f>IF(G142="CERVECERIA Y MALTERIA",(AS142*AK142/1000000)*(1-VLOOKUP(N142,FCST!D:I,6,FALSE)),0)</f>
        <v>19.889625600000002</v>
      </c>
      <c r="AU142" s="232">
        <v>5.0000000000000001E-3</v>
      </c>
      <c r="AV142" s="239">
        <f t="shared" si="12"/>
        <v>19.989073728000001</v>
      </c>
      <c r="AW142" s="239">
        <f>(AS142*AK142/1000000)*(VLOOKUP(N142,FCST!D:I,6,FALSE))</f>
        <v>0</v>
      </c>
      <c r="AX142" s="239">
        <f t="shared" si="13"/>
        <v>0</v>
      </c>
      <c r="AY142" s="239">
        <f>IF($G142="CERVECERIA Y MALTERIA.",($AS142*$AK142/1000000)*(1-VLOOKUP($N142,FCST!D:I,6,FALSE)),0)</f>
        <v>0</v>
      </c>
      <c r="AZ142" s="239">
        <f t="shared" si="14"/>
        <v>0</v>
      </c>
    </row>
    <row r="143" spans="1:52" x14ac:dyDescent="0.25">
      <c r="A143" s="209">
        <v>1081827</v>
      </c>
      <c r="B143" s="209">
        <v>50</v>
      </c>
      <c r="C143" s="209">
        <v>89300842</v>
      </c>
      <c r="D143" s="209">
        <v>10</v>
      </c>
      <c r="E143" s="209">
        <v>10000002</v>
      </c>
      <c r="F143" s="209">
        <v>20000335</v>
      </c>
      <c r="G143" s="209" t="s">
        <v>105</v>
      </c>
      <c r="H143" s="209">
        <v>20000335</v>
      </c>
      <c r="I143" s="209">
        <v>2</v>
      </c>
      <c r="J143" s="209" t="s">
        <v>169</v>
      </c>
      <c r="K143" s="209" t="s">
        <v>402</v>
      </c>
      <c r="L143" s="209" t="s">
        <v>171</v>
      </c>
      <c r="M143" s="209" t="s">
        <v>184</v>
      </c>
      <c r="N143" s="209">
        <v>50034574</v>
      </c>
      <c r="O143" s="209" t="s">
        <v>196</v>
      </c>
      <c r="P143" s="209">
        <v>5121</v>
      </c>
      <c r="Q143" s="209" t="s">
        <v>174</v>
      </c>
      <c r="R143" s="209" t="s">
        <v>175</v>
      </c>
      <c r="S143" s="209" t="s">
        <v>176</v>
      </c>
      <c r="T143" s="209" t="s">
        <v>177</v>
      </c>
      <c r="U143" s="209" t="s">
        <v>178</v>
      </c>
      <c r="V143" s="209" t="s">
        <v>179</v>
      </c>
      <c r="W143" s="209" t="s">
        <v>179</v>
      </c>
      <c r="X143" s="209" t="s">
        <v>180</v>
      </c>
      <c r="Y143" s="209" t="s">
        <v>180</v>
      </c>
      <c r="Z143" s="209">
        <v>9521066549</v>
      </c>
      <c r="AA143" s="209" t="s">
        <v>403</v>
      </c>
      <c r="AB143" s="209" t="s">
        <v>180</v>
      </c>
      <c r="AC143" s="209" t="s">
        <v>182</v>
      </c>
      <c r="AD143" s="209">
        <v>10</v>
      </c>
      <c r="AE143" s="209">
        <v>2024</v>
      </c>
      <c r="AF143" s="227">
        <v>45590</v>
      </c>
      <c r="AG143" s="227">
        <v>45594</v>
      </c>
      <c r="AH143" s="227">
        <v>45594</v>
      </c>
      <c r="AI143" s="228">
        <v>977184</v>
      </c>
      <c r="AJ143" s="228">
        <v>52</v>
      </c>
      <c r="AK143" s="228">
        <v>977184</v>
      </c>
      <c r="AL143" s="228">
        <v>52</v>
      </c>
      <c r="AM143" s="228">
        <v>0</v>
      </c>
      <c r="AN143" s="228">
        <v>0</v>
      </c>
      <c r="AO143" s="229">
        <v>44</v>
      </c>
      <c r="AP143" s="231">
        <v>10</v>
      </c>
      <c r="AQ143" s="231">
        <v>2024</v>
      </c>
      <c r="AR143" s="231" t="str">
        <f t="shared" si="10"/>
        <v>10/2024</v>
      </c>
      <c r="AS143" s="231">
        <f t="shared" si="11"/>
        <v>19.5</v>
      </c>
      <c r="AT143" s="239">
        <f>IF(G143="CERVECERIA Y MALTERIA",(AS143*AK143/1000000)*(1-VLOOKUP(N143,FCST!D:I,6,FALSE)),0)</f>
        <v>19.055088000000001</v>
      </c>
      <c r="AU143" s="232">
        <v>5.0000000000000001E-3</v>
      </c>
      <c r="AV143" s="239">
        <f t="shared" si="12"/>
        <v>19.15036344</v>
      </c>
      <c r="AW143" s="239">
        <f>(AS143*AK143/1000000)*(VLOOKUP(N143,FCST!D:I,6,FALSE))</f>
        <v>0</v>
      </c>
      <c r="AX143" s="239">
        <f t="shared" si="13"/>
        <v>0</v>
      </c>
      <c r="AY143" s="239">
        <f>IF($G143="CERVECERIA Y MALTERIA.",($AS143*$AK143/1000000)*(1-VLOOKUP($N143,FCST!D:I,6,FALSE)),0)</f>
        <v>0</v>
      </c>
      <c r="AZ143" s="239">
        <f t="shared" si="14"/>
        <v>0</v>
      </c>
    </row>
    <row r="144" spans="1:52" x14ac:dyDescent="0.25">
      <c r="A144" s="209">
        <v>1082026</v>
      </c>
      <c r="B144" s="209">
        <v>20</v>
      </c>
      <c r="C144" s="209">
        <v>89300848</v>
      </c>
      <c r="D144" s="209">
        <v>10</v>
      </c>
      <c r="E144" s="209">
        <v>10000002</v>
      </c>
      <c r="F144" s="209">
        <v>20000336</v>
      </c>
      <c r="G144" s="209" t="s">
        <v>105</v>
      </c>
      <c r="H144" s="209">
        <v>20000336</v>
      </c>
      <c r="I144" s="209">
        <v>2</v>
      </c>
      <c r="J144" s="209" t="s">
        <v>169</v>
      </c>
      <c r="K144" s="209" t="s">
        <v>404</v>
      </c>
      <c r="L144" s="209" t="s">
        <v>265</v>
      </c>
      <c r="M144" s="209" t="s">
        <v>184</v>
      </c>
      <c r="N144" s="209">
        <v>50034634</v>
      </c>
      <c r="O144" s="209" t="s">
        <v>219</v>
      </c>
      <c r="P144" s="209">
        <v>5121</v>
      </c>
      <c r="Q144" s="209" t="s">
        <v>174</v>
      </c>
      <c r="R144" s="209" t="s">
        <v>175</v>
      </c>
      <c r="S144" s="209" t="s">
        <v>176</v>
      </c>
      <c r="T144" s="209" t="s">
        <v>177</v>
      </c>
      <c r="U144" s="209" t="s">
        <v>178</v>
      </c>
      <c r="V144" s="209">
        <v>111</v>
      </c>
      <c r="W144" s="209">
        <v>111</v>
      </c>
      <c r="X144" s="209" t="s">
        <v>180</v>
      </c>
      <c r="Y144" s="209" t="s">
        <v>180</v>
      </c>
      <c r="Z144" s="209">
        <v>9521066552</v>
      </c>
      <c r="AA144" s="209" t="s">
        <v>405</v>
      </c>
      <c r="AB144" s="209" t="s">
        <v>180</v>
      </c>
      <c r="AC144" s="209" t="s">
        <v>182</v>
      </c>
      <c r="AD144" s="209">
        <v>10</v>
      </c>
      <c r="AE144" s="209">
        <v>2024</v>
      </c>
      <c r="AF144" s="227">
        <v>45590</v>
      </c>
      <c r="AG144" s="227">
        <v>45594</v>
      </c>
      <c r="AH144" s="227">
        <v>45594</v>
      </c>
      <c r="AI144" s="228">
        <v>364416</v>
      </c>
      <c r="AJ144" s="228">
        <v>52</v>
      </c>
      <c r="AK144" s="228">
        <v>364416</v>
      </c>
      <c r="AL144" s="228">
        <v>52</v>
      </c>
      <c r="AM144" s="228">
        <v>0</v>
      </c>
      <c r="AN144" s="228">
        <v>0</v>
      </c>
      <c r="AO144" s="229">
        <v>44</v>
      </c>
      <c r="AP144" s="231">
        <v>10</v>
      </c>
      <c r="AQ144" s="231">
        <v>2024</v>
      </c>
      <c r="AR144" s="231" t="str">
        <f t="shared" si="10"/>
        <v>10/2024</v>
      </c>
      <c r="AS144" s="231">
        <f t="shared" si="11"/>
        <v>52</v>
      </c>
      <c r="AT144" s="239">
        <f>IF(G144="CERVECERIA Y MALTERIA",(AS144*AK144/1000000)*(1-VLOOKUP(N144,FCST!D:I,6,FALSE)),0)</f>
        <v>18.949632000000001</v>
      </c>
      <c r="AU144" s="232">
        <v>5.0000000000000001E-3</v>
      </c>
      <c r="AV144" s="239">
        <f t="shared" si="12"/>
        <v>19.044380159999999</v>
      </c>
      <c r="AW144" s="239">
        <f>(AS144*AK144/1000000)*(VLOOKUP(N144,FCST!D:I,6,FALSE))</f>
        <v>0</v>
      </c>
      <c r="AX144" s="239">
        <f t="shared" si="13"/>
        <v>0</v>
      </c>
      <c r="AY144" s="239">
        <f>IF($G144="CERVECERIA Y MALTERIA.",($AS144*$AK144/1000000)*(1-VLOOKUP($N144,FCST!D:I,6,FALSE)),0)</f>
        <v>0</v>
      </c>
      <c r="AZ144" s="239">
        <f t="shared" si="14"/>
        <v>0</v>
      </c>
    </row>
    <row r="145" spans="1:52" x14ac:dyDescent="0.25">
      <c r="A145" s="209">
        <v>1082026</v>
      </c>
      <c r="B145" s="209">
        <v>30</v>
      </c>
      <c r="C145" s="209">
        <v>89301035</v>
      </c>
      <c r="D145" s="209">
        <v>10</v>
      </c>
      <c r="E145" s="209">
        <v>10000002</v>
      </c>
      <c r="F145" s="209">
        <v>20000336</v>
      </c>
      <c r="G145" s="209" t="s">
        <v>105</v>
      </c>
      <c r="H145" s="209">
        <v>20000336</v>
      </c>
      <c r="I145" s="209">
        <v>2</v>
      </c>
      <c r="J145" s="209" t="s">
        <v>169</v>
      </c>
      <c r="K145" s="209" t="s">
        <v>406</v>
      </c>
      <c r="L145" s="209" t="s">
        <v>265</v>
      </c>
      <c r="M145" s="209" t="s">
        <v>172</v>
      </c>
      <c r="N145" s="209">
        <v>50035046</v>
      </c>
      <c r="O145" s="209" t="s">
        <v>251</v>
      </c>
      <c r="P145" s="209">
        <v>5121</v>
      </c>
      <c r="Q145" s="209" t="s">
        <v>174</v>
      </c>
      <c r="R145" s="209" t="s">
        <v>175</v>
      </c>
      <c r="S145" s="209" t="s">
        <v>176</v>
      </c>
      <c r="T145" s="209" t="s">
        <v>177</v>
      </c>
      <c r="U145" s="209" t="s">
        <v>178</v>
      </c>
      <c r="V145" s="209">
        <v>111</v>
      </c>
      <c r="W145" s="209">
        <v>111</v>
      </c>
      <c r="X145" s="209" t="s">
        <v>180</v>
      </c>
      <c r="Y145" s="209" t="s">
        <v>180</v>
      </c>
      <c r="Z145" s="209">
        <v>9521066547</v>
      </c>
      <c r="AA145" s="209" t="s">
        <v>407</v>
      </c>
      <c r="AB145" s="209" t="s">
        <v>180</v>
      </c>
      <c r="AC145" s="209" t="s">
        <v>182</v>
      </c>
      <c r="AD145" s="209">
        <v>10</v>
      </c>
      <c r="AE145" s="209">
        <v>2024</v>
      </c>
      <c r="AF145" s="227">
        <v>45590</v>
      </c>
      <c r="AG145" s="227">
        <v>45594</v>
      </c>
      <c r="AH145" s="227">
        <v>45594</v>
      </c>
      <c r="AI145" s="228">
        <v>78240</v>
      </c>
      <c r="AJ145" s="228">
        <v>10</v>
      </c>
      <c r="AK145" s="228">
        <v>78240</v>
      </c>
      <c r="AL145" s="228">
        <v>10</v>
      </c>
      <c r="AM145" s="228">
        <v>0</v>
      </c>
      <c r="AN145" s="228">
        <v>0</v>
      </c>
      <c r="AO145" s="229">
        <v>44</v>
      </c>
      <c r="AP145" s="231">
        <v>10</v>
      </c>
      <c r="AQ145" s="231">
        <v>2024</v>
      </c>
      <c r="AR145" s="231" t="str">
        <f t="shared" si="10"/>
        <v>10/2024</v>
      </c>
      <c r="AS145" s="231">
        <f t="shared" si="11"/>
        <v>44</v>
      </c>
      <c r="AT145" s="239">
        <f>IF(G145="CERVECERIA Y MALTERIA",(AS145*AK145/1000000)*(1-VLOOKUP(N145,FCST!D:I,6,FALSE)),0)</f>
        <v>3.4425599999999998</v>
      </c>
      <c r="AU145" s="232">
        <v>5.0000000000000001E-3</v>
      </c>
      <c r="AV145" s="239">
        <f t="shared" si="12"/>
        <v>3.4597727999999996</v>
      </c>
      <c r="AW145" s="239">
        <f>(AS145*AK145/1000000)*(VLOOKUP(N145,FCST!D:I,6,FALSE))</f>
        <v>0</v>
      </c>
      <c r="AX145" s="239">
        <f t="shared" si="13"/>
        <v>0</v>
      </c>
      <c r="AY145" s="239">
        <f>IF($G145="CERVECERIA Y MALTERIA.",($AS145*$AK145/1000000)*(1-VLOOKUP($N145,FCST!D:I,6,FALSE)),0)</f>
        <v>0</v>
      </c>
      <c r="AZ145" s="239">
        <f t="shared" si="14"/>
        <v>0</v>
      </c>
    </row>
    <row r="146" spans="1:52" x14ac:dyDescent="0.25">
      <c r="A146" s="209">
        <v>1082026</v>
      </c>
      <c r="B146" s="209">
        <v>40</v>
      </c>
      <c r="C146" s="209">
        <v>89301035</v>
      </c>
      <c r="D146" s="209">
        <v>20</v>
      </c>
      <c r="E146" s="209">
        <v>10000002</v>
      </c>
      <c r="F146" s="209">
        <v>20000336</v>
      </c>
      <c r="G146" s="209" t="s">
        <v>105</v>
      </c>
      <c r="H146" s="209">
        <v>20000336</v>
      </c>
      <c r="I146" s="209">
        <v>2</v>
      </c>
      <c r="J146" s="209" t="s">
        <v>169</v>
      </c>
      <c r="K146" s="209" t="s">
        <v>406</v>
      </c>
      <c r="L146" s="209" t="s">
        <v>265</v>
      </c>
      <c r="M146" s="209" t="s">
        <v>172</v>
      </c>
      <c r="N146" s="209">
        <v>50033268</v>
      </c>
      <c r="O146" s="209" t="s">
        <v>253</v>
      </c>
      <c r="P146" s="209">
        <v>5121</v>
      </c>
      <c r="Q146" s="209" t="s">
        <v>174</v>
      </c>
      <c r="R146" s="209" t="s">
        <v>175</v>
      </c>
      <c r="S146" s="209" t="s">
        <v>176</v>
      </c>
      <c r="T146" s="209" t="s">
        <v>177</v>
      </c>
      <c r="U146" s="209" t="s">
        <v>178</v>
      </c>
      <c r="V146" s="209">
        <v>111</v>
      </c>
      <c r="W146" s="209">
        <v>111</v>
      </c>
      <c r="X146" s="209" t="s">
        <v>180</v>
      </c>
      <c r="Y146" s="209" t="s">
        <v>180</v>
      </c>
      <c r="Z146" s="209">
        <v>9521066547</v>
      </c>
      <c r="AA146" s="209" t="s">
        <v>407</v>
      </c>
      <c r="AB146" s="209" t="s">
        <v>180</v>
      </c>
      <c r="AC146" s="209" t="s">
        <v>182</v>
      </c>
      <c r="AD146" s="209">
        <v>10</v>
      </c>
      <c r="AE146" s="209">
        <v>2024</v>
      </c>
      <c r="AF146" s="227">
        <v>45590</v>
      </c>
      <c r="AG146" s="227">
        <v>45594</v>
      </c>
      <c r="AH146" s="227">
        <v>45594</v>
      </c>
      <c r="AI146" s="228">
        <v>328608</v>
      </c>
      <c r="AJ146" s="228">
        <v>42</v>
      </c>
      <c r="AK146" s="228">
        <v>328608</v>
      </c>
      <c r="AL146" s="228">
        <v>42</v>
      </c>
      <c r="AM146" s="228">
        <v>0</v>
      </c>
      <c r="AN146" s="228">
        <v>0</v>
      </c>
      <c r="AO146" s="229">
        <v>44</v>
      </c>
      <c r="AP146" s="231">
        <v>10</v>
      </c>
      <c r="AQ146" s="231">
        <v>2024</v>
      </c>
      <c r="AR146" s="231" t="str">
        <f t="shared" ref="AR146:AR177" si="15">+IF(AP146&lt;10,"0"&amp;AP146&amp; "/"&amp;AQ146,AP146&amp; "/"&amp;AQ146)</f>
        <v>10/2024</v>
      </c>
      <c r="AS146" s="231">
        <f t="shared" ref="AS146:AS177" si="16">VALUE(MID(INDEX(_xlfn.TEXTSPLIT(O146, ","), 1, 3), 1,FIND("G", INDEX(_xlfn.TEXTSPLIT(O146, ","), 1, 3))-1))</f>
        <v>44</v>
      </c>
      <c r="AT146" s="239">
        <f>IF(G146="CERVECERIA Y MALTERIA",(AS146*AK146/1000000)*(1-VLOOKUP(N146,FCST!D:I,6,FALSE)),0)</f>
        <v>14.458752</v>
      </c>
      <c r="AU146" s="232">
        <v>5.0000000000000001E-3</v>
      </c>
      <c r="AV146" s="239">
        <f t="shared" ref="AV146:AV177" si="17">+AT146*(1+AU146)</f>
        <v>14.53104576</v>
      </c>
      <c r="AW146" s="239">
        <f>(AS146*AK146/1000000)*(VLOOKUP(N146,FCST!D:I,6,FALSE))</f>
        <v>0</v>
      </c>
      <c r="AX146" s="239">
        <f t="shared" ref="AX146:AX177" si="18">+AW146*(1+AU146)</f>
        <v>0</v>
      </c>
      <c r="AY146" s="239">
        <f>IF($G146="CERVECERIA Y MALTERIA.",($AS146*$AK146/1000000)*(1-VLOOKUP($N146,FCST!D:I,6,FALSE)),0)</f>
        <v>0</v>
      </c>
      <c r="AZ146" s="239">
        <f t="shared" ref="AZ146:AZ177" si="19">+AY146*(1+AU146)</f>
        <v>0</v>
      </c>
    </row>
    <row r="147" spans="1:52" x14ac:dyDescent="0.25">
      <c r="A147" s="209">
        <v>1082026</v>
      </c>
      <c r="B147" s="209">
        <v>50</v>
      </c>
      <c r="C147" s="209">
        <v>89303376</v>
      </c>
      <c r="D147" s="209">
        <v>10</v>
      </c>
      <c r="E147" s="209">
        <v>10000002</v>
      </c>
      <c r="F147" s="209">
        <v>20000336</v>
      </c>
      <c r="G147" s="209" t="s">
        <v>105</v>
      </c>
      <c r="H147" s="209">
        <v>20000336</v>
      </c>
      <c r="I147" s="209">
        <v>2</v>
      </c>
      <c r="J147" s="209" t="s">
        <v>169</v>
      </c>
      <c r="K147" s="209" t="s">
        <v>408</v>
      </c>
      <c r="L147" s="209" t="s">
        <v>265</v>
      </c>
      <c r="M147" s="209" t="s">
        <v>172</v>
      </c>
      <c r="N147" s="209">
        <v>50033268</v>
      </c>
      <c r="O147" s="209" t="s">
        <v>253</v>
      </c>
      <c r="P147" s="209">
        <v>5121</v>
      </c>
      <c r="Q147" s="209" t="s">
        <v>174</v>
      </c>
      <c r="R147" s="209" t="s">
        <v>175</v>
      </c>
      <c r="S147" s="209" t="s">
        <v>176</v>
      </c>
      <c r="T147" s="209" t="s">
        <v>177</v>
      </c>
      <c r="U147" s="209" t="s">
        <v>178</v>
      </c>
      <c r="V147" s="209">
        <v>111</v>
      </c>
      <c r="W147" s="209">
        <v>111</v>
      </c>
      <c r="X147" s="209" t="s">
        <v>180</v>
      </c>
      <c r="Y147" s="209" t="s">
        <v>180</v>
      </c>
      <c r="Z147" s="209">
        <v>9521066592</v>
      </c>
      <c r="AA147" s="209" t="s">
        <v>409</v>
      </c>
      <c r="AB147" s="209" t="s">
        <v>180</v>
      </c>
      <c r="AC147" s="209" t="s">
        <v>182</v>
      </c>
      <c r="AD147" s="209">
        <v>10</v>
      </c>
      <c r="AE147" s="209">
        <v>2024</v>
      </c>
      <c r="AF147" s="227">
        <v>45590</v>
      </c>
      <c r="AG147" s="227">
        <v>45596</v>
      </c>
      <c r="AH147" s="227">
        <v>45596</v>
      </c>
      <c r="AI147" s="228">
        <v>406848</v>
      </c>
      <c r="AJ147" s="228">
        <v>52</v>
      </c>
      <c r="AK147" s="228">
        <v>406848</v>
      </c>
      <c r="AL147" s="228">
        <v>52</v>
      </c>
      <c r="AM147" s="228">
        <v>0</v>
      </c>
      <c r="AN147" s="228">
        <v>0</v>
      </c>
      <c r="AO147" s="229">
        <v>44</v>
      </c>
      <c r="AP147" s="231">
        <v>10</v>
      </c>
      <c r="AQ147" s="231">
        <v>2024</v>
      </c>
      <c r="AR147" s="231" t="str">
        <f t="shared" si="15"/>
        <v>10/2024</v>
      </c>
      <c r="AS147" s="231">
        <f t="shared" si="16"/>
        <v>44</v>
      </c>
      <c r="AT147" s="239">
        <f>IF(G147="CERVECERIA Y MALTERIA",(AS147*AK147/1000000)*(1-VLOOKUP(N147,FCST!D:I,6,FALSE)),0)</f>
        <v>17.901312000000001</v>
      </c>
      <c r="AU147" s="232">
        <v>5.0000000000000001E-3</v>
      </c>
      <c r="AV147" s="239">
        <f t="shared" si="17"/>
        <v>17.990818559999997</v>
      </c>
      <c r="AW147" s="239">
        <f>(AS147*AK147/1000000)*(VLOOKUP(N147,FCST!D:I,6,FALSE))</f>
        <v>0</v>
      </c>
      <c r="AX147" s="239">
        <f t="shared" si="18"/>
        <v>0</v>
      </c>
      <c r="AY147" s="239">
        <f>IF($G147="CERVECERIA Y MALTERIA.",($AS147*$AK147/1000000)*(1-VLOOKUP($N147,FCST!D:I,6,FALSE)),0)</f>
        <v>0</v>
      </c>
      <c r="AZ147" s="239">
        <f t="shared" si="19"/>
        <v>0</v>
      </c>
    </row>
    <row r="148" spans="1:52" x14ac:dyDescent="0.25">
      <c r="A148" s="209">
        <v>1081829</v>
      </c>
      <c r="B148" s="209">
        <v>60</v>
      </c>
      <c r="C148" s="209">
        <v>89302783</v>
      </c>
      <c r="D148" s="209">
        <v>10</v>
      </c>
      <c r="E148" s="209">
        <v>10000002</v>
      </c>
      <c r="F148" s="209">
        <v>20000340</v>
      </c>
      <c r="G148" s="209" t="s">
        <v>117</v>
      </c>
      <c r="H148" s="209">
        <v>20000340</v>
      </c>
      <c r="I148" s="209">
        <v>2</v>
      </c>
      <c r="J148" s="209" t="s">
        <v>169</v>
      </c>
      <c r="K148" s="209" t="s">
        <v>410</v>
      </c>
      <c r="L148" s="209" t="s">
        <v>171</v>
      </c>
      <c r="M148" s="209" t="s">
        <v>184</v>
      </c>
      <c r="N148" s="209">
        <v>50029817</v>
      </c>
      <c r="O148" s="209" t="s">
        <v>396</v>
      </c>
      <c r="P148" s="209">
        <v>5101</v>
      </c>
      <c r="Q148" s="209" t="s">
        <v>186</v>
      </c>
      <c r="R148" s="209" t="s">
        <v>175</v>
      </c>
      <c r="S148" s="209" t="s">
        <v>176</v>
      </c>
      <c r="T148" s="209" t="s">
        <v>187</v>
      </c>
      <c r="U148" s="209" t="s">
        <v>188</v>
      </c>
      <c r="V148" s="209" t="s">
        <v>179</v>
      </c>
      <c r="W148" s="209" t="s">
        <v>179</v>
      </c>
      <c r="X148" s="209" t="s">
        <v>180</v>
      </c>
      <c r="Y148" s="209" t="s">
        <v>180</v>
      </c>
      <c r="Z148" s="209">
        <v>9511046982</v>
      </c>
      <c r="AA148" s="209" t="s">
        <v>397</v>
      </c>
      <c r="AB148" s="209" t="s">
        <v>180</v>
      </c>
      <c r="AC148" s="209" t="s">
        <v>182</v>
      </c>
      <c r="AD148" s="209">
        <v>10</v>
      </c>
      <c r="AE148" s="209">
        <v>2024</v>
      </c>
      <c r="AF148" s="227">
        <v>45590</v>
      </c>
      <c r="AG148" s="227">
        <v>45596</v>
      </c>
      <c r="AH148" s="227">
        <v>45596</v>
      </c>
      <c r="AI148" s="228">
        <v>606528</v>
      </c>
      <c r="AJ148" s="228">
        <v>52</v>
      </c>
      <c r="AK148" s="228">
        <v>606528</v>
      </c>
      <c r="AL148" s="228">
        <v>52</v>
      </c>
      <c r="AM148" s="228">
        <v>0</v>
      </c>
      <c r="AN148" s="228">
        <v>0</v>
      </c>
      <c r="AO148" s="229">
        <v>44</v>
      </c>
      <c r="AP148" s="231">
        <v>10</v>
      </c>
      <c r="AQ148" s="231">
        <v>2024</v>
      </c>
      <c r="AR148" s="231" t="str">
        <f t="shared" si="15"/>
        <v>10/2024</v>
      </c>
      <c r="AS148" s="231">
        <f t="shared" si="16"/>
        <v>30</v>
      </c>
      <c r="AT148" s="239">
        <f>IF(G148="CERVECERIA Y MALTERIA",(AS148*AK148/1000000)*(1-VLOOKUP(N148,FCST!D:I,6,FALSE)),0)</f>
        <v>0</v>
      </c>
      <c r="AU148" s="232">
        <v>5.0000000000000001E-3</v>
      </c>
      <c r="AV148" s="239">
        <f t="shared" si="17"/>
        <v>0</v>
      </c>
      <c r="AW148" s="239">
        <f>(AS148*AK148/1000000)*(VLOOKUP(N148,FCST!D:I,6,FALSE))</f>
        <v>5.4587519999999996</v>
      </c>
      <c r="AX148" s="239">
        <f t="shared" si="18"/>
        <v>5.4860457599999988</v>
      </c>
      <c r="AY148" s="239">
        <f>IF($G148="CERVECERIA Y MALTERIA.",($AS148*$AK148/1000000)*(1-VLOOKUP($N148,FCST!D:I,6,FALSE)),0)</f>
        <v>12.737088</v>
      </c>
      <c r="AZ148" s="239">
        <f t="shared" si="19"/>
        <v>12.800773439999999</v>
      </c>
    </row>
    <row r="149" spans="1:52" x14ac:dyDescent="0.25">
      <c r="A149" s="209">
        <v>1081827</v>
      </c>
      <c r="B149" s="209">
        <v>60</v>
      </c>
      <c r="C149" s="209">
        <v>89302879</v>
      </c>
      <c r="D149" s="209">
        <v>10</v>
      </c>
      <c r="E149" s="209">
        <v>10000002</v>
      </c>
      <c r="F149" s="209">
        <v>20000335</v>
      </c>
      <c r="G149" s="209" t="s">
        <v>105</v>
      </c>
      <c r="H149" s="209">
        <v>20000335</v>
      </c>
      <c r="I149" s="209">
        <v>2</v>
      </c>
      <c r="J149" s="209" t="s">
        <v>169</v>
      </c>
      <c r="K149" s="209" t="s">
        <v>411</v>
      </c>
      <c r="L149" s="209" t="s">
        <v>171</v>
      </c>
      <c r="M149" s="209" t="s">
        <v>199</v>
      </c>
      <c r="N149" s="209">
        <v>50034574</v>
      </c>
      <c r="O149" s="209" t="s">
        <v>196</v>
      </c>
      <c r="P149" s="209">
        <v>5121</v>
      </c>
      <c r="Q149" s="209" t="s">
        <v>200</v>
      </c>
      <c r="R149" s="209" t="s">
        <v>201</v>
      </c>
      <c r="S149" s="209" t="s">
        <v>202</v>
      </c>
      <c r="T149" s="209" t="s">
        <v>203</v>
      </c>
      <c r="U149" s="209" t="s">
        <v>201</v>
      </c>
      <c r="V149" s="209" t="s">
        <v>179</v>
      </c>
      <c r="W149" s="209" t="s">
        <v>179</v>
      </c>
      <c r="X149" s="209" t="s">
        <v>180</v>
      </c>
      <c r="Y149" s="209" t="s">
        <v>180</v>
      </c>
      <c r="Z149" s="209">
        <v>9521066575</v>
      </c>
      <c r="AA149" s="209" t="s">
        <v>412</v>
      </c>
      <c r="AB149" s="209" t="s">
        <v>180</v>
      </c>
      <c r="AC149" s="209" t="s">
        <v>182</v>
      </c>
      <c r="AD149" s="209">
        <v>10</v>
      </c>
      <c r="AE149" s="209">
        <v>2024</v>
      </c>
      <c r="AF149" s="227">
        <v>45590</v>
      </c>
      <c r="AG149" s="227">
        <v>45596</v>
      </c>
      <c r="AH149" s="227">
        <v>45596</v>
      </c>
      <c r="AI149" s="228">
        <v>977184</v>
      </c>
      <c r="AJ149" s="228">
        <v>52</v>
      </c>
      <c r="AK149" s="228">
        <v>977184</v>
      </c>
      <c r="AL149" s="228">
        <v>52</v>
      </c>
      <c r="AM149" s="228">
        <v>0</v>
      </c>
      <c r="AN149" s="228">
        <v>0</v>
      </c>
      <c r="AO149" s="229">
        <v>44</v>
      </c>
      <c r="AP149" s="231">
        <v>10</v>
      </c>
      <c r="AQ149" s="231">
        <v>2024</v>
      </c>
      <c r="AR149" s="231" t="str">
        <f t="shared" si="15"/>
        <v>10/2024</v>
      </c>
      <c r="AS149" s="231">
        <f t="shared" si="16"/>
        <v>19.5</v>
      </c>
      <c r="AT149" s="239">
        <f>IF(G149="CERVECERIA Y MALTERIA",(AS149*AK149/1000000)*(1-VLOOKUP(N149,FCST!D:I,6,FALSE)),0)</f>
        <v>19.055088000000001</v>
      </c>
      <c r="AU149" s="232">
        <v>5.0000000000000001E-3</v>
      </c>
      <c r="AV149" s="239">
        <f t="shared" si="17"/>
        <v>19.15036344</v>
      </c>
      <c r="AW149" s="239">
        <f>(AS149*AK149/1000000)*(VLOOKUP(N149,FCST!D:I,6,FALSE))</f>
        <v>0</v>
      </c>
      <c r="AX149" s="239">
        <f t="shared" si="18"/>
        <v>0</v>
      </c>
      <c r="AY149" s="239">
        <f>IF($G149="CERVECERIA Y MALTERIA.",($AS149*$AK149/1000000)*(1-VLOOKUP($N149,FCST!D:I,6,FALSE)),0)</f>
        <v>0</v>
      </c>
      <c r="AZ149" s="239">
        <f t="shared" si="19"/>
        <v>0</v>
      </c>
    </row>
    <row r="150" spans="1:52" x14ac:dyDescent="0.25">
      <c r="A150" s="209">
        <v>1081827</v>
      </c>
      <c r="B150" s="209">
        <v>70</v>
      </c>
      <c r="C150" s="209">
        <v>89302982</v>
      </c>
      <c r="D150" s="209">
        <v>10</v>
      </c>
      <c r="E150" s="209">
        <v>10000002</v>
      </c>
      <c r="F150" s="209">
        <v>20000335</v>
      </c>
      <c r="G150" s="209" t="s">
        <v>105</v>
      </c>
      <c r="H150" s="209">
        <v>20000335</v>
      </c>
      <c r="I150" s="209">
        <v>2</v>
      </c>
      <c r="J150" s="209" t="s">
        <v>169</v>
      </c>
      <c r="K150" s="209" t="s">
        <v>413</v>
      </c>
      <c r="L150" s="209" t="s">
        <v>171</v>
      </c>
      <c r="M150" s="209" t="s">
        <v>199</v>
      </c>
      <c r="N150" s="209">
        <v>50032583</v>
      </c>
      <c r="O150" s="209" t="s">
        <v>205</v>
      </c>
      <c r="P150" s="209">
        <v>5121</v>
      </c>
      <c r="Q150" s="209" t="s">
        <v>200</v>
      </c>
      <c r="R150" s="209" t="s">
        <v>201</v>
      </c>
      <c r="S150" s="209" t="s">
        <v>202</v>
      </c>
      <c r="T150" s="209" t="s">
        <v>203</v>
      </c>
      <c r="U150" s="209" t="s">
        <v>201</v>
      </c>
      <c r="V150" s="209" t="s">
        <v>179</v>
      </c>
      <c r="W150" s="209" t="s">
        <v>179</v>
      </c>
      <c r="X150" s="209" t="s">
        <v>180</v>
      </c>
      <c r="Y150" s="209" t="s">
        <v>180</v>
      </c>
      <c r="Z150" s="209">
        <v>9521066580</v>
      </c>
      <c r="AA150" s="209" t="s">
        <v>414</v>
      </c>
      <c r="AB150" s="209" t="s">
        <v>180</v>
      </c>
      <c r="AC150" s="209" t="s">
        <v>182</v>
      </c>
      <c r="AD150" s="209">
        <v>10</v>
      </c>
      <c r="AE150" s="209">
        <v>2024</v>
      </c>
      <c r="AF150" s="227">
        <v>45590</v>
      </c>
      <c r="AG150" s="227">
        <v>45596</v>
      </c>
      <c r="AH150" s="227">
        <v>45596</v>
      </c>
      <c r="AI150" s="228">
        <v>351936</v>
      </c>
      <c r="AJ150" s="228">
        <v>52</v>
      </c>
      <c r="AK150" s="228">
        <v>351936</v>
      </c>
      <c r="AL150" s="228">
        <v>52</v>
      </c>
      <c r="AM150" s="228">
        <v>0</v>
      </c>
      <c r="AN150" s="228">
        <v>0</v>
      </c>
      <c r="AO150" s="229">
        <v>44</v>
      </c>
      <c r="AP150" s="231">
        <v>10</v>
      </c>
      <c r="AQ150" s="231">
        <v>2024</v>
      </c>
      <c r="AR150" s="231" t="str">
        <f t="shared" si="15"/>
        <v>10/2024</v>
      </c>
      <c r="AS150" s="231">
        <f t="shared" si="16"/>
        <v>54.7</v>
      </c>
      <c r="AT150" s="239">
        <f>IF(G150="CERVECERIA Y MALTERIA",(AS150*AK150/1000000)*(1-VLOOKUP(N150,FCST!D:I,6,FALSE)),0)</f>
        <v>19.250899199999999</v>
      </c>
      <c r="AU150" s="232">
        <v>5.0000000000000001E-3</v>
      </c>
      <c r="AV150" s="239">
        <f t="shared" si="17"/>
        <v>19.347153695999996</v>
      </c>
      <c r="AW150" s="239">
        <f>(AS150*AK150/1000000)*(VLOOKUP(N150,FCST!D:I,6,FALSE))</f>
        <v>0</v>
      </c>
      <c r="AX150" s="239">
        <f t="shared" si="18"/>
        <v>0</v>
      </c>
      <c r="AY150" s="239">
        <f>IF($G150="CERVECERIA Y MALTERIA.",($AS150*$AK150/1000000)*(1-VLOOKUP($N150,FCST!D:I,6,FALSE)),0)</f>
        <v>0</v>
      </c>
      <c r="AZ150" s="239">
        <f t="shared" si="19"/>
        <v>0</v>
      </c>
    </row>
    <row r="151" spans="1:52" x14ac:dyDescent="0.25">
      <c r="A151" s="209">
        <v>1082591</v>
      </c>
      <c r="B151" s="209">
        <v>30</v>
      </c>
      <c r="C151" s="209">
        <v>89303030</v>
      </c>
      <c r="D151" s="209">
        <v>10</v>
      </c>
      <c r="E151" s="209">
        <v>10000002</v>
      </c>
      <c r="F151" s="209">
        <v>20001057</v>
      </c>
      <c r="G151" s="209" t="s">
        <v>105</v>
      </c>
      <c r="H151" s="209">
        <v>20001057</v>
      </c>
      <c r="I151" s="209">
        <v>2</v>
      </c>
      <c r="J151" s="209" t="s">
        <v>169</v>
      </c>
      <c r="K151" s="209" t="s">
        <v>415</v>
      </c>
      <c r="L151" s="209" t="s">
        <v>171</v>
      </c>
      <c r="M151" s="209" t="s">
        <v>184</v>
      </c>
      <c r="N151" s="209">
        <v>50034574</v>
      </c>
      <c r="O151" s="209" t="s">
        <v>196</v>
      </c>
      <c r="P151" s="209">
        <v>5121</v>
      </c>
      <c r="Q151" s="209" t="s">
        <v>174</v>
      </c>
      <c r="R151" s="209" t="s">
        <v>175</v>
      </c>
      <c r="S151" s="209" t="s">
        <v>176</v>
      </c>
      <c r="T151" s="209" t="s">
        <v>177</v>
      </c>
      <c r="U151" s="209" t="s">
        <v>178</v>
      </c>
      <c r="V151" s="209" t="s">
        <v>179</v>
      </c>
      <c r="W151" s="209" t="s">
        <v>179</v>
      </c>
      <c r="X151" s="209" t="s">
        <v>180</v>
      </c>
      <c r="Y151" s="209" t="s">
        <v>180</v>
      </c>
      <c r="Z151" s="209">
        <v>9521066591</v>
      </c>
      <c r="AA151" s="209" t="s">
        <v>416</v>
      </c>
      <c r="AB151" s="209" t="s">
        <v>180</v>
      </c>
      <c r="AC151" s="209" t="s">
        <v>182</v>
      </c>
      <c r="AD151" s="209">
        <v>10</v>
      </c>
      <c r="AE151" s="209">
        <v>2024</v>
      </c>
      <c r="AF151" s="227">
        <v>45594</v>
      </c>
      <c r="AG151" s="227">
        <v>45596</v>
      </c>
      <c r="AH151" s="227">
        <v>45596</v>
      </c>
      <c r="AI151" s="228">
        <v>977184</v>
      </c>
      <c r="AJ151" s="228">
        <v>52</v>
      </c>
      <c r="AK151" s="228">
        <v>977184</v>
      </c>
      <c r="AL151" s="228">
        <v>52</v>
      </c>
      <c r="AM151" s="228">
        <v>0</v>
      </c>
      <c r="AN151" s="228">
        <v>0</v>
      </c>
      <c r="AO151" s="229">
        <v>44</v>
      </c>
      <c r="AP151" s="231">
        <v>10</v>
      </c>
      <c r="AQ151" s="231">
        <v>2024</v>
      </c>
      <c r="AR151" s="231" t="str">
        <f t="shared" si="15"/>
        <v>10/2024</v>
      </c>
      <c r="AS151" s="231">
        <f t="shared" si="16"/>
        <v>19.5</v>
      </c>
      <c r="AT151" s="239">
        <f>IF(G151="CERVECERIA Y MALTERIA",(AS151*AK151/1000000)*(1-VLOOKUP(N151,FCST!D:I,6,FALSE)),0)</f>
        <v>19.055088000000001</v>
      </c>
      <c r="AU151" s="232">
        <v>5.0000000000000001E-3</v>
      </c>
      <c r="AV151" s="239">
        <f t="shared" si="17"/>
        <v>19.15036344</v>
      </c>
      <c r="AW151" s="239">
        <f>(AS151*AK151/1000000)*(VLOOKUP(N151,FCST!D:I,6,FALSE))</f>
        <v>0</v>
      </c>
      <c r="AX151" s="239">
        <f t="shared" si="18"/>
        <v>0</v>
      </c>
      <c r="AY151" s="239">
        <f>IF($G151="CERVECERIA Y MALTERIA.",($AS151*$AK151/1000000)*(1-VLOOKUP($N151,FCST!D:I,6,FALSE)),0)</f>
        <v>0</v>
      </c>
      <c r="AZ151" s="239">
        <f t="shared" si="19"/>
        <v>0</v>
      </c>
    </row>
    <row r="152" spans="1:52" x14ac:dyDescent="0.25">
      <c r="A152" s="209">
        <v>1082591</v>
      </c>
      <c r="B152" s="209">
        <v>20</v>
      </c>
      <c r="C152" s="209">
        <v>89303076</v>
      </c>
      <c r="D152" s="209">
        <v>10</v>
      </c>
      <c r="E152" s="209">
        <v>10000002</v>
      </c>
      <c r="F152" s="209">
        <v>20001057</v>
      </c>
      <c r="G152" s="209" t="s">
        <v>105</v>
      </c>
      <c r="H152" s="209">
        <v>20001057</v>
      </c>
      <c r="I152" s="209">
        <v>2</v>
      </c>
      <c r="J152" s="209" t="s">
        <v>169</v>
      </c>
      <c r="K152" s="209" t="s">
        <v>417</v>
      </c>
      <c r="L152" s="209" t="s">
        <v>171</v>
      </c>
      <c r="M152" s="209" t="s">
        <v>199</v>
      </c>
      <c r="N152" s="209">
        <v>50032573</v>
      </c>
      <c r="O152" s="209" t="s">
        <v>173</v>
      </c>
      <c r="P152" s="209">
        <v>5121</v>
      </c>
      <c r="Q152" s="209" t="s">
        <v>200</v>
      </c>
      <c r="R152" s="209" t="s">
        <v>201</v>
      </c>
      <c r="S152" s="209" t="s">
        <v>202</v>
      </c>
      <c r="T152" s="209" t="s">
        <v>203</v>
      </c>
      <c r="U152" s="209" t="s">
        <v>201</v>
      </c>
      <c r="V152" s="209" t="s">
        <v>179</v>
      </c>
      <c r="W152" s="209" t="s">
        <v>179</v>
      </c>
      <c r="X152" s="209" t="s">
        <v>180</v>
      </c>
      <c r="Y152" s="209" t="s">
        <v>180</v>
      </c>
      <c r="Z152" s="209">
        <v>9521066574</v>
      </c>
      <c r="AA152" s="209" t="s">
        <v>418</v>
      </c>
      <c r="AB152" s="209" t="s">
        <v>180</v>
      </c>
      <c r="AC152" s="209" t="s">
        <v>182</v>
      </c>
      <c r="AD152" s="209">
        <v>10</v>
      </c>
      <c r="AE152" s="209">
        <v>2024</v>
      </c>
      <c r="AF152" s="227">
        <v>45594</v>
      </c>
      <c r="AG152" s="227">
        <v>45596</v>
      </c>
      <c r="AH152" s="227">
        <v>45596</v>
      </c>
      <c r="AI152" s="228">
        <v>531648</v>
      </c>
      <c r="AJ152" s="228">
        <v>52</v>
      </c>
      <c r="AK152" s="228">
        <v>531648</v>
      </c>
      <c r="AL152" s="228">
        <v>52</v>
      </c>
      <c r="AM152" s="228">
        <v>0</v>
      </c>
      <c r="AN152" s="228">
        <v>0</v>
      </c>
      <c r="AO152" s="229">
        <v>44</v>
      </c>
      <c r="AP152" s="231">
        <v>10</v>
      </c>
      <c r="AQ152" s="231">
        <v>2024</v>
      </c>
      <c r="AR152" s="231" t="str">
        <f t="shared" si="15"/>
        <v>10/2024</v>
      </c>
      <c r="AS152" s="231">
        <f t="shared" si="16"/>
        <v>37.200000000000003</v>
      </c>
      <c r="AT152" s="239">
        <f>IF(G152="CERVECERIA Y MALTERIA",(AS152*AK152/1000000)*(1-VLOOKUP(N152,FCST!D:I,6,FALSE)),0)</f>
        <v>19.777305600000002</v>
      </c>
      <c r="AU152" s="232">
        <v>5.0000000000000001E-3</v>
      </c>
      <c r="AV152" s="239">
        <f t="shared" si="17"/>
        <v>19.876192128</v>
      </c>
      <c r="AW152" s="239">
        <f>(AS152*AK152/1000000)*(VLOOKUP(N152,FCST!D:I,6,FALSE))</f>
        <v>0</v>
      </c>
      <c r="AX152" s="239">
        <f t="shared" si="18"/>
        <v>0</v>
      </c>
      <c r="AY152" s="239">
        <f>IF($G152="CERVECERIA Y MALTERIA.",($AS152*$AK152/1000000)*(1-VLOOKUP($N152,FCST!D:I,6,FALSE)),0)</f>
        <v>0</v>
      </c>
      <c r="AZ152" s="239">
        <f t="shared" si="19"/>
        <v>0</v>
      </c>
    </row>
    <row r="153" spans="1:52" x14ac:dyDescent="0.25">
      <c r="A153" s="209">
        <v>1081827</v>
      </c>
      <c r="B153" s="209">
        <v>40</v>
      </c>
      <c r="C153" s="209">
        <v>89300753</v>
      </c>
      <c r="D153" s="209">
        <v>10</v>
      </c>
      <c r="E153" s="209">
        <v>10000002</v>
      </c>
      <c r="F153" s="209">
        <v>20000335</v>
      </c>
      <c r="G153" s="209" t="s">
        <v>105</v>
      </c>
      <c r="H153" s="209">
        <v>20000335</v>
      </c>
      <c r="I153" s="209">
        <v>2</v>
      </c>
      <c r="J153" s="209" t="s">
        <v>169</v>
      </c>
      <c r="K153" s="209" t="s">
        <v>419</v>
      </c>
      <c r="L153" s="209" t="s">
        <v>171</v>
      </c>
      <c r="M153" s="209" t="s">
        <v>184</v>
      </c>
      <c r="N153" s="209">
        <v>50034574</v>
      </c>
      <c r="O153" s="209" t="s">
        <v>196</v>
      </c>
      <c r="P153" s="209">
        <v>5121</v>
      </c>
      <c r="Q153" s="209" t="s">
        <v>174</v>
      </c>
      <c r="R153" s="209" t="s">
        <v>175</v>
      </c>
      <c r="S153" s="209" t="s">
        <v>176</v>
      </c>
      <c r="T153" s="209" t="s">
        <v>177</v>
      </c>
      <c r="U153" s="209" t="s">
        <v>178</v>
      </c>
      <c r="V153" s="209" t="s">
        <v>179</v>
      </c>
      <c r="W153" s="209" t="s">
        <v>179</v>
      </c>
      <c r="X153" s="209" t="s">
        <v>180</v>
      </c>
      <c r="Y153" s="209" t="s">
        <v>180</v>
      </c>
      <c r="Z153" s="209">
        <v>9521066549</v>
      </c>
      <c r="AA153" s="209" t="s">
        <v>403</v>
      </c>
      <c r="AB153" s="209" t="s">
        <v>180</v>
      </c>
      <c r="AC153" s="209" t="s">
        <v>182</v>
      </c>
      <c r="AD153" s="209">
        <v>10</v>
      </c>
      <c r="AE153" s="209">
        <v>2024</v>
      </c>
      <c r="AF153" s="227">
        <v>45590</v>
      </c>
      <c r="AG153" s="227">
        <v>45594</v>
      </c>
      <c r="AH153" s="227">
        <v>45594</v>
      </c>
      <c r="AI153" s="228">
        <v>977184</v>
      </c>
      <c r="AJ153" s="228">
        <v>52</v>
      </c>
      <c r="AK153" s="228">
        <v>977184</v>
      </c>
      <c r="AL153" s="228">
        <v>52</v>
      </c>
      <c r="AM153" s="228">
        <v>0</v>
      </c>
      <c r="AN153" s="228">
        <v>0</v>
      </c>
      <c r="AO153" s="229">
        <v>44</v>
      </c>
      <c r="AP153" s="231">
        <v>10</v>
      </c>
      <c r="AQ153" s="231">
        <v>2024</v>
      </c>
      <c r="AR153" s="231" t="str">
        <f t="shared" si="15"/>
        <v>10/2024</v>
      </c>
      <c r="AS153" s="231">
        <f t="shared" si="16"/>
        <v>19.5</v>
      </c>
      <c r="AT153" s="239">
        <f>IF(G153="CERVECERIA Y MALTERIA",(AS153*AK153/1000000)*(1-VLOOKUP(N153,FCST!D:I,6,FALSE)),0)</f>
        <v>19.055088000000001</v>
      </c>
      <c r="AU153" s="232">
        <v>5.0000000000000001E-3</v>
      </c>
      <c r="AV153" s="239">
        <f t="shared" si="17"/>
        <v>19.15036344</v>
      </c>
      <c r="AW153" s="239">
        <f>(AS153*AK153/1000000)*(VLOOKUP(N153,FCST!D:I,6,FALSE))</f>
        <v>0</v>
      </c>
      <c r="AX153" s="239">
        <f t="shared" si="18"/>
        <v>0</v>
      </c>
      <c r="AY153" s="239">
        <f>IF($G153="CERVECERIA Y MALTERIA.",($AS153*$AK153/1000000)*(1-VLOOKUP($N153,FCST!D:I,6,FALSE)),0)</f>
        <v>0</v>
      </c>
      <c r="AZ153" s="239">
        <f t="shared" si="19"/>
        <v>0</v>
      </c>
    </row>
    <row r="154" spans="1:52" x14ac:dyDescent="0.25">
      <c r="A154" s="209">
        <v>1081827</v>
      </c>
      <c r="B154" s="209">
        <v>10</v>
      </c>
      <c r="C154" s="209">
        <v>89299717</v>
      </c>
      <c r="D154" s="209">
        <v>10</v>
      </c>
      <c r="E154" s="209">
        <v>10000002</v>
      </c>
      <c r="F154" s="209">
        <v>20000335</v>
      </c>
      <c r="G154" s="209" t="s">
        <v>105</v>
      </c>
      <c r="H154" s="209">
        <v>20000335</v>
      </c>
      <c r="I154" s="209">
        <v>2</v>
      </c>
      <c r="J154" s="209" t="s">
        <v>169</v>
      </c>
      <c r="K154" s="209" t="s">
        <v>420</v>
      </c>
      <c r="L154" s="209" t="s">
        <v>171</v>
      </c>
      <c r="M154" s="209" t="s">
        <v>199</v>
      </c>
      <c r="N154" s="209">
        <v>50032583</v>
      </c>
      <c r="O154" s="209" t="s">
        <v>205</v>
      </c>
      <c r="P154" s="209">
        <v>5121</v>
      </c>
      <c r="Q154" s="209" t="s">
        <v>200</v>
      </c>
      <c r="R154" s="209" t="s">
        <v>201</v>
      </c>
      <c r="S154" s="209" t="s">
        <v>202</v>
      </c>
      <c r="T154" s="209" t="s">
        <v>203</v>
      </c>
      <c r="U154" s="209" t="s">
        <v>201</v>
      </c>
      <c r="V154" s="209" t="s">
        <v>179</v>
      </c>
      <c r="W154" s="209" t="s">
        <v>179</v>
      </c>
      <c r="X154" s="209" t="s">
        <v>180</v>
      </c>
      <c r="Y154" s="209" t="s">
        <v>180</v>
      </c>
      <c r="Z154" s="209">
        <v>9521066519</v>
      </c>
      <c r="AA154" s="209" t="s">
        <v>421</v>
      </c>
      <c r="AB154" s="209" t="s">
        <v>180</v>
      </c>
      <c r="AC154" s="209" t="s">
        <v>182</v>
      </c>
      <c r="AD154" s="209">
        <v>10</v>
      </c>
      <c r="AE154" s="209">
        <v>2024</v>
      </c>
      <c r="AF154" s="227">
        <v>45590</v>
      </c>
      <c r="AG154" s="227">
        <v>45593</v>
      </c>
      <c r="AH154" s="227">
        <v>45593</v>
      </c>
      <c r="AI154" s="228">
        <v>351936</v>
      </c>
      <c r="AJ154" s="228">
        <v>52</v>
      </c>
      <c r="AK154" s="228">
        <v>351936</v>
      </c>
      <c r="AL154" s="228">
        <v>52</v>
      </c>
      <c r="AM154" s="228">
        <v>0</v>
      </c>
      <c r="AN154" s="228">
        <v>0</v>
      </c>
      <c r="AO154" s="229">
        <v>44</v>
      </c>
      <c r="AP154" s="231">
        <v>10</v>
      </c>
      <c r="AQ154" s="231">
        <v>2024</v>
      </c>
      <c r="AR154" s="231" t="str">
        <f t="shared" si="15"/>
        <v>10/2024</v>
      </c>
      <c r="AS154" s="231">
        <f t="shared" si="16"/>
        <v>54.7</v>
      </c>
      <c r="AT154" s="239">
        <f>IF(G154="CERVECERIA Y MALTERIA",(AS154*AK154/1000000)*(1-VLOOKUP(N154,FCST!D:I,6,FALSE)),0)</f>
        <v>19.250899199999999</v>
      </c>
      <c r="AU154" s="232">
        <v>5.0000000000000001E-3</v>
      </c>
      <c r="AV154" s="239">
        <f t="shared" si="17"/>
        <v>19.347153695999996</v>
      </c>
      <c r="AW154" s="239">
        <f>(AS154*AK154/1000000)*(VLOOKUP(N154,FCST!D:I,6,FALSE))</f>
        <v>0</v>
      </c>
      <c r="AX154" s="239">
        <f t="shared" si="18"/>
        <v>0</v>
      </c>
      <c r="AY154" s="239">
        <f>IF($G154="CERVECERIA Y MALTERIA.",($AS154*$AK154/1000000)*(1-VLOOKUP($N154,FCST!D:I,6,FALSE)),0)</f>
        <v>0</v>
      </c>
      <c r="AZ154" s="239">
        <f t="shared" si="19"/>
        <v>0</v>
      </c>
    </row>
    <row r="155" spans="1:52" x14ac:dyDescent="0.25">
      <c r="A155" s="209">
        <v>1081827</v>
      </c>
      <c r="B155" s="209">
        <v>20</v>
      </c>
      <c r="C155" s="209">
        <v>89299919</v>
      </c>
      <c r="D155" s="209">
        <v>10</v>
      </c>
      <c r="E155" s="209">
        <v>10000002</v>
      </c>
      <c r="F155" s="209">
        <v>20000335</v>
      </c>
      <c r="G155" s="209" t="s">
        <v>105</v>
      </c>
      <c r="H155" s="209">
        <v>20000335</v>
      </c>
      <c r="I155" s="209">
        <v>2</v>
      </c>
      <c r="J155" s="209" t="s">
        <v>169</v>
      </c>
      <c r="K155" s="209" t="s">
        <v>422</v>
      </c>
      <c r="L155" s="209" t="s">
        <v>171</v>
      </c>
      <c r="M155" s="209" t="s">
        <v>199</v>
      </c>
      <c r="N155" s="209">
        <v>50032573</v>
      </c>
      <c r="O155" s="209" t="s">
        <v>173</v>
      </c>
      <c r="P155" s="209">
        <v>5121</v>
      </c>
      <c r="Q155" s="209" t="s">
        <v>200</v>
      </c>
      <c r="R155" s="209" t="s">
        <v>201</v>
      </c>
      <c r="S155" s="209" t="s">
        <v>202</v>
      </c>
      <c r="T155" s="209" t="s">
        <v>203</v>
      </c>
      <c r="U155" s="209" t="s">
        <v>201</v>
      </c>
      <c r="V155" s="209" t="s">
        <v>179</v>
      </c>
      <c r="W155" s="209" t="s">
        <v>179</v>
      </c>
      <c r="X155" s="209" t="s">
        <v>180</v>
      </c>
      <c r="Y155" s="209" t="s">
        <v>180</v>
      </c>
      <c r="Z155" s="209">
        <v>9521066518</v>
      </c>
      <c r="AA155" s="209" t="s">
        <v>423</v>
      </c>
      <c r="AB155" s="209" t="s">
        <v>180</v>
      </c>
      <c r="AC155" s="209" t="s">
        <v>182</v>
      </c>
      <c r="AD155" s="209">
        <v>10</v>
      </c>
      <c r="AE155" s="209">
        <v>2024</v>
      </c>
      <c r="AF155" s="227">
        <v>45590</v>
      </c>
      <c r="AG155" s="227">
        <v>45593</v>
      </c>
      <c r="AH155" s="227">
        <v>45593</v>
      </c>
      <c r="AI155" s="228">
        <v>531648</v>
      </c>
      <c r="AJ155" s="228">
        <v>52</v>
      </c>
      <c r="AK155" s="228">
        <v>531648</v>
      </c>
      <c r="AL155" s="228">
        <v>52</v>
      </c>
      <c r="AM155" s="228">
        <v>0</v>
      </c>
      <c r="AN155" s="228">
        <v>0</v>
      </c>
      <c r="AO155" s="229">
        <v>44</v>
      </c>
      <c r="AP155" s="231">
        <v>10</v>
      </c>
      <c r="AQ155" s="231">
        <v>2024</v>
      </c>
      <c r="AR155" s="231" t="str">
        <f t="shared" si="15"/>
        <v>10/2024</v>
      </c>
      <c r="AS155" s="231">
        <f t="shared" si="16"/>
        <v>37.200000000000003</v>
      </c>
      <c r="AT155" s="239">
        <f>IF(G155="CERVECERIA Y MALTERIA",(AS155*AK155/1000000)*(1-VLOOKUP(N155,FCST!D:I,6,FALSE)),0)</f>
        <v>19.777305600000002</v>
      </c>
      <c r="AU155" s="232">
        <v>5.0000000000000001E-3</v>
      </c>
      <c r="AV155" s="239">
        <f t="shared" si="17"/>
        <v>19.876192128</v>
      </c>
      <c r="AW155" s="239">
        <f>(AS155*AK155/1000000)*(VLOOKUP(N155,FCST!D:I,6,FALSE))</f>
        <v>0</v>
      </c>
      <c r="AX155" s="239">
        <f t="shared" si="18"/>
        <v>0</v>
      </c>
      <c r="AY155" s="239">
        <f>IF($G155="CERVECERIA Y MALTERIA.",($AS155*$AK155/1000000)*(1-VLOOKUP($N155,FCST!D:I,6,FALSE)),0)</f>
        <v>0</v>
      </c>
      <c r="AZ155" s="239">
        <f t="shared" si="19"/>
        <v>0</v>
      </c>
    </row>
    <row r="156" spans="1:52" x14ac:dyDescent="0.25">
      <c r="A156" s="209">
        <v>1080543</v>
      </c>
      <c r="B156" s="209">
        <v>110</v>
      </c>
      <c r="C156" s="209">
        <v>89298525</v>
      </c>
      <c r="D156" s="209">
        <v>10</v>
      </c>
      <c r="E156" s="209">
        <v>10000002</v>
      </c>
      <c r="F156" s="209">
        <v>20000335</v>
      </c>
      <c r="G156" s="209" t="s">
        <v>105</v>
      </c>
      <c r="H156" s="209">
        <v>20000335</v>
      </c>
      <c r="I156" s="209">
        <v>2</v>
      </c>
      <c r="J156" s="209" t="s">
        <v>169</v>
      </c>
      <c r="K156" s="209" t="s">
        <v>424</v>
      </c>
      <c r="L156" s="209" t="s">
        <v>171</v>
      </c>
      <c r="M156" s="209" t="s">
        <v>172</v>
      </c>
      <c r="N156" s="209">
        <v>50032573</v>
      </c>
      <c r="O156" s="209" t="s">
        <v>173</v>
      </c>
      <c r="P156" s="209">
        <v>5121</v>
      </c>
      <c r="Q156" s="209" t="s">
        <v>174</v>
      </c>
      <c r="R156" s="209" t="s">
        <v>175</v>
      </c>
      <c r="S156" s="209" t="s">
        <v>176</v>
      </c>
      <c r="T156" s="209" t="s">
        <v>177</v>
      </c>
      <c r="U156" s="209" t="s">
        <v>178</v>
      </c>
      <c r="V156" s="209" t="s">
        <v>179</v>
      </c>
      <c r="W156" s="209" t="s">
        <v>179</v>
      </c>
      <c r="X156" s="209" t="s">
        <v>180</v>
      </c>
      <c r="Y156" s="209" t="s">
        <v>180</v>
      </c>
      <c r="Z156" s="209">
        <v>9521066495</v>
      </c>
      <c r="AA156" s="209" t="s">
        <v>425</v>
      </c>
      <c r="AB156" s="209" t="s">
        <v>180</v>
      </c>
      <c r="AC156" s="209" t="s">
        <v>182</v>
      </c>
      <c r="AD156" s="209">
        <v>10</v>
      </c>
      <c r="AE156" s="209">
        <v>2024</v>
      </c>
      <c r="AF156" s="227">
        <v>45583</v>
      </c>
      <c r="AG156" s="227">
        <v>45590</v>
      </c>
      <c r="AH156" s="227">
        <v>45590</v>
      </c>
      <c r="AI156" s="228">
        <v>531648</v>
      </c>
      <c r="AJ156" s="228">
        <v>52</v>
      </c>
      <c r="AK156" s="228">
        <v>531648</v>
      </c>
      <c r="AL156" s="228">
        <v>52</v>
      </c>
      <c r="AM156" s="228">
        <v>0</v>
      </c>
      <c r="AN156" s="228">
        <v>0</v>
      </c>
      <c r="AO156" s="229">
        <v>43</v>
      </c>
      <c r="AP156" s="231">
        <v>10</v>
      </c>
      <c r="AQ156" s="231">
        <v>2024</v>
      </c>
      <c r="AR156" s="231" t="str">
        <f t="shared" si="15"/>
        <v>10/2024</v>
      </c>
      <c r="AS156" s="231">
        <f t="shared" si="16"/>
        <v>37.200000000000003</v>
      </c>
      <c r="AT156" s="239">
        <f>IF(G156="CERVECERIA Y MALTERIA",(AS156*AK156/1000000)*(1-VLOOKUP(N156,FCST!D:I,6,FALSE)),0)</f>
        <v>19.777305600000002</v>
      </c>
      <c r="AU156" s="232">
        <v>5.0000000000000001E-3</v>
      </c>
      <c r="AV156" s="239">
        <f t="shared" si="17"/>
        <v>19.876192128</v>
      </c>
      <c r="AW156" s="239">
        <f>(AS156*AK156/1000000)*(VLOOKUP(N156,FCST!D:I,6,FALSE))</f>
        <v>0</v>
      </c>
      <c r="AX156" s="239">
        <f t="shared" si="18"/>
        <v>0</v>
      </c>
      <c r="AY156" s="239">
        <f>IF($G156="CERVECERIA Y MALTERIA.",($AS156*$AK156/1000000)*(1-VLOOKUP($N156,FCST!D:I,6,FALSE)),0)</f>
        <v>0</v>
      </c>
      <c r="AZ156" s="239">
        <f t="shared" si="19"/>
        <v>0</v>
      </c>
    </row>
    <row r="157" spans="1:52" x14ac:dyDescent="0.25">
      <c r="A157" s="209">
        <v>1080543</v>
      </c>
      <c r="B157" s="209">
        <v>100</v>
      </c>
      <c r="C157" s="209">
        <v>89298539</v>
      </c>
      <c r="D157" s="209">
        <v>10</v>
      </c>
      <c r="E157" s="209">
        <v>10000002</v>
      </c>
      <c r="F157" s="209">
        <v>20000335</v>
      </c>
      <c r="G157" s="209" t="s">
        <v>105</v>
      </c>
      <c r="H157" s="209">
        <v>20000335</v>
      </c>
      <c r="I157" s="209">
        <v>2</v>
      </c>
      <c r="J157" s="209" t="s">
        <v>169</v>
      </c>
      <c r="K157" s="209" t="s">
        <v>426</v>
      </c>
      <c r="L157" s="209" t="s">
        <v>171</v>
      </c>
      <c r="M157" s="209" t="s">
        <v>184</v>
      </c>
      <c r="N157" s="209">
        <v>50034616</v>
      </c>
      <c r="O157" s="209" t="s">
        <v>191</v>
      </c>
      <c r="P157" s="209">
        <v>5121</v>
      </c>
      <c r="Q157" s="209" t="s">
        <v>174</v>
      </c>
      <c r="R157" s="209" t="s">
        <v>175</v>
      </c>
      <c r="S157" s="209" t="s">
        <v>176</v>
      </c>
      <c r="T157" s="209" t="s">
        <v>177</v>
      </c>
      <c r="U157" s="209" t="s">
        <v>178</v>
      </c>
      <c r="V157" s="209" t="s">
        <v>179</v>
      </c>
      <c r="W157" s="209" t="s">
        <v>179</v>
      </c>
      <c r="X157" s="209" t="s">
        <v>180</v>
      </c>
      <c r="Y157" s="209" t="s">
        <v>180</v>
      </c>
      <c r="Z157" s="209">
        <v>9521066493</v>
      </c>
      <c r="AA157" s="209" t="s">
        <v>427</v>
      </c>
      <c r="AB157" s="209" t="s">
        <v>180</v>
      </c>
      <c r="AC157" s="209" t="s">
        <v>182</v>
      </c>
      <c r="AD157" s="209">
        <v>10</v>
      </c>
      <c r="AE157" s="209">
        <v>2024</v>
      </c>
      <c r="AF157" s="227">
        <v>45583</v>
      </c>
      <c r="AG157" s="227">
        <v>45590</v>
      </c>
      <c r="AH157" s="227">
        <v>45590</v>
      </c>
      <c r="AI157" s="228">
        <v>426816</v>
      </c>
      <c r="AJ157" s="228">
        <v>52</v>
      </c>
      <c r="AK157" s="228">
        <v>426816</v>
      </c>
      <c r="AL157" s="228">
        <v>52</v>
      </c>
      <c r="AM157" s="228">
        <v>0</v>
      </c>
      <c r="AN157" s="228">
        <v>0</v>
      </c>
      <c r="AO157" s="229">
        <v>43</v>
      </c>
      <c r="AP157" s="231">
        <v>10</v>
      </c>
      <c r="AQ157" s="231">
        <v>2024</v>
      </c>
      <c r="AR157" s="231" t="str">
        <f t="shared" si="15"/>
        <v>10/2024</v>
      </c>
      <c r="AS157" s="231">
        <f t="shared" si="16"/>
        <v>46.6</v>
      </c>
      <c r="AT157" s="239">
        <f>IF(G157="CERVECERIA Y MALTERIA",(AS157*AK157/1000000)*(1-VLOOKUP(N157,FCST!D:I,6,FALSE)),0)</f>
        <v>19.889625600000002</v>
      </c>
      <c r="AU157" s="232">
        <v>5.0000000000000001E-3</v>
      </c>
      <c r="AV157" s="239">
        <f t="shared" si="17"/>
        <v>19.989073728000001</v>
      </c>
      <c r="AW157" s="239">
        <f>(AS157*AK157/1000000)*(VLOOKUP(N157,FCST!D:I,6,FALSE))</f>
        <v>0</v>
      </c>
      <c r="AX157" s="239">
        <f t="shared" si="18"/>
        <v>0</v>
      </c>
      <c r="AY157" s="239">
        <f>IF($G157="CERVECERIA Y MALTERIA.",($AS157*$AK157/1000000)*(1-VLOOKUP($N157,FCST!D:I,6,FALSE)),0)</f>
        <v>0</v>
      </c>
      <c r="AZ157" s="239">
        <f t="shared" si="19"/>
        <v>0</v>
      </c>
    </row>
    <row r="158" spans="1:52" x14ac:dyDescent="0.25">
      <c r="A158" s="209">
        <v>1079856</v>
      </c>
      <c r="B158" s="209">
        <v>40</v>
      </c>
      <c r="C158" s="209">
        <v>89299934</v>
      </c>
      <c r="D158" s="209">
        <v>10</v>
      </c>
      <c r="E158" s="209">
        <v>10000002</v>
      </c>
      <c r="F158" s="209">
        <v>20000339</v>
      </c>
      <c r="G158" s="209" t="s">
        <v>105</v>
      </c>
      <c r="H158" s="209">
        <v>20000339</v>
      </c>
      <c r="I158" s="209">
        <v>2</v>
      </c>
      <c r="J158" s="209" t="s">
        <v>169</v>
      </c>
      <c r="K158" s="209" t="s">
        <v>428</v>
      </c>
      <c r="L158" s="209" t="s">
        <v>171</v>
      </c>
      <c r="M158" s="209" t="s">
        <v>227</v>
      </c>
      <c r="N158" s="209">
        <v>50034634</v>
      </c>
      <c r="O158" s="209" t="s">
        <v>219</v>
      </c>
      <c r="P158" s="209">
        <v>5121</v>
      </c>
      <c r="Q158" s="209" t="s">
        <v>228</v>
      </c>
      <c r="R158" s="209" t="s">
        <v>229</v>
      </c>
      <c r="S158" s="209" t="s">
        <v>230</v>
      </c>
      <c r="T158" s="209" t="s">
        <v>231</v>
      </c>
      <c r="U158" s="209" t="s">
        <v>232</v>
      </c>
      <c r="V158" s="209" t="s">
        <v>179</v>
      </c>
      <c r="W158" s="209" t="s">
        <v>179</v>
      </c>
      <c r="X158" s="209" t="s">
        <v>180</v>
      </c>
      <c r="Y158" s="209" t="s">
        <v>180</v>
      </c>
      <c r="Z158" s="209">
        <v>9521066522</v>
      </c>
      <c r="AA158" s="209" t="s">
        <v>429</v>
      </c>
      <c r="AB158" s="209" t="s">
        <v>180</v>
      </c>
      <c r="AC158" s="209" t="s">
        <v>182</v>
      </c>
      <c r="AD158" s="209">
        <v>10</v>
      </c>
      <c r="AE158" s="209">
        <v>2024</v>
      </c>
      <c r="AF158" s="227">
        <v>45580</v>
      </c>
      <c r="AG158" s="227">
        <v>45593</v>
      </c>
      <c r="AH158" s="227">
        <v>45593</v>
      </c>
      <c r="AI158" s="228">
        <v>364416</v>
      </c>
      <c r="AJ158" s="228">
        <v>52</v>
      </c>
      <c r="AK158" s="228">
        <v>364416</v>
      </c>
      <c r="AL158" s="228">
        <v>52</v>
      </c>
      <c r="AM158" s="228">
        <v>0</v>
      </c>
      <c r="AN158" s="228">
        <v>0</v>
      </c>
      <c r="AO158" s="229">
        <v>42</v>
      </c>
      <c r="AP158" s="231">
        <v>10</v>
      </c>
      <c r="AQ158" s="231">
        <v>2024</v>
      </c>
      <c r="AR158" s="231" t="str">
        <f t="shared" si="15"/>
        <v>10/2024</v>
      </c>
      <c r="AS158" s="231">
        <f t="shared" si="16"/>
        <v>52</v>
      </c>
      <c r="AT158" s="239">
        <f>IF(G158="CERVECERIA Y MALTERIA",(AS158*AK158/1000000)*(1-VLOOKUP(N158,FCST!D:I,6,FALSE)),0)</f>
        <v>18.949632000000001</v>
      </c>
      <c r="AU158" s="232">
        <v>5.0000000000000001E-3</v>
      </c>
      <c r="AV158" s="239">
        <f t="shared" si="17"/>
        <v>19.044380159999999</v>
      </c>
      <c r="AW158" s="239">
        <f>(AS158*AK158/1000000)*(VLOOKUP(N158,FCST!D:I,6,FALSE))</f>
        <v>0</v>
      </c>
      <c r="AX158" s="239">
        <f t="shared" si="18"/>
        <v>0</v>
      </c>
      <c r="AY158" s="239">
        <f>IF($G158="CERVECERIA Y MALTERIA.",($AS158*$AK158/1000000)*(1-VLOOKUP($N158,FCST!D:I,6,FALSE)),0)</f>
        <v>0</v>
      </c>
      <c r="AZ158" s="239">
        <f t="shared" si="19"/>
        <v>0</v>
      </c>
    </row>
    <row r="159" spans="1:52" x14ac:dyDescent="0.25">
      <c r="A159" s="209">
        <v>1081829</v>
      </c>
      <c r="B159" s="209">
        <v>10</v>
      </c>
      <c r="C159" s="209">
        <v>89300051</v>
      </c>
      <c r="D159" s="209">
        <v>10</v>
      </c>
      <c r="E159" s="209">
        <v>10000002</v>
      </c>
      <c r="F159" s="209">
        <v>20000340</v>
      </c>
      <c r="G159" s="209" t="s">
        <v>117</v>
      </c>
      <c r="H159" s="209">
        <v>20000340</v>
      </c>
      <c r="I159" s="209">
        <v>2</v>
      </c>
      <c r="J159" s="209" t="s">
        <v>169</v>
      </c>
      <c r="K159" s="209" t="s">
        <v>430</v>
      </c>
      <c r="L159" s="209" t="s">
        <v>171</v>
      </c>
      <c r="M159" s="209" t="s">
        <v>172</v>
      </c>
      <c r="N159" s="209">
        <v>50036718</v>
      </c>
      <c r="O159" s="209" t="s">
        <v>259</v>
      </c>
      <c r="P159" s="209">
        <v>5101</v>
      </c>
      <c r="Q159" s="209" t="s">
        <v>186</v>
      </c>
      <c r="R159" s="209" t="s">
        <v>175</v>
      </c>
      <c r="S159" s="209" t="s">
        <v>176</v>
      </c>
      <c r="T159" s="209" t="s">
        <v>187</v>
      </c>
      <c r="U159" s="209" t="s">
        <v>188</v>
      </c>
      <c r="V159" s="209" t="s">
        <v>179</v>
      </c>
      <c r="W159" s="209" t="s">
        <v>179</v>
      </c>
      <c r="X159" s="209" t="s">
        <v>180</v>
      </c>
      <c r="Y159" s="209" t="s">
        <v>180</v>
      </c>
      <c r="Z159" s="209">
        <v>9511046950</v>
      </c>
      <c r="AA159" s="209" t="s">
        <v>431</v>
      </c>
      <c r="AB159" s="209" t="s">
        <v>180</v>
      </c>
      <c r="AC159" s="209" t="s">
        <v>182</v>
      </c>
      <c r="AD159" s="209">
        <v>10</v>
      </c>
      <c r="AE159" s="209">
        <v>2024</v>
      </c>
      <c r="AF159" s="227">
        <v>45590</v>
      </c>
      <c r="AG159" s="227">
        <v>45593</v>
      </c>
      <c r="AH159" s="227">
        <v>45593</v>
      </c>
      <c r="AI159" s="228">
        <v>519168</v>
      </c>
      <c r="AJ159" s="228">
        <v>52</v>
      </c>
      <c r="AK159" s="228">
        <v>519168</v>
      </c>
      <c r="AL159" s="228">
        <v>52</v>
      </c>
      <c r="AM159" s="228">
        <v>0</v>
      </c>
      <c r="AN159" s="228">
        <v>0</v>
      </c>
      <c r="AO159" s="229">
        <v>44</v>
      </c>
      <c r="AP159" s="231">
        <v>10</v>
      </c>
      <c r="AQ159" s="231">
        <v>2024</v>
      </c>
      <c r="AR159" s="231" t="str">
        <f t="shared" si="15"/>
        <v>10/2024</v>
      </c>
      <c r="AS159" s="231">
        <f t="shared" si="16"/>
        <v>34</v>
      </c>
      <c r="AT159" s="239">
        <f>IF(G159="CERVECERIA Y MALTERIA",(AS159*AK159/1000000)*(1-VLOOKUP(N159,FCST!D:I,6,FALSE)),0)</f>
        <v>0</v>
      </c>
      <c r="AU159" s="232">
        <v>5.0000000000000001E-3</v>
      </c>
      <c r="AV159" s="239">
        <f t="shared" si="17"/>
        <v>0</v>
      </c>
      <c r="AW159" s="239">
        <f>(AS159*AK159/1000000)*(VLOOKUP(N159,FCST!D:I,6,FALSE))</f>
        <v>0</v>
      </c>
      <c r="AX159" s="239">
        <f t="shared" si="18"/>
        <v>0</v>
      </c>
      <c r="AY159" s="239">
        <f>IF($G159="CERVECERIA Y MALTERIA.",($AS159*$AK159/1000000)*(1-VLOOKUP($N159,FCST!D:I,6,FALSE)),0)</f>
        <v>17.651712</v>
      </c>
      <c r="AZ159" s="239">
        <f t="shared" si="19"/>
        <v>17.73997056</v>
      </c>
    </row>
    <row r="160" spans="1:52" x14ac:dyDescent="0.25">
      <c r="A160" s="209">
        <v>1082026</v>
      </c>
      <c r="B160" s="209">
        <v>10</v>
      </c>
      <c r="C160" s="209">
        <v>89300107</v>
      </c>
      <c r="D160" s="209">
        <v>10</v>
      </c>
      <c r="E160" s="209">
        <v>10000002</v>
      </c>
      <c r="F160" s="209">
        <v>20000336</v>
      </c>
      <c r="G160" s="209" t="s">
        <v>105</v>
      </c>
      <c r="H160" s="209">
        <v>20000336</v>
      </c>
      <c r="I160" s="209">
        <v>2</v>
      </c>
      <c r="J160" s="209" t="s">
        <v>169</v>
      </c>
      <c r="K160" s="209" t="s">
        <v>432</v>
      </c>
      <c r="L160" s="209" t="s">
        <v>265</v>
      </c>
      <c r="M160" s="209" t="s">
        <v>172</v>
      </c>
      <c r="N160" s="209">
        <v>50034634</v>
      </c>
      <c r="O160" s="209" t="s">
        <v>219</v>
      </c>
      <c r="P160" s="209">
        <v>5121</v>
      </c>
      <c r="Q160" s="209" t="s">
        <v>174</v>
      </c>
      <c r="R160" s="209" t="s">
        <v>175</v>
      </c>
      <c r="S160" s="209" t="s">
        <v>176</v>
      </c>
      <c r="T160" s="209" t="s">
        <v>177</v>
      </c>
      <c r="U160" s="209" t="s">
        <v>178</v>
      </c>
      <c r="V160" s="209">
        <v>111</v>
      </c>
      <c r="W160" s="209">
        <v>111</v>
      </c>
      <c r="X160" s="209" t="s">
        <v>180</v>
      </c>
      <c r="Y160" s="209" t="s">
        <v>180</v>
      </c>
      <c r="Z160" s="209">
        <v>9521066528</v>
      </c>
      <c r="AA160" s="209" t="s">
        <v>433</v>
      </c>
      <c r="AB160" s="209" t="s">
        <v>180</v>
      </c>
      <c r="AC160" s="209" t="s">
        <v>182</v>
      </c>
      <c r="AD160" s="209">
        <v>10</v>
      </c>
      <c r="AE160" s="209">
        <v>2024</v>
      </c>
      <c r="AF160" s="227">
        <v>45590</v>
      </c>
      <c r="AG160" s="227">
        <v>45593</v>
      </c>
      <c r="AH160" s="227">
        <v>45593</v>
      </c>
      <c r="AI160" s="228">
        <v>364416</v>
      </c>
      <c r="AJ160" s="228">
        <v>52</v>
      </c>
      <c r="AK160" s="228">
        <v>364416</v>
      </c>
      <c r="AL160" s="228">
        <v>52</v>
      </c>
      <c r="AM160" s="228">
        <v>0</v>
      </c>
      <c r="AN160" s="228">
        <v>0</v>
      </c>
      <c r="AO160" s="229">
        <v>44</v>
      </c>
      <c r="AP160" s="231">
        <v>10</v>
      </c>
      <c r="AQ160" s="231">
        <v>2024</v>
      </c>
      <c r="AR160" s="231" t="str">
        <f t="shared" si="15"/>
        <v>10/2024</v>
      </c>
      <c r="AS160" s="231">
        <f t="shared" si="16"/>
        <v>52</v>
      </c>
      <c r="AT160" s="239">
        <f>IF(G160="CERVECERIA Y MALTERIA",(AS160*AK160/1000000)*(1-VLOOKUP(N160,FCST!D:I,6,FALSE)),0)</f>
        <v>18.949632000000001</v>
      </c>
      <c r="AU160" s="232">
        <v>5.0000000000000001E-3</v>
      </c>
      <c r="AV160" s="239">
        <f t="shared" si="17"/>
        <v>19.044380159999999</v>
      </c>
      <c r="AW160" s="239">
        <f>(AS160*AK160/1000000)*(VLOOKUP(N160,FCST!D:I,6,FALSE))</f>
        <v>0</v>
      </c>
      <c r="AX160" s="239">
        <f t="shared" si="18"/>
        <v>0</v>
      </c>
      <c r="AY160" s="239">
        <f>IF($G160="CERVECERIA Y MALTERIA.",($AS160*$AK160/1000000)*(1-VLOOKUP($N160,FCST!D:I,6,FALSE)),0)</f>
        <v>0</v>
      </c>
      <c r="AZ160" s="239">
        <f t="shared" si="19"/>
        <v>0</v>
      </c>
    </row>
    <row r="161" spans="1:52" x14ac:dyDescent="0.25">
      <c r="A161" s="209">
        <v>1081827</v>
      </c>
      <c r="B161" s="209">
        <v>30</v>
      </c>
      <c r="C161" s="209">
        <v>89300125</v>
      </c>
      <c r="D161" s="209">
        <v>10</v>
      </c>
      <c r="E161" s="209">
        <v>10000002</v>
      </c>
      <c r="F161" s="209">
        <v>20000335</v>
      </c>
      <c r="G161" s="209" t="s">
        <v>105</v>
      </c>
      <c r="H161" s="209">
        <v>20000335</v>
      </c>
      <c r="I161" s="209">
        <v>2</v>
      </c>
      <c r="J161" s="209" t="s">
        <v>169</v>
      </c>
      <c r="K161" s="209" t="s">
        <v>434</v>
      </c>
      <c r="L161" s="209" t="s">
        <v>171</v>
      </c>
      <c r="M161" s="209" t="s">
        <v>199</v>
      </c>
      <c r="N161" s="209">
        <v>50035183</v>
      </c>
      <c r="O161" s="209" t="s">
        <v>215</v>
      </c>
      <c r="P161" s="209">
        <v>5121</v>
      </c>
      <c r="Q161" s="209" t="s">
        <v>200</v>
      </c>
      <c r="R161" s="209" t="s">
        <v>201</v>
      </c>
      <c r="S161" s="209" t="s">
        <v>202</v>
      </c>
      <c r="T161" s="209" t="s">
        <v>203</v>
      </c>
      <c r="U161" s="209" t="s">
        <v>201</v>
      </c>
      <c r="V161" s="209" t="s">
        <v>179</v>
      </c>
      <c r="W161" s="209" t="s">
        <v>179</v>
      </c>
      <c r="X161" s="209" t="s">
        <v>180</v>
      </c>
      <c r="Y161" s="209" t="s">
        <v>180</v>
      </c>
      <c r="Z161" s="209">
        <v>9521066529</v>
      </c>
      <c r="AA161" s="209" t="s">
        <v>435</v>
      </c>
      <c r="AB161" s="209" t="s">
        <v>180</v>
      </c>
      <c r="AC161" s="209" t="s">
        <v>182</v>
      </c>
      <c r="AD161" s="209">
        <v>10</v>
      </c>
      <c r="AE161" s="209">
        <v>2024</v>
      </c>
      <c r="AF161" s="227">
        <v>45590</v>
      </c>
      <c r="AG161" s="227">
        <v>45593</v>
      </c>
      <c r="AH161" s="227">
        <v>45593</v>
      </c>
      <c r="AI161" s="228">
        <v>426816</v>
      </c>
      <c r="AJ161" s="228">
        <v>52</v>
      </c>
      <c r="AK161" s="228">
        <v>426816</v>
      </c>
      <c r="AL161" s="228">
        <v>52</v>
      </c>
      <c r="AM161" s="228">
        <v>0</v>
      </c>
      <c r="AN161" s="228">
        <v>0</v>
      </c>
      <c r="AO161" s="229">
        <v>44</v>
      </c>
      <c r="AP161" s="231">
        <v>10</v>
      </c>
      <c r="AQ161" s="231">
        <v>2024</v>
      </c>
      <c r="AR161" s="231" t="str">
        <f t="shared" si="15"/>
        <v>10/2024</v>
      </c>
      <c r="AS161" s="231">
        <f t="shared" si="16"/>
        <v>46.6</v>
      </c>
      <c r="AT161" s="239">
        <f>IF(G161="CERVECERIA Y MALTERIA",(AS161*AK161/1000000)*(1-VLOOKUP(N161,FCST!D:I,6,FALSE)),0)</f>
        <v>19.889625600000002</v>
      </c>
      <c r="AU161" s="232">
        <v>5.0000000000000001E-3</v>
      </c>
      <c r="AV161" s="239">
        <f t="shared" si="17"/>
        <v>19.989073728000001</v>
      </c>
      <c r="AW161" s="239">
        <f>(AS161*AK161/1000000)*(VLOOKUP(N161,FCST!D:I,6,FALSE))</f>
        <v>0</v>
      </c>
      <c r="AX161" s="239">
        <f t="shared" si="18"/>
        <v>0</v>
      </c>
      <c r="AY161" s="239">
        <f>IF($G161="CERVECERIA Y MALTERIA.",($AS161*$AK161/1000000)*(1-VLOOKUP($N161,FCST!D:I,6,FALSE)),0)</f>
        <v>0</v>
      </c>
      <c r="AZ161" s="239">
        <f t="shared" si="19"/>
        <v>0</v>
      </c>
    </row>
    <row r="162" spans="1:52" x14ac:dyDescent="0.25">
      <c r="A162" s="209">
        <v>1082146</v>
      </c>
      <c r="B162" s="209">
        <v>10</v>
      </c>
      <c r="C162" s="209">
        <v>89300199</v>
      </c>
      <c r="D162" s="209">
        <v>10</v>
      </c>
      <c r="E162" s="209">
        <v>10000002</v>
      </c>
      <c r="F162" s="209">
        <v>20000337</v>
      </c>
      <c r="G162" s="209" t="s">
        <v>105</v>
      </c>
      <c r="H162" s="209">
        <v>20000337</v>
      </c>
      <c r="I162" s="209">
        <v>2</v>
      </c>
      <c r="J162" s="209" t="s">
        <v>169</v>
      </c>
      <c r="K162" s="209" t="s">
        <v>436</v>
      </c>
      <c r="L162" s="209" t="s">
        <v>171</v>
      </c>
      <c r="M162" s="209" t="s">
        <v>172</v>
      </c>
      <c r="N162" s="209">
        <v>50035183</v>
      </c>
      <c r="O162" s="209" t="s">
        <v>215</v>
      </c>
      <c r="P162" s="209">
        <v>5121</v>
      </c>
      <c r="Q162" s="209" t="s">
        <v>174</v>
      </c>
      <c r="R162" s="209" t="s">
        <v>175</v>
      </c>
      <c r="S162" s="209" t="s">
        <v>176</v>
      </c>
      <c r="T162" s="209" t="s">
        <v>177</v>
      </c>
      <c r="U162" s="209" t="s">
        <v>178</v>
      </c>
      <c r="V162" s="209" t="s">
        <v>179</v>
      </c>
      <c r="W162" s="209" t="s">
        <v>179</v>
      </c>
      <c r="X162" s="209" t="s">
        <v>180</v>
      </c>
      <c r="Y162" s="209" t="s">
        <v>180</v>
      </c>
      <c r="Z162" s="209">
        <v>9521066526</v>
      </c>
      <c r="AA162" s="209" t="s">
        <v>437</v>
      </c>
      <c r="AB162" s="209" t="s">
        <v>180</v>
      </c>
      <c r="AC162" s="209" t="s">
        <v>182</v>
      </c>
      <c r="AD162" s="209">
        <v>10</v>
      </c>
      <c r="AE162" s="209">
        <v>2024</v>
      </c>
      <c r="AF162" s="227">
        <v>45593</v>
      </c>
      <c r="AG162" s="227">
        <v>45593</v>
      </c>
      <c r="AH162" s="227">
        <v>45593</v>
      </c>
      <c r="AI162" s="228">
        <v>426816</v>
      </c>
      <c r="AJ162" s="228">
        <v>52</v>
      </c>
      <c r="AK162" s="228">
        <v>426816</v>
      </c>
      <c r="AL162" s="228">
        <v>52</v>
      </c>
      <c r="AM162" s="228">
        <v>0</v>
      </c>
      <c r="AN162" s="228">
        <v>0</v>
      </c>
      <c r="AO162" s="229">
        <v>44</v>
      </c>
      <c r="AP162" s="231">
        <v>10</v>
      </c>
      <c r="AQ162" s="231">
        <v>2024</v>
      </c>
      <c r="AR162" s="231" t="str">
        <f t="shared" si="15"/>
        <v>10/2024</v>
      </c>
      <c r="AS162" s="231">
        <f t="shared" si="16"/>
        <v>46.6</v>
      </c>
      <c r="AT162" s="239">
        <f>IF(G162="CERVECERIA Y MALTERIA",(AS162*AK162/1000000)*(1-VLOOKUP(N162,FCST!D:I,6,FALSE)),0)</f>
        <v>19.889625600000002</v>
      </c>
      <c r="AU162" s="232">
        <v>5.0000000000000001E-3</v>
      </c>
      <c r="AV162" s="239">
        <f t="shared" si="17"/>
        <v>19.989073728000001</v>
      </c>
      <c r="AW162" s="239">
        <f>(AS162*AK162/1000000)*(VLOOKUP(N162,FCST!D:I,6,FALSE))</f>
        <v>0</v>
      </c>
      <c r="AX162" s="239">
        <f t="shared" si="18"/>
        <v>0</v>
      </c>
      <c r="AY162" s="239">
        <f>IF($G162="CERVECERIA Y MALTERIA.",($AS162*$AK162/1000000)*(1-VLOOKUP($N162,FCST!D:I,6,FALSE)),0)</f>
        <v>0</v>
      </c>
      <c r="AZ162" s="239">
        <f t="shared" si="19"/>
        <v>0</v>
      </c>
    </row>
    <row r="163" spans="1:52" x14ac:dyDescent="0.25">
      <c r="A163" s="209">
        <v>1081829</v>
      </c>
      <c r="B163" s="209">
        <v>20</v>
      </c>
      <c r="C163" s="209">
        <v>89300601</v>
      </c>
      <c r="D163" s="209">
        <v>10</v>
      </c>
      <c r="E163" s="209">
        <v>10000002</v>
      </c>
      <c r="F163" s="209">
        <v>20000340</v>
      </c>
      <c r="G163" s="209" t="s">
        <v>117</v>
      </c>
      <c r="H163" s="209">
        <v>20000340</v>
      </c>
      <c r="I163" s="209">
        <v>2</v>
      </c>
      <c r="J163" s="209" t="s">
        <v>169</v>
      </c>
      <c r="K163" s="209" t="s">
        <v>438</v>
      </c>
      <c r="L163" s="209" t="s">
        <v>171</v>
      </c>
      <c r="M163" s="209" t="s">
        <v>184</v>
      </c>
      <c r="N163" s="209">
        <v>50036718</v>
      </c>
      <c r="O163" s="209" t="s">
        <v>259</v>
      </c>
      <c r="P163" s="209">
        <v>5101</v>
      </c>
      <c r="Q163" s="209" t="s">
        <v>186</v>
      </c>
      <c r="R163" s="209" t="s">
        <v>175</v>
      </c>
      <c r="S163" s="209" t="s">
        <v>176</v>
      </c>
      <c r="T163" s="209" t="s">
        <v>187</v>
      </c>
      <c r="U163" s="209" t="s">
        <v>188</v>
      </c>
      <c r="V163" s="209" t="s">
        <v>179</v>
      </c>
      <c r="W163" s="209" t="s">
        <v>179</v>
      </c>
      <c r="X163" s="209" t="s">
        <v>180</v>
      </c>
      <c r="Y163" s="209" t="s">
        <v>180</v>
      </c>
      <c r="Z163" s="209">
        <v>9511046969</v>
      </c>
      <c r="AA163" s="209" t="s">
        <v>439</v>
      </c>
      <c r="AB163" s="209" t="s">
        <v>180</v>
      </c>
      <c r="AC163" s="209" t="s">
        <v>182</v>
      </c>
      <c r="AD163" s="209">
        <v>10</v>
      </c>
      <c r="AE163" s="209">
        <v>2024</v>
      </c>
      <c r="AF163" s="227">
        <v>45590</v>
      </c>
      <c r="AG163" s="227">
        <v>45594</v>
      </c>
      <c r="AH163" s="227">
        <v>45594</v>
      </c>
      <c r="AI163" s="228">
        <v>519168</v>
      </c>
      <c r="AJ163" s="228">
        <v>52</v>
      </c>
      <c r="AK163" s="228">
        <v>519168</v>
      </c>
      <c r="AL163" s="228">
        <v>52</v>
      </c>
      <c r="AM163" s="228">
        <v>0</v>
      </c>
      <c r="AN163" s="228">
        <v>0</v>
      </c>
      <c r="AO163" s="229">
        <v>44</v>
      </c>
      <c r="AP163" s="231">
        <v>10</v>
      </c>
      <c r="AQ163" s="231">
        <v>2024</v>
      </c>
      <c r="AR163" s="231" t="str">
        <f t="shared" si="15"/>
        <v>10/2024</v>
      </c>
      <c r="AS163" s="231">
        <f t="shared" si="16"/>
        <v>34</v>
      </c>
      <c r="AT163" s="239">
        <f>IF(G163="CERVECERIA Y MALTERIA",(AS163*AK163/1000000)*(1-VLOOKUP(N163,FCST!D:I,6,FALSE)),0)</f>
        <v>0</v>
      </c>
      <c r="AU163" s="232">
        <v>5.0000000000000001E-3</v>
      </c>
      <c r="AV163" s="239">
        <f t="shared" si="17"/>
        <v>0</v>
      </c>
      <c r="AW163" s="239">
        <f>(AS163*AK163/1000000)*(VLOOKUP(N163,FCST!D:I,6,FALSE))</f>
        <v>0</v>
      </c>
      <c r="AX163" s="239">
        <f t="shared" si="18"/>
        <v>0</v>
      </c>
      <c r="AY163" s="239">
        <f>IF($G163="CERVECERIA Y MALTERIA.",($AS163*$AK163/1000000)*(1-VLOOKUP($N163,FCST!D:I,6,FALSE)),0)</f>
        <v>17.651712</v>
      </c>
      <c r="AZ163" s="239">
        <f t="shared" si="19"/>
        <v>17.73997056</v>
      </c>
    </row>
    <row r="164" spans="1:52" x14ac:dyDescent="0.25">
      <c r="A164" s="209">
        <v>1081829</v>
      </c>
      <c r="B164" s="209">
        <v>30</v>
      </c>
      <c r="C164" s="209">
        <v>89300618</v>
      </c>
      <c r="D164" s="209">
        <v>10</v>
      </c>
      <c r="E164" s="209">
        <v>10000002</v>
      </c>
      <c r="F164" s="209">
        <v>20000340</v>
      </c>
      <c r="G164" s="209" t="s">
        <v>117</v>
      </c>
      <c r="H164" s="209">
        <v>20000340</v>
      </c>
      <c r="I164" s="209">
        <v>2</v>
      </c>
      <c r="J164" s="209" t="s">
        <v>169</v>
      </c>
      <c r="K164" s="209" t="s">
        <v>440</v>
      </c>
      <c r="L164" s="209" t="s">
        <v>171</v>
      </c>
      <c r="M164" s="209" t="s">
        <v>184</v>
      </c>
      <c r="N164" s="209">
        <v>50036718</v>
      </c>
      <c r="O164" s="209" t="s">
        <v>259</v>
      </c>
      <c r="P164" s="209">
        <v>5101</v>
      </c>
      <c r="Q164" s="209" t="s">
        <v>186</v>
      </c>
      <c r="R164" s="209" t="s">
        <v>175</v>
      </c>
      <c r="S164" s="209" t="s">
        <v>176</v>
      </c>
      <c r="T164" s="209" t="s">
        <v>187</v>
      </c>
      <c r="U164" s="209" t="s">
        <v>188</v>
      </c>
      <c r="V164" s="209" t="s">
        <v>179</v>
      </c>
      <c r="W164" s="209" t="s">
        <v>179</v>
      </c>
      <c r="X164" s="209" t="s">
        <v>180</v>
      </c>
      <c r="Y164" s="209" t="s">
        <v>180</v>
      </c>
      <c r="Z164" s="209">
        <v>9511046969</v>
      </c>
      <c r="AA164" s="209" t="s">
        <v>439</v>
      </c>
      <c r="AB164" s="209" t="s">
        <v>180</v>
      </c>
      <c r="AC164" s="209" t="s">
        <v>182</v>
      </c>
      <c r="AD164" s="209">
        <v>10</v>
      </c>
      <c r="AE164" s="209">
        <v>2024</v>
      </c>
      <c r="AF164" s="227">
        <v>45590</v>
      </c>
      <c r="AG164" s="227">
        <v>45594</v>
      </c>
      <c r="AH164" s="227">
        <v>45594</v>
      </c>
      <c r="AI164" s="228">
        <v>519168</v>
      </c>
      <c r="AJ164" s="228">
        <v>52</v>
      </c>
      <c r="AK164" s="228">
        <v>519168</v>
      </c>
      <c r="AL164" s="228">
        <v>52</v>
      </c>
      <c r="AM164" s="228">
        <v>0</v>
      </c>
      <c r="AN164" s="228">
        <v>0</v>
      </c>
      <c r="AO164" s="229">
        <v>44</v>
      </c>
      <c r="AP164" s="231">
        <v>10</v>
      </c>
      <c r="AQ164" s="231">
        <v>2024</v>
      </c>
      <c r="AR164" s="231" t="str">
        <f t="shared" si="15"/>
        <v>10/2024</v>
      </c>
      <c r="AS164" s="231">
        <f t="shared" si="16"/>
        <v>34</v>
      </c>
      <c r="AT164" s="239">
        <f>IF(G164="CERVECERIA Y MALTERIA",(AS164*AK164/1000000)*(1-VLOOKUP(N164,FCST!D:I,6,FALSE)),0)</f>
        <v>0</v>
      </c>
      <c r="AU164" s="232">
        <v>5.0000000000000001E-3</v>
      </c>
      <c r="AV164" s="239">
        <f t="shared" si="17"/>
        <v>0</v>
      </c>
      <c r="AW164" s="239">
        <f>(AS164*AK164/1000000)*(VLOOKUP(N164,FCST!D:I,6,FALSE))</f>
        <v>0</v>
      </c>
      <c r="AX164" s="239">
        <f t="shared" si="18"/>
        <v>0</v>
      </c>
      <c r="AY164" s="239">
        <f>IF($G164="CERVECERIA Y MALTERIA.",($AS164*$AK164/1000000)*(1-VLOOKUP($N164,FCST!D:I,6,FALSE)),0)</f>
        <v>17.651712</v>
      </c>
      <c r="AZ164" s="239">
        <f t="shared" si="19"/>
        <v>17.73997056</v>
      </c>
    </row>
    <row r="165" spans="1:52" x14ac:dyDescent="0.25">
      <c r="A165" s="209">
        <v>1078207</v>
      </c>
      <c r="B165" s="209">
        <v>10</v>
      </c>
      <c r="C165" s="209">
        <v>89283669</v>
      </c>
      <c r="D165" s="209">
        <v>10</v>
      </c>
      <c r="E165" s="209">
        <v>10000002</v>
      </c>
      <c r="F165" s="209">
        <v>20000336</v>
      </c>
      <c r="G165" s="209" t="s">
        <v>105</v>
      </c>
      <c r="H165" s="209">
        <v>20000336</v>
      </c>
      <c r="I165" s="209">
        <v>2</v>
      </c>
      <c r="J165" s="209" t="s">
        <v>169</v>
      </c>
      <c r="K165" s="209" t="s">
        <v>441</v>
      </c>
      <c r="L165" s="209" t="s">
        <v>171</v>
      </c>
      <c r="M165" s="209" t="s">
        <v>172</v>
      </c>
      <c r="N165" s="209">
        <v>50034634</v>
      </c>
      <c r="O165" s="209" t="s">
        <v>219</v>
      </c>
      <c r="P165" s="209">
        <v>5121</v>
      </c>
      <c r="Q165" s="209" t="s">
        <v>174</v>
      </c>
      <c r="R165" s="209" t="s">
        <v>175</v>
      </c>
      <c r="S165" s="209" t="s">
        <v>176</v>
      </c>
      <c r="T165" s="209" t="s">
        <v>177</v>
      </c>
      <c r="U165" s="209" t="s">
        <v>178</v>
      </c>
      <c r="V165" s="209" t="s">
        <v>179</v>
      </c>
      <c r="W165" s="209" t="s">
        <v>179</v>
      </c>
      <c r="X165" s="209" t="s">
        <v>180</v>
      </c>
      <c r="Y165" s="209" t="s">
        <v>180</v>
      </c>
      <c r="Z165" s="209">
        <v>9521066345</v>
      </c>
      <c r="AA165" s="209" t="s">
        <v>442</v>
      </c>
      <c r="AB165" s="209" t="s">
        <v>180</v>
      </c>
      <c r="AC165" s="209" t="s">
        <v>182</v>
      </c>
      <c r="AD165" s="209">
        <v>10</v>
      </c>
      <c r="AE165" s="209">
        <v>2024</v>
      </c>
      <c r="AF165" s="227">
        <v>45569</v>
      </c>
      <c r="AG165" s="227">
        <v>45572</v>
      </c>
      <c r="AH165" s="227">
        <v>45572</v>
      </c>
      <c r="AI165" s="228">
        <v>329376</v>
      </c>
      <c r="AJ165" s="228">
        <v>47</v>
      </c>
      <c r="AK165" s="228">
        <v>329376</v>
      </c>
      <c r="AL165" s="228">
        <v>47</v>
      </c>
      <c r="AM165" s="228">
        <v>0</v>
      </c>
      <c r="AN165" s="228">
        <v>0</v>
      </c>
      <c r="AO165" s="229">
        <v>41</v>
      </c>
      <c r="AP165" s="231">
        <v>10</v>
      </c>
      <c r="AQ165" s="231">
        <v>2024</v>
      </c>
      <c r="AR165" s="231" t="str">
        <f t="shared" si="15"/>
        <v>10/2024</v>
      </c>
      <c r="AS165" s="231">
        <f t="shared" si="16"/>
        <v>52</v>
      </c>
      <c r="AT165" s="239">
        <f>IF(G165="CERVECERIA Y MALTERIA",(AS165*AK165/1000000)*(1-VLOOKUP(N165,FCST!D:I,6,FALSE)),0)</f>
        <v>17.127552000000001</v>
      </c>
      <c r="AU165" s="232">
        <v>5.0000000000000001E-3</v>
      </c>
      <c r="AV165" s="239">
        <f t="shared" si="17"/>
        <v>17.213189759999999</v>
      </c>
      <c r="AW165" s="239">
        <f>(AS165*AK165/1000000)*(VLOOKUP(N165,FCST!D:I,6,FALSE))</f>
        <v>0</v>
      </c>
      <c r="AX165" s="239">
        <f t="shared" si="18"/>
        <v>0</v>
      </c>
      <c r="AY165" s="239">
        <f>IF($G165="CERVECERIA Y MALTERIA.",($AS165*$AK165/1000000)*(1-VLOOKUP($N165,FCST!D:I,6,FALSE)),0)</f>
        <v>0</v>
      </c>
      <c r="AZ165" s="239">
        <f t="shared" si="19"/>
        <v>0</v>
      </c>
    </row>
    <row r="166" spans="1:52" x14ac:dyDescent="0.25">
      <c r="A166" s="209">
        <v>1078207</v>
      </c>
      <c r="B166" s="209">
        <v>20</v>
      </c>
      <c r="C166" s="209">
        <v>89283669</v>
      </c>
      <c r="D166" s="209">
        <v>20</v>
      </c>
      <c r="E166" s="209">
        <v>10000002</v>
      </c>
      <c r="F166" s="209">
        <v>20000336</v>
      </c>
      <c r="G166" s="209" t="s">
        <v>105</v>
      </c>
      <c r="H166" s="209">
        <v>20000336</v>
      </c>
      <c r="I166" s="209">
        <v>2</v>
      </c>
      <c r="J166" s="209" t="s">
        <v>169</v>
      </c>
      <c r="K166" s="209" t="s">
        <v>441</v>
      </c>
      <c r="L166" s="209" t="s">
        <v>171</v>
      </c>
      <c r="M166" s="209" t="s">
        <v>172</v>
      </c>
      <c r="N166" s="209">
        <v>50035046</v>
      </c>
      <c r="O166" s="209" t="s">
        <v>251</v>
      </c>
      <c r="P166" s="209">
        <v>5121</v>
      </c>
      <c r="Q166" s="209" t="s">
        <v>174</v>
      </c>
      <c r="R166" s="209" t="s">
        <v>175</v>
      </c>
      <c r="S166" s="209" t="s">
        <v>176</v>
      </c>
      <c r="T166" s="209" t="s">
        <v>177</v>
      </c>
      <c r="U166" s="209" t="s">
        <v>178</v>
      </c>
      <c r="V166" s="209" t="s">
        <v>179</v>
      </c>
      <c r="W166" s="209" t="s">
        <v>179</v>
      </c>
      <c r="X166" s="209" t="s">
        <v>180</v>
      </c>
      <c r="Y166" s="209" t="s">
        <v>180</v>
      </c>
      <c r="Z166" s="209">
        <v>9521066345</v>
      </c>
      <c r="AA166" s="209" t="s">
        <v>442</v>
      </c>
      <c r="AB166" s="209" t="s">
        <v>180</v>
      </c>
      <c r="AC166" s="209" t="s">
        <v>182</v>
      </c>
      <c r="AD166" s="209">
        <v>10</v>
      </c>
      <c r="AE166" s="209">
        <v>2024</v>
      </c>
      <c r="AF166" s="227">
        <v>45569</v>
      </c>
      <c r="AG166" s="227">
        <v>45572</v>
      </c>
      <c r="AH166" s="227">
        <v>45572</v>
      </c>
      <c r="AI166" s="228">
        <v>39120</v>
      </c>
      <c r="AJ166" s="228">
        <v>5</v>
      </c>
      <c r="AK166" s="228">
        <v>39120</v>
      </c>
      <c r="AL166" s="228">
        <v>5</v>
      </c>
      <c r="AM166" s="228">
        <v>0</v>
      </c>
      <c r="AN166" s="228">
        <v>0</v>
      </c>
      <c r="AO166" s="229">
        <v>41</v>
      </c>
      <c r="AP166" s="231">
        <v>10</v>
      </c>
      <c r="AQ166" s="231">
        <v>2024</v>
      </c>
      <c r="AR166" s="231" t="str">
        <f t="shared" si="15"/>
        <v>10/2024</v>
      </c>
      <c r="AS166" s="231">
        <f t="shared" si="16"/>
        <v>44</v>
      </c>
      <c r="AT166" s="239">
        <f>IF(G166="CERVECERIA Y MALTERIA",(AS166*AK166/1000000)*(1-VLOOKUP(N166,FCST!D:I,6,FALSE)),0)</f>
        <v>1.7212799999999999</v>
      </c>
      <c r="AU166" s="232">
        <v>5.0000000000000001E-3</v>
      </c>
      <c r="AV166" s="239">
        <f t="shared" si="17"/>
        <v>1.7298863999999998</v>
      </c>
      <c r="AW166" s="239">
        <f>(AS166*AK166/1000000)*(VLOOKUP(N166,FCST!D:I,6,FALSE))</f>
        <v>0</v>
      </c>
      <c r="AX166" s="239">
        <f t="shared" si="18"/>
        <v>0</v>
      </c>
      <c r="AY166" s="239">
        <f>IF($G166="CERVECERIA Y MALTERIA.",($AS166*$AK166/1000000)*(1-VLOOKUP($N166,FCST!D:I,6,FALSE)),0)</f>
        <v>0</v>
      </c>
      <c r="AZ166" s="239">
        <f t="shared" si="19"/>
        <v>0</v>
      </c>
    </row>
    <row r="167" spans="1:52" x14ac:dyDescent="0.25">
      <c r="A167" s="209">
        <v>1078101</v>
      </c>
      <c r="B167" s="209">
        <v>10</v>
      </c>
      <c r="C167" s="209">
        <v>89282853</v>
      </c>
      <c r="D167" s="209">
        <v>10</v>
      </c>
      <c r="E167" s="209">
        <v>10000002</v>
      </c>
      <c r="F167" s="209">
        <v>20000339</v>
      </c>
      <c r="G167" s="209" t="s">
        <v>105</v>
      </c>
      <c r="H167" s="209">
        <v>20000339</v>
      </c>
      <c r="I167" s="209">
        <v>2</v>
      </c>
      <c r="J167" s="209" t="s">
        <v>169</v>
      </c>
      <c r="K167" s="209" t="s">
        <v>443</v>
      </c>
      <c r="L167" s="209" t="s">
        <v>171</v>
      </c>
      <c r="M167" s="209" t="s">
        <v>227</v>
      </c>
      <c r="N167" s="209">
        <v>50034577</v>
      </c>
      <c r="O167" s="209" t="s">
        <v>237</v>
      </c>
      <c r="P167" s="209">
        <v>5101</v>
      </c>
      <c r="Q167" s="209" t="s">
        <v>444</v>
      </c>
      <c r="R167" s="209" t="s">
        <v>445</v>
      </c>
      <c r="S167" s="209" t="s">
        <v>230</v>
      </c>
      <c r="T167" s="209" t="s">
        <v>446</v>
      </c>
      <c r="U167" s="209" t="s">
        <v>447</v>
      </c>
      <c r="V167" s="209" t="s">
        <v>179</v>
      </c>
      <c r="W167" s="209" t="s">
        <v>179</v>
      </c>
      <c r="X167" s="209" t="s">
        <v>180</v>
      </c>
      <c r="Y167" s="209" t="s">
        <v>180</v>
      </c>
      <c r="Z167" s="209">
        <v>9511046877</v>
      </c>
      <c r="AA167" s="209" t="s">
        <v>448</v>
      </c>
      <c r="AB167" s="209" t="s">
        <v>180</v>
      </c>
      <c r="AC167" s="209" t="s">
        <v>182</v>
      </c>
      <c r="AD167" s="209">
        <v>10</v>
      </c>
      <c r="AE167" s="209">
        <v>2024</v>
      </c>
      <c r="AF167" s="227">
        <v>45568</v>
      </c>
      <c r="AG167" s="227">
        <v>45572</v>
      </c>
      <c r="AH167" s="227">
        <v>45572</v>
      </c>
      <c r="AI167" s="228">
        <v>200256</v>
      </c>
      <c r="AJ167" s="228">
        <v>14</v>
      </c>
      <c r="AK167" s="228">
        <v>200256</v>
      </c>
      <c r="AL167" s="228">
        <v>14</v>
      </c>
      <c r="AM167" s="228">
        <v>0</v>
      </c>
      <c r="AN167" s="228">
        <v>0</v>
      </c>
      <c r="AO167" s="229">
        <v>40</v>
      </c>
      <c r="AP167" s="231">
        <v>10</v>
      </c>
      <c r="AQ167" s="231">
        <v>2024</v>
      </c>
      <c r="AR167" s="231" t="str">
        <f t="shared" si="15"/>
        <v>10/2024</v>
      </c>
      <c r="AS167" s="231">
        <f t="shared" si="16"/>
        <v>25</v>
      </c>
      <c r="AT167" s="239">
        <f>IF(G167="CERVECERIA Y MALTERIA",(AS167*AK167/1000000)*(1-VLOOKUP(N167,FCST!D:I,6,FALSE)),0)</f>
        <v>5.0064000000000002</v>
      </c>
      <c r="AU167" s="232">
        <v>5.0000000000000001E-3</v>
      </c>
      <c r="AV167" s="239">
        <f t="shared" si="17"/>
        <v>5.0314319999999997</v>
      </c>
      <c r="AW167" s="239">
        <f>(AS167*AK167/1000000)*(VLOOKUP(N167,FCST!D:I,6,FALSE))</f>
        <v>0</v>
      </c>
      <c r="AX167" s="239">
        <f t="shared" si="18"/>
        <v>0</v>
      </c>
      <c r="AY167" s="239">
        <f>IF($G167="CERVECERIA Y MALTERIA.",($AS167*$AK167/1000000)*(1-VLOOKUP($N167,FCST!D:I,6,FALSE)),0)</f>
        <v>0</v>
      </c>
      <c r="AZ167" s="239">
        <f t="shared" si="19"/>
        <v>0</v>
      </c>
    </row>
    <row r="168" spans="1:52" x14ac:dyDescent="0.25">
      <c r="A168" s="209">
        <v>1078104</v>
      </c>
      <c r="B168" s="209">
        <v>10</v>
      </c>
      <c r="C168" s="209">
        <v>89282854</v>
      </c>
      <c r="D168" s="209">
        <v>10</v>
      </c>
      <c r="E168" s="209">
        <v>10000002</v>
      </c>
      <c r="F168" s="209">
        <v>20000339</v>
      </c>
      <c r="G168" s="209" t="s">
        <v>105</v>
      </c>
      <c r="H168" s="209">
        <v>20000339</v>
      </c>
      <c r="I168" s="209">
        <v>2</v>
      </c>
      <c r="J168" s="209" t="s">
        <v>169</v>
      </c>
      <c r="K168" s="209" t="s">
        <v>449</v>
      </c>
      <c r="L168" s="209" t="s">
        <v>171</v>
      </c>
      <c r="M168" s="209" t="s">
        <v>227</v>
      </c>
      <c r="N168" s="209">
        <v>50033268</v>
      </c>
      <c r="O168" s="209" t="s">
        <v>253</v>
      </c>
      <c r="P168" s="209">
        <v>5121</v>
      </c>
      <c r="Q168" s="209" t="s">
        <v>228</v>
      </c>
      <c r="R168" s="209" t="s">
        <v>229</v>
      </c>
      <c r="S168" s="209" t="s">
        <v>230</v>
      </c>
      <c r="T168" s="209" t="s">
        <v>231</v>
      </c>
      <c r="U168" s="209" t="s">
        <v>232</v>
      </c>
      <c r="V168" s="209" t="s">
        <v>179</v>
      </c>
      <c r="W168" s="209" t="s">
        <v>179</v>
      </c>
      <c r="X168" s="209" t="s">
        <v>180</v>
      </c>
      <c r="Y168" s="209" t="s">
        <v>180</v>
      </c>
      <c r="Z168" s="209">
        <v>9521066356</v>
      </c>
      <c r="AA168" s="209" t="s">
        <v>450</v>
      </c>
      <c r="AB168" s="209" t="s">
        <v>180</v>
      </c>
      <c r="AC168" s="209" t="s">
        <v>182</v>
      </c>
      <c r="AD168" s="209">
        <v>10</v>
      </c>
      <c r="AE168" s="209">
        <v>2024</v>
      </c>
      <c r="AF168" s="227">
        <v>45568</v>
      </c>
      <c r="AG168" s="227">
        <v>45572</v>
      </c>
      <c r="AH168" s="227">
        <v>45572</v>
      </c>
      <c r="AI168" s="228">
        <v>297312</v>
      </c>
      <c r="AJ168" s="228">
        <v>38</v>
      </c>
      <c r="AK168" s="228">
        <v>297312</v>
      </c>
      <c r="AL168" s="228">
        <v>38</v>
      </c>
      <c r="AM168" s="228">
        <v>0</v>
      </c>
      <c r="AN168" s="228">
        <v>0</v>
      </c>
      <c r="AO168" s="229">
        <v>40</v>
      </c>
      <c r="AP168" s="231">
        <v>10</v>
      </c>
      <c r="AQ168" s="231">
        <v>2024</v>
      </c>
      <c r="AR168" s="231" t="str">
        <f t="shared" si="15"/>
        <v>10/2024</v>
      </c>
      <c r="AS168" s="231">
        <f t="shared" si="16"/>
        <v>44</v>
      </c>
      <c r="AT168" s="239">
        <f>IF(G168="CERVECERIA Y MALTERIA",(AS168*AK168/1000000)*(1-VLOOKUP(N168,FCST!D:I,6,FALSE)),0)</f>
        <v>13.081728</v>
      </c>
      <c r="AU168" s="232">
        <v>5.0000000000000001E-3</v>
      </c>
      <c r="AV168" s="239">
        <f t="shared" si="17"/>
        <v>13.147136639999999</v>
      </c>
      <c r="AW168" s="239">
        <f>(AS168*AK168/1000000)*(VLOOKUP(N168,FCST!D:I,6,FALSE))</f>
        <v>0</v>
      </c>
      <c r="AX168" s="239">
        <f t="shared" si="18"/>
        <v>0</v>
      </c>
      <c r="AY168" s="239">
        <f>IF($G168="CERVECERIA Y MALTERIA.",($AS168*$AK168/1000000)*(1-VLOOKUP($N168,FCST!D:I,6,FALSE)),0)</f>
        <v>0</v>
      </c>
      <c r="AZ168" s="239">
        <f t="shared" si="19"/>
        <v>0</v>
      </c>
    </row>
    <row r="169" spans="1:52" x14ac:dyDescent="0.25">
      <c r="A169" s="209">
        <v>1078198</v>
      </c>
      <c r="B169" s="209">
        <v>10</v>
      </c>
      <c r="C169" s="209">
        <v>89282935</v>
      </c>
      <c r="D169" s="209">
        <v>10</v>
      </c>
      <c r="E169" s="209">
        <v>10000002</v>
      </c>
      <c r="F169" s="209">
        <v>20000335</v>
      </c>
      <c r="G169" s="209" t="s">
        <v>105</v>
      </c>
      <c r="H169" s="209">
        <v>20000335</v>
      </c>
      <c r="I169" s="209">
        <v>2</v>
      </c>
      <c r="J169" s="209" t="s">
        <v>169</v>
      </c>
      <c r="K169" s="209" t="s">
        <v>451</v>
      </c>
      <c r="L169" s="209" t="s">
        <v>171</v>
      </c>
      <c r="M169" s="209" t="s">
        <v>199</v>
      </c>
      <c r="N169" s="209">
        <v>50032573</v>
      </c>
      <c r="O169" s="209" t="s">
        <v>173</v>
      </c>
      <c r="P169" s="209">
        <v>5121</v>
      </c>
      <c r="Q169" s="209" t="s">
        <v>200</v>
      </c>
      <c r="R169" s="209" t="s">
        <v>201</v>
      </c>
      <c r="S169" s="209" t="s">
        <v>202</v>
      </c>
      <c r="T169" s="209" t="s">
        <v>203</v>
      </c>
      <c r="U169" s="209" t="s">
        <v>201</v>
      </c>
      <c r="V169" s="209" t="s">
        <v>179</v>
      </c>
      <c r="W169" s="209" t="s">
        <v>179</v>
      </c>
      <c r="X169" s="209" t="s">
        <v>180</v>
      </c>
      <c r="Y169" s="209" t="s">
        <v>180</v>
      </c>
      <c r="Z169" s="209">
        <v>9521066346</v>
      </c>
      <c r="AA169" s="209" t="s">
        <v>452</v>
      </c>
      <c r="AB169" s="209" t="s">
        <v>180</v>
      </c>
      <c r="AC169" s="209" t="s">
        <v>182</v>
      </c>
      <c r="AD169" s="209">
        <v>10</v>
      </c>
      <c r="AE169" s="209">
        <v>2024</v>
      </c>
      <c r="AF169" s="227">
        <v>45569</v>
      </c>
      <c r="AG169" s="227">
        <v>45572</v>
      </c>
      <c r="AH169" s="227">
        <v>45572</v>
      </c>
      <c r="AI169" s="228">
        <v>531648</v>
      </c>
      <c r="AJ169" s="228">
        <v>52</v>
      </c>
      <c r="AK169" s="228">
        <v>531648</v>
      </c>
      <c r="AL169" s="228">
        <v>52</v>
      </c>
      <c r="AM169" s="228">
        <v>0</v>
      </c>
      <c r="AN169" s="228">
        <v>0</v>
      </c>
      <c r="AO169" s="229">
        <v>41</v>
      </c>
      <c r="AP169" s="231">
        <v>10</v>
      </c>
      <c r="AQ169" s="231">
        <v>2024</v>
      </c>
      <c r="AR169" s="231" t="str">
        <f t="shared" si="15"/>
        <v>10/2024</v>
      </c>
      <c r="AS169" s="231">
        <f t="shared" si="16"/>
        <v>37.200000000000003</v>
      </c>
      <c r="AT169" s="239">
        <f>IF(G169="CERVECERIA Y MALTERIA",(AS169*AK169/1000000)*(1-VLOOKUP(N169,FCST!D:I,6,FALSE)),0)</f>
        <v>19.777305600000002</v>
      </c>
      <c r="AU169" s="232">
        <v>5.0000000000000001E-3</v>
      </c>
      <c r="AV169" s="239">
        <f t="shared" si="17"/>
        <v>19.876192128</v>
      </c>
      <c r="AW169" s="239">
        <f>(AS169*AK169/1000000)*(VLOOKUP(N169,FCST!D:I,6,FALSE))</f>
        <v>0</v>
      </c>
      <c r="AX169" s="239">
        <f t="shared" si="18"/>
        <v>0</v>
      </c>
      <c r="AY169" s="239">
        <f>IF($G169="CERVECERIA Y MALTERIA.",($AS169*$AK169/1000000)*(1-VLOOKUP($N169,FCST!D:I,6,FALSE)),0)</f>
        <v>0</v>
      </c>
      <c r="AZ169" s="239">
        <f t="shared" si="19"/>
        <v>0</v>
      </c>
    </row>
    <row r="170" spans="1:52" x14ac:dyDescent="0.25">
      <c r="A170" s="209">
        <v>1077013</v>
      </c>
      <c r="B170" s="209">
        <v>30</v>
      </c>
      <c r="C170" s="209">
        <v>89282136</v>
      </c>
      <c r="D170" s="209">
        <v>10</v>
      </c>
      <c r="E170" s="209">
        <v>10000002</v>
      </c>
      <c r="F170" s="209">
        <v>20000337</v>
      </c>
      <c r="G170" s="209" t="s">
        <v>105</v>
      </c>
      <c r="H170" s="209">
        <v>20000337</v>
      </c>
      <c r="I170" s="209">
        <v>2</v>
      </c>
      <c r="J170" s="209" t="s">
        <v>169</v>
      </c>
      <c r="K170" s="209" t="s">
        <v>453</v>
      </c>
      <c r="L170" s="209" t="s">
        <v>246</v>
      </c>
      <c r="M170" s="209" t="s">
        <v>172</v>
      </c>
      <c r="N170" s="209">
        <v>50035183</v>
      </c>
      <c r="O170" s="209" t="s">
        <v>215</v>
      </c>
      <c r="P170" s="209">
        <v>5121</v>
      </c>
      <c r="Q170" s="209" t="s">
        <v>174</v>
      </c>
      <c r="R170" s="209" t="s">
        <v>175</v>
      </c>
      <c r="S170" s="209" t="s">
        <v>176</v>
      </c>
      <c r="T170" s="209" t="s">
        <v>177</v>
      </c>
      <c r="U170" s="209" t="s">
        <v>178</v>
      </c>
      <c r="V170" s="209">
        <v>5500010705</v>
      </c>
      <c r="W170" s="209">
        <v>5500010705</v>
      </c>
      <c r="X170" s="209" t="s">
        <v>180</v>
      </c>
      <c r="Y170" s="209" t="s">
        <v>180</v>
      </c>
      <c r="Z170" s="209">
        <v>9521066355</v>
      </c>
      <c r="AA170" s="209" t="s">
        <v>454</v>
      </c>
      <c r="AB170" s="209" t="s">
        <v>180</v>
      </c>
      <c r="AC170" s="209" t="s">
        <v>182</v>
      </c>
      <c r="AD170" s="209">
        <v>9</v>
      </c>
      <c r="AE170" s="209">
        <v>2024</v>
      </c>
      <c r="AF170" s="227">
        <v>45562</v>
      </c>
      <c r="AG170" s="227">
        <v>45569</v>
      </c>
      <c r="AH170" s="227">
        <v>45569</v>
      </c>
      <c r="AI170" s="228">
        <v>426816</v>
      </c>
      <c r="AJ170" s="228">
        <v>52</v>
      </c>
      <c r="AK170" s="228">
        <v>426816</v>
      </c>
      <c r="AL170" s="228">
        <v>52</v>
      </c>
      <c r="AM170" s="228">
        <v>0</v>
      </c>
      <c r="AN170" s="228">
        <v>0</v>
      </c>
      <c r="AO170" s="229">
        <v>40</v>
      </c>
      <c r="AP170" s="231">
        <v>10</v>
      </c>
      <c r="AQ170" s="231">
        <v>2024</v>
      </c>
      <c r="AR170" s="231" t="str">
        <f t="shared" si="15"/>
        <v>10/2024</v>
      </c>
      <c r="AS170" s="231">
        <f t="shared" si="16"/>
        <v>46.6</v>
      </c>
      <c r="AT170" s="239">
        <f>IF(G170="CERVECERIA Y MALTERIA",(AS170*AK170/1000000)*(1-VLOOKUP(N170,FCST!D:I,6,FALSE)),0)</f>
        <v>19.889625600000002</v>
      </c>
      <c r="AU170" s="232">
        <v>5.0000000000000001E-3</v>
      </c>
      <c r="AV170" s="239">
        <f t="shared" si="17"/>
        <v>19.989073728000001</v>
      </c>
      <c r="AW170" s="239">
        <f>(AS170*AK170/1000000)*(VLOOKUP(N170,FCST!D:I,6,FALSE))</f>
        <v>0</v>
      </c>
      <c r="AX170" s="239">
        <f t="shared" si="18"/>
        <v>0</v>
      </c>
      <c r="AY170" s="239">
        <f>IF($G170="CERVECERIA Y MALTERIA.",($AS170*$AK170/1000000)*(1-VLOOKUP($N170,FCST!D:I,6,FALSE)),0)</f>
        <v>0</v>
      </c>
      <c r="AZ170" s="239">
        <f t="shared" si="19"/>
        <v>0</v>
      </c>
    </row>
    <row r="171" spans="1:52" x14ac:dyDescent="0.25">
      <c r="A171" s="209">
        <v>1078198</v>
      </c>
      <c r="B171" s="209">
        <v>20</v>
      </c>
      <c r="C171" s="209">
        <v>89283052</v>
      </c>
      <c r="D171" s="209">
        <v>10</v>
      </c>
      <c r="E171" s="209">
        <v>10000002</v>
      </c>
      <c r="F171" s="209">
        <v>20000335</v>
      </c>
      <c r="G171" s="209" t="s">
        <v>105</v>
      </c>
      <c r="H171" s="209">
        <v>20000335</v>
      </c>
      <c r="I171" s="209">
        <v>2</v>
      </c>
      <c r="J171" s="209" t="s">
        <v>169</v>
      </c>
      <c r="K171" s="209" t="s">
        <v>455</v>
      </c>
      <c r="L171" s="209" t="s">
        <v>171</v>
      </c>
      <c r="M171" s="209" t="s">
        <v>172</v>
      </c>
      <c r="N171" s="209">
        <v>50035183</v>
      </c>
      <c r="O171" s="209" t="s">
        <v>215</v>
      </c>
      <c r="P171" s="209">
        <v>5121</v>
      </c>
      <c r="Q171" s="209" t="s">
        <v>174</v>
      </c>
      <c r="R171" s="209" t="s">
        <v>175</v>
      </c>
      <c r="S171" s="209" t="s">
        <v>176</v>
      </c>
      <c r="T171" s="209" t="s">
        <v>177</v>
      </c>
      <c r="U171" s="209" t="s">
        <v>178</v>
      </c>
      <c r="V171" s="209" t="s">
        <v>179</v>
      </c>
      <c r="W171" s="209" t="s">
        <v>179</v>
      </c>
      <c r="X171" s="209" t="s">
        <v>180</v>
      </c>
      <c r="Y171" s="209" t="s">
        <v>180</v>
      </c>
      <c r="Z171" s="209">
        <v>9521066347</v>
      </c>
      <c r="AA171" s="209" t="s">
        <v>456</v>
      </c>
      <c r="AB171" s="209" t="s">
        <v>180</v>
      </c>
      <c r="AC171" s="209" t="s">
        <v>182</v>
      </c>
      <c r="AD171" s="209">
        <v>10</v>
      </c>
      <c r="AE171" s="209">
        <v>2024</v>
      </c>
      <c r="AF171" s="227">
        <v>45569</v>
      </c>
      <c r="AG171" s="227">
        <v>45572</v>
      </c>
      <c r="AH171" s="227">
        <v>45572</v>
      </c>
      <c r="AI171" s="228">
        <v>426816</v>
      </c>
      <c r="AJ171" s="228">
        <v>52</v>
      </c>
      <c r="AK171" s="228">
        <v>426816</v>
      </c>
      <c r="AL171" s="228">
        <v>52</v>
      </c>
      <c r="AM171" s="228">
        <v>0</v>
      </c>
      <c r="AN171" s="228">
        <v>0</v>
      </c>
      <c r="AO171" s="229">
        <v>41</v>
      </c>
      <c r="AP171" s="231">
        <v>10</v>
      </c>
      <c r="AQ171" s="231">
        <v>2024</v>
      </c>
      <c r="AR171" s="231" t="str">
        <f t="shared" si="15"/>
        <v>10/2024</v>
      </c>
      <c r="AS171" s="231">
        <f t="shared" si="16"/>
        <v>46.6</v>
      </c>
      <c r="AT171" s="239">
        <f>IF(G171="CERVECERIA Y MALTERIA",(AS171*AK171/1000000)*(1-VLOOKUP(N171,FCST!D:I,6,FALSE)),0)</f>
        <v>19.889625600000002</v>
      </c>
      <c r="AU171" s="232">
        <v>5.0000000000000001E-3</v>
      </c>
      <c r="AV171" s="239">
        <f t="shared" si="17"/>
        <v>19.989073728000001</v>
      </c>
      <c r="AW171" s="239">
        <f>(AS171*AK171/1000000)*(VLOOKUP(N171,FCST!D:I,6,FALSE))</f>
        <v>0</v>
      </c>
      <c r="AX171" s="239">
        <f t="shared" si="18"/>
        <v>0</v>
      </c>
      <c r="AY171" s="239">
        <f>IF($G171="CERVECERIA Y MALTERIA.",($AS171*$AK171/1000000)*(1-VLOOKUP($N171,FCST!D:I,6,FALSE)),0)</f>
        <v>0</v>
      </c>
      <c r="AZ171" s="239">
        <f t="shared" si="19"/>
        <v>0</v>
      </c>
    </row>
    <row r="172" spans="1:52" x14ac:dyDescent="0.25">
      <c r="A172" s="209">
        <v>1078198</v>
      </c>
      <c r="B172" s="209">
        <v>60</v>
      </c>
      <c r="C172" s="209">
        <v>89284072</v>
      </c>
      <c r="D172" s="209">
        <v>10</v>
      </c>
      <c r="E172" s="209">
        <v>10000002</v>
      </c>
      <c r="F172" s="209">
        <v>20000335</v>
      </c>
      <c r="G172" s="209" t="s">
        <v>105</v>
      </c>
      <c r="H172" s="209">
        <v>20000335</v>
      </c>
      <c r="I172" s="209">
        <v>2</v>
      </c>
      <c r="J172" s="209" t="s">
        <v>169</v>
      </c>
      <c r="K172" s="209" t="s">
        <v>457</v>
      </c>
      <c r="L172" s="209" t="s">
        <v>171</v>
      </c>
      <c r="M172" s="209" t="s">
        <v>199</v>
      </c>
      <c r="N172" s="209">
        <v>50034574</v>
      </c>
      <c r="O172" s="209" t="s">
        <v>196</v>
      </c>
      <c r="P172" s="209">
        <v>5121</v>
      </c>
      <c r="Q172" s="209" t="s">
        <v>200</v>
      </c>
      <c r="R172" s="209" t="s">
        <v>201</v>
      </c>
      <c r="S172" s="209" t="s">
        <v>202</v>
      </c>
      <c r="T172" s="209" t="s">
        <v>203</v>
      </c>
      <c r="U172" s="209" t="s">
        <v>201</v>
      </c>
      <c r="V172" s="209" t="s">
        <v>179</v>
      </c>
      <c r="W172" s="209" t="s">
        <v>179</v>
      </c>
      <c r="X172" s="209" t="s">
        <v>180</v>
      </c>
      <c r="Y172" s="209" t="s">
        <v>180</v>
      </c>
      <c r="Z172" s="209">
        <v>9521066361</v>
      </c>
      <c r="AA172" s="209" t="s">
        <v>458</v>
      </c>
      <c r="AB172" s="209" t="s">
        <v>180</v>
      </c>
      <c r="AC172" s="209" t="s">
        <v>182</v>
      </c>
      <c r="AD172" s="209">
        <v>10</v>
      </c>
      <c r="AE172" s="209">
        <v>2024</v>
      </c>
      <c r="AF172" s="227">
        <v>45569</v>
      </c>
      <c r="AG172" s="227">
        <v>45573</v>
      </c>
      <c r="AH172" s="227">
        <v>45573</v>
      </c>
      <c r="AI172" s="228">
        <v>977184</v>
      </c>
      <c r="AJ172" s="228">
        <v>52</v>
      </c>
      <c r="AK172" s="228">
        <v>977184</v>
      </c>
      <c r="AL172" s="228">
        <v>52</v>
      </c>
      <c r="AM172" s="228">
        <v>0</v>
      </c>
      <c r="AN172" s="228">
        <v>0</v>
      </c>
      <c r="AO172" s="229">
        <v>41</v>
      </c>
      <c r="AP172" s="231">
        <v>10</v>
      </c>
      <c r="AQ172" s="231">
        <v>2024</v>
      </c>
      <c r="AR172" s="231" t="str">
        <f t="shared" si="15"/>
        <v>10/2024</v>
      </c>
      <c r="AS172" s="231">
        <f t="shared" si="16"/>
        <v>19.5</v>
      </c>
      <c r="AT172" s="239">
        <f>IF(G172="CERVECERIA Y MALTERIA",(AS172*AK172/1000000)*(1-VLOOKUP(N172,FCST!D:I,6,FALSE)),0)</f>
        <v>19.055088000000001</v>
      </c>
      <c r="AU172" s="232">
        <v>5.0000000000000001E-3</v>
      </c>
      <c r="AV172" s="239">
        <f t="shared" si="17"/>
        <v>19.15036344</v>
      </c>
      <c r="AW172" s="239">
        <f>(AS172*AK172/1000000)*(VLOOKUP(N172,FCST!D:I,6,FALSE))</f>
        <v>0</v>
      </c>
      <c r="AX172" s="239">
        <f t="shared" si="18"/>
        <v>0</v>
      </c>
      <c r="AY172" s="239">
        <f>IF($G172="CERVECERIA Y MALTERIA.",($AS172*$AK172/1000000)*(1-VLOOKUP($N172,FCST!D:I,6,FALSE)),0)</f>
        <v>0</v>
      </c>
      <c r="AZ172" s="239">
        <f t="shared" si="19"/>
        <v>0</v>
      </c>
    </row>
    <row r="173" spans="1:52" x14ac:dyDescent="0.25">
      <c r="A173" s="209">
        <v>1078200</v>
      </c>
      <c r="B173" s="209">
        <v>20</v>
      </c>
      <c r="C173" s="209">
        <v>89284151</v>
      </c>
      <c r="D173" s="209">
        <v>10</v>
      </c>
      <c r="E173" s="209">
        <v>10000002</v>
      </c>
      <c r="F173" s="209">
        <v>20000340</v>
      </c>
      <c r="G173" s="209" t="s">
        <v>117</v>
      </c>
      <c r="H173" s="209">
        <v>20000340</v>
      </c>
      <c r="I173" s="209">
        <v>2</v>
      </c>
      <c r="J173" s="209" t="s">
        <v>169</v>
      </c>
      <c r="K173" s="209" t="s">
        <v>459</v>
      </c>
      <c r="L173" s="209" t="s">
        <v>171</v>
      </c>
      <c r="M173" s="209" t="s">
        <v>172</v>
      </c>
      <c r="N173" s="209">
        <v>50029843</v>
      </c>
      <c r="O173" s="209" t="s">
        <v>460</v>
      </c>
      <c r="P173" s="209">
        <v>5121</v>
      </c>
      <c r="Q173" s="209" t="s">
        <v>174</v>
      </c>
      <c r="R173" s="209" t="s">
        <v>175</v>
      </c>
      <c r="S173" s="209" t="s">
        <v>176</v>
      </c>
      <c r="T173" s="209" t="s">
        <v>177</v>
      </c>
      <c r="U173" s="209" t="s">
        <v>178</v>
      </c>
      <c r="V173" s="209" t="s">
        <v>179</v>
      </c>
      <c r="W173" s="209" t="s">
        <v>179</v>
      </c>
      <c r="X173" s="209" t="s">
        <v>180</v>
      </c>
      <c r="Y173" s="209" t="s">
        <v>180</v>
      </c>
      <c r="Z173" s="209">
        <v>9521066358</v>
      </c>
      <c r="AA173" s="209" t="s">
        <v>461</v>
      </c>
      <c r="AB173" s="209" t="s">
        <v>180</v>
      </c>
      <c r="AC173" s="209" t="s">
        <v>182</v>
      </c>
      <c r="AD173" s="209">
        <v>10</v>
      </c>
      <c r="AE173" s="209">
        <v>2024</v>
      </c>
      <c r="AF173" s="227">
        <v>45569</v>
      </c>
      <c r="AG173" s="227">
        <v>45573</v>
      </c>
      <c r="AH173" s="227">
        <v>45573</v>
      </c>
      <c r="AI173" s="228">
        <v>419328</v>
      </c>
      <c r="AJ173" s="228">
        <v>52</v>
      </c>
      <c r="AK173" s="228">
        <v>419328</v>
      </c>
      <c r="AL173" s="228">
        <v>52</v>
      </c>
      <c r="AM173" s="228">
        <v>0</v>
      </c>
      <c r="AN173" s="228">
        <v>0</v>
      </c>
      <c r="AO173" s="229">
        <v>41</v>
      </c>
      <c r="AP173" s="231">
        <v>10</v>
      </c>
      <c r="AQ173" s="231">
        <v>2024</v>
      </c>
      <c r="AR173" s="231" t="str">
        <f t="shared" si="15"/>
        <v>10/2024</v>
      </c>
      <c r="AS173" s="231">
        <f t="shared" si="16"/>
        <v>44.8</v>
      </c>
      <c r="AT173" s="239">
        <f>IF(G173="CERVECERIA Y MALTERIA",(AS173*AK173/1000000)*(1-VLOOKUP(N173,FCST!D:I,6,FALSE)),0)</f>
        <v>0</v>
      </c>
      <c r="AU173" s="232">
        <v>5.0000000000000001E-3</v>
      </c>
      <c r="AV173" s="239">
        <f t="shared" si="17"/>
        <v>0</v>
      </c>
      <c r="AW173" s="239">
        <f>(AS173*AK173/1000000)*(VLOOKUP(N173,FCST!D:I,6,FALSE))</f>
        <v>0</v>
      </c>
      <c r="AX173" s="239">
        <f t="shared" si="18"/>
        <v>0</v>
      </c>
      <c r="AY173" s="239">
        <f>IF($G173="CERVECERIA Y MALTERIA.",($AS173*$AK173/1000000)*(1-VLOOKUP($N173,FCST!D:I,6,FALSE)),0)</f>
        <v>18.7858944</v>
      </c>
      <c r="AZ173" s="239">
        <f t="shared" si="19"/>
        <v>18.879823871999999</v>
      </c>
    </row>
    <row r="174" spans="1:52" x14ac:dyDescent="0.25">
      <c r="A174" s="209">
        <v>1078204</v>
      </c>
      <c r="B174" s="209">
        <v>20</v>
      </c>
      <c r="C174" s="209">
        <v>89284229</v>
      </c>
      <c r="D174" s="209">
        <v>10</v>
      </c>
      <c r="E174" s="209">
        <v>10000002</v>
      </c>
      <c r="F174" s="209">
        <v>20000337</v>
      </c>
      <c r="G174" s="209" t="s">
        <v>105</v>
      </c>
      <c r="H174" s="209">
        <v>20000337</v>
      </c>
      <c r="I174" s="209">
        <v>2</v>
      </c>
      <c r="J174" s="209" t="s">
        <v>169</v>
      </c>
      <c r="K174" s="209" t="s">
        <v>462</v>
      </c>
      <c r="L174" s="209" t="s">
        <v>171</v>
      </c>
      <c r="M174" s="209" t="s">
        <v>199</v>
      </c>
      <c r="N174" s="209">
        <v>50034616</v>
      </c>
      <c r="O174" s="209" t="s">
        <v>191</v>
      </c>
      <c r="P174" s="209">
        <v>5121</v>
      </c>
      <c r="Q174" s="209" t="s">
        <v>200</v>
      </c>
      <c r="R174" s="209" t="s">
        <v>201</v>
      </c>
      <c r="S174" s="209" t="s">
        <v>202</v>
      </c>
      <c r="T174" s="209" t="s">
        <v>203</v>
      </c>
      <c r="U174" s="209" t="s">
        <v>201</v>
      </c>
      <c r="V174" s="209" t="s">
        <v>179</v>
      </c>
      <c r="W174" s="209" t="s">
        <v>179</v>
      </c>
      <c r="X174" s="209" t="s">
        <v>180</v>
      </c>
      <c r="Y174" s="209" t="s">
        <v>180</v>
      </c>
      <c r="Z174" s="209">
        <v>9521066354</v>
      </c>
      <c r="AA174" s="209" t="s">
        <v>463</v>
      </c>
      <c r="AB174" s="209" t="s">
        <v>180</v>
      </c>
      <c r="AC174" s="209" t="s">
        <v>182</v>
      </c>
      <c r="AD174" s="209">
        <v>10</v>
      </c>
      <c r="AE174" s="209">
        <v>2024</v>
      </c>
      <c r="AF174" s="227">
        <v>45569</v>
      </c>
      <c r="AG174" s="227">
        <v>45573</v>
      </c>
      <c r="AH174" s="227">
        <v>45573</v>
      </c>
      <c r="AI174" s="228">
        <v>426816</v>
      </c>
      <c r="AJ174" s="228">
        <v>52</v>
      </c>
      <c r="AK174" s="228">
        <v>426816</v>
      </c>
      <c r="AL174" s="228">
        <v>52</v>
      </c>
      <c r="AM174" s="228">
        <v>0</v>
      </c>
      <c r="AN174" s="228">
        <v>0</v>
      </c>
      <c r="AO174" s="229">
        <v>41</v>
      </c>
      <c r="AP174" s="231">
        <v>10</v>
      </c>
      <c r="AQ174" s="231">
        <v>2024</v>
      </c>
      <c r="AR174" s="231" t="str">
        <f t="shared" si="15"/>
        <v>10/2024</v>
      </c>
      <c r="AS174" s="231">
        <f t="shared" si="16"/>
        <v>46.6</v>
      </c>
      <c r="AT174" s="239">
        <f>IF(G174="CERVECERIA Y MALTERIA",(AS174*AK174/1000000)*(1-VLOOKUP(N174,FCST!D:I,6,FALSE)),0)</f>
        <v>19.889625600000002</v>
      </c>
      <c r="AU174" s="232">
        <v>5.0000000000000001E-3</v>
      </c>
      <c r="AV174" s="239">
        <f t="shared" si="17"/>
        <v>19.989073728000001</v>
      </c>
      <c r="AW174" s="239">
        <f>(AS174*AK174/1000000)*(VLOOKUP(N174,FCST!D:I,6,FALSE))</f>
        <v>0</v>
      </c>
      <c r="AX174" s="239">
        <f t="shared" si="18"/>
        <v>0</v>
      </c>
      <c r="AY174" s="239">
        <f>IF($G174="CERVECERIA Y MALTERIA.",($AS174*$AK174/1000000)*(1-VLOOKUP($N174,FCST!D:I,6,FALSE)),0)</f>
        <v>0</v>
      </c>
      <c r="AZ174" s="239">
        <f t="shared" si="19"/>
        <v>0</v>
      </c>
    </row>
    <row r="175" spans="1:52" x14ac:dyDescent="0.25">
      <c r="A175" s="209">
        <v>1078207</v>
      </c>
      <c r="B175" s="209">
        <v>30</v>
      </c>
      <c r="C175" s="209">
        <v>89284330</v>
      </c>
      <c r="D175" s="209">
        <v>10</v>
      </c>
      <c r="E175" s="209">
        <v>10000002</v>
      </c>
      <c r="F175" s="209">
        <v>20000336</v>
      </c>
      <c r="G175" s="209" t="s">
        <v>105</v>
      </c>
      <c r="H175" s="209">
        <v>20000336</v>
      </c>
      <c r="I175" s="209">
        <v>2</v>
      </c>
      <c r="J175" s="209" t="s">
        <v>169</v>
      </c>
      <c r="K175" s="209" t="s">
        <v>464</v>
      </c>
      <c r="L175" s="209" t="s">
        <v>171</v>
      </c>
      <c r="M175" s="209" t="s">
        <v>172</v>
      </c>
      <c r="N175" s="209">
        <v>50033268</v>
      </c>
      <c r="O175" s="209" t="s">
        <v>253</v>
      </c>
      <c r="P175" s="209">
        <v>5121</v>
      </c>
      <c r="Q175" s="209" t="s">
        <v>174</v>
      </c>
      <c r="R175" s="209" t="s">
        <v>175</v>
      </c>
      <c r="S175" s="209" t="s">
        <v>176</v>
      </c>
      <c r="T175" s="209" t="s">
        <v>177</v>
      </c>
      <c r="U175" s="209" t="s">
        <v>178</v>
      </c>
      <c r="V175" s="209" t="s">
        <v>179</v>
      </c>
      <c r="W175" s="209" t="s">
        <v>179</v>
      </c>
      <c r="X175" s="209" t="s">
        <v>180</v>
      </c>
      <c r="Y175" s="209" t="s">
        <v>180</v>
      </c>
      <c r="Z175" s="209">
        <v>9521066353</v>
      </c>
      <c r="AA175" s="209" t="s">
        <v>465</v>
      </c>
      <c r="AB175" s="209" t="s">
        <v>180</v>
      </c>
      <c r="AC175" s="209" t="s">
        <v>182</v>
      </c>
      <c r="AD175" s="209">
        <v>10</v>
      </c>
      <c r="AE175" s="209">
        <v>2024</v>
      </c>
      <c r="AF175" s="227">
        <v>45569</v>
      </c>
      <c r="AG175" s="227">
        <v>45573</v>
      </c>
      <c r="AH175" s="227">
        <v>45573</v>
      </c>
      <c r="AI175" s="228">
        <v>406848</v>
      </c>
      <c r="AJ175" s="228">
        <v>52</v>
      </c>
      <c r="AK175" s="228">
        <v>406848</v>
      </c>
      <c r="AL175" s="228">
        <v>52</v>
      </c>
      <c r="AM175" s="228">
        <v>0</v>
      </c>
      <c r="AN175" s="228">
        <v>0</v>
      </c>
      <c r="AO175" s="229">
        <v>41</v>
      </c>
      <c r="AP175" s="231">
        <v>10</v>
      </c>
      <c r="AQ175" s="231">
        <v>2024</v>
      </c>
      <c r="AR175" s="231" t="str">
        <f t="shared" si="15"/>
        <v>10/2024</v>
      </c>
      <c r="AS175" s="231">
        <f t="shared" si="16"/>
        <v>44</v>
      </c>
      <c r="AT175" s="239">
        <f>IF(G175="CERVECERIA Y MALTERIA",(AS175*AK175/1000000)*(1-VLOOKUP(N175,FCST!D:I,6,FALSE)),0)</f>
        <v>17.901312000000001</v>
      </c>
      <c r="AU175" s="232">
        <v>5.0000000000000001E-3</v>
      </c>
      <c r="AV175" s="239">
        <f t="shared" si="17"/>
        <v>17.990818559999997</v>
      </c>
      <c r="AW175" s="239">
        <f>(AS175*AK175/1000000)*(VLOOKUP(N175,FCST!D:I,6,FALSE))</f>
        <v>0</v>
      </c>
      <c r="AX175" s="239">
        <f t="shared" si="18"/>
        <v>0</v>
      </c>
      <c r="AY175" s="239">
        <f>IF($G175="CERVECERIA Y MALTERIA.",($AS175*$AK175/1000000)*(1-VLOOKUP($N175,FCST!D:I,6,FALSE)),0)</f>
        <v>0</v>
      </c>
      <c r="AZ175" s="239">
        <f t="shared" si="19"/>
        <v>0</v>
      </c>
    </row>
    <row r="176" spans="1:52" x14ac:dyDescent="0.25">
      <c r="A176" s="209">
        <v>1078200</v>
      </c>
      <c r="B176" s="209">
        <v>10</v>
      </c>
      <c r="C176" s="209">
        <v>89283083</v>
      </c>
      <c r="D176" s="209">
        <v>10</v>
      </c>
      <c r="E176" s="209">
        <v>10000002</v>
      </c>
      <c r="F176" s="209">
        <v>20000340</v>
      </c>
      <c r="G176" s="209" t="s">
        <v>117</v>
      </c>
      <c r="H176" s="209">
        <v>20000340</v>
      </c>
      <c r="I176" s="209">
        <v>2</v>
      </c>
      <c r="J176" s="209" t="s">
        <v>169</v>
      </c>
      <c r="K176" s="209" t="s">
        <v>466</v>
      </c>
      <c r="L176" s="209" t="s">
        <v>171</v>
      </c>
      <c r="M176" s="209" t="s">
        <v>172</v>
      </c>
      <c r="N176" s="209">
        <v>50029843</v>
      </c>
      <c r="O176" s="209" t="s">
        <v>460</v>
      </c>
      <c r="P176" s="209">
        <v>5121</v>
      </c>
      <c r="Q176" s="209" t="s">
        <v>174</v>
      </c>
      <c r="R176" s="209" t="s">
        <v>175</v>
      </c>
      <c r="S176" s="209" t="s">
        <v>176</v>
      </c>
      <c r="T176" s="209" t="s">
        <v>177</v>
      </c>
      <c r="U176" s="209" t="s">
        <v>178</v>
      </c>
      <c r="V176" s="209" t="s">
        <v>179</v>
      </c>
      <c r="W176" s="209" t="s">
        <v>179</v>
      </c>
      <c r="X176" s="209" t="s">
        <v>180</v>
      </c>
      <c r="Y176" s="209" t="s">
        <v>180</v>
      </c>
      <c r="Z176" s="209">
        <v>9521066358</v>
      </c>
      <c r="AA176" s="209" t="s">
        <v>461</v>
      </c>
      <c r="AB176" s="209" t="s">
        <v>180</v>
      </c>
      <c r="AC176" s="209" t="s">
        <v>182</v>
      </c>
      <c r="AD176" s="209">
        <v>10</v>
      </c>
      <c r="AE176" s="209">
        <v>2024</v>
      </c>
      <c r="AF176" s="227">
        <v>45569</v>
      </c>
      <c r="AG176" s="227">
        <v>45572</v>
      </c>
      <c r="AH176" s="227">
        <v>45572</v>
      </c>
      <c r="AI176" s="228">
        <v>419328</v>
      </c>
      <c r="AJ176" s="228">
        <v>52</v>
      </c>
      <c r="AK176" s="228">
        <v>419328</v>
      </c>
      <c r="AL176" s="228">
        <v>52</v>
      </c>
      <c r="AM176" s="228">
        <v>0</v>
      </c>
      <c r="AN176" s="228">
        <v>0</v>
      </c>
      <c r="AO176" s="229">
        <v>41</v>
      </c>
      <c r="AP176" s="231">
        <v>10</v>
      </c>
      <c r="AQ176" s="231">
        <v>2024</v>
      </c>
      <c r="AR176" s="231" t="str">
        <f t="shared" si="15"/>
        <v>10/2024</v>
      </c>
      <c r="AS176" s="231">
        <f t="shared" si="16"/>
        <v>44.8</v>
      </c>
      <c r="AT176" s="239">
        <f>IF(G176="CERVECERIA Y MALTERIA",(AS176*AK176/1000000)*(1-VLOOKUP(N176,FCST!D:I,6,FALSE)),0)</f>
        <v>0</v>
      </c>
      <c r="AU176" s="232">
        <v>5.0000000000000001E-3</v>
      </c>
      <c r="AV176" s="239">
        <f t="shared" si="17"/>
        <v>0</v>
      </c>
      <c r="AW176" s="239">
        <f>(AS176*AK176/1000000)*(VLOOKUP(N176,FCST!D:I,6,FALSE))</f>
        <v>0</v>
      </c>
      <c r="AX176" s="239">
        <f t="shared" si="18"/>
        <v>0</v>
      </c>
      <c r="AY176" s="239">
        <f>IF($G176="CERVECERIA Y MALTERIA.",($AS176*$AK176/1000000)*(1-VLOOKUP($N176,FCST!D:I,6,FALSE)),0)</f>
        <v>18.7858944</v>
      </c>
      <c r="AZ176" s="239">
        <f t="shared" si="19"/>
        <v>18.879823871999999</v>
      </c>
    </row>
    <row r="177" spans="1:52" x14ac:dyDescent="0.25">
      <c r="A177" s="209">
        <v>1078204</v>
      </c>
      <c r="B177" s="209">
        <v>10</v>
      </c>
      <c r="C177" s="209">
        <v>89283500</v>
      </c>
      <c r="D177" s="209">
        <v>10</v>
      </c>
      <c r="E177" s="209">
        <v>10000002</v>
      </c>
      <c r="F177" s="209">
        <v>20000337</v>
      </c>
      <c r="G177" s="209" t="s">
        <v>105</v>
      </c>
      <c r="H177" s="209">
        <v>20000337</v>
      </c>
      <c r="I177" s="209">
        <v>2</v>
      </c>
      <c r="J177" s="209" t="s">
        <v>169</v>
      </c>
      <c r="K177" s="209" t="s">
        <v>467</v>
      </c>
      <c r="L177" s="209" t="s">
        <v>171</v>
      </c>
      <c r="M177" s="209" t="s">
        <v>199</v>
      </c>
      <c r="N177" s="209">
        <v>50034616</v>
      </c>
      <c r="O177" s="209" t="s">
        <v>191</v>
      </c>
      <c r="P177" s="209">
        <v>5121</v>
      </c>
      <c r="Q177" s="209" t="s">
        <v>200</v>
      </c>
      <c r="R177" s="209" t="s">
        <v>201</v>
      </c>
      <c r="S177" s="209" t="s">
        <v>202</v>
      </c>
      <c r="T177" s="209" t="s">
        <v>203</v>
      </c>
      <c r="U177" s="209" t="s">
        <v>201</v>
      </c>
      <c r="V177" s="209" t="s">
        <v>179</v>
      </c>
      <c r="W177" s="209" t="s">
        <v>179</v>
      </c>
      <c r="X177" s="209" t="s">
        <v>180</v>
      </c>
      <c r="Y177" s="209" t="s">
        <v>180</v>
      </c>
      <c r="Z177" s="209">
        <v>9521066354</v>
      </c>
      <c r="AA177" s="209" t="s">
        <v>463</v>
      </c>
      <c r="AB177" s="209" t="s">
        <v>180</v>
      </c>
      <c r="AC177" s="209" t="s">
        <v>182</v>
      </c>
      <c r="AD177" s="209">
        <v>10</v>
      </c>
      <c r="AE177" s="209">
        <v>2024</v>
      </c>
      <c r="AF177" s="227">
        <v>45569</v>
      </c>
      <c r="AG177" s="227">
        <v>45572</v>
      </c>
      <c r="AH177" s="227">
        <v>45572</v>
      </c>
      <c r="AI177" s="228">
        <v>426816</v>
      </c>
      <c r="AJ177" s="228">
        <v>52</v>
      </c>
      <c r="AK177" s="228">
        <v>426816</v>
      </c>
      <c r="AL177" s="228">
        <v>52</v>
      </c>
      <c r="AM177" s="228">
        <v>0</v>
      </c>
      <c r="AN177" s="228">
        <v>0</v>
      </c>
      <c r="AO177" s="229">
        <v>41</v>
      </c>
      <c r="AP177" s="231">
        <v>10</v>
      </c>
      <c r="AQ177" s="231">
        <v>2024</v>
      </c>
      <c r="AR177" s="231" t="str">
        <f t="shared" si="15"/>
        <v>10/2024</v>
      </c>
      <c r="AS177" s="231">
        <f t="shared" si="16"/>
        <v>46.6</v>
      </c>
      <c r="AT177" s="239">
        <f>IF(G177="CERVECERIA Y MALTERIA",(AS177*AK177/1000000)*(1-VLOOKUP(N177,FCST!D:I,6,FALSE)),0)</f>
        <v>19.889625600000002</v>
      </c>
      <c r="AU177" s="232">
        <v>5.0000000000000001E-3</v>
      </c>
      <c r="AV177" s="239">
        <f t="shared" si="17"/>
        <v>19.989073728000001</v>
      </c>
      <c r="AW177" s="239">
        <f>(AS177*AK177/1000000)*(VLOOKUP(N177,FCST!D:I,6,FALSE))</f>
        <v>0</v>
      </c>
      <c r="AX177" s="239">
        <f t="shared" si="18"/>
        <v>0</v>
      </c>
      <c r="AY177" s="239">
        <f>IF($G177="CERVECERIA Y MALTERIA.",($AS177*$AK177/1000000)*(1-VLOOKUP($N177,FCST!D:I,6,FALSE)),0)</f>
        <v>0</v>
      </c>
      <c r="AZ177" s="239">
        <f t="shared" si="19"/>
        <v>0</v>
      </c>
    </row>
    <row r="178" spans="1:52" x14ac:dyDescent="0.25">
      <c r="A178" s="209">
        <v>1078198</v>
      </c>
      <c r="B178" s="209">
        <v>30</v>
      </c>
      <c r="C178" s="209">
        <v>89283877</v>
      </c>
      <c r="D178" s="209">
        <v>10</v>
      </c>
      <c r="E178" s="209">
        <v>10000002</v>
      </c>
      <c r="F178" s="209">
        <v>20000335</v>
      </c>
      <c r="G178" s="209" t="s">
        <v>105</v>
      </c>
      <c r="H178" s="209">
        <v>20000335</v>
      </c>
      <c r="I178" s="209">
        <v>2</v>
      </c>
      <c r="J178" s="209" t="s">
        <v>169</v>
      </c>
      <c r="K178" s="209" t="s">
        <v>468</v>
      </c>
      <c r="L178" s="209" t="s">
        <v>171</v>
      </c>
      <c r="M178" s="209" t="s">
        <v>199</v>
      </c>
      <c r="N178" s="209">
        <v>50032573</v>
      </c>
      <c r="O178" s="209" t="s">
        <v>173</v>
      </c>
      <c r="P178" s="209">
        <v>5121</v>
      </c>
      <c r="Q178" s="209" t="s">
        <v>200</v>
      </c>
      <c r="R178" s="209" t="s">
        <v>201</v>
      </c>
      <c r="S178" s="209" t="s">
        <v>202</v>
      </c>
      <c r="T178" s="209" t="s">
        <v>203</v>
      </c>
      <c r="U178" s="209" t="s">
        <v>201</v>
      </c>
      <c r="V178" s="209" t="s">
        <v>179</v>
      </c>
      <c r="W178" s="209" t="s">
        <v>179</v>
      </c>
      <c r="X178" s="209" t="s">
        <v>180</v>
      </c>
      <c r="Y178" s="209" t="s">
        <v>180</v>
      </c>
      <c r="Z178" s="209">
        <v>9521066346</v>
      </c>
      <c r="AA178" s="209" t="s">
        <v>452</v>
      </c>
      <c r="AB178" s="209" t="s">
        <v>180</v>
      </c>
      <c r="AC178" s="209" t="s">
        <v>182</v>
      </c>
      <c r="AD178" s="209">
        <v>10</v>
      </c>
      <c r="AE178" s="209">
        <v>2024</v>
      </c>
      <c r="AF178" s="227">
        <v>45569</v>
      </c>
      <c r="AG178" s="227">
        <v>45573</v>
      </c>
      <c r="AH178" s="227">
        <v>45573</v>
      </c>
      <c r="AI178" s="228">
        <v>531648</v>
      </c>
      <c r="AJ178" s="228">
        <v>52</v>
      </c>
      <c r="AK178" s="228">
        <v>531648</v>
      </c>
      <c r="AL178" s="228">
        <v>52</v>
      </c>
      <c r="AM178" s="228">
        <v>0</v>
      </c>
      <c r="AN178" s="228">
        <v>0</v>
      </c>
      <c r="AO178" s="229">
        <v>41</v>
      </c>
      <c r="AP178" s="231">
        <v>10</v>
      </c>
      <c r="AQ178" s="231">
        <v>2024</v>
      </c>
      <c r="AR178" s="231" t="str">
        <f t="shared" ref="AR178:AR209" si="20">+IF(AP178&lt;10,"0"&amp;AP178&amp; "/"&amp;AQ178,AP178&amp; "/"&amp;AQ178)</f>
        <v>10/2024</v>
      </c>
      <c r="AS178" s="231">
        <f t="shared" ref="AS178:AS209" si="21">VALUE(MID(INDEX(_xlfn.TEXTSPLIT(O178, ","), 1, 3), 1,FIND("G", INDEX(_xlfn.TEXTSPLIT(O178, ","), 1, 3))-1))</f>
        <v>37.200000000000003</v>
      </c>
      <c r="AT178" s="239">
        <f>IF(G178="CERVECERIA Y MALTERIA",(AS178*AK178/1000000)*(1-VLOOKUP(N178,FCST!D:I,6,FALSE)),0)</f>
        <v>19.777305600000002</v>
      </c>
      <c r="AU178" s="232">
        <v>5.0000000000000001E-3</v>
      </c>
      <c r="AV178" s="239">
        <f t="shared" ref="AV178:AV209" si="22">+AT178*(1+AU178)</f>
        <v>19.876192128</v>
      </c>
      <c r="AW178" s="239">
        <f>(AS178*AK178/1000000)*(VLOOKUP(N178,FCST!D:I,6,FALSE))</f>
        <v>0</v>
      </c>
      <c r="AX178" s="239">
        <f t="shared" ref="AX178:AX209" si="23">+AW178*(1+AU178)</f>
        <v>0</v>
      </c>
      <c r="AY178" s="239">
        <f>IF($G178="CERVECERIA Y MALTERIA.",($AS178*$AK178/1000000)*(1-VLOOKUP($N178,FCST!D:I,6,FALSE)),0)</f>
        <v>0</v>
      </c>
      <c r="AZ178" s="239">
        <f t="shared" ref="AZ178:AZ209" si="24">+AY178*(1+AU178)</f>
        <v>0</v>
      </c>
    </row>
    <row r="179" spans="1:52" x14ac:dyDescent="0.25">
      <c r="A179" s="209">
        <v>1076992</v>
      </c>
      <c r="B179" s="209">
        <v>40</v>
      </c>
      <c r="C179" s="209">
        <v>89279369</v>
      </c>
      <c r="D179" s="209">
        <v>10</v>
      </c>
      <c r="E179" s="209">
        <v>10000002</v>
      </c>
      <c r="F179" s="209">
        <v>20000340</v>
      </c>
      <c r="G179" s="209" t="s">
        <v>117</v>
      </c>
      <c r="H179" s="209">
        <v>20000340</v>
      </c>
      <c r="I179" s="209">
        <v>2</v>
      </c>
      <c r="J179" s="209" t="s">
        <v>169</v>
      </c>
      <c r="K179" s="209" t="s">
        <v>469</v>
      </c>
      <c r="L179" s="209" t="s">
        <v>246</v>
      </c>
      <c r="M179" s="209" t="s">
        <v>184</v>
      </c>
      <c r="N179" s="209">
        <v>50036718</v>
      </c>
      <c r="O179" s="209" t="s">
        <v>259</v>
      </c>
      <c r="P179" s="209">
        <v>5101</v>
      </c>
      <c r="Q179" s="209" t="s">
        <v>186</v>
      </c>
      <c r="R179" s="209" t="s">
        <v>175</v>
      </c>
      <c r="S179" s="209" t="s">
        <v>176</v>
      </c>
      <c r="T179" s="209" t="s">
        <v>187</v>
      </c>
      <c r="U179" s="209" t="s">
        <v>188</v>
      </c>
      <c r="V179" s="209">
        <v>5500010706</v>
      </c>
      <c r="W179" s="209">
        <v>5500010706</v>
      </c>
      <c r="X179" s="209" t="s">
        <v>180</v>
      </c>
      <c r="Y179" s="209" t="s">
        <v>180</v>
      </c>
      <c r="Z179" s="209">
        <v>9511046886</v>
      </c>
      <c r="AA179" s="209" t="s">
        <v>470</v>
      </c>
      <c r="AB179" s="209" t="s">
        <v>180</v>
      </c>
      <c r="AC179" s="209" t="s">
        <v>182</v>
      </c>
      <c r="AD179" s="209">
        <v>9</v>
      </c>
      <c r="AE179" s="209">
        <v>2024</v>
      </c>
      <c r="AF179" s="227">
        <v>45562</v>
      </c>
      <c r="AG179" s="227">
        <v>45567</v>
      </c>
      <c r="AH179" s="227">
        <v>45567</v>
      </c>
      <c r="AI179" s="228">
        <v>519168</v>
      </c>
      <c r="AJ179" s="228">
        <v>52</v>
      </c>
      <c r="AK179" s="228">
        <v>519168</v>
      </c>
      <c r="AL179" s="228">
        <v>52</v>
      </c>
      <c r="AM179" s="228">
        <v>0</v>
      </c>
      <c r="AN179" s="228">
        <v>0</v>
      </c>
      <c r="AO179" s="229">
        <v>40</v>
      </c>
      <c r="AP179" s="231">
        <v>10</v>
      </c>
      <c r="AQ179" s="231">
        <v>2024</v>
      </c>
      <c r="AR179" s="231" t="str">
        <f t="shared" si="20"/>
        <v>10/2024</v>
      </c>
      <c r="AS179" s="231">
        <f t="shared" si="21"/>
        <v>34</v>
      </c>
      <c r="AT179" s="239">
        <f>IF(G179="CERVECERIA Y MALTERIA",(AS179*AK179/1000000)*(1-VLOOKUP(N179,FCST!D:I,6,FALSE)),0)</f>
        <v>0</v>
      </c>
      <c r="AU179" s="232">
        <v>5.0000000000000001E-3</v>
      </c>
      <c r="AV179" s="239">
        <f t="shared" si="22"/>
        <v>0</v>
      </c>
      <c r="AW179" s="239">
        <f>(AS179*AK179/1000000)*(VLOOKUP(N179,FCST!D:I,6,FALSE))</f>
        <v>0</v>
      </c>
      <c r="AX179" s="239">
        <f t="shared" si="23"/>
        <v>0</v>
      </c>
      <c r="AY179" s="239">
        <f>IF($G179="CERVECERIA Y MALTERIA.",($AS179*$AK179/1000000)*(1-VLOOKUP($N179,FCST!D:I,6,FALSE)),0)</f>
        <v>17.651712</v>
      </c>
      <c r="AZ179" s="239">
        <f t="shared" si="24"/>
        <v>17.73997056</v>
      </c>
    </row>
    <row r="180" spans="1:52" x14ac:dyDescent="0.25">
      <c r="A180" s="209">
        <v>1076999</v>
      </c>
      <c r="B180" s="209">
        <v>40</v>
      </c>
      <c r="C180" s="209">
        <v>89279630</v>
      </c>
      <c r="D180" s="209">
        <v>10</v>
      </c>
      <c r="E180" s="209">
        <v>10000002</v>
      </c>
      <c r="F180" s="209">
        <v>20000335</v>
      </c>
      <c r="G180" s="209" t="s">
        <v>105</v>
      </c>
      <c r="H180" s="209">
        <v>20000335</v>
      </c>
      <c r="I180" s="209">
        <v>2</v>
      </c>
      <c r="J180" s="209" t="s">
        <v>169</v>
      </c>
      <c r="K180" s="209" t="s">
        <v>471</v>
      </c>
      <c r="L180" s="209" t="s">
        <v>246</v>
      </c>
      <c r="M180" s="209" t="s">
        <v>184</v>
      </c>
      <c r="N180" s="209">
        <v>50035183</v>
      </c>
      <c r="O180" s="209" t="s">
        <v>215</v>
      </c>
      <c r="P180" s="209">
        <v>5121</v>
      </c>
      <c r="Q180" s="209" t="s">
        <v>174</v>
      </c>
      <c r="R180" s="209" t="s">
        <v>175</v>
      </c>
      <c r="S180" s="209" t="s">
        <v>176</v>
      </c>
      <c r="T180" s="209" t="s">
        <v>177</v>
      </c>
      <c r="U180" s="209" t="s">
        <v>178</v>
      </c>
      <c r="V180" s="209">
        <v>5500010705</v>
      </c>
      <c r="W180" s="209">
        <v>5500010705</v>
      </c>
      <c r="X180" s="209" t="s">
        <v>180</v>
      </c>
      <c r="Y180" s="209" t="s">
        <v>180</v>
      </c>
      <c r="Z180" s="209">
        <v>9521066350</v>
      </c>
      <c r="AA180" s="209" t="s">
        <v>472</v>
      </c>
      <c r="AB180" s="209" t="s">
        <v>180</v>
      </c>
      <c r="AC180" s="209" t="s">
        <v>182</v>
      </c>
      <c r="AD180" s="209">
        <v>9</v>
      </c>
      <c r="AE180" s="209">
        <v>2024</v>
      </c>
      <c r="AF180" s="227">
        <v>45562</v>
      </c>
      <c r="AG180" s="227">
        <v>45567</v>
      </c>
      <c r="AH180" s="227">
        <v>45567</v>
      </c>
      <c r="AI180" s="228">
        <v>426816</v>
      </c>
      <c r="AJ180" s="228">
        <v>52</v>
      </c>
      <c r="AK180" s="228">
        <v>426816</v>
      </c>
      <c r="AL180" s="228">
        <v>52</v>
      </c>
      <c r="AM180" s="228">
        <v>0</v>
      </c>
      <c r="AN180" s="228">
        <v>0</v>
      </c>
      <c r="AO180" s="229">
        <v>40</v>
      </c>
      <c r="AP180" s="231">
        <v>10</v>
      </c>
      <c r="AQ180" s="231">
        <v>2024</v>
      </c>
      <c r="AR180" s="231" t="str">
        <f t="shared" si="20"/>
        <v>10/2024</v>
      </c>
      <c r="AS180" s="231">
        <f t="shared" si="21"/>
        <v>46.6</v>
      </c>
      <c r="AT180" s="239">
        <f>IF(G180="CERVECERIA Y MALTERIA",(AS180*AK180/1000000)*(1-VLOOKUP(N180,FCST!D:I,6,FALSE)),0)</f>
        <v>19.889625600000002</v>
      </c>
      <c r="AU180" s="232">
        <v>5.0000000000000001E-3</v>
      </c>
      <c r="AV180" s="239">
        <f t="shared" si="22"/>
        <v>19.989073728000001</v>
      </c>
      <c r="AW180" s="239">
        <f>(AS180*AK180/1000000)*(VLOOKUP(N180,FCST!D:I,6,FALSE))</f>
        <v>0</v>
      </c>
      <c r="AX180" s="239">
        <f t="shared" si="23"/>
        <v>0</v>
      </c>
      <c r="AY180" s="239">
        <f>IF($G180="CERVECERIA Y MALTERIA.",($AS180*$AK180/1000000)*(1-VLOOKUP($N180,FCST!D:I,6,FALSE)),0)</f>
        <v>0</v>
      </c>
      <c r="AZ180" s="239">
        <f t="shared" si="24"/>
        <v>0</v>
      </c>
    </row>
    <row r="181" spans="1:52" x14ac:dyDescent="0.25">
      <c r="A181" s="209">
        <v>1076999</v>
      </c>
      <c r="B181" s="209">
        <v>50</v>
      </c>
      <c r="C181" s="209">
        <v>89280141</v>
      </c>
      <c r="D181" s="209">
        <v>10</v>
      </c>
      <c r="E181" s="209">
        <v>10000002</v>
      </c>
      <c r="F181" s="209">
        <v>20000335</v>
      </c>
      <c r="G181" s="209" t="s">
        <v>105</v>
      </c>
      <c r="H181" s="209">
        <v>20000335</v>
      </c>
      <c r="I181" s="209">
        <v>2</v>
      </c>
      <c r="J181" s="209" t="s">
        <v>169</v>
      </c>
      <c r="K181" s="209" t="s">
        <v>473</v>
      </c>
      <c r="L181" s="209" t="s">
        <v>246</v>
      </c>
      <c r="M181" s="209" t="s">
        <v>172</v>
      </c>
      <c r="N181" s="209">
        <v>50034616</v>
      </c>
      <c r="O181" s="209" t="s">
        <v>191</v>
      </c>
      <c r="P181" s="209">
        <v>5121</v>
      </c>
      <c r="Q181" s="209" t="s">
        <v>174</v>
      </c>
      <c r="R181" s="209" t="s">
        <v>175</v>
      </c>
      <c r="S181" s="209" t="s">
        <v>176</v>
      </c>
      <c r="T181" s="209" t="s">
        <v>177</v>
      </c>
      <c r="U181" s="209" t="s">
        <v>178</v>
      </c>
      <c r="V181" s="209">
        <v>5500010705</v>
      </c>
      <c r="W181" s="209">
        <v>5500010705</v>
      </c>
      <c r="X181" s="209" t="s">
        <v>180</v>
      </c>
      <c r="Y181" s="209" t="s">
        <v>180</v>
      </c>
      <c r="Z181" s="209">
        <v>9521066351</v>
      </c>
      <c r="AA181" s="209" t="s">
        <v>474</v>
      </c>
      <c r="AB181" s="209" t="s">
        <v>180</v>
      </c>
      <c r="AC181" s="209" t="s">
        <v>182</v>
      </c>
      <c r="AD181" s="209">
        <v>9</v>
      </c>
      <c r="AE181" s="209">
        <v>2024</v>
      </c>
      <c r="AF181" s="227">
        <v>45562</v>
      </c>
      <c r="AG181" s="227">
        <v>45567</v>
      </c>
      <c r="AH181" s="227">
        <v>45567</v>
      </c>
      <c r="AI181" s="228">
        <v>426816</v>
      </c>
      <c r="AJ181" s="228">
        <v>52</v>
      </c>
      <c r="AK181" s="228">
        <v>426816</v>
      </c>
      <c r="AL181" s="228">
        <v>52</v>
      </c>
      <c r="AM181" s="228">
        <v>0</v>
      </c>
      <c r="AN181" s="228">
        <v>0</v>
      </c>
      <c r="AO181" s="229">
        <v>40</v>
      </c>
      <c r="AP181" s="231">
        <v>10</v>
      </c>
      <c r="AQ181" s="231">
        <v>2024</v>
      </c>
      <c r="AR181" s="231" t="str">
        <f t="shared" si="20"/>
        <v>10/2024</v>
      </c>
      <c r="AS181" s="231">
        <f t="shared" si="21"/>
        <v>46.6</v>
      </c>
      <c r="AT181" s="239">
        <f>IF(G181="CERVECERIA Y MALTERIA",(AS181*AK181/1000000)*(1-VLOOKUP(N181,FCST!D:I,6,FALSE)),0)</f>
        <v>19.889625600000002</v>
      </c>
      <c r="AU181" s="232">
        <v>5.0000000000000001E-3</v>
      </c>
      <c r="AV181" s="239">
        <f t="shared" si="22"/>
        <v>19.989073728000001</v>
      </c>
      <c r="AW181" s="239">
        <f>(AS181*AK181/1000000)*(VLOOKUP(N181,FCST!D:I,6,FALSE))</f>
        <v>0</v>
      </c>
      <c r="AX181" s="239">
        <f t="shared" si="23"/>
        <v>0</v>
      </c>
      <c r="AY181" s="239">
        <f>IF($G181="CERVECERIA Y MALTERIA.",($AS181*$AK181/1000000)*(1-VLOOKUP($N181,FCST!D:I,6,FALSE)),0)</f>
        <v>0</v>
      </c>
      <c r="AZ181" s="239">
        <f t="shared" si="24"/>
        <v>0</v>
      </c>
    </row>
    <row r="182" spans="1:52" x14ac:dyDescent="0.25">
      <c r="A182" s="209">
        <v>1076999</v>
      </c>
      <c r="B182" s="209">
        <v>30</v>
      </c>
      <c r="C182" s="209">
        <v>89278440</v>
      </c>
      <c r="D182" s="209">
        <v>10</v>
      </c>
      <c r="E182" s="209">
        <v>10000002</v>
      </c>
      <c r="F182" s="209">
        <v>20000335</v>
      </c>
      <c r="G182" s="209" t="s">
        <v>105</v>
      </c>
      <c r="H182" s="209">
        <v>20000335</v>
      </c>
      <c r="I182" s="209">
        <v>2</v>
      </c>
      <c r="J182" s="209" t="s">
        <v>169</v>
      </c>
      <c r="K182" s="209" t="s">
        <v>475</v>
      </c>
      <c r="L182" s="209" t="s">
        <v>246</v>
      </c>
      <c r="M182" s="209" t="s">
        <v>184</v>
      </c>
      <c r="N182" s="209">
        <v>50034616</v>
      </c>
      <c r="O182" s="209" t="s">
        <v>191</v>
      </c>
      <c r="P182" s="209">
        <v>5121</v>
      </c>
      <c r="Q182" s="209" t="s">
        <v>174</v>
      </c>
      <c r="R182" s="209" t="s">
        <v>175</v>
      </c>
      <c r="S182" s="209" t="s">
        <v>176</v>
      </c>
      <c r="T182" s="209" t="s">
        <v>177</v>
      </c>
      <c r="U182" s="209" t="s">
        <v>178</v>
      </c>
      <c r="V182" s="209">
        <v>5500010705</v>
      </c>
      <c r="W182" s="209">
        <v>5500010705</v>
      </c>
      <c r="X182" s="209" t="s">
        <v>180</v>
      </c>
      <c r="Y182" s="209" t="s">
        <v>180</v>
      </c>
      <c r="Z182" s="209">
        <v>9521066351</v>
      </c>
      <c r="AA182" s="209" t="s">
        <v>474</v>
      </c>
      <c r="AB182" s="209" t="s">
        <v>180</v>
      </c>
      <c r="AC182" s="209" t="s">
        <v>182</v>
      </c>
      <c r="AD182" s="209">
        <v>9</v>
      </c>
      <c r="AE182" s="209">
        <v>2024</v>
      </c>
      <c r="AF182" s="227">
        <v>45562</v>
      </c>
      <c r="AG182" s="227">
        <v>45566</v>
      </c>
      <c r="AH182" s="227">
        <v>45566</v>
      </c>
      <c r="AI182" s="228">
        <v>426816</v>
      </c>
      <c r="AJ182" s="228">
        <v>52</v>
      </c>
      <c r="AK182" s="228">
        <v>426816</v>
      </c>
      <c r="AL182" s="228">
        <v>52</v>
      </c>
      <c r="AM182" s="228">
        <v>0</v>
      </c>
      <c r="AN182" s="228">
        <v>0</v>
      </c>
      <c r="AO182" s="229">
        <v>40</v>
      </c>
      <c r="AP182" s="231">
        <v>10</v>
      </c>
      <c r="AQ182" s="231">
        <v>2024</v>
      </c>
      <c r="AR182" s="231" t="str">
        <f t="shared" si="20"/>
        <v>10/2024</v>
      </c>
      <c r="AS182" s="231">
        <f t="shared" si="21"/>
        <v>46.6</v>
      </c>
      <c r="AT182" s="239">
        <f>IF(G182="CERVECERIA Y MALTERIA",(AS182*AK182/1000000)*(1-VLOOKUP(N182,FCST!D:I,6,FALSE)),0)</f>
        <v>19.889625600000002</v>
      </c>
      <c r="AU182" s="232">
        <v>5.0000000000000001E-3</v>
      </c>
      <c r="AV182" s="239">
        <f t="shared" si="22"/>
        <v>19.989073728000001</v>
      </c>
      <c r="AW182" s="239">
        <f>(AS182*AK182/1000000)*(VLOOKUP(N182,FCST!D:I,6,FALSE))</f>
        <v>0</v>
      </c>
      <c r="AX182" s="239">
        <f t="shared" si="23"/>
        <v>0</v>
      </c>
      <c r="AY182" s="239">
        <f>IF($G182="CERVECERIA Y MALTERIA.",($AS182*$AK182/1000000)*(1-VLOOKUP($N182,FCST!D:I,6,FALSE)),0)</f>
        <v>0</v>
      </c>
      <c r="AZ182" s="239">
        <f t="shared" si="24"/>
        <v>0</v>
      </c>
    </row>
    <row r="183" spans="1:52" x14ac:dyDescent="0.25">
      <c r="A183" s="209">
        <v>1076999</v>
      </c>
      <c r="B183" s="209">
        <v>20</v>
      </c>
      <c r="C183" s="209">
        <v>89278445</v>
      </c>
      <c r="D183" s="209">
        <v>10</v>
      </c>
      <c r="E183" s="209">
        <v>10000002</v>
      </c>
      <c r="F183" s="209">
        <v>20000335</v>
      </c>
      <c r="G183" s="209" t="s">
        <v>105</v>
      </c>
      <c r="H183" s="209">
        <v>20000335</v>
      </c>
      <c r="I183" s="209">
        <v>2</v>
      </c>
      <c r="J183" s="209" t="s">
        <v>169</v>
      </c>
      <c r="K183" s="209" t="s">
        <v>476</v>
      </c>
      <c r="L183" s="209" t="s">
        <v>246</v>
      </c>
      <c r="M183" s="209" t="s">
        <v>199</v>
      </c>
      <c r="N183" s="209">
        <v>50034574</v>
      </c>
      <c r="O183" s="209" t="s">
        <v>196</v>
      </c>
      <c r="P183" s="209">
        <v>5121</v>
      </c>
      <c r="Q183" s="209" t="s">
        <v>200</v>
      </c>
      <c r="R183" s="209" t="s">
        <v>201</v>
      </c>
      <c r="S183" s="209" t="s">
        <v>202</v>
      </c>
      <c r="T183" s="209" t="s">
        <v>203</v>
      </c>
      <c r="U183" s="209" t="s">
        <v>201</v>
      </c>
      <c r="V183" s="209">
        <v>5500010705</v>
      </c>
      <c r="W183" s="209">
        <v>5500010705</v>
      </c>
      <c r="X183" s="209" t="s">
        <v>180</v>
      </c>
      <c r="Y183" s="209" t="s">
        <v>180</v>
      </c>
      <c r="Z183" s="209">
        <v>9521066363</v>
      </c>
      <c r="AA183" s="209" t="s">
        <v>477</v>
      </c>
      <c r="AB183" s="209" t="s">
        <v>180</v>
      </c>
      <c r="AC183" s="209" t="s">
        <v>182</v>
      </c>
      <c r="AD183" s="209">
        <v>9</v>
      </c>
      <c r="AE183" s="209">
        <v>2024</v>
      </c>
      <c r="AF183" s="227">
        <v>45562</v>
      </c>
      <c r="AG183" s="227">
        <v>45566</v>
      </c>
      <c r="AH183" s="227">
        <v>45566</v>
      </c>
      <c r="AI183" s="228">
        <v>977184</v>
      </c>
      <c r="AJ183" s="228">
        <v>52</v>
      </c>
      <c r="AK183" s="228">
        <v>977184</v>
      </c>
      <c r="AL183" s="228">
        <v>52</v>
      </c>
      <c r="AM183" s="228">
        <v>0</v>
      </c>
      <c r="AN183" s="228">
        <v>0</v>
      </c>
      <c r="AO183" s="229">
        <v>40</v>
      </c>
      <c r="AP183" s="231">
        <v>10</v>
      </c>
      <c r="AQ183" s="231">
        <v>2024</v>
      </c>
      <c r="AR183" s="231" t="str">
        <f t="shared" si="20"/>
        <v>10/2024</v>
      </c>
      <c r="AS183" s="231">
        <f t="shared" si="21"/>
        <v>19.5</v>
      </c>
      <c r="AT183" s="239">
        <f>IF(G183="CERVECERIA Y MALTERIA",(AS183*AK183/1000000)*(1-VLOOKUP(N183,FCST!D:I,6,FALSE)),0)</f>
        <v>19.055088000000001</v>
      </c>
      <c r="AU183" s="232">
        <v>5.0000000000000001E-3</v>
      </c>
      <c r="AV183" s="239">
        <f t="shared" si="22"/>
        <v>19.15036344</v>
      </c>
      <c r="AW183" s="239">
        <f>(AS183*AK183/1000000)*(VLOOKUP(N183,FCST!D:I,6,FALSE))</f>
        <v>0</v>
      </c>
      <c r="AX183" s="239">
        <f t="shared" si="23"/>
        <v>0</v>
      </c>
      <c r="AY183" s="239">
        <f>IF($G183="CERVECERIA Y MALTERIA.",($AS183*$AK183/1000000)*(1-VLOOKUP($N183,FCST!D:I,6,FALSE)),0)</f>
        <v>0</v>
      </c>
      <c r="AZ183" s="239">
        <f t="shared" si="24"/>
        <v>0</v>
      </c>
    </row>
    <row r="184" spans="1:52" x14ac:dyDescent="0.25">
      <c r="A184" s="209">
        <v>1076905</v>
      </c>
      <c r="B184" s="209">
        <v>30</v>
      </c>
      <c r="C184" s="209">
        <v>89278587</v>
      </c>
      <c r="D184" s="209">
        <v>10</v>
      </c>
      <c r="E184" s="209">
        <v>10000002</v>
      </c>
      <c r="F184" s="209">
        <v>20000336</v>
      </c>
      <c r="G184" s="209" t="s">
        <v>105</v>
      </c>
      <c r="H184" s="209">
        <v>20000336</v>
      </c>
      <c r="I184" s="209">
        <v>2</v>
      </c>
      <c r="J184" s="209" t="s">
        <v>169</v>
      </c>
      <c r="K184" s="209" t="s">
        <v>478</v>
      </c>
      <c r="L184" s="209" t="s">
        <v>171</v>
      </c>
      <c r="M184" s="209" t="s">
        <v>184</v>
      </c>
      <c r="N184" s="209">
        <v>50033268</v>
      </c>
      <c r="O184" s="209" t="s">
        <v>253</v>
      </c>
      <c r="P184" s="209">
        <v>5121</v>
      </c>
      <c r="Q184" s="209" t="s">
        <v>174</v>
      </c>
      <c r="R184" s="209" t="s">
        <v>175</v>
      </c>
      <c r="S184" s="209" t="s">
        <v>176</v>
      </c>
      <c r="T184" s="209" t="s">
        <v>177</v>
      </c>
      <c r="U184" s="209" t="s">
        <v>178</v>
      </c>
      <c r="V184" s="209" t="s">
        <v>179</v>
      </c>
      <c r="W184" s="209" t="s">
        <v>179</v>
      </c>
      <c r="X184" s="209" t="s">
        <v>180</v>
      </c>
      <c r="Y184" s="209" t="s">
        <v>180</v>
      </c>
      <c r="Z184" s="209">
        <v>9521066343</v>
      </c>
      <c r="AA184" s="209" t="s">
        <v>479</v>
      </c>
      <c r="AB184" s="209" t="s">
        <v>180</v>
      </c>
      <c r="AC184" s="209" t="s">
        <v>182</v>
      </c>
      <c r="AD184" s="209">
        <v>9</v>
      </c>
      <c r="AE184" s="209">
        <v>2024</v>
      </c>
      <c r="AF184" s="227">
        <v>45562</v>
      </c>
      <c r="AG184" s="227">
        <v>45566</v>
      </c>
      <c r="AH184" s="227">
        <v>45566</v>
      </c>
      <c r="AI184" s="228">
        <v>289488</v>
      </c>
      <c r="AJ184" s="228">
        <v>37</v>
      </c>
      <c r="AK184" s="228">
        <v>289488</v>
      </c>
      <c r="AL184" s="228">
        <v>37</v>
      </c>
      <c r="AM184" s="228">
        <v>0</v>
      </c>
      <c r="AN184" s="228">
        <v>0</v>
      </c>
      <c r="AO184" s="229">
        <v>40</v>
      </c>
      <c r="AP184" s="231">
        <v>10</v>
      </c>
      <c r="AQ184" s="231">
        <v>2024</v>
      </c>
      <c r="AR184" s="231" t="str">
        <f t="shared" si="20"/>
        <v>10/2024</v>
      </c>
      <c r="AS184" s="231">
        <f t="shared" si="21"/>
        <v>44</v>
      </c>
      <c r="AT184" s="239">
        <f>IF(G184="CERVECERIA Y MALTERIA",(AS184*AK184/1000000)*(1-VLOOKUP(N184,FCST!D:I,6,FALSE)),0)</f>
        <v>12.737472</v>
      </c>
      <c r="AU184" s="232">
        <v>5.0000000000000001E-3</v>
      </c>
      <c r="AV184" s="239">
        <f t="shared" si="22"/>
        <v>12.80115936</v>
      </c>
      <c r="AW184" s="239">
        <f>(AS184*AK184/1000000)*(VLOOKUP(N184,FCST!D:I,6,FALSE))</f>
        <v>0</v>
      </c>
      <c r="AX184" s="239">
        <f t="shared" si="23"/>
        <v>0</v>
      </c>
      <c r="AY184" s="239">
        <f>IF($G184="CERVECERIA Y MALTERIA.",($AS184*$AK184/1000000)*(1-VLOOKUP($N184,FCST!D:I,6,FALSE)),0)</f>
        <v>0</v>
      </c>
      <c r="AZ184" s="239">
        <f t="shared" si="24"/>
        <v>0</v>
      </c>
    </row>
    <row r="185" spans="1:52" x14ac:dyDescent="0.25">
      <c r="A185" s="209">
        <v>1076905</v>
      </c>
      <c r="B185" s="209">
        <v>50</v>
      </c>
      <c r="C185" s="209">
        <v>89278587</v>
      </c>
      <c r="D185" s="209">
        <v>20</v>
      </c>
      <c r="E185" s="209">
        <v>10000002</v>
      </c>
      <c r="F185" s="209">
        <v>20000336</v>
      </c>
      <c r="G185" s="209" t="s">
        <v>105</v>
      </c>
      <c r="H185" s="209">
        <v>20000336</v>
      </c>
      <c r="I185" s="209">
        <v>2</v>
      </c>
      <c r="J185" s="209" t="s">
        <v>169</v>
      </c>
      <c r="K185" s="209" t="s">
        <v>478</v>
      </c>
      <c r="L185" s="209" t="s">
        <v>171</v>
      </c>
      <c r="M185" s="209" t="s">
        <v>184</v>
      </c>
      <c r="N185" s="209">
        <v>50034634</v>
      </c>
      <c r="O185" s="209" t="s">
        <v>219</v>
      </c>
      <c r="P185" s="209">
        <v>5121</v>
      </c>
      <c r="Q185" s="209" t="s">
        <v>174</v>
      </c>
      <c r="R185" s="209" t="s">
        <v>175</v>
      </c>
      <c r="S185" s="209" t="s">
        <v>176</v>
      </c>
      <c r="T185" s="209" t="s">
        <v>177</v>
      </c>
      <c r="U185" s="209" t="s">
        <v>178</v>
      </c>
      <c r="V185" s="209" t="s">
        <v>179</v>
      </c>
      <c r="W185" s="209" t="s">
        <v>179</v>
      </c>
      <c r="X185" s="209" t="s">
        <v>180</v>
      </c>
      <c r="Y185" s="209" t="s">
        <v>180</v>
      </c>
      <c r="Z185" s="209">
        <v>9521066343</v>
      </c>
      <c r="AA185" s="209" t="s">
        <v>479</v>
      </c>
      <c r="AB185" s="209" t="s">
        <v>180</v>
      </c>
      <c r="AC185" s="209" t="s">
        <v>182</v>
      </c>
      <c r="AD185" s="209">
        <v>9</v>
      </c>
      <c r="AE185" s="209">
        <v>2024</v>
      </c>
      <c r="AF185" s="227">
        <v>45562</v>
      </c>
      <c r="AG185" s="227">
        <v>45566</v>
      </c>
      <c r="AH185" s="227">
        <v>45566</v>
      </c>
      <c r="AI185" s="228">
        <v>105120</v>
      </c>
      <c r="AJ185" s="228">
        <v>15</v>
      </c>
      <c r="AK185" s="228">
        <v>105120</v>
      </c>
      <c r="AL185" s="228">
        <v>15</v>
      </c>
      <c r="AM185" s="228">
        <v>0</v>
      </c>
      <c r="AN185" s="228">
        <v>0</v>
      </c>
      <c r="AO185" s="229">
        <v>40</v>
      </c>
      <c r="AP185" s="231">
        <v>10</v>
      </c>
      <c r="AQ185" s="231">
        <v>2024</v>
      </c>
      <c r="AR185" s="231" t="str">
        <f t="shared" si="20"/>
        <v>10/2024</v>
      </c>
      <c r="AS185" s="231">
        <f t="shared" si="21"/>
        <v>52</v>
      </c>
      <c r="AT185" s="239">
        <f>IF(G185="CERVECERIA Y MALTERIA",(AS185*AK185/1000000)*(1-VLOOKUP(N185,FCST!D:I,6,FALSE)),0)</f>
        <v>5.46624</v>
      </c>
      <c r="AU185" s="232">
        <v>5.0000000000000001E-3</v>
      </c>
      <c r="AV185" s="239">
        <f t="shared" si="22"/>
        <v>5.493571199999999</v>
      </c>
      <c r="AW185" s="239">
        <f>(AS185*AK185/1000000)*(VLOOKUP(N185,FCST!D:I,6,FALSE))</f>
        <v>0</v>
      </c>
      <c r="AX185" s="239">
        <f t="shared" si="23"/>
        <v>0</v>
      </c>
      <c r="AY185" s="239">
        <f>IF($G185="CERVECERIA Y MALTERIA.",($AS185*$AK185/1000000)*(1-VLOOKUP($N185,FCST!D:I,6,FALSE)),0)</f>
        <v>0</v>
      </c>
      <c r="AZ185" s="239">
        <f t="shared" si="24"/>
        <v>0</v>
      </c>
    </row>
    <row r="186" spans="1:52" x14ac:dyDescent="0.25">
      <c r="A186" s="209">
        <v>1076992</v>
      </c>
      <c r="B186" s="209">
        <v>30</v>
      </c>
      <c r="C186" s="209">
        <v>89278642</v>
      </c>
      <c r="D186" s="209">
        <v>10</v>
      </c>
      <c r="E186" s="209">
        <v>10000002</v>
      </c>
      <c r="F186" s="209">
        <v>20000340</v>
      </c>
      <c r="G186" s="209" t="s">
        <v>117</v>
      </c>
      <c r="H186" s="209">
        <v>20000340</v>
      </c>
      <c r="I186" s="209">
        <v>2</v>
      </c>
      <c r="J186" s="209" t="s">
        <v>169</v>
      </c>
      <c r="K186" s="209" t="s">
        <v>480</v>
      </c>
      <c r="L186" s="209" t="s">
        <v>246</v>
      </c>
      <c r="M186" s="209" t="s">
        <v>184</v>
      </c>
      <c r="N186" s="209">
        <v>50036718</v>
      </c>
      <c r="O186" s="209" t="s">
        <v>259</v>
      </c>
      <c r="P186" s="209">
        <v>5101</v>
      </c>
      <c r="Q186" s="209" t="s">
        <v>186</v>
      </c>
      <c r="R186" s="209" t="s">
        <v>175</v>
      </c>
      <c r="S186" s="209" t="s">
        <v>176</v>
      </c>
      <c r="T186" s="209" t="s">
        <v>187</v>
      </c>
      <c r="U186" s="209" t="s">
        <v>188</v>
      </c>
      <c r="V186" s="209">
        <v>5500010706</v>
      </c>
      <c r="W186" s="209">
        <v>5500010706</v>
      </c>
      <c r="X186" s="209" t="s">
        <v>180</v>
      </c>
      <c r="Y186" s="209" t="s">
        <v>180</v>
      </c>
      <c r="Z186" s="209">
        <v>9511046886</v>
      </c>
      <c r="AA186" s="209" t="s">
        <v>470</v>
      </c>
      <c r="AB186" s="209" t="s">
        <v>180</v>
      </c>
      <c r="AC186" s="209" t="s">
        <v>182</v>
      </c>
      <c r="AD186" s="209">
        <v>9</v>
      </c>
      <c r="AE186" s="209">
        <v>2024</v>
      </c>
      <c r="AF186" s="227">
        <v>45562</v>
      </c>
      <c r="AG186" s="227">
        <v>45566</v>
      </c>
      <c r="AH186" s="227">
        <v>45566</v>
      </c>
      <c r="AI186" s="228">
        <v>519168</v>
      </c>
      <c r="AJ186" s="228">
        <v>52</v>
      </c>
      <c r="AK186" s="228">
        <v>519168</v>
      </c>
      <c r="AL186" s="228">
        <v>52</v>
      </c>
      <c r="AM186" s="228">
        <v>0</v>
      </c>
      <c r="AN186" s="228">
        <v>0</v>
      </c>
      <c r="AO186" s="229">
        <v>40</v>
      </c>
      <c r="AP186" s="231">
        <v>10</v>
      </c>
      <c r="AQ186" s="231">
        <v>2024</v>
      </c>
      <c r="AR186" s="231" t="str">
        <f t="shared" si="20"/>
        <v>10/2024</v>
      </c>
      <c r="AS186" s="231">
        <f t="shared" si="21"/>
        <v>34</v>
      </c>
      <c r="AT186" s="239">
        <f>IF(G186="CERVECERIA Y MALTERIA",(AS186*AK186/1000000)*(1-VLOOKUP(N186,FCST!D:I,6,FALSE)),0)</f>
        <v>0</v>
      </c>
      <c r="AU186" s="232">
        <v>5.0000000000000001E-3</v>
      </c>
      <c r="AV186" s="239">
        <f t="shared" si="22"/>
        <v>0</v>
      </c>
      <c r="AW186" s="239">
        <f>(AS186*AK186/1000000)*(VLOOKUP(N186,FCST!D:I,6,FALSE))</f>
        <v>0</v>
      </c>
      <c r="AX186" s="239">
        <f t="shared" si="23"/>
        <v>0</v>
      </c>
      <c r="AY186" s="239">
        <f>IF($G186="CERVECERIA Y MALTERIA.",($AS186*$AK186/1000000)*(1-VLOOKUP($N186,FCST!D:I,6,FALSE)),0)</f>
        <v>17.651712</v>
      </c>
      <c r="AZ186" s="239">
        <f t="shared" si="24"/>
        <v>17.73997056</v>
      </c>
    </row>
    <row r="187" spans="1:52" x14ac:dyDescent="0.25">
      <c r="A187" s="209">
        <v>1077876</v>
      </c>
      <c r="B187" s="209">
        <v>10</v>
      </c>
      <c r="C187" s="209">
        <v>89281182</v>
      </c>
      <c r="D187" s="209">
        <v>10</v>
      </c>
      <c r="E187" s="209">
        <v>10000002</v>
      </c>
      <c r="F187" s="209">
        <v>20001057</v>
      </c>
      <c r="G187" s="209" t="s">
        <v>105</v>
      </c>
      <c r="H187" s="209">
        <v>20001057</v>
      </c>
      <c r="I187" s="209">
        <v>2</v>
      </c>
      <c r="J187" s="209" t="s">
        <v>169</v>
      </c>
      <c r="K187" s="209" t="s">
        <v>481</v>
      </c>
      <c r="L187" s="209" t="s">
        <v>171</v>
      </c>
      <c r="M187" s="209" t="s">
        <v>172</v>
      </c>
      <c r="N187" s="209">
        <v>50032573</v>
      </c>
      <c r="O187" s="209" t="s">
        <v>173</v>
      </c>
      <c r="P187" s="209">
        <v>5121</v>
      </c>
      <c r="Q187" s="209" t="s">
        <v>174</v>
      </c>
      <c r="R187" s="209" t="s">
        <v>175</v>
      </c>
      <c r="S187" s="209" t="s">
        <v>176</v>
      </c>
      <c r="T187" s="209" t="s">
        <v>177</v>
      </c>
      <c r="U187" s="209" t="s">
        <v>178</v>
      </c>
      <c r="V187" s="209" t="s">
        <v>179</v>
      </c>
      <c r="W187" s="209" t="s">
        <v>179</v>
      </c>
      <c r="X187" s="209" t="s">
        <v>180</v>
      </c>
      <c r="Y187" s="209" t="s">
        <v>180</v>
      </c>
      <c r="Z187" s="209">
        <v>9521066344</v>
      </c>
      <c r="AA187" s="209" t="s">
        <v>482</v>
      </c>
      <c r="AB187" s="209" t="s">
        <v>180</v>
      </c>
      <c r="AC187" s="209" t="s">
        <v>182</v>
      </c>
      <c r="AD187" s="209">
        <v>10</v>
      </c>
      <c r="AE187" s="209">
        <v>2024</v>
      </c>
      <c r="AF187" s="227">
        <v>45568</v>
      </c>
      <c r="AG187" s="227">
        <v>45568</v>
      </c>
      <c r="AH187" s="227">
        <v>45568</v>
      </c>
      <c r="AI187" s="228">
        <v>265824</v>
      </c>
      <c r="AJ187" s="228">
        <v>26</v>
      </c>
      <c r="AK187" s="228">
        <v>265824</v>
      </c>
      <c r="AL187" s="228">
        <v>26</v>
      </c>
      <c r="AM187" s="228">
        <v>0</v>
      </c>
      <c r="AN187" s="228">
        <v>0</v>
      </c>
      <c r="AO187" s="229">
        <v>40</v>
      </c>
      <c r="AP187" s="231">
        <v>10</v>
      </c>
      <c r="AQ187" s="231">
        <v>2024</v>
      </c>
      <c r="AR187" s="231" t="str">
        <f t="shared" si="20"/>
        <v>10/2024</v>
      </c>
      <c r="AS187" s="231">
        <f t="shared" si="21"/>
        <v>37.200000000000003</v>
      </c>
      <c r="AT187" s="239">
        <f>IF(G187="CERVECERIA Y MALTERIA",(AS187*AK187/1000000)*(1-VLOOKUP(N187,FCST!D:I,6,FALSE)),0)</f>
        <v>9.8886528000000009</v>
      </c>
      <c r="AU187" s="232">
        <v>5.0000000000000001E-3</v>
      </c>
      <c r="AV187" s="239">
        <f t="shared" si="22"/>
        <v>9.9380960639999998</v>
      </c>
      <c r="AW187" s="239">
        <f>(AS187*AK187/1000000)*(VLOOKUP(N187,FCST!D:I,6,FALSE))</f>
        <v>0</v>
      </c>
      <c r="AX187" s="239">
        <f t="shared" si="23"/>
        <v>0</v>
      </c>
      <c r="AY187" s="239">
        <f>IF($G187="CERVECERIA Y MALTERIA.",($AS187*$AK187/1000000)*(1-VLOOKUP($N187,FCST!D:I,6,FALSE)),0)</f>
        <v>0</v>
      </c>
      <c r="AZ187" s="239">
        <f t="shared" si="24"/>
        <v>0</v>
      </c>
    </row>
    <row r="188" spans="1:52" x14ac:dyDescent="0.25">
      <c r="A188" s="209">
        <v>1077876</v>
      </c>
      <c r="B188" s="209">
        <v>20</v>
      </c>
      <c r="C188" s="209">
        <v>89281182</v>
      </c>
      <c r="D188" s="209">
        <v>20</v>
      </c>
      <c r="E188" s="209">
        <v>10000002</v>
      </c>
      <c r="F188" s="209">
        <v>20001057</v>
      </c>
      <c r="G188" s="209" t="s">
        <v>105</v>
      </c>
      <c r="H188" s="209">
        <v>20001057</v>
      </c>
      <c r="I188" s="209">
        <v>2</v>
      </c>
      <c r="J188" s="209" t="s">
        <v>169</v>
      </c>
      <c r="K188" s="209" t="s">
        <v>481</v>
      </c>
      <c r="L188" s="209" t="s">
        <v>171</v>
      </c>
      <c r="M188" s="209" t="s">
        <v>172</v>
      </c>
      <c r="N188" s="209">
        <v>50034574</v>
      </c>
      <c r="O188" s="209" t="s">
        <v>196</v>
      </c>
      <c r="P188" s="209">
        <v>5121</v>
      </c>
      <c r="Q188" s="209" t="s">
        <v>174</v>
      </c>
      <c r="R188" s="209" t="s">
        <v>175</v>
      </c>
      <c r="S188" s="209" t="s">
        <v>176</v>
      </c>
      <c r="T188" s="209" t="s">
        <v>177</v>
      </c>
      <c r="U188" s="209" t="s">
        <v>178</v>
      </c>
      <c r="V188" s="209" t="s">
        <v>179</v>
      </c>
      <c r="W188" s="209" t="s">
        <v>179</v>
      </c>
      <c r="X188" s="209" t="s">
        <v>180</v>
      </c>
      <c r="Y188" s="209" t="s">
        <v>180</v>
      </c>
      <c r="Z188" s="209">
        <v>9521066344</v>
      </c>
      <c r="AA188" s="209" t="s">
        <v>482</v>
      </c>
      <c r="AB188" s="209" t="s">
        <v>180</v>
      </c>
      <c r="AC188" s="209" t="s">
        <v>182</v>
      </c>
      <c r="AD188" s="209">
        <v>10</v>
      </c>
      <c r="AE188" s="209">
        <v>2024</v>
      </c>
      <c r="AF188" s="227">
        <v>45568</v>
      </c>
      <c r="AG188" s="227">
        <v>45568</v>
      </c>
      <c r="AH188" s="227">
        <v>45568</v>
      </c>
      <c r="AI188" s="228">
        <v>488592</v>
      </c>
      <c r="AJ188" s="228">
        <v>26</v>
      </c>
      <c r="AK188" s="228">
        <v>488592</v>
      </c>
      <c r="AL188" s="228">
        <v>26</v>
      </c>
      <c r="AM188" s="228">
        <v>0</v>
      </c>
      <c r="AN188" s="228">
        <v>0</v>
      </c>
      <c r="AO188" s="229">
        <v>40</v>
      </c>
      <c r="AP188" s="231">
        <v>10</v>
      </c>
      <c r="AQ188" s="231">
        <v>2024</v>
      </c>
      <c r="AR188" s="231" t="str">
        <f t="shared" si="20"/>
        <v>10/2024</v>
      </c>
      <c r="AS188" s="231">
        <f t="shared" si="21"/>
        <v>19.5</v>
      </c>
      <c r="AT188" s="239">
        <f>IF(G188="CERVECERIA Y MALTERIA",(AS188*AK188/1000000)*(1-VLOOKUP(N188,FCST!D:I,6,FALSE)),0)</f>
        <v>9.5275440000000007</v>
      </c>
      <c r="AU188" s="232">
        <v>5.0000000000000001E-3</v>
      </c>
      <c r="AV188" s="239">
        <f t="shared" si="22"/>
        <v>9.5751817199999998</v>
      </c>
      <c r="AW188" s="239">
        <f>(AS188*AK188/1000000)*(VLOOKUP(N188,FCST!D:I,6,FALSE))</f>
        <v>0</v>
      </c>
      <c r="AX188" s="239">
        <f t="shared" si="23"/>
        <v>0</v>
      </c>
      <c r="AY188" s="239">
        <f>IF($G188="CERVECERIA Y MALTERIA.",($AS188*$AK188/1000000)*(1-VLOOKUP($N188,FCST!D:I,6,FALSE)),0)</f>
        <v>0</v>
      </c>
      <c r="AZ188" s="239">
        <f t="shared" si="24"/>
        <v>0</v>
      </c>
    </row>
    <row r="189" spans="1:52" x14ac:dyDescent="0.25">
      <c r="A189" s="209">
        <v>1076992</v>
      </c>
      <c r="B189" s="209">
        <v>70</v>
      </c>
      <c r="C189" s="209">
        <v>89281516</v>
      </c>
      <c r="D189" s="209">
        <v>10</v>
      </c>
      <c r="E189" s="209">
        <v>10000002</v>
      </c>
      <c r="F189" s="209">
        <v>20000340</v>
      </c>
      <c r="G189" s="209" t="s">
        <v>117</v>
      </c>
      <c r="H189" s="209">
        <v>20000340</v>
      </c>
      <c r="I189" s="209">
        <v>2</v>
      </c>
      <c r="J189" s="209" t="s">
        <v>169</v>
      </c>
      <c r="K189" s="209" t="s">
        <v>483</v>
      </c>
      <c r="L189" s="209" t="s">
        <v>246</v>
      </c>
      <c r="M189" s="209" t="s">
        <v>184</v>
      </c>
      <c r="N189" s="209">
        <v>50036718</v>
      </c>
      <c r="O189" s="209" t="s">
        <v>259</v>
      </c>
      <c r="P189" s="209">
        <v>5101</v>
      </c>
      <c r="Q189" s="209" t="s">
        <v>186</v>
      </c>
      <c r="R189" s="209" t="s">
        <v>175</v>
      </c>
      <c r="S189" s="209" t="s">
        <v>176</v>
      </c>
      <c r="T189" s="209" t="s">
        <v>187</v>
      </c>
      <c r="U189" s="209" t="s">
        <v>188</v>
      </c>
      <c r="V189" s="209">
        <v>5500010706</v>
      </c>
      <c r="W189" s="209">
        <v>5500010706</v>
      </c>
      <c r="X189" s="209" t="s">
        <v>180</v>
      </c>
      <c r="Y189" s="209" t="s">
        <v>180</v>
      </c>
      <c r="Z189" s="209">
        <v>9511046886</v>
      </c>
      <c r="AA189" s="209" t="s">
        <v>470</v>
      </c>
      <c r="AB189" s="209" t="s">
        <v>180</v>
      </c>
      <c r="AC189" s="209" t="s">
        <v>182</v>
      </c>
      <c r="AD189" s="209">
        <v>9</v>
      </c>
      <c r="AE189" s="209">
        <v>2024</v>
      </c>
      <c r="AF189" s="227">
        <v>45562</v>
      </c>
      <c r="AG189" s="227">
        <v>45569</v>
      </c>
      <c r="AH189" s="227">
        <v>45569</v>
      </c>
      <c r="AI189" s="228">
        <v>519168</v>
      </c>
      <c r="AJ189" s="228">
        <v>52</v>
      </c>
      <c r="AK189" s="228">
        <v>519168</v>
      </c>
      <c r="AL189" s="228">
        <v>52</v>
      </c>
      <c r="AM189" s="228">
        <v>0</v>
      </c>
      <c r="AN189" s="228">
        <v>0</v>
      </c>
      <c r="AO189" s="229">
        <v>40</v>
      </c>
      <c r="AP189" s="231">
        <v>10</v>
      </c>
      <c r="AQ189" s="231">
        <v>2024</v>
      </c>
      <c r="AR189" s="231" t="str">
        <f t="shared" si="20"/>
        <v>10/2024</v>
      </c>
      <c r="AS189" s="231">
        <f t="shared" si="21"/>
        <v>34</v>
      </c>
      <c r="AT189" s="239">
        <f>IF(G189="CERVECERIA Y MALTERIA",(AS189*AK189/1000000)*(1-VLOOKUP(N189,FCST!D:I,6,FALSE)),0)</f>
        <v>0</v>
      </c>
      <c r="AU189" s="232">
        <v>5.0000000000000001E-3</v>
      </c>
      <c r="AV189" s="239">
        <f t="shared" si="22"/>
        <v>0</v>
      </c>
      <c r="AW189" s="239">
        <f>(AS189*AK189/1000000)*(VLOOKUP(N189,FCST!D:I,6,FALSE))</f>
        <v>0</v>
      </c>
      <c r="AX189" s="239">
        <f t="shared" si="23"/>
        <v>0</v>
      </c>
      <c r="AY189" s="239">
        <f>IF($G189="CERVECERIA Y MALTERIA.",($AS189*$AK189/1000000)*(1-VLOOKUP($N189,FCST!D:I,6,FALSE)),0)</f>
        <v>17.651712</v>
      </c>
      <c r="AZ189" s="239">
        <f t="shared" si="24"/>
        <v>17.73997056</v>
      </c>
    </row>
    <row r="190" spans="1:52" x14ac:dyDescent="0.25">
      <c r="A190" s="209">
        <v>1076992</v>
      </c>
      <c r="B190" s="209">
        <v>60</v>
      </c>
      <c r="C190" s="209">
        <v>89281517</v>
      </c>
      <c r="D190" s="209">
        <v>10</v>
      </c>
      <c r="E190" s="209">
        <v>10000002</v>
      </c>
      <c r="F190" s="209">
        <v>20000340</v>
      </c>
      <c r="G190" s="209" t="s">
        <v>117</v>
      </c>
      <c r="H190" s="209">
        <v>20000340</v>
      </c>
      <c r="I190" s="209">
        <v>2</v>
      </c>
      <c r="J190" s="209" t="s">
        <v>169</v>
      </c>
      <c r="K190" s="209" t="s">
        <v>484</v>
      </c>
      <c r="L190" s="209" t="s">
        <v>246</v>
      </c>
      <c r="M190" s="209" t="s">
        <v>184</v>
      </c>
      <c r="N190" s="209">
        <v>50036718</v>
      </c>
      <c r="O190" s="209" t="s">
        <v>259</v>
      </c>
      <c r="P190" s="209">
        <v>5101</v>
      </c>
      <c r="Q190" s="209" t="s">
        <v>186</v>
      </c>
      <c r="R190" s="209" t="s">
        <v>175</v>
      </c>
      <c r="S190" s="209" t="s">
        <v>176</v>
      </c>
      <c r="T190" s="209" t="s">
        <v>187</v>
      </c>
      <c r="U190" s="209" t="s">
        <v>188</v>
      </c>
      <c r="V190" s="209">
        <v>5500010706</v>
      </c>
      <c r="W190" s="209">
        <v>5500010706</v>
      </c>
      <c r="X190" s="209" t="s">
        <v>180</v>
      </c>
      <c r="Y190" s="209" t="s">
        <v>180</v>
      </c>
      <c r="Z190" s="209">
        <v>9511046886</v>
      </c>
      <c r="AA190" s="209" t="s">
        <v>470</v>
      </c>
      <c r="AB190" s="209" t="s">
        <v>180</v>
      </c>
      <c r="AC190" s="209" t="s">
        <v>182</v>
      </c>
      <c r="AD190" s="209">
        <v>9</v>
      </c>
      <c r="AE190" s="209">
        <v>2024</v>
      </c>
      <c r="AF190" s="227">
        <v>45562</v>
      </c>
      <c r="AG190" s="227">
        <v>45569</v>
      </c>
      <c r="AH190" s="227">
        <v>45569</v>
      </c>
      <c r="AI190" s="228">
        <v>519168</v>
      </c>
      <c r="AJ190" s="228">
        <v>52</v>
      </c>
      <c r="AK190" s="228">
        <v>519168</v>
      </c>
      <c r="AL190" s="228">
        <v>52</v>
      </c>
      <c r="AM190" s="228">
        <v>0</v>
      </c>
      <c r="AN190" s="228">
        <v>0</v>
      </c>
      <c r="AO190" s="229">
        <v>40</v>
      </c>
      <c r="AP190" s="231">
        <v>10</v>
      </c>
      <c r="AQ190" s="231">
        <v>2024</v>
      </c>
      <c r="AR190" s="231" t="str">
        <f t="shared" si="20"/>
        <v>10/2024</v>
      </c>
      <c r="AS190" s="231">
        <f t="shared" si="21"/>
        <v>34</v>
      </c>
      <c r="AT190" s="239">
        <f>IF(G190="CERVECERIA Y MALTERIA",(AS190*AK190/1000000)*(1-VLOOKUP(N190,FCST!D:I,6,FALSE)),0)</f>
        <v>0</v>
      </c>
      <c r="AU190" s="232">
        <v>5.0000000000000001E-3</v>
      </c>
      <c r="AV190" s="239">
        <f t="shared" si="22"/>
        <v>0</v>
      </c>
      <c r="AW190" s="239">
        <f>(AS190*AK190/1000000)*(VLOOKUP(N190,FCST!D:I,6,FALSE))</f>
        <v>0</v>
      </c>
      <c r="AX190" s="239">
        <f t="shared" si="23"/>
        <v>0</v>
      </c>
      <c r="AY190" s="239">
        <f>IF($G190="CERVECERIA Y MALTERIA.",($AS190*$AK190/1000000)*(1-VLOOKUP($N190,FCST!D:I,6,FALSE)),0)</f>
        <v>17.651712</v>
      </c>
      <c r="AZ190" s="239">
        <f t="shared" si="24"/>
        <v>17.73997056</v>
      </c>
    </row>
    <row r="191" spans="1:52" x14ac:dyDescent="0.25">
      <c r="A191" s="209">
        <v>1076999</v>
      </c>
      <c r="B191" s="209">
        <v>80</v>
      </c>
      <c r="C191" s="209">
        <v>89281668</v>
      </c>
      <c r="D191" s="209">
        <v>10</v>
      </c>
      <c r="E191" s="209">
        <v>10000002</v>
      </c>
      <c r="F191" s="209">
        <v>20000335</v>
      </c>
      <c r="G191" s="209" t="s">
        <v>105</v>
      </c>
      <c r="H191" s="209">
        <v>20000335</v>
      </c>
      <c r="I191" s="209">
        <v>2</v>
      </c>
      <c r="J191" s="209" t="s">
        <v>169</v>
      </c>
      <c r="K191" s="209" t="s">
        <v>485</v>
      </c>
      <c r="L191" s="209" t="s">
        <v>246</v>
      </c>
      <c r="M191" s="209" t="s">
        <v>199</v>
      </c>
      <c r="N191" s="209">
        <v>50034616</v>
      </c>
      <c r="O191" s="209" t="s">
        <v>191</v>
      </c>
      <c r="P191" s="209">
        <v>5121</v>
      </c>
      <c r="Q191" s="209" t="s">
        <v>200</v>
      </c>
      <c r="R191" s="209" t="s">
        <v>201</v>
      </c>
      <c r="S191" s="209" t="s">
        <v>202</v>
      </c>
      <c r="T191" s="209" t="s">
        <v>203</v>
      </c>
      <c r="U191" s="209" t="s">
        <v>201</v>
      </c>
      <c r="V191" s="209">
        <v>5500010705</v>
      </c>
      <c r="W191" s="209">
        <v>5500010705</v>
      </c>
      <c r="X191" s="209" t="s">
        <v>180</v>
      </c>
      <c r="Y191" s="209" t="s">
        <v>180</v>
      </c>
      <c r="Z191" s="209">
        <v>9521066351</v>
      </c>
      <c r="AA191" s="209" t="s">
        <v>474</v>
      </c>
      <c r="AB191" s="209" t="s">
        <v>180</v>
      </c>
      <c r="AC191" s="209" t="s">
        <v>182</v>
      </c>
      <c r="AD191" s="209">
        <v>9</v>
      </c>
      <c r="AE191" s="209">
        <v>2024</v>
      </c>
      <c r="AF191" s="227">
        <v>45562</v>
      </c>
      <c r="AG191" s="227">
        <v>45569</v>
      </c>
      <c r="AH191" s="227">
        <v>45569</v>
      </c>
      <c r="AI191" s="228">
        <v>426816</v>
      </c>
      <c r="AJ191" s="228">
        <v>52</v>
      </c>
      <c r="AK191" s="228">
        <v>426816</v>
      </c>
      <c r="AL191" s="228">
        <v>52</v>
      </c>
      <c r="AM191" s="228">
        <v>0</v>
      </c>
      <c r="AN191" s="228">
        <v>0</v>
      </c>
      <c r="AO191" s="229">
        <v>40</v>
      </c>
      <c r="AP191" s="231">
        <v>10</v>
      </c>
      <c r="AQ191" s="231">
        <v>2024</v>
      </c>
      <c r="AR191" s="231" t="str">
        <f t="shared" si="20"/>
        <v>10/2024</v>
      </c>
      <c r="AS191" s="231">
        <f t="shared" si="21"/>
        <v>46.6</v>
      </c>
      <c r="AT191" s="239">
        <f>IF(G191="CERVECERIA Y MALTERIA",(AS191*AK191/1000000)*(1-VLOOKUP(N191,FCST!D:I,6,FALSE)),0)</f>
        <v>19.889625600000002</v>
      </c>
      <c r="AU191" s="232">
        <v>5.0000000000000001E-3</v>
      </c>
      <c r="AV191" s="239">
        <f t="shared" si="22"/>
        <v>19.989073728000001</v>
      </c>
      <c r="AW191" s="239">
        <f>(AS191*AK191/1000000)*(VLOOKUP(N191,FCST!D:I,6,FALSE))</f>
        <v>0</v>
      </c>
      <c r="AX191" s="239">
        <f t="shared" si="23"/>
        <v>0</v>
      </c>
      <c r="AY191" s="239">
        <f>IF($G191="CERVECERIA Y MALTERIA.",($AS191*$AK191/1000000)*(1-VLOOKUP($N191,FCST!D:I,6,FALSE)),0)</f>
        <v>0</v>
      </c>
      <c r="AZ191" s="239">
        <f t="shared" si="24"/>
        <v>0</v>
      </c>
    </row>
    <row r="192" spans="1:52" x14ac:dyDescent="0.25">
      <c r="A192" s="209">
        <v>1076905</v>
      </c>
      <c r="B192" s="209">
        <v>40</v>
      </c>
      <c r="C192" s="209">
        <v>89281777</v>
      </c>
      <c r="D192" s="209">
        <v>10</v>
      </c>
      <c r="E192" s="209">
        <v>10000002</v>
      </c>
      <c r="F192" s="209">
        <v>20000336</v>
      </c>
      <c r="G192" s="209" t="s">
        <v>105</v>
      </c>
      <c r="H192" s="209">
        <v>20000336</v>
      </c>
      <c r="I192" s="209">
        <v>2</v>
      </c>
      <c r="J192" s="209" t="s">
        <v>169</v>
      </c>
      <c r="K192" s="209" t="s">
        <v>486</v>
      </c>
      <c r="L192" s="209" t="s">
        <v>171</v>
      </c>
      <c r="M192" s="209" t="s">
        <v>184</v>
      </c>
      <c r="N192" s="209">
        <v>50033268</v>
      </c>
      <c r="O192" s="209" t="s">
        <v>253</v>
      </c>
      <c r="P192" s="209">
        <v>5121</v>
      </c>
      <c r="Q192" s="209" t="s">
        <v>174</v>
      </c>
      <c r="R192" s="209" t="s">
        <v>175</v>
      </c>
      <c r="S192" s="209" t="s">
        <v>176</v>
      </c>
      <c r="T192" s="209" t="s">
        <v>177</v>
      </c>
      <c r="U192" s="209" t="s">
        <v>178</v>
      </c>
      <c r="V192" s="209" t="s">
        <v>179</v>
      </c>
      <c r="W192" s="209" t="s">
        <v>179</v>
      </c>
      <c r="X192" s="209" t="s">
        <v>180</v>
      </c>
      <c r="Y192" s="209" t="s">
        <v>180</v>
      </c>
      <c r="Z192" s="209">
        <v>9521066353</v>
      </c>
      <c r="AA192" s="209" t="s">
        <v>465</v>
      </c>
      <c r="AB192" s="209" t="s">
        <v>180</v>
      </c>
      <c r="AC192" s="209" t="s">
        <v>182</v>
      </c>
      <c r="AD192" s="209">
        <v>9</v>
      </c>
      <c r="AE192" s="209">
        <v>2024</v>
      </c>
      <c r="AF192" s="227">
        <v>45562</v>
      </c>
      <c r="AG192" s="227">
        <v>45569</v>
      </c>
      <c r="AH192" s="227">
        <v>45569</v>
      </c>
      <c r="AI192" s="228">
        <v>406848</v>
      </c>
      <c r="AJ192" s="228">
        <v>52</v>
      </c>
      <c r="AK192" s="228">
        <v>406848</v>
      </c>
      <c r="AL192" s="228">
        <v>52</v>
      </c>
      <c r="AM192" s="228">
        <v>0</v>
      </c>
      <c r="AN192" s="228">
        <v>0</v>
      </c>
      <c r="AO192" s="229">
        <v>40</v>
      </c>
      <c r="AP192" s="231">
        <v>10</v>
      </c>
      <c r="AQ192" s="231">
        <v>2024</v>
      </c>
      <c r="AR192" s="231" t="str">
        <f t="shared" si="20"/>
        <v>10/2024</v>
      </c>
      <c r="AS192" s="231">
        <f t="shared" si="21"/>
        <v>44</v>
      </c>
      <c r="AT192" s="239">
        <f>IF(G192="CERVECERIA Y MALTERIA",(AS192*AK192/1000000)*(1-VLOOKUP(N192,FCST!D:I,6,FALSE)),0)</f>
        <v>17.901312000000001</v>
      </c>
      <c r="AU192" s="232">
        <v>5.0000000000000001E-3</v>
      </c>
      <c r="AV192" s="239">
        <f t="shared" si="22"/>
        <v>17.990818559999997</v>
      </c>
      <c r="AW192" s="239">
        <f>(AS192*AK192/1000000)*(VLOOKUP(N192,FCST!D:I,6,FALSE))</f>
        <v>0</v>
      </c>
      <c r="AX192" s="239">
        <f t="shared" si="23"/>
        <v>0</v>
      </c>
      <c r="AY192" s="239">
        <f>IF($G192="CERVECERIA Y MALTERIA.",($AS192*$AK192/1000000)*(1-VLOOKUP($N192,FCST!D:I,6,FALSE)),0)</f>
        <v>0</v>
      </c>
      <c r="AZ192" s="239">
        <f t="shared" si="24"/>
        <v>0</v>
      </c>
    </row>
    <row r="193" spans="1:52" x14ac:dyDescent="0.25">
      <c r="A193" s="209">
        <v>1076999</v>
      </c>
      <c r="B193" s="209">
        <v>60</v>
      </c>
      <c r="C193" s="209">
        <v>89280378</v>
      </c>
      <c r="D193" s="209">
        <v>10</v>
      </c>
      <c r="E193" s="209">
        <v>10000002</v>
      </c>
      <c r="F193" s="209">
        <v>20000335</v>
      </c>
      <c r="G193" s="209" t="s">
        <v>105</v>
      </c>
      <c r="H193" s="209">
        <v>20000335</v>
      </c>
      <c r="I193" s="209">
        <v>2</v>
      </c>
      <c r="J193" s="209" t="s">
        <v>169</v>
      </c>
      <c r="K193" s="209" t="s">
        <v>487</v>
      </c>
      <c r="L193" s="209" t="s">
        <v>246</v>
      </c>
      <c r="M193" s="209" t="s">
        <v>199</v>
      </c>
      <c r="N193" s="209">
        <v>50034574</v>
      </c>
      <c r="O193" s="209" t="s">
        <v>196</v>
      </c>
      <c r="P193" s="209">
        <v>5121</v>
      </c>
      <c r="Q193" s="209" t="s">
        <v>200</v>
      </c>
      <c r="R193" s="209" t="s">
        <v>201</v>
      </c>
      <c r="S193" s="209" t="s">
        <v>202</v>
      </c>
      <c r="T193" s="209" t="s">
        <v>203</v>
      </c>
      <c r="U193" s="209" t="s">
        <v>201</v>
      </c>
      <c r="V193" s="209">
        <v>5500010705</v>
      </c>
      <c r="W193" s="209">
        <v>5500010705</v>
      </c>
      <c r="X193" s="209" t="s">
        <v>180</v>
      </c>
      <c r="Y193" s="209" t="s">
        <v>180</v>
      </c>
      <c r="Z193" s="209">
        <v>9521066362</v>
      </c>
      <c r="AA193" s="209" t="s">
        <v>488</v>
      </c>
      <c r="AB193" s="209" t="s">
        <v>180</v>
      </c>
      <c r="AC193" s="209" t="s">
        <v>182</v>
      </c>
      <c r="AD193" s="209">
        <v>9</v>
      </c>
      <c r="AE193" s="209">
        <v>2024</v>
      </c>
      <c r="AF193" s="227">
        <v>45562</v>
      </c>
      <c r="AG193" s="227">
        <v>45568</v>
      </c>
      <c r="AH193" s="227">
        <v>45568</v>
      </c>
      <c r="AI193" s="228">
        <v>789264</v>
      </c>
      <c r="AJ193" s="228">
        <v>42</v>
      </c>
      <c r="AK193" s="228">
        <v>789264</v>
      </c>
      <c r="AL193" s="228">
        <v>42</v>
      </c>
      <c r="AM193" s="228">
        <v>0</v>
      </c>
      <c r="AN193" s="228">
        <v>0</v>
      </c>
      <c r="AO193" s="229">
        <v>40</v>
      </c>
      <c r="AP193" s="231">
        <v>10</v>
      </c>
      <c r="AQ193" s="231">
        <v>2024</v>
      </c>
      <c r="AR193" s="231" t="str">
        <f t="shared" si="20"/>
        <v>10/2024</v>
      </c>
      <c r="AS193" s="231">
        <f t="shared" si="21"/>
        <v>19.5</v>
      </c>
      <c r="AT193" s="239">
        <f>IF(G193="CERVECERIA Y MALTERIA",(AS193*AK193/1000000)*(1-VLOOKUP(N193,FCST!D:I,6,FALSE)),0)</f>
        <v>15.390648000000001</v>
      </c>
      <c r="AU193" s="232">
        <v>5.0000000000000001E-3</v>
      </c>
      <c r="AV193" s="239">
        <f t="shared" si="22"/>
        <v>15.467601239999999</v>
      </c>
      <c r="AW193" s="239">
        <f>(AS193*AK193/1000000)*(VLOOKUP(N193,FCST!D:I,6,FALSE))</f>
        <v>0</v>
      </c>
      <c r="AX193" s="239">
        <f t="shared" si="23"/>
        <v>0</v>
      </c>
      <c r="AY193" s="239">
        <f>IF($G193="CERVECERIA Y MALTERIA.",($AS193*$AK193/1000000)*(1-VLOOKUP($N193,FCST!D:I,6,FALSE)),0)</f>
        <v>0</v>
      </c>
      <c r="AZ193" s="239">
        <f t="shared" si="24"/>
        <v>0</v>
      </c>
    </row>
    <row r="194" spans="1:52" x14ac:dyDescent="0.25">
      <c r="A194" s="209">
        <v>1076999</v>
      </c>
      <c r="B194" s="209">
        <v>70</v>
      </c>
      <c r="C194" s="209">
        <v>89280378</v>
      </c>
      <c r="D194" s="209">
        <v>20</v>
      </c>
      <c r="E194" s="209">
        <v>10000002</v>
      </c>
      <c r="F194" s="209">
        <v>20000335</v>
      </c>
      <c r="G194" s="209" t="s">
        <v>105</v>
      </c>
      <c r="H194" s="209">
        <v>20000335</v>
      </c>
      <c r="I194" s="209">
        <v>2</v>
      </c>
      <c r="J194" s="209" t="s">
        <v>169</v>
      </c>
      <c r="K194" s="209" t="s">
        <v>487</v>
      </c>
      <c r="L194" s="209" t="s">
        <v>246</v>
      </c>
      <c r="M194" s="209" t="s">
        <v>199</v>
      </c>
      <c r="N194" s="209">
        <v>50032573</v>
      </c>
      <c r="O194" s="209" t="s">
        <v>173</v>
      </c>
      <c r="P194" s="209">
        <v>5121</v>
      </c>
      <c r="Q194" s="209" t="s">
        <v>200</v>
      </c>
      <c r="R194" s="209" t="s">
        <v>201</v>
      </c>
      <c r="S194" s="209" t="s">
        <v>202</v>
      </c>
      <c r="T194" s="209" t="s">
        <v>203</v>
      </c>
      <c r="U194" s="209" t="s">
        <v>201</v>
      </c>
      <c r="V194" s="209">
        <v>5500010705</v>
      </c>
      <c r="W194" s="209">
        <v>5500010705</v>
      </c>
      <c r="X194" s="209" t="s">
        <v>180</v>
      </c>
      <c r="Y194" s="209" t="s">
        <v>180</v>
      </c>
      <c r="Z194" s="209">
        <v>9521066362</v>
      </c>
      <c r="AA194" s="209" t="s">
        <v>488</v>
      </c>
      <c r="AB194" s="209" t="s">
        <v>180</v>
      </c>
      <c r="AC194" s="209" t="s">
        <v>182</v>
      </c>
      <c r="AD194" s="209">
        <v>9</v>
      </c>
      <c r="AE194" s="209">
        <v>2024</v>
      </c>
      <c r="AF194" s="227">
        <v>45562</v>
      </c>
      <c r="AG194" s="227">
        <v>45568</v>
      </c>
      <c r="AH194" s="227">
        <v>45568</v>
      </c>
      <c r="AI194" s="228">
        <v>102240</v>
      </c>
      <c r="AJ194" s="228">
        <v>10</v>
      </c>
      <c r="AK194" s="228">
        <v>102240</v>
      </c>
      <c r="AL194" s="228">
        <v>10</v>
      </c>
      <c r="AM194" s="228">
        <v>0</v>
      </c>
      <c r="AN194" s="228">
        <v>0</v>
      </c>
      <c r="AO194" s="229">
        <v>40</v>
      </c>
      <c r="AP194" s="231">
        <v>10</v>
      </c>
      <c r="AQ194" s="231">
        <v>2024</v>
      </c>
      <c r="AR194" s="231" t="str">
        <f t="shared" si="20"/>
        <v>10/2024</v>
      </c>
      <c r="AS194" s="231">
        <f t="shared" si="21"/>
        <v>37.200000000000003</v>
      </c>
      <c r="AT194" s="239">
        <f>IF(G194="CERVECERIA Y MALTERIA",(AS194*AK194/1000000)*(1-VLOOKUP(N194,FCST!D:I,6,FALSE)),0)</f>
        <v>3.8033280000000005</v>
      </c>
      <c r="AU194" s="232">
        <v>5.0000000000000001E-3</v>
      </c>
      <c r="AV194" s="239">
        <f t="shared" si="22"/>
        <v>3.8223446400000003</v>
      </c>
      <c r="AW194" s="239">
        <f>(AS194*AK194/1000000)*(VLOOKUP(N194,FCST!D:I,6,FALSE))</f>
        <v>0</v>
      </c>
      <c r="AX194" s="239">
        <f t="shared" si="23"/>
        <v>0</v>
      </c>
      <c r="AY194" s="239">
        <f>IF($G194="CERVECERIA Y MALTERIA.",($AS194*$AK194/1000000)*(1-VLOOKUP($N194,FCST!D:I,6,FALSE)),0)</f>
        <v>0</v>
      </c>
      <c r="AZ194" s="239">
        <f t="shared" si="24"/>
        <v>0</v>
      </c>
    </row>
    <row r="195" spans="1:52" x14ac:dyDescent="0.25">
      <c r="A195" s="209">
        <v>1076992</v>
      </c>
      <c r="B195" s="209">
        <v>50</v>
      </c>
      <c r="C195" s="209">
        <v>89280425</v>
      </c>
      <c r="D195" s="209">
        <v>10</v>
      </c>
      <c r="E195" s="209">
        <v>10000002</v>
      </c>
      <c r="F195" s="209">
        <v>20000340</v>
      </c>
      <c r="G195" s="209" t="s">
        <v>117</v>
      </c>
      <c r="H195" s="209">
        <v>20000340</v>
      </c>
      <c r="I195" s="209">
        <v>2</v>
      </c>
      <c r="J195" s="209" t="s">
        <v>169</v>
      </c>
      <c r="K195" s="209" t="s">
        <v>489</v>
      </c>
      <c r="L195" s="209" t="s">
        <v>246</v>
      </c>
      <c r="M195" s="209" t="s">
        <v>184</v>
      </c>
      <c r="N195" s="209">
        <v>50025163</v>
      </c>
      <c r="O195" s="209" t="s">
        <v>185</v>
      </c>
      <c r="P195" s="209">
        <v>5101</v>
      </c>
      <c r="Q195" s="209" t="s">
        <v>186</v>
      </c>
      <c r="R195" s="209" t="s">
        <v>175</v>
      </c>
      <c r="S195" s="209" t="s">
        <v>176</v>
      </c>
      <c r="T195" s="209" t="s">
        <v>187</v>
      </c>
      <c r="U195" s="209" t="s">
        <v>188</v>
      </c>
      <c r="V195" s="209">
        <v>5500010706</v>
      </c>
      <c r="W195" s="209">
        <v>5500010706</v>
      </c>
      <c r="X195" s="209" t="s">
        <v>180</v>
      </c>
      <c r="Y195" s="209" t="s">
        <v>180</v>
      </c>
      <c r="Z195" s="209">
        <v>9511046878</v>
      </c>
      <c r="AA195" s="209" t="s">
        <v>490</v>
      </c>
      <c r="AB195" s="209" t="s">
        <v>180</v>
      </c>
      <c r="AC195" s="209" t="s">
        <v>182</v>
      </c>
      <c r="AD195" s="209">
        <v>9</v>
      </c>
      <c r="AE195" s="209">
        <v>2024</v>
      </c>
      <c r="AF195" s="227">
        <v>45562</v>
      </c>
      <c r="AG195" s="227">
        <v>45568</v>
      </c>
      <c r="AH195" s="227">
        <v>45568</v>
      </c>
      <c r="AI195" s="228">
        <v>606528</v>
      </c>
      <c r="AJ195" s="228">
        <v>52</v>
      </c>
      <c r="AK195" s="228">
        <v>606528</v>
      </c>
      <c r="AL195" s="228">
        <v>52</v>
      </c>
      <c r="AM195" s="228">
        <v>0</v>
      </c>
      <c r="AN195" s="228">
        <v>0</v>
      </c>
      <c r="AO195" s="229">
        <v>40</v>
      </c>
      <c r="AP195" s="231">
        <v>10</v>
      </c>
      <c r="AQ195" s="231">
        <v>2024</v>
      </c>
      <c r="AR195" s="231" t="str">
        <f t="shared" si="20"/>
        <v>10/2024</v>
      </c>
      <c r="AS195" s="231">
        <f t="shared" si="21"/>
        <v>30</v>
      </c>
      <c r="AT195" s="239">
        <f>IF(G195="CERVECERIA Y MALTERIA",(AS195*AK195/1000000)*(1-VLOOKUP(N195,FCST!D:I,6,FALSE)),0)</f>
        <v>0</v>
      </c>
      <c r="AU195" s="232">
        <v>5.0000000000000001E-3</v>
      </c>
      <c r="AV195" s="239">
        <f t="shared" si="22"/>
        <v>0</v>
      </c>
      <c r="AW195" s="239">
        <f>(AS195*AK195/1000000)*(VLOOKUP(N195,FCST!D:I,6,FALSE))</f>
        <v>0</v>
      </c>
      <c r="AX195" s="239">
        <f t="shared" si="23"/>
        <v>0</v>
      </c>
      <c r="AY195" s="239">
        <f>IF($G195="CERVECERIA Y MALTERIA.",($AS195*$AK195/1000000)*(1-VLOOKUP($N195,FCST!D:I,6,FALSE)),0)</f>
        <v>18.19584</v>
      </c>
      <c r="AZ195" s="239">
        <f t="shared" si="24"/>
        <v>18.2868192</v>
      </c>
    </row>
    <row r="196" spans="1:52" x14ac:dyDescent="0.25">
      <c r="A196" s="209">
        <v>1077013</v>
      </c>
      <c r="B196" s="209">
        <v>20</v>
      </c>
      <c r="C196" s="209">
        <v>89280446</v>
      </c>
      <c r="D196" s="209">
        <v>10</v>
      </c>
      <c r="E196" s="209">
        <v>10000002</v>
      </c>
      <c r="F196" s="209">
        <v>20000337</v>
      </c>
      <c r="G196" s="209" t="s">
        <v>105</v>
      </c>
      <c r="H196" s="209">
        <v>20000337</v>
      </c>
      <c r="I196" s="209">
        <v>2</v>
      </c>
      <c r="J196" s="209" t="s">
        <v>169</v>
      </c>
      <c r="K196" s="209" t="s">
        <v>491</v>
      </c>
      <c r="L196" s="209" t="s">
        <v>246</v>
      </c>
      <c r="M196" s="209" t="s">
        <v>184</v>
      </c>
      <c r="N196" s="209">
        <v>50035183</v>
      </c>
      <c r="O196" s="209" t="s">
        <v>215</v>
      </c>
      <c r="P196" s="209">
        <v>5121</v>
      </c>
      <c r="Q196" s="209" t="s">
        <v>174</v>
      </c>
      <c r="R196" s="209" t="s">
        <v>175</v>
      </c>
      <c r="S196" s="209" t="s">
        <v>176</v>
      </c>
      <c r="T196" s="209" t="s">
        <v>177</v>
      </c>
      <c r="U196" s="209" t="s">
        <v>178</v>
      </c>
      <c r="V196" s="209">
        <v>5500010705</v>
      </c>
      <c r="W196" s="209">
        <v>5500010705</v>
      </c>
      <c r="X196" s="209" t="s">
        <v>180</v>
      </c>
      <c r="Y196" s="209" t="s">
        <v>180</v>
      </c>
      <c r="Z196" s="209">
        <v>9521066355</v>
      </c>
      <c r="AA196" s="209" t="s">
        <v>454</v>
      </c>
      <c r="AB196" s="209" t="s">
        <v>180</v>
      </c>
      <c r="AC196" s="209" t="s">
        <v>182</v>
      </c>
      <c r="AD196" s="209">
        <v>9</v>
      </c>
      <c r="AE196" s="209">
        <v>2024</v>
      </c>
      <c r="AF196" s="227">
        <v>45562</v>
      </c>
      <c r="AG196" s="227">
        <v>45567</v>
      </c>
      <c r="AH196" s="227">
        <v>45568</v>
      </c>
      <c r="AI196" s="228">
        <v>426816</v>
      </c>
      <c r="AJ196" s="228">
        <v>52</v>
      </c>
      <c r="AK196" s="228">
        <v>426816</v>
      </c>
      <c r="AL196" s="228">
        <v>52</v>
      </c>
      <c r="AM196" s="228">
        <v>0</v>
      </c>
      <c r="AN196" s="228">
        <v>0</v>
      </c>
      <c r="AO196" s="229">
        <v>40</v>
      </c>
      <c r="AP196" s="231">
        <v>10</v>
      </c>
      <c r="AQ196" s="231">
        <v>2024</v>
      </c>
      <c r="AR196" s="231" t="str">
        <f t="shared" si="20"/>
        <v>10/2024</v>
      </c>
      <c r="AS196" s="231">
        <f t="shared" si="21"/>
        <v>46.6</v>
      </c>
      <c r="AT196" s="239">
        <f>IF(G196="CERVECERIA Y MALTERIA",(AS196*AK196/1000000)*(1-VLOOKUP(N196,FCST!D:I,6,FALSE)),0)</f>
        <v>19.889625600000002</v>
      </c>
      <c r="AU196" s="232">
        <v>5.0000000000000001E-3</v>
      </c>
      <c r="AV196" s="239">
        <f t="shared" si="22"/>
        <v>19.989073728000001</v>
      </c>
      <c r="AW196" s="239">
        <f>(AS196*AK196/1000000)*(VLOOKUP(N196,FCST!D:I,6,FALSE))</f>
        <v>0</v>
      </c>
      <c r="AX196" s="239">
        <f t="shared" si="23"/>
        <v>0</v>
      </c>
      <c r="AY196" s="239">
        <f>IF($G196="CERVECERIA Y MALTERIA.",($AS196*$AK196/1000000)*(1-VLOOKUP($N196,FCST!D:I,6,FALSE)),0)</f>
        <v>0</v>
      </c>
      <c r="AZ196" s="239">
        <f t="shared" si="24"/>
        <v>0</v>
      </c>
    </row>
    <row r="197" spans="1:52" x14ac:dyDescent="0.25">
      <c r="A197" s="209">
        <v>1076999</v>
      </c>
      <c r="B197" s="209">
        <v>90</v>
      </c>
      <c r="C197" s="209">
        <v>89280633</v>
      </c>
      <c r="D197" s="209">
        <v>10</v>
      </c>
      <c r="E197" s="209">
        <v>10000002</v>
      </c>
      <c r="F197" s="209">
        <v>20000335</v>
      </c>
      <c r="G197" s="209" t="s">
        <v>105</v>
      </c>
      <c r="H197" s="209">
        <v>20000335</v>
      </c>
      <c r="I197" s="209">
        <v>2</v>
      </c>
      <c r="J197" s="209" t="s">
        <v>169</v>
      </c>
      <c r="K197" s="209" t="s">
        <v>492</v>
      </c>
      <c r="L197" s="209" t="s">
        <v>246</v>
      </c>
      <c r="M197" s="209" t="s">
        <v>199</v>
      </c>
      <c r="N197" s="209">
        <v>50034574</v>
      </c>
      <c r="O197" s="209" t="s">
        <v>196</v>
      </c>
      <c r="P197" s="209">
        <v>5121</v>
      </c>
      <c r="Q197" s="209" t="s">
        <v>200</v>
      </c>
      <c r="R197" s="209" t="s">
        <v>201</v>
      </c>
      <c r="S197" s="209" t="s">
        <v>202</v>
      </c>
      <c r="T197" s="209" t="s">
        <v>203</v>
      </c>
      <c r="U197" s="209" t="s">
        <v>201</v>
      </c>
      <c r="V197" s="209">
        <v>5500010705</v>
      </c>
      <c r="W197" s="209">
        <v>5500010705</v>
      </c>
      <c r="X197" s="209" t="s">
        <v>180</v>
      </c>
      <c r="Y197" s="209" t="s">
        <v>180</v>
      </c>
      <c r="Z197" s="209">
        <v>9521066360</v>
      </c>
      <c r="AA197" s="209" t="s">
        <v>493</v>
      </c>
      <c r="AB197" s="209" t="s">
        <v>180</v>
      </c>
      <c r="AC197" s="209" t="s">
        <v>182</v>
      </c>
      <c r="AD197" s="209">
        <v>9</v>
      </c>
      <c r="AE197" s="209">
        <v>2024</v>
      </c>
      <c r="AF197" s="227">
        <v>45562</v>
      </c>
      <c r="AG197" s="227">
        <v>45568</v>
      </c>
      <c r="AH197" s="227">
        <v>45568</v>
      </c>
      <c r="AI197" s="228">
        <v>169128</v>
      </c>
      <c r="AJ197" s="228">
        <v>9</v>
      </c>
      <c r="AK197" s="228">
        <v>169128</v>
      </c>
      <c r="AL197" s="228">
        <v>9</v>
      </c>
      <c r="AM197" s="228">
        <v>0</v>
      </c>
      <c r="AN197" s="228">
        <v>0</v>
      </c>
      <c r="AO197" s="229">
        <v>40</v>
      </c>
      <c r="AP197" s="231">
        <v>10</v>
      </c>
      <c r="AQ197" s="231">
        <v>2024</v>
      </c>
      <c r="AR197" s="231" t="str">
        <f t="shared" si="20"/>
        <v>10/2024</v>
      </c>
      <c r="AS197" s="231">
        <f t="shared" si="21"/>
        <v>19.5</v>
      </c>
      <c r="AT197" s="239">
        <f>IF(G197="CERVECERIA Y MALTERIA",(AS197*AK197/1000000)*(1-VLOOKUP(N197,FCST!D:I,6,FALSE)),0)</f>
        <v>3.2979959999999999</v>
      </c>
      <c r="AU197" s="232">
        <v>5.0000000000000001E-3</v>
      </c>
      <c r="AV197" s="239">
        <f t="shared" si="22"/>
        <v>3.3144859799999997</v>
      </c>
      <c r="AW197" s="239">
        <f>(AS197*AK197/1000000)*(VLOOKUP(N197,FCST!D:I,6,FALSE))</f>
        <v>0</v>
      </c>
      <c r="AX197" s="239">
        <f t="shared" si="23"/>
        <v>0</v>
      </c>
      <c r="AY197" s="239">
        <f>IF($G197="CERVECERIA Y MALTERIA.",($AS197*$AK197/1000000)*(1-VLOOKUP($N197,FCST!D:I,6,FALSE)),0)</f>
        <v>0</v>
      </c>
      <c r="AZ197" s="239">
        <f t="shared" si="24"/>
        <v>0</v>
      </c>
    </row>
    <row r="198" spans="1:52" x14ac:dyDescent="0.25">
      <c r="A198" s="209">
        <v>1076999</v>
      </c>
      <c r="B198" s="209">
        <v>100</v>
      </c>
      <c r="C198" s="209">
        <v>89280633</v>
      </c>
      <c r="D198" s="209">
        <v>20</v>
      </c>
      <c r="E198" s="209">
        <v>10000002</v>
      </c>
      <c r="F198" s="209">
        <v>20000335</v>
      </c>
      <c r="G198" s="209" t="s">
        <v>105</v>
      </c>
      <c r="H198" s="209">
        <v>20000335</v>
      </c>
      <c r="I198" s="209">
        <v>2</v>
      </c>
      <c r="J198" s="209" t="s">
        <v>169</v>
      </c>
      <c r="K198" s="209" t="s">
        <v>492</v>
      </c>
      <c r="L198" s="209" t="s">
        <v>246</v>
      </c>
      <c r="M198" s="209" t="s">
        <v>199</v>
      </c>
      <c r="N198" s="209">
        <v>50032573</v>
      </c>
      <c r="O198" s="209" t="s">
        <v>173</v>
      </c>
      <c r="P198" s="209">
        <v>5121</v>
      </c>
      <c r="Q198" s="209" t="s">
        <v>200</v>
      </c>
      <c r="R198" s="209" t="s">
        <v>201</v>
      </c>
      <c r="S198" s="209" t="s">
        <v>202</v>
      </c>
      <c r="T198" s="209" t="s">
        <v>203</v>
      </c>
      <c r="U198" s="209" t="s">
        <v>201</v>
      </c>
      <c r="V198" s="209">
        <v>5500010705</v>
      </c>
      <c r="W198" s="209">
        <v>5500010705</v>
      </c>
      <c r="X198" s="209" t="s">
        <v>180</v>
      </c>
      <c r="Y198" s="209" t="s">
        <v>180</v>
      </c>
      <c r="Z198" s="209">
        <v>9521066360</v>
      </c>
      <c r="AA198" s="209" t="s">
        <v>493</v>
      </c>
      <c r="AB198" s="209" t="s">
        <v>180</v>
      </c>
      <c r="AC198" s="209" t="s">
        <v>182</v>
      </c>
      <c r="AD198" s="209">
        <v>9</v>
      </c>
      <c r="AE198" s="209">
        <v>2024</v>
      </c>
      <c r="AF198" s="227">
        <v>45562</v>
      </c>
      <c r="AG198" s="227">
        <v>45568</v>
      </c>
      <c r="AH198" s="227">
        <v>45568</v>
      </c>
      <c r="AI198" s="228">
        <v>429408</v>
      </c>
      <c r="AJ198" s="228">
        <v>42</v>
      </c>
      <c r="AK198" s="228">
        <v>429408</v>
      </c>
      <c r="AL198" s="228">
        <v>42</v>
      </c>
      <c r="AM198" s="228">
        <v>0</v>
      </c>
      <c r="AN198" s="228">
        <v>0</v>
      </c>
      <c r="AO198" s="229">
        <v>40</v>
      </c>
      <c r="AP198" s="231">
        <v>10</v>
      </c>
      <c r="AQ198" s="231">
        <v>2024</v>
      </c>
      <c r="AR198" s="231" t="str">
        <f t="shared" si="20"/>
        <v>10/2024</v>
      </c>
      <c r="AS198" s="231">
        <f t="shared" si="21"/>
        <v>37.200000000000003</v>
      </c>
      <c r="AT198" s="239">
        <f>IF(G198="CERVECERIA Y MALTERIA",(AS198*AK198/1000000)*(1-VLOOKUP(N198,FCST!D:I,6,FALSE)),0)</f>
        <v>15.973977600000001</v>
      </c>
      <c r="AU198" s="232">
        <v>5.0000000000000001E-3</v>
      </c>
      <c r="AV198" s="239">
        <f t="shared" si="22"/>
        <v>16.053847487999999</v>
      </c>
      <c r="AW198" s="239">
        <f>(AS198*AK198/1000000)*(VLOOKUP(N198,FCST!D:I,6,FALSE))</f>
        <v>0</v>
      </c>
      <c r="AX198" s="239">
        <f t="shared" si="23"/>
        <v>0</v>
      </c>
      <c r="AY198" s="239">
        <f>IF($G198="CERVECERIA Y MALTERIA.",($AS198*$AK198/1000000)*(1-VLOOKUP($N198,FCST!D:I,6,FALSE)),0)</f>
        <v>0</v>
      </c>
      <c r="AZ198" s="239">
        <f t="shared" si="24"/>
        <v>0</v>
      </c>
    </row>
    <row r="199" spans="1:52" x14ac:dyDescent="0.25">
      <c r="A199" s="209">
        <v>1078960</v>
      </c>
      <c r="B199" s="209">
        <v>60</v>
      </c>
      <c r="C199" s="209">
        <v>89289672</v>
      </c>
      <c r="D199" s="209">
        <v>10</v>
      </c>
      <c r="E199" s="209">
        <v>10000002</v>
      </c>
      <c r="F199" s="209">
        <v>20000335</v>
      </c>
      <c r="G199" s="209" t="s">
        <v>105</v>
      </c>
      <c r="H199" s="209">
        <v>20000335</v>
      </c>
      <c r="I199" s="209">
        <v>2</v>
      </c>
      <c r="J199" s="209" t="s">
        <v>169</v>
      </c>
      <c r="K199" s="209" t="s">
        <v>494</v>
      </c>
      <c r="L199" s="209" t="s">
        <v>171</v>
      </c>
      <c r="M199" s="209" t="s">
        <v>172</v>
      </c>
      <c r="N199" s="209">
        <v>50034574</v>
      </c>
      <c r="O199" s="209" t="s">
        <v>196</v>
      </c>
      <c r="P199" s="209">
        <v>5121</v>
      </c>
      <c r="Q199" s="209" t="s">
        <v>174</v>
      </c>
      <c r="R199" s="209" t="s">
        <v>175</v>
      </c>
      <c r="S199" s="209" t="s">
        <v>176</v>
      </c>
      <c r="T199" s="209" t="s">
        <v>177</v>
      </c>
      <c r="U199" s="209" t="s">
        <v>178</v>
      </c>
      <c r="V199" s="209" t="s">
        <v>179</v>
      </c>
      <c r="W199" s="209" t="s">
        <v>179</v>
      </c>
      <c r="X199" s="209" t="s">
        <v>180</v>
      </c>
      <c r="Y199" s="209" t="s">
        <v>180</v>
      </c>
      <c r="Z199" s="209">
        <v>9521066372</v>
      </c>
      <c r="AA199" s="209" t="s">
        <v>495</v>
      </c>
      <c r="AB199" s="209" t="s">
        <v>180</v>
      </c>
      <c r="AC199" s="209" t="s">
        <v>182</v>
      </c>
      <c r="AD199" s="209">
        <v>10</v>
      </c>
      <c r="AE199" s="209">
        <v>2024</v>
      </c>
      <c r="AF199" s="227">
        <v>45575</v>
      </c>
      <c r="AG199" s="227">
        <v>45580</v>
      </c>
      <c r="AH199" s="227">
        <v>45580</v>
      </c>
      <c r="AI199" s="228">
        <v>977184</v>
      </c>
      <c r="AJ199" s="228">
        <v>52</v>
      </c>
      <c r="AK199" s="228">
        <v>977184</v>
      </c>
      <c r="AL199" s="228">
        <v>52</v>
      </c>
      <c r="AM199" s="228">
        <v>0</v>
      </c>
      <c r="AN199" s="228">
        <v>0</v>
      </c>
      <c r="AO199" s="229">
        <v>42</v>
      </c>
      <c r="AP199" s="231">
        <v>10</v>
      </c>
      <c r="AQ199" s="231">
        <v>2024</v>
      </c>
      <c r="AR199" s="231" t="str">
        <f t="shared" si="20"/>
        <v>10/2024</v>
      </c>
      <c r="AS199" s="231">
        <f t="shared" si="21"/>
        <v>19.5</v>
      </c>
      <c r="AT199" s="239">
        <f>IF(G199="CERVECERIA Y MALTERIA",(AS199*AK199/1000000)*(1-VLOOKUP(N199,FCST!D:I,6,FALSE)),0)</f>
        <v>19.055088000000001</v>
      </c>
      <c r="AU199" s="232">
        <v>5.0000000000000001E-3</v>
      </c>
      <c r="AV199" s="239">
        <f t="shared" si="22"/>
        <v>19.15036344</v>
      </c>
      <c r="AW199" s="239">
        <f>(AS199*AK199/1000000)*(VLOOKUP(N199,FCST!D:I,6,FALSE))</f>
        <v>0</v>
      </c>
      <c r="AX199" s="239">
        <f t="shared" si="23"/>
        <v>0</v>
      </c>
      <c r="AY199" s="239">
        <f>IF($G199="CERVECERIA Y MALTERIA.",($AS199*$AK199/1000000)*(1-VLOOKUP($N199,FCST!D:I,6,FALSE)),0)</f>
        <v>0</v>
      </c>
      <c r="AZ199" s="239">
        <f t="shared" si="24"/>
        <v>0</v>
      </c>
    </row>
    <row r="200" spans="1:52" x14ac:dyDescent="0.25">
      <c r="A200" s="209">
        <v>1078960</v>
      </c>
      <c r="B200" s="209">
        <v>70</v>
      </c>
      <c r="C200" s="209">
        <v>89290092</v>
      </c>
      <c r="D200" s="209">
        <v>10</v>
      </c>
      <c r="E200" s="209">
        <v>10000002</v>
      </c>
      <c r="F200" s="209">
        <v>20000335</v>
      </c>
      <c r="G200" s="209" t="s">
        <v>105</v>
      </c>
      <c r="H200" s="209">
        <v>20000335</v>
      </c>
      <c r="I200" s="209">
        <v>2</v>
      </c>
      <c r="J200" s="209" t="s">
        <v>169</v>
      </c>
      <c r="K200" s="209" t="s">
        <v>496</v>
      </c>
      <c r="L200" s="209" t="s">
        <v>171</v>
      </c>
      <c r="M200" s="209" t="s">
        <v>199</v>
      </c>
      <c r="N200" s="209">
        <v>50032573</v>
      </c>
      <c r="O200" s="209" t="s">
        <v>173</v>
      </c>
      <c r="P200" s="209">
        <v>5121</v>
      </c>
      <c r="Q200" s="209" t="s">
        <v>200</v>
      </c>
      <c r="R200" s="209" t="s">
        <v>201</v>
      </c>
      <c r="S200" s="209" t="s">
        <v>202</v>
      </c>
      <c r="T200" s="209" t="s">
        <v>203</v>
      </c>
      <c r="U200" s="209" t="s">
        <v>201</v>
      </c>
      <c r="V200" s="209" t="s">
        <v>179</v>
      </c>
      <c r="W200" s="209" t="s">
        <v>179</v>
      </c>
      <c r="X200" s="209" t="s">
        <v>180</v>
      </c>
      <c r="Y200" s="209" t="s">
        <v>180</v>
      </c>
      <c r="Z200" s="209">
        <v>9521066380</v>
      </c>
      <c r="AA200" s="209" t="s">
        <v>497</v>
      </c>
      <c r="AB200" s="209" t="s">
        <v>180</v>
      </c>
      <c r="AC200" s="209" t="s">
        <v>182</v>
      </c>
      <c r="AD200" s="209">
        <v>10</v>
      </c>
      <c r="AE200" s="209">
        <v>2024</v>
      </c>
      <c r="AF200" s="227">
        <v>45575</v>
      </c>
      <c r="AG200" s="227">
        <v>45581</v>
      </c>
      <c r="AH200" s="227">
        <v>45581</v>
      </c>
      <c r="AI200" s="228">
        <v>531648</v>
      </c>
      <c r="AJ200" s="228">
        <v>52</v>
      </c>
      <c r="AK200" s="228">
        <v>531648</v>
      </c>
      <c r="AL200" s="228">
        <v>52</v>
      </c>
      <c r="AM200" s="228">
        <v>0</v>
      </c>
      <c r="AN200" s="228">
        <v>0</v>
      </c>
      <c r="AO200" s="229">
        <v>42</v>
      </c>
      <c r="AP200" s="231">
        <v>10</v>
      </c>
      <c r="AQ200" s="231">
        <v>2024</v>
      </c>
      <c r="AR200" s="231" t="str">
        <f t="shared" si="20"/>
        <v>10/2024</v>
      </c>
      <c r="AS200" s="231">
        <f t="shared" si="21"/>
        <v>37.200000000000003</v>
      </c>
      <c r="AT200" s="239">
        <f>IF(G200="CERVECERIA Y MALTERIA",(AS200*AK200/1000000)*(1-VLOOKUP(N200,FCST!D:I,6,FALSE)),0)</f>
        <v>19.777305600000002</v>
      </c>
      <c r="AU200" s="232">
        <v>5.0000000000000001E-3</v>
      </c>
      <c r="AV200" s="239">
        <f t="shared" si="22"/>
        <v>19.876192128</v>
      </c>
      <c r="AW200" s="239">
        <f>(AS200*AK200/1000000)*(VLOOKUP(N200,FCST!D:I,6,FALSE))</f>
        <v>0</v>
      </c>
      <c r="AX200" s="239">
        <f t="shared" si="23"/>
        <v>0</v>
      </c>
      <c r="AY200" s="239">
        <f>IF($G200="CERVECERIA Y MALTERIA.",($AS200*$AK200/1000000)*(1-VLOOKUP($N200,FCST!D:I,6,FALSE)),0)</f>
        <v>0</v>
      </c>
      <c r="AZ200" s="239">
        <f t="shared" si="24"/>
        <v>0</v>
      </c>
    </row>
    <row r="201" spans="1:52" x14ac:dyDescent="0.25">
      <c r="A201" s="209">
        <v>1078962</v>
      </c>
      <c r="B201" s="209">
        <v>20</v>
      </c>
      <c r="C201" s="209">
        <v>89290124</v>
      </c>
      <c r="D201" s="209">
        <v>10</v>
      </c>
      <c r="E201" s="209">
        <v>10000002</v>
      </c>
      <c r="F201" s="209">
        <v>20000337</v>
      </c>
      <c r="G201" s="209" t="s">
        <v>105</v>
      </c>
      <c r="H201" s="209">
        <v>20000337</v>
      </c>
      <c r="I201" s="209">
        <v>2</v>
      </c>
      <c r="J201" s="209" t="s">
        <v>169</v>
      </c>
      <c r="K201" s="209" t="s">
        <v>498</v>
      </c>
      <c r="L201" s="209" t="s">
        <v>171</v>
      </c>
      <c r="M201" s="209" t="s">
        <v>199</v>
      </c>
      <c r="N201" s="209">
        <v>50035183</v>
      </c>
      <c r="O201" s="209" t="s">
        <v>215</v>
      </c>
      <c r="P201" s="209">
        <v>5121</v>
      </c>
      <c r="Q201" s="209" t="s">
        <v>200</v>
      </c>
      <c r="R201" s="209" t="s">
        <v>201</v>
      </c>
      <c r="S201" s="209" t="s">
        <v>202</v>
      </c>
      <c r="T201" s="209" t="s">
        <v>203</v>
      </c>
      <c r="U201" s="209" t="s">
        <v>201</v>
      </c>
      <c r="V201" s="209" t="s">
        <v>179</v>
      </c>
      <c r="W201" s="209" t="s">
        <v>179</v>
      </c>
      <c r="X201" s="209" t="s">
        <v>180</v>
      </c>
      <c r="Y201" s="209" t="s">
        <v>180</v>
      </c>
      <c r="Z201" s="209">
        <v>9521066379</v>
      </c>
      <c r="AA201" s="209" t="s">
        <v>499</v>
      </c>
      <c r="AB201" s="209" t="s">
        <v>180</v>
      </c>
      <c r="AC201" s="209" t="s">
        <v>182</v>
      </c>
      <c r="AD201" s="209">
        <v>10</v>
      </c>
      <c r="AE201" s="209">
        <v>2024</v>
      </c>
      <c r="AF201" s="227">
        <v>45575</v>
      </c>
      <c r="AG201" s="227">
        <v>45581</v>
      </c>
      <c r="AH201" s="227">
        <v>45581</v>
      </c>
      <c r="AI201" s="228">
        <v>426816</v>
      </c>
      <c r="AJ201" s="228">
        <v>52</v>
      </c>
      <c r="AK201" s="228">
        <v>426816</v>
      </c>
      <c r="AL201" s="228">
        <v>52</v>
      </c>
      <c r="AM201" s="228">
        <v>0</v>
      </c>
      <c r="AN201" s="228">
        <v>0</v>
      </c>
      <c r="AO201" s="229">
        <v>42</v>
      </c>
      <c r="AP201" s="231">
        <v>10</v>
      </c>
      <c r="AQ201" s="231">
        <v>2024</v>
      </c>
      <c r="AR201" s="231" t="str">
        <f t="shared" si="20"/>
        <v>10/2024</v>
      </c>
      <c r="AS201" s="231">
        <f t="shared" si="21"/>
        <v>46.6</v>
      </c>
      <c r="AT201" s="239">
        <f>IF(G201="CERVECERIA Y MALTERIA",(AS201*AK201/1000000)*(1-VLOOKUP(N201,FCST!D:I,6,FALSE)),0)</f>
        <v>19.889625600000002</v>
      </c>
      <c r="AU201" s="232">
        <v>5.0000000000000001E-3</v>
      </c>
      <c r="AV201" s="239">
        <f t="shared" si="22"/>
        <v>19.989073728000001</v>
      </c>
      <c r="AW201" s="239">
        <f>(AS201*AK201/1000000)*(VLOOKUP(N201,FCST!D:I,6,FALSE))</f>
        <v>0</v>
      </c>
      <c r="AX201" s="239">
        <f t="shared" si="23"/>
        <v>0</v>
      </c>
      <c r="AY201" s="239">
        <f>IF($G201="CERVECERIA Y MALTERIA.",($AS201*$AK201/1000000)*(1-VLOOKUP($N201,FCST!D:I,6,FALSE)),0)</f>
        <v>0</v>
      </c>
      <c r="AZ201" s="239">
        <f t="shared" si="24"/>
        <v>0</v>
      </c>
    </row>
    <row r="202" spans="1:52" x14ac:dyDescent="0.25">
      <c r="A202" s="209">
        <v>1079856</v>
      </c>
      <c r="B202" s="209">
        <v>10</v>
      </c>
      <c r="C202" s="209">
        <v>89290229</v>
      </c>
      <c r="D202" s="209">
        <v>10</v>
      </c>
      <c r="E202" s="209">
        <v>10000002</v>
      </c>
      <c r="F202" s="209">
        <v>20000339</v>
      </c>
      <c r="G202" s="209" t="s">
        <v>105</v>
      </c>
      <c r="H202" s="209">
        <v>20000339</v>
      </c>
      <c r="I202" s="209">
        <v>2</v>
      </c>
      <c r="J202" s="209" t="s">
        <v>169</v>
      </c>
      <c r="K202" s="209" t="s">
        <v>500</v>
      </c>
      <c r="L202" s="209" t="s">
        <v>171</v>
      </c>
      <c r="M202" s="209" t="s">
        <v>184</v>
      </c>
      <c r="N202" s="209">
        <v>50034634</v>
      </c>
      <c r="O202" s="209" t="s">
        <v>219</v>
      </c>
      <c r="P202" s="209">
        <v>5121</v>
      </c>
      <c r="Q202" s="209" t="s">
        <v>174</v>
      </c>
      <c r="R202" s="209" t="s">
        <v>175</v>
      </c>
      <c r="S202" s="209" t="s">
        <v>176</v>
      </c>
      <c r="T202" s="209" t="s">
        <v>177</v>
      </c>
      <c r="U202" s="209" t="s">
        <v>178</v>
      </c>
      <c r="V202" s="209" t="s">
        <v>179</v>
      </c>
      <c r="W202" s="209" t="s">
        <v>179</v>
      </c>
      <c r="X202" s="209" t="s">
        <v>180</v>
      </c>
      <c r="Y202" s="209" t="s">
        <v>180</v>
      </c>
      <c r="Z202" s="209">
        <v>9521066382</v>
      </c>
      <c r="AA202" s="209" t="s">
        <v>501</v>
      </c>
      <c r="AB202" s="209" t="s">
        <v>180</v>
      </c>
      <c r="AC202" s="209" t="s">
        <v>182</v>
      </c>
      <c r="AD202" s="209">
        <v>10</v>
      </c>
      <c r="AE202" s="209">
        <v>2024</v>
      </c>
      <c r="AF202" s="227">
        <v>45580</v>
      </c>
      <c r="AG202" s="227">
        <v>45581</v>
      </c>
      <c r="AH202" s="227">
        <v>45581</v>
      </c>
      <c r="AI202" s="228">
        <v>364416</v>
      </c>
      <c r="AJ202" s="228">
        <v>52</v>
      </c>
      <c r="AK202" s="228">
        <v>364416</v>
      </c>
      <c r="AL202" s="228">
        <v>52</v>
      </c>
      <c r="AM202" s="228">
        <v>0</v>
      </c>
      <c r="AN202" s="228">
        <v>0</v>
      </c>
      <c r="AO202" s="229">
        <v>42</v>
      </c>
      <c r="AP202" s="231">
        <v>10</v>
      </c>
      <c r="AQ202" s="231">
        <v>2024</v>
      </c>
      <c r="AR202" s="231" t="str">
        <f t="shared" si="20"/>
        <v>10/2024</v>
      </c>
      <c r="AS202" s="231">
        <f t="shared" si="21"/>
        <v>52</v>
      </c>
      <c r="AT202" s="239">
        <f>IF(G202="CERVECERIA Y MALTERIA",(AS202*AK202/1000000)*(1-VLOOKUP(N202,FCST!D:I,6,FALSE)),0)</f>
        <v>18.949632000000001</v>
      </c>
      <c r="AU202" s="232">
        <v>5.0000000000000001E-3</v>
      </c>
      <c r="AV202" s="239">
        <f t="shared" si="22"/>
        <v>19.044380159999999</v>
      </c>
      <c r="AW202" s="239">
        <f>(AS202*AK202/1000000)*(VLOOKUP(N202,FCST!D:I,6,FALSE))</f>
        <v>0</v>
      </c>
      <c r="AX202" s="239">
        <f t="shared" si="23"/>
        <v>0</v>
      </c>
      <c r="AY202" s="239">
        <f>IF($G202="CERVECERIA Y MALTERIA.",($AS202*$AK202/1000000)*(1-VLOOKUP($N202,FCST!D:I,6,FALSE)),0)</f>
        <v>0</v>
      </c>
      <c r="AZ202" s="239">
        <f t="shared" si="24"/>
        <v>0</v>
      </c>
    </row>
    <row r="203" spans="1:52" x14ac:dyDescent="0.25">
      <c r="A203" s="209">
        <v>1078960</v>
      </c>
      <c r="B203" s="209">
        <v>40</v>
      </c>
      <c r="C203" s="209">
        <v>89289129</v>
      </c>
      <c r="D203" s="209">
        <v>10</v>
      </c>
      <c r="E203" s="209">
        <v>10000002</v>
      </c>
      <c r="F203" s="209">
        <v>20000335</v>
      </c>
      <c r="G203" s="209" t="s">
        <v>105</v>
      </c>
      <c r="H203" s="209">
        <v>20000335</v>
      </c>
      <c r="I203" s="209">
        <v>2</v>
      </c>
      <c r="J203" s="209" t="s">
        <v>169</v>
      </c>
      <c r="K203" s="209" t="s">
        <v>502</v>
      </c>
      <c r="L203" s="209" t="s">
        <v>171</v>
      </c>
      <c r="M203" s="209" t="s">
        <v>184</v>
      </c>
      <c r="N203" s="209">
        <v>50034561</v>
      </c>
      <c r="O203" s="209" t="s">
        <v>307</v>
      </c>
      <c r="P203" s="209">
        <v>5121</v>
      </c>
      <c r="Q203" s="209" t="s">
        <v>174</v>
      </c>
      <c r="R203" s="209" t="s">
        <v>175</v>
      </c>
      <c r="S203" s="209" t="s">
        <v>176</v>
      </c>
      <c r="T203" s="209" t="s">
        <v>177</v>
      </c>
      <c r="U203" s="209" t="s">
        <v>178</v>
      </c>
      <c r="V203" s="209" t="s">
        <v>179</v>
      </c>
      <c r="W203" s="209" t="s">
        <v>179</v>
      </c>
      <c r="X203" s="209" t="s">
        <v>180</v>
      </c>
      <c r="Y203" s="209" t="s">
        <v>180</v>
      </c>
      <c r="Z203" s="209">
        <v>9521066371</v>
      </c>
      <c r="AA203" s="209" t="s">
        <v>503</v>
      </c>
      <c r="AB203" s="209" t="s">
        <v>180</v>
      </c>
      <c r="AC203" s="209" t="s">
        <v>182</v>
      </c>
      <c r="AD203" s="209">
        <v>10</v>
      </c>
      <c r="AE203" s="209">
        <v>2024</v>
      </c>
      <c r="AF203" s="227">
        <v>45575</v>
      </c>
      <c r="AG203" s="227">
        <v>45580</v>
      </c>
      <c r="AH203" s="227">
        <v>45580</v>
      </c>
      <c r="AI203" s="228">
        <v>977184</v>
      </c>
      <c r="AJ203" s="228">
        <v>52</v>
      </c>
      <c r="AK203" s="228">
        <v>977184</v>
      </c>
      <c r="AL203" s="228">
        <v>52</v>
      </c>
      <c r="AM203" s="228">
        <v>0</v>
      </c>
      <c r="AN203" s="228">
        <v>0</v>
      </c>
      <c r="AO203" s="229">
        <v>42</v>
      </c>
      <c r="AP203" s="231">
        <v>10</v>
      </c>
      <c r="AQ203" s="231">
        <v>2024</v>
      </c>
      <c r="AR203" s="231" t="str">
        <f t="shared" si="20"/>
        <v>10/2024</v>
      </c>
      <c r="AS203" s="231">
        <f t="shared" si="21"/>
        <v>19.5</v>
      </c>
      <c r="AT203" s="239">
        <f>IF(G203="CERVECERIA Y MALTERIA",(AS203*AK203/1000000)*(1-VLOOKUP(N203,FCST!D:I,6,FALSE)),0)</f>
        <v>19.055088000000001</v>
      </c>
      <c r="AU203" s="232">
        <v>5.0000000000000001E-3</v>
      </c>
      <c r="AV203" s="239">
        <f t="shared" si="22"/>
        <v>19.15036344</v>
      </c>
      <c r="AW203" s="239">
        <f>(AS203*AK203/1000000)*(VLOOKUP(N203,FCST!D:I,6,FALSE))</f>
        <v>0</v>
      </c>
      <c r="AX203" s="239">
        <f t="shared" si="23"/>
        <v>0</v>
      </c>
      <c r="AY203" s="239">
        <f>IF($G203="CERVECERIA Y MALTERIA.",($AS203*$AK203/1000000)*(1-VLOOKUP($N203,FCST!D:I,6,FALSE)),0)</f>
        <v>0</v>
      </c>
      <c r="AZ203" s="239">
        <f t="shared" si="24"/>
        <v>0</v>
      </c>
    </row>
    <row r="204" spans="1:52" x14ac:dyDescent="0.25">
      <c r="A204" s="209">
        <v>1078960</v>
      </c>
      <c r="B204" s="209">
        <v>30</v>
      </c>
      <c r="C204" s="209">
        <v>89289185</v>
      </c>
      <c r="D204" s="209">
        <v>10</v>
      </c>
      <c r="E204" s="209">
        <v>10000002</v>
      </c>
      <c r="F204" s="209">
        <v>20000335</v>
      </c>
      <c r="G204" s="209" t="s">
        <v>105</v>
      </c>
      <c r="H204" s="209">
        <v>20000335</v>
      </c>
      <c r="I204" s="209">
        <v>2</v>
      </c>
      <c r="J204" s="209" t="s">
        <v>169</v>
      </c>
      <c r="K204" s="209" t="s">
        <v>504</v>
      </c>
      <c r="L204" s="209" t="s">
        <v>171</v>
      </c>
      <c r="M204" s="209" t="s">
        <v>184</v>
      </c>
      <c r="N204" s="209">
        <v>50034574</v>
      </c>
      <c r="O204" s="209" t="s">
        <v>196</v>
      </c>
      <c r="P204" s="209">
        <v>5121</v>
      </c>
      <c r="Q204" s="209" t="s">
        <v>174</v>
      </c>
      <c r="R204" s="209" t="s">
        <v>175</v>
      </c>
      <c r="S204" s="209" t="s">
        <v>176</v>
      </c>
      <c r="T204" s="209" t="s">
        <v>177</v>
      </c>
      <c r="U204" s="209" t="s">
        <v>178</v>
      </c>
      <c r="V204" s="209" t="s">
        <v>179</v>
      </c>
      <c r="W204" s="209" t="s">
        <v>179</v>
      </c>
      <c r="X204" s="209" t="s">
        <v>180</v>
      </c>
      <c r="Y204" s="209" t="s">
        <v>180</v>
      </c>
      <c r="Z204" s="209">
        <v>9521066372</v>
      </c>
      <c r="AA204" s="209" t="s">
        <v>495</v>
      </c>
      <c r="AB204" s="209" t="s">
        <v>180</v>
      </c>
      <c r="AC204" s="209" t="s">
        <v>182</v>
      </c>
      <c r="AD204" s="209">
        <v>10</v>
      </c>
      <c r="AE204" s="209">
        <v>2024</v>
      </c>
      <c r="AF204" s="227">
        <v>45575</v>
      </c>
      <c r="AG204" s="227">
        <v>45580</v>
      </c>
      <c r="AH204" s="227">
        <v>45580</v>
      </c>
      <c r="AI204" s="228">
        <v>977184</v>
      </c>
      <c r="AJ204" s="228">
        <v>52</v>
      </c>
      <c r="AK204" s="228">
        <v>977184</v>
      </c>
      <c r="AL204" s="228">
        <v>52</v>
      </c>
      <c r="AM204" s="228">
        <v>0</v>
      </c>
      <c r="AN204" s="228">
        <v>0</v>
      </c>
      <c r="AO204" s="229">
        <v>42</v>
      </c>
      <c r="AP204" s="231">
        <v>10</v>
      </c>
      <c r="AQ204" s="231">
        <v>2024</v>
      </c>
      <c r="AR204" s="231" t="str">
        <f t="shared" si="20"/>
        <v>10/2024</v>
      </c>
      <c r="AS204" s="231">
        <f t="shared" si="21"/>
        <v>19.5</v>
      </c>
      <c r="AT204" s="239">
        <f>IF(G204="CERVECERIA Y MALTERIA",(AS204*AK204/1000000)*(1-VLOOKUP(N204,FCST!D:I,6,FALSE)),0)</f>
        <v>19.055088000000001</v>
      </c>
      <c r="AU204" s="232">
        <v>5.0000000000000001E-3</v>
      </c>
      <c r="AV204" s="239">
        <f t="shared" si="22"/>
        <v>19.15036344</v>
      </c>
      <c r="AW204" s="239">
        <f>(AS204*AK204/1000000)*(VLOOKUP(N204,FCST!D:I,6,FALSE))</f>
        <v>0</v>
      </c>
      <c r="AX204" s="239">
        <f t="shared" si="23"/>
        <v>0</v>
      </c>
      <c r="AY204" s="239">
        <f>IF($G204="CERVECERIA Y MALTERIA.",($AS204*$AK204/1000000)*(1-VLOOKUP($N204,FCST!D:I,6,FALSE)),0)</f>
        <v>0</v>
      </c>
      <c r="AZ204" s="239">
        <f t="shared" si="24"/>
        <v>0</v>
      </c>
    </row>
    <row r="205" spans="1:52" x14ac:dyDescent="0.25">
      <c r="A205" s="209">
        <v>1078961</v>
      </c>
      <c r="B205" s="209">
        <v>20</v>
      </c>
      <c r="C205" s="209">
        <v>89289319</v>
      </c>
      <c r="D205" s="209">
        <v>10</v>
      </c>
      <c r="E205" s="209">
        <v>10000002</v>
      </c>
      <c r="F205" s="209">
        <v>20000340</v>
      </c>
      <c r="G205" s="209" t="s">
        <v>117</v>
      </c>
      <c r="H205" s="209">
        <v>20000340</v>
      </c>
      <c r="I205" s="209">
        <v>2</v>
      </c>
      <c r="J205" s="209" t="s">
        <v>169</v>
      </c>
      <c r="K205" s="209" t="s">
        <v>505</v>
      </c>
      <c r="L205" s="209" t="s">
        <v>171</v>
      </c>
      <c r="M205" s="209" t="s">
        <v>184</v>
      </c>
      <c r="N205" s="209">
        <v>50027468</v>
      </c>
      <c r="O205" s="209" t="s">
        <v>285</v>
      </c>
      <c r="P205" s="209">
        <v>5101</v>
      </c>
      <c r="Q205" s="209" t="s">
        <v>186</v>
      </c>
      <c r="R205" s="209" t="s">
        <v>175</v>
      </c>
      <c r="S205" s="209" t="s">
        <v>176</v>
      </c>
      <c r="T205" s="209" t="s">
        <v>187</v>
      </c>
      <c r="U205" s="209" t="s">
        <v>188</v>
      </c>
      <c r="V205" s="209" t="s">
        <v>179</v>
      </c>
      <c r="W205" s="209" t="s">
        <v>179</v>
      </c>
      <c r="X205" s="209" t="s">
        <v>180</v>
      </c>
      <c r="Y205" s="209" t="s">
        <v>180</v>
      </c>
      <c r="Z205" s="209">
        <v>9511046881</v>
      </c>
      <c r="AA205" s="209" t="s">
        <v>506</v>
      </c>
      <c r="AB205" s="209" t="s">
        <v>180</v>
      </c>
      <c r="AC205" s="209" t="s">
        <v>182</v>
      </c>
      <c r="AD205" s="209">
        <v>10</v>
      </c>
      <c r="AE205" s="209">
        <v>2024</v>
      </c>
      <c r="AF205" s="227">
        <v>45575</v>
      </c>
      <c r="AG205" s="227">
        <v>45580</v>
      </c>
      <c r="AH205" s="227">
        <v>45580</v>
      </c>
      <c r="AI205" s="228">
        <v>399360</v>
      </c>
      <c r="AJ205" s="228">
        <v>52</v>
      </c>
      <c r="AK205" s="228">
        <v>399360</v>
      </c>
      <c r="AL205" s="228">
        <v>52</v>
      </c>
      <c r="AM205" s="228">
        <v>0</v>
      </c>
      <c r="AN205" s="228">
        <v>0</v>
      </c>
      <c r="AO205" s="229">
        <v>42</v>
      </c>
      <c r="AP205" s="231">
        <v>10</v>
      </c>
      <c r="AQ205" s="231">
        <v>2024</v>
      </c>
      <c r="AR205" s="231" t="str">
        <f t="shared" si="20"/>
        <v>10/2024</v>
      </c>
      <c r="AS205" s="231">
        <f t="shared" si="21"/>
        <v>52</v>
      </c>
      <c r="AT205" s="239">
        <f>IF(G205="CERVECERIA Y MALTERIA",(AS205*AK205/1000000)*(1-VLOOKUP(N205,FCST!D:I,6,FALSE)),0)</f>
        <v>0</v>
      </c>
      <c r="AU205" s="232">
        <v>5.0000000000000001E-3</v>
      </c>
      <c r="AV205" s="239">
        <f t="shared" si="22"/>
        <v>0</v>
      </c>
      <c r="AW205" s="239">
        <f>(AS205*AK205/1000000)*(VLOOKUP(N205,FCST!D:I,6,FALSE))</f>
        <v>0</v>
      </c>
      <c r="AX205" s="239">
        <f t="shared" si="23"/>
        <v>0</v>
      </c>
      <c r="AY205" s="239">
        <f>IF($G205="CERVECERIA Y MALTERIA.",($AS205*$AK205/1000000)*(1-VLOOKUP($N205,FCST!D:I,6,FALSE)),0)</f>
        <v>20.766719999999999</v>
      </c>
      <c r="AZ205" s="239">
        <f t="shared" si="24"/>
        <v>20.870553599999997</v>
      </c>
    </row>
    <row r="206" spans="1:52" x14ac:dyDescent="0.25">
      <c r="A206" s="209">
        <v>1078960</v>
      </c>
      <c r="B206" s="209">
        <v>50</v>
      </c>
      <c r="C206" s="209">
        <v>89289364</v>
      </c>
      <c r="D206" s="209">
        <v>10</v>
      </c>
      <c r="E206" s="209">
        <v>10000002</v>
      </c>
      <c r="F206" s="209">
        <v>20000335</v>
      </c>
      <c r="G206" s="209" t="s">
        <v>105</v>
      </c>
      <c r="H206" s="209">
        <v>20000335</v>
      </c>
      <c r="I206" s="209">
        <v>2</v>
      </c>
      <c r="J206" s="209" t="s">
        <v>169</v>
      </c>
      <c r="K206" s="209" t="s">
        <v>507</v>
      </c>
      <c r="L206" s="209" t="s">
        <v>171</v>
      </c>
      <c r="M206" s="209" t="s">
        <v>199</v>
      </c>
      <c r="N206" s="209">
        <v>50032573</v>
      </c>
      <c r="O206" s="209" t="s">
        <v>173</v>
      </c>
      <c r="P206" s="209">
        <v>5121</v>
      </c>
      <c r="Q206" s="209" t="s">
        <v>200</v>
      </c>
      <c r="R206" s="209" t="s">
        <v>201</v>
      </c>
      <c r="S206" s="209" t="s">
        <v>202</v>
      </c>
      <c r="T206" s="209" t="s">
        <v>203</v>
      </c>
      <c r="U206" s="209" t="s">
        <v>201</v>
      </c>
      <c r="V206" s="209" t="s">
        <v>179</v>
      </c>
      <c r="W206" s="209" t="s">
        <v>179</v>
      </c>
      <c r="X206" s="209" t="s">
        <v>180</v>
      </c>
      <c r="Y206" s="209" t="s">
        <v>180</v>
      </c>
      <c r="Z206" s="209">
        <v>9521066369</v>
      </c>
      <c r="AA206" s="209" t="s">
        <v>508</v>
      </c>
      <c r="AB206" s="209" t="s">
        <v>180</v>
      </c>
      <c r="AC206" s="209" t="s">
        <v>182</v>
      </c>
      <c r="AD206" s="209">
        <v>10</v>
      </c>
      <c r="AE206" s="209">
        <v>2024</v>
      </c>
      <c r="AF206" s="227">
        <v>45575</v>
      </c>
      <c r="AG206" s="227">
        <v>45580</v>
      </c>
      <c r="AH206" s="227">
        <v>45580</v>
      </c>
      <c r="AI206" s="228">
        <v>531648</v>
      </c>
      <c r="AJ206" s="228">
        <v>52</v>
      </c>
      <c r="AK206" s="228">
        <v>531648</v>
      </c>
      <c r="AL206" s="228">
        <v>52</v>
      </c>
      <c r="AM206" s="228">
        <v>0</v>
      </c>
      <c r="AN206" s="228">
        <v>0</v>
      </c>
      <c r="AO206" s="229">
        <v>42</v>
      </c>
      <c r="AP206" s="231">
        <v>10</v>
      </c>
      <c r="AQ206" s="231">
        <v>2024</v>
      </c>
      <c r="AR206" s="231" t="str">
        <f t="shared" si="20"/>
        <v>10/2024</v>
      </c>
      <c r="AS206" s="231">
        <f t="shared" si="21"/>
        <v>37.200000000000003</v>
      </c>
      <c r="AT206" s="239">
        <f>IF(G206="CERVECERIA Y MALTERIA",(AS206*AK206/1000000)*(1-VLOOKUP(N206,FCST!D:I,6,FALSE)),0)</f>
        <v>19.777305600000002</v>
      </c>
      <c r="AU206" s="232">
        <v>5.0000000000000001E-3</v>
      </c>
      <c r="AV206" s="239">
        <f t="shared" si="22"/>
        <v>19.876192128</v>
      </c>
      <c r="AW206" s="239">
        <f>(AS206*AK206/1000000)*(VLOOKUP(N206,FCST!D:I,6,FALSE))</f>
        <v>0</v>
      </c>
      <c r="AX206" s="239">
        <f t="shared" si="23"/>
        <v>0</v>
      </c>
      <c r="AY206" s="239">
        <f>IF($G206="CERVECERIA Y MALTERIA.",($AS206*$AK206/1000000)*(1-VLOOKUP($N206,FCST!D:I,6,FALSE)),0)</f>
        <v>0</v>
      </c>
      <c r="AZ206" s="239">
        <f t="shared" si="24"/>
        <v>0</v>
      </c>
    </row>
    <row r="207" spans="1:52" x14ac:dyDescent="0.25">
      <c r="A207" s="209">
        <v>1078960</v>
      </c>
      <c r="B207" s="209">
        <v>90</v>
      </c>
      <c r="C207" s="209">
        <v>89291260</v>
      </c>
      <c r="D207" s="209">
        <v>10</v>
      </c>
      <c r="E207" s="209">
        <v>10000002</v>
      </c>
      <c r="F207" s="209">
        <v>20000335</v>
      </c>
      <c r="G207" s="209" t="s">
        <v>105</v>
      </c>
      <c r="H207" s="209">
        <v>20000335</v>
      </c>
      <c r="I207" s="209">
        <v>2</v>
      </c>
      <c r="J207" s="209" t="s">
        <v>169</v>
      </c>
      <c r="K207" s="209" t="s">
        <v>509</v>
      </c>
      <c r="L207" s="209" t="s">
        <v>171</v>
      </c>
      <c r="M207" s="209" t="s">
        <v>184</v>
      </c>
      <c r="N207" s="209">
        <v>50034616</v>
      </c>
      <c r="O207" s="209" t="s">
        <v>191</v>
      </c>
      <c r="P207" s="209">
        <v>5121</v>
      </c>
      <c r="Q207" s="209" t="s">
        <v>174</v>
      </c>
      <c r="R207" s="209" t="s">
        <v>175</v>
      </c>
      <c r="S207" s="209" t="s">
        <v>176</v>
      </c>
      <c r="T207" s="209" t="s">
        <v>177</v>
      </c>
      <c r="U207" s="209" t="s">
        <v>178</v>
      </c>
      <c r="V207" s="209" t="s">
        <v>179</v>
      </c>
      <c r="W207" s="209" t="s">
        <v>179</v>
      </c>
      <c r="X207" s="209" t="s">
        <v>180</v>
      </c>
      <c r="Y207" s="209" t="s">
        <v>180</v>
      </c>
      <c r="Z207" s="209">
        <v>9521066396</v>
      </c>
      <c r="AA207" s="209" t="s">
        <v>510</v>
      </c>
      <c r="AB207" s="209" t="s">
        <v>180</v>
      </c>
      <c r="AC207" s="209" t="s">
        <v>182</v>
      </c>
      <c r="AD207" s="209">
        <v>10</v>
      </c>
      <c r="AE207" s="209">
        <v>2024</v>
      </c>
      <c r="AF207" s="227">
        <v>45575</v>
      </c>
      <c r="AG207" s="227">
        <v>45582</v>
      </c>
      <c r="AH207" s="227">
        <v>45582</v>
      </c>
      <c r="AI207" s="228">
        <v>426816</v>
      </c>
      <c r="AJ207" s="228">
        <v>52</v>
      </c>
      <c r="AK207" s="228">
        <v>426816</v>
      </c>
      <c r="AL207" s="228">
        <v>52</v>
      </c>
      <c r="AM207" s="228">
        <v>0</v>
      </c>
      <c r="AN207" s="228">
        <v>0</v>
      </c>
      <c r="AO207" s="229">
        <v>42</v>
      </c>
      <c r="AP207" s="231">
        <v>10</v>
      </c>
      <c r="AQ207" s="231">
        <v>2024</v>
      </c>
      <c r="AR207" s="231" t="str">
        <f t="shared" si="20"/>
        <v>10/2024</v>
      </c>
      <c r="AS207" s="231">
        <f t="shared" si="21"/>
        <v>46.6</v>
      </c>
      <c r="AT207" s="239">
        <f>IF(G207="CERVECERIA Y MALTERIA",(AS207*AK207/1000000)*(1-VLOOKUP(N207,FCST!D:I,6,FALSE)),0)</f>
        <v>19.889625600000002</v>
      </c>
      <c r="AU207" s="232">
        <v>5.0000000000000001E-3</v>
      </c>
      <c r="AV207" s="239">
        <f t="shared" si="22"/>
        <v>19.989073728000001</v>
      </c>
      <c r="AW207" s="239">
        <f>(AS207*AK207/1000000)*(VLOOKUP(N207,FCST!D:I,6,FALSE))</f>
        <v>0</v>
      </c>
      <c r="AX207" s="239">
        <f t="shared" si="23"/>
        <v>0</v>
      </c>
      <c r="AY207" s="239">
        <f>IF($G207="CERVECERIA Y MALTERIA.",($AS207*$AK207/1000000)*(1-VLOOKUP($N207,FCST!D:I,6,FALSE)),0)</f>
        <v>0</v>
      </c>
      <c r="AZ207" s="239">
        <f t="shared" si="24"/>
        <v>0</v>
      </c>
    </row>
    <row r="208" spans="1:52" x14ac:dyDescent="0.25">
      <c r="A208" s="209">
        <v>1078960</v>
      </c>
      <c r="B208" s="209">
        <v>80</v>
      </c>
      <c r="C208" s="209">
        <v>89291306</v>
      </c>
      <c r="D208" s="209">
        <v>10</v>
      </c>
      <c r="E208" s="209">
        <v>10000002</v>
      </c>
      <c r="F208" s="209">
        <v>20000335</v>
      </c>
      <c r="G208" s="209" t="s">
        <v>105</v>
      </c>
      <c r="H208" s="209">
        <v>20000335</v>
      </c>
      <c r="I208" s="209">
        <v>2</v>
      </c>
      <c r="J208" s="209" t="s">
        <v>169</v>
      </c>
      <c r="K208" s="209" t="s">
        <v>511</v>
      </c>
      <c r="L208" s="209" t="s">
        <v>171</v>
      </c>
      <c r="M208" s="209" t="s">
        <v>199</v>
      </c>
      <c r="N208" s="209">
        <v>50034574</v>
      </c>
      <c r="O208" s="209" t="s">
        <v>196</v>
      </c>
      <c r="P208" s="209">
        <v>5121</v>
      </c>
      <c r="Q208" s="209" t="s">
        <v>200</v>
      </c>
      <c r="R208" s="209" t="s">
        <v>201</v>
      </c>
      <c r="S208" s="209" t="s">
        <v>202</v>
      </c>
      <c r="T208" s="209" t="s">
        <v>203</v>
      </c>
      <c r="U208" s="209" t="s">
        <v>201</v>
      </c>
      <c r="V208" s="209" t="s">
        <v>179</v>
      </c>
      <c r="W208" s="209" t="s">
        <v>179</v>
      </c>
      <c r="X208" s="209" t="s">
        <v>180</v>
      </c>
      <c r="Y208" s="209" t="s">
        <v>180</v>
      </c>
      <c r="Z208" s="209">
        <v>9521066395</v>
      </c>
      <c r="AA208" s="209" t="s">
        <v>512</v>
      </c>
      <c r="AB208" s="209" t="s">
        <v>180</v>
      </c>
      <c r="AC208" s="209" t="s">
        <v>182</v>
      </c>
      <c r="AD208" s="209">
        <v>10</v>
      </c>
      <c r="AE208" s="209">
        <v>2024</v>
      </c>
      <c r="AF208" s="227">
        <v>45575</v>
      </c>
      <c r="AG208" s="227">
        <v>45582</v>
      </c>
      <c r="AH208" s="227">
        <v>45582</v>
      </c>
      <c r="AI208" s="228">
        <v>977184</v>
      </c>
      <c r="AJ208" s="228">
        <v>52</v>
      </c>
      <c r="AK208" s="228">
        <v>977184</v>
      </c>
      <c r="AL208" s="228">
        <v>52</v>
      </c>
      <c r="AM208" s="228">
        <v>0</v>
      </c>
      <c r="AN208" s="228">
        <v>0</v>
      </c>
      <c r="AO208" s="229">
        <v>42</v>
      </c>
      <c r="AP208" s="231">
        <v>10</v>
      </c>
      <c r="AQ208" s="231">
        <v>2024</v>
      </c>
      <c r="AR208" s="231" t="str">
        <f t="shared" si="20"/>
        <v>10/2024</v>
      </c>
      <c r="AS208" s="231">
        <f t="shared" si="21"/>
        <v>19.5</v>
      </c>
      <c r="AT208" s="239">
        <f>IF(G208="CERVECERIA Y MALTERIA",(AS208*AK208/1000000)*(1-VLOOKUP(N208,FCST!D:I,6,FALSE)),0)</f>
        <v>19.055088000000001</v>
      </c>
      <c r="AU208" s="232">
        <v>5.0000000000000001E-3</v>
      </c>
      <c r="AV208" s="239">
        <f t="shared" si="22"/>
        <v>19.15036344</v>
      </c>
      <c r="AW208" s="239">
        <f>(AS208*AK208/1000000)*(VLOOKUP(N208,FCST!D:I,6,FALSE))</f>
        <v>0</v>
      </c>
      <c r="AX208" s="239">
        <f t="shared" si="23"/>
        <v>0</v>
      </c>
      <c r="AY208" s="239">
        <f>IF($G208="CERVECERIA Y MALTERIA.",($AS208*$AK208/1000000)*(1-VLOOKUP($N208,FCST!D:I,6,FALSE)),0)</f>
        <v>0</v>
      </c>
      <c r="AZ208" s="239">
        <f t="shared" si="24"/>
        <v>0</v>
      </c>
    </row>
    <row r="209" spans="1:52" x14ac:dyDescent="0.25">
      <c r="A209" s="209">
        <v>1078961</v>
      </c>
      <c r="B209" s="209">
        <v>40</v>
      </c>
      <c r="C209" s="209">
        <v>89291343</v>
      </c>
      <c r="D209" s="209">
        <v>10</v>
      </c>
      <c r="E209" s="209">
        <v>10000002</v>
      </c>
      <c r="F209" s="209">
        <v>20000340</v>
      </c>
      <c r="G209" s="209" t="s">
        <v>117</v>
      </c>
      <c r="H209" s="209">
        <v>20000340</v>
      </c>
      <c r="I209" s="209">
        <v>2</v>
      </c>
      <c r="J209" s="209" t="s">
        <v>169</v>
      </c>
      <c r="K209" s="209" t="s">
        <v>513</v>
      </c>
      <c r="L209" s="209" t="s">
        <v>171</v>
      </c>
      <c r="M209" s="209" t="s">
        <v>184</v>
      </c>
      <c r="N209" s="209">
        <v>50027468</v>
      </c>
      <c r="O209" s="209" t="s">
        <v>285</v>
      </c>
      <c r="P209" s="209">
        <v>5101</v>
      </c>
      <c r="Q209" s="209" t="s">
        <v>186</v>
      </c>
      <c r="R209" s="209" t="s">
        <v>175</v>
      </c>
      <c r="S209" s="209" t="s">
        <v>176</v>
      </c>
      <c r="T209" s="209" t="s">
        <v>187</v>
      </c>
      <c r="U209" s="209" t="s">
        <v>188</v>
      </c>
      <c r="V209" s="209" t="s">
        <v>179</v>
      </c>
      <c r="W209" s="209" t="s">
        <v>179</v>
      </c>
      <c r="X209" s="209" t="s">
        <v>180</v>
      </c>
      <c r="Y209" s="209" t="s">
        <v>180</v>
      </c>
      <c r="Z209" s="209">
        <v>9511046895</v>
      </c>
      <c r="AA209" s="209" t="s">
        <v>514</v>
      </c>
      <c r="AB209" s="209" t="s">
        <v>180</v>
      </c>
      <c r="AC209" s="209" t="s">
        <v>182</v>
      </c>
      <c r="AD209" s="209">
        <v>10</v>
      </c>
      <c r="AE209" s="209">
        <v>2024</v>
      </c>
      <c r="AF209" s="227">
        <v>45575</v>
      </c>
      <c r="AG209" s="227">
        <v>45582</v>
      </c>
      <c r="AH209" s="227">
        <v>45582</v>
      </c>
      <c r="AI209" s="228">
        <v>399360</v>
      </c>
      <c r="AJ209" s="228">
        <v>52</v>
      </c>
      <c r="AK209" s="228">
        <v>399360</v>
      </c>
      <c r="AL209" s="228">
        <v>52</v>
      </c>
      <c r="AM209" s="228">
        <v>0</v>
      </c>
      <c r="AN209" s="228">
        <v>0</v>
      </c>
      <c r="AO209" s="229">
        <v>42</v>
      </c>
      <c r="AP209" s="231">
        <v>10</v>
      </c>
      <c r="AQ209" s="231">
        <v>2024</v>
      </c>
      <c r="AR209" s="231" t="str">
        <f t="shared" si="20"/>
        <v>10/2024</v>
      </c>
      <c r="AS209" s="231">
        <f t="shared" si="21"/>
        <v>52</v>
      </c>
      <c r="AT209" s="239">
        <f>IF(G209="CERVECERIA Y MALTERIA",(AS209*AK209/1000000)*(1-VLOOKUP(N209,FCST!D:I,6,FALSE)),0)</f>
        <v>0</v>
      </c>
      <c r="AU209" s="232">
        <v>5.0000000000000001E-3</v>
      </c>
      <c r="AV209" s="239">
        <f t="shared" si="22"/>
        <v>0</v>
      </c>
      <c r="AW209" s="239">
        <f>(AS209*AK209/1000000)*(VLOOKUP(N209,FCST!D:I,6,FALSE))</f>
        <v>0</v>
      </c>
      <c r="AX209" s="239">
        <f t="shared" si="23"/>
        <v>0</v>
      </c>
      <c r="AY209" s="239">
        <f>IF($G209="CERVECERIA Y MALTERIA.",($AS209*$AK209/1000000)*(1-VLOOKUP($N209,FCST!D:I,6,FALSE)),0)</f>
        <v>20.766719999999999</v>
      </c>
      <c r="AZ209" s="239">
        <f t="shared" si="24"/>
        <v>20.870553599999997</v>
      </c>
    </row>
    <row r="210" spans="1:52" x14ac:dyDescent="0.25">
      <c r="A210" s="209">
        <v>1078961</v>
      </c>
      <c r="B210" s="209">
        <v>30</v>
      </c>
      <c r="C210" s="209">
        <v>89290365</v>
      </c>
      <c r="D210" s="209">
        <v>10</v>
      </c>
      <c r="E210" s="209">
        <v>10000002</v>
      </c>
      <c r="F210" s="209">
        <v>20000340</v>
      </c>
      <c r="G210" s="209" t="s">
        <v>117</v>
      </c>
      <c r="H210" s="209">
        <v>20000340</v>
      </c>
      <c r="I210" s="209">
        <v>2</v>
      </c>
      <c r="J210" s="209" t="s">
        <v>169</v>
      </c>
      <c r="K210" s="209" t="s">
        <v>515</v>
      </c>
      <c r="L210" s="209" t="s">
        <v>171</v>
      </c>
      <c r="M210" s="209" t="s">
        <v>184</v>
      </c>
      <c r="N210" s="209">
        <v>50027468</v>
      </c>
      <c r="O210" s="209" t="s">
        <v>285</v>
      </c>
      <c r="P210" s="209">
        <v>5101</v>
      </c>
      <c r="Q210" s="209" t="s">
        <v>186</v>
      </c>
      <c r="R210" s="209" t="s">
        <v>175</v>
      </c>
      <c r="S210" s="209" t="s">
        <v>176</v>
      </c>
      <c r="T210" s="209" t="s">
        <v>187</v>
      </c>
      <c r="U210" s="209" t="s">
        <v>188</v>
      </c>
      <c r="V210" s="209" t="s">
        <v>179</v>
      </c>
      <c r="W210" s="209" t="s">
        <v>179</v>
      </c>
      <c r="X210" s="209" t="s">
        <v>180</v>
      </c>
      <c r="Y210" s="209" t="s">
        <v>180</v>
      </c>
      <c r="Z210" s="209">
        <v>9511046889</v>
      </c>
      <c r="AA210" s="209" t="s">
        <v>516</v>
      </c>
      <c r="AB210" s="209" t="s">
        <v>180</v>
      </c>
      <c r="AC210" s="209" t="s">
        <v>182</v>
      </c>
      <c r="AD210" s="209">
        <v>10</v>
      </c>
      <c r="AE210" s="209">
        <v>2024</v>
      </c>
      <c r="AF210" s="227">
        <v>45575</v>
      </c>
      <c r="AG210" s="227">
        <v>45581</v>
      </c>
      <c r="AH210" s="227">
        <v>45581</v>
      </c>
      <c r="AI210" s="228">
        <v>399360</v>
      </c>
      <c r="AJ210" s="228">
        <v>52</v>
      </c>
      <c r="AK210" s="228">
        <v>399360</v>
      </c>
      <c r="AL210" s="228">
        <v>52</v>
      </c>
      <c r="AM210" s="228">
        <v>0</v>
      </c>
      <c r="AN210" s="228">
        <v>0</v>
      </c>
      <c r="AO210" s="229">
        <v>42</v>
      </c>
      <c r="AP210" s="231">
        <v>10</v>
      </c>
      <c r="AQ210" s="231">
        <v>2024</v>
      </c>
      <c r="AR210" s="231" t="str">
        <f t="shared" ref="AR210:AR227" si="25">+IF(AP210&lt;10,"0"&amp;AP210&amp; "/"&amp;AQ210,AP210&amp; "/"&amp;AQ210)</f>
        <v>10/2024</v>
      </c>
      <c r="AS210" s="231">
        <f t="shared" ref="AS210:AS227" si="26">VALUE(MID(INDEX(_xlfn.TEXTSPLIT(O210, ","), 1, 3), 1,FIND("G", INDEX(_xlfn.TEXTSPLIT(O210, ","), 1, 3))-1))</f>
        <v>52</v>
      </c>
      <c r="AT210" s="239">
        <f>IF(G210="CERVECERIA Y MALTERIA",(AS210*AK210/1000000)*(1-VLOOKUP(N210,FCST!D:I,6,FALSE)),0)</f>
        <v>0</v>
      </c>
      <c r="AU210" s="232">
        <v>5.0000000000000001E-3</v>
      </c>
      <c r="AV210" s="239">
        <f t="shared" ref="AV210:AV227" si="27">+AT210*(1+AU210)</f>
        <v>0</v>
      </c>
      <c r="AW210" s="239">
        <f>(AS210*AK210/1000000)*(VLOOKUP(N210,FCST!D:I,6,FALSE))</f>
        <v>0</v>
      </c>
      <c r="AX210" s="239">
        <f t="shared" ref="AX210:AX227" si="28">+AW210*(1+AU210)</f>
        <v>0</v>
      </c>
      <c r="AY210" s="239">
        <f>IF($G210="CERVECERIA Y MALTERIA.",($AS210*$AK210/1000000)*(1-VLOOKUP($N210,FCST!D:I,6,FALSE)),0)</f>
        <v>20.766719999999999</v>
      </c>
      <c r="AZ210" s="239">
        <f t="shared" ref="AZ210:AZ227" si="29">+AY210*(1+AU210)</f>
        <v>20.870553599999997</v>
      </c>
    </row>
    <row r="211" spans="1:52" x14ac:dyDescent="0.25">
      <c r="A211" s="209">
        <v>1078204</v>
      </c>
      <c r="B211" s="209">
        <v>30</v>
      </c>
      <c r="C211" s="209">
        <v>89286160</v>
      </c>
      <c r="D211" s="209">
        <v>10</v>
      </c>
      <c r="E211" s="209">
        <v>10000002</v>
      </c>
      <c r="F211" s="209">
        <v>20000337</v>
      </c>
      <c r="G211" s="209" t="s">
        <v>105</v>
      </c>
      <c r="H211" s="209">
        <v>20000337</v>
      </c>
      <c r="I211" s="209">
        <v>2</v>
      </c>
      <c r="J211" s="209" t="s">
        <v>169</v>
      </c>
      <c r="K211" s="209" t="s">
        <v>517</v>
      </c>
      <c r="L211" s="209" t="s">
        <v>171</v>
      </c>
      <c r="M211" s="209" t="s">
        <v>172</v>
      </c>
      <c r="N211" s="209">
        <v>50035183</v>
      </c>
      <c r="O211" s="209" t="s">
        <v>215</v>
      </c>
      <c r="P211" s="209">
        <v>5121</v>
      </c>
      <c r="Q211" s="209" t="s">
        <v>174</v>
      </c>
      <c r="R211" s="209" t="s">
        <v>175</v>
      </c>
      <c r="S211" s="209" t="s">
        <v>176</v>
      </c>
      <c r="T211" s="209" t="s">
        <v>177</v>
      </c>
      <c r="U211" s="209" t="s">
        <v>178</v>
      </c>
      <c r="V211" s="209" t="s">
        <v>179</v>
      </c>
      <c r="W211" s="209" t="s">
        <v>179</v>
      </c>
      <c r="X211" s="209" t="s">
        <v>180</v>
      </c>
      <c r="Y211" s="209" t="s">
        <v>180</v>
      </c>
      <c r="Z211" s="209">
        <v>9521066357</v>
      </c>
      <c r="AA211" s="209" t="s">
        <v>518</v>
      </c>
      <c r="AB211" s="209" t="s">
        <v>180</v>
      </c>
      <c r="AC211" s="209" t="s">
        <v>182</v>
      </c>
      <c r="AD211" s="209">
        <v>10</v>
      </c>
      <c r="AE211" s="209">
        <v>2024</v>
      </c>
      <c r="AF211" s="227">
        <v>45569</v>
      </c>
      <c r="AG211" s="227">
        <v>45575</v>
      </c>
      <c r="AH211" s="227">
        <v>45575</v>
      </c>
      <c r="AI211" s="228">
        <v>426816</v>
      </c>
      <c r="AJ211" s="228">
        <v>52</v>
      </c>
      <c r="AK211" s="228">
        <v>426816</v>
      </c>
      <c r="AL211" s="228">
        <v>52</v>
      </c>
      <c r="AM211" s="228">
        <v>0</v>
      </c>
      <c r="AN211" s="228">
        <v>0</v>
      </c>
      <c r="AO211" s="229">
        <v>41</v>
      </c>
      <c r="AP211" s="231">
        <v>10</v>
      </c>
      <c r="AQ211" s="231">
        <v>2024</v>
      </c>
      <c r="AR211" s="231" t="str">
        <f t="shared" si="25"/>
        <v>10/2024</v>
      </c>
      <c r="AS211" s="231">
        <f t="shared" si="26"/>
        <v>46.6</v>
      </c>
      <c r="AT211" s="239">
        <f>IF(G211="CERVECERIA Y MALTERIA",(AS211*AK211/1000000)*(1-VLOOKUP(N211,FCST!D:I,6,FALSE)),0)</f>
        <v>19.889625600000002</v>
      </c>
      <c r="AU211" s="232">
        <v>5.0000000000000001E-3</v>
      </c>
      <c r="AV211" s="239">
        <f t="shared" si="27"/>
        <v>19.989073728000001</v>
      </c>
      <c r="AW211" s="239">
        <f>(AS211*AK211/1000000)*(VLOOKUP(N211,FCST!D:I,6,FALSE))</f>
        <v>0</v>
      </c>
      <c r="AX211" s="239">
        <f t="shared" si="28"/>
        <v>0</v>
      </c>
      <c r="AY211" s="239">
        <f>IF($G211="CERVECERIA Y MALTERIA.",($AS211*$AK211/1000000)*(1-VLOOKUP($N211,FCST!D:I,6,FALSE)),0)</f>
        <v>0</v>
      </c>
      <c r="AZ211" s="239">
        <f t="shared" si="29"/>
        <v>0</v>
      </c>
    </row>
    <row r="212" spans="1:52" x14ac:dyDescent="0.25">
      <c r="A212" s="209">
        <v>1078850</v>
      </c>
      <c r="B212" s="209">
        <v>10</v>
      </c>
      <c r="C212" s="209">
        <v>89286206</v>
      </c>
      <c r="D212" s="209">
        <v>10</v>
      </c>
      <c r="E212" s="209">
        <v>10000002</v>
      </c>
      <c r="F212" s="209">
        <v>20000339</v>
      </c>
      <c r="G212" s="209" t="s">
        <v>105</v>
      </c>
      <c r="H212" s="209">
        <v>20000339</v>
      </c>
      <c r="I212" s="209">
        <v>2</v>
      </c>
      <c r="J212" s="209" t="s">
        <v>169</v>
      </c>
      <c r="K212" s="209" t="s">
        <v>519</v>
      </c>
      <c r="L212" s="209" t="s">
        <v>171</v>
      </c>
      <c r="M212" s="209" t="s">
        <v>227</v>
      </c>
      <c r="N212" s="209">
        <v>50034577</v>
      </c>
      <c r="O212" s="209" t="s">
        <v>237</v>
      </c>
      <c r="P212" s="209">
        <v>5101</v>
      </c>
      <c r="Q212" s="209" t="s">
        <v>444</v>
      </c>
      <c r="R212" s="209" t="s">
        <v>445</v>
      </c>
      <c r="S212" s="209" t="s">
        <v>230</v>
      </c>
      <c r="T212" s="209" t="s">
        <v>446</v>
      </c>
      <c r="U212" s="209" t="s">
        <v>447</v>
      </c>
      <c r="V212" s="209" t="s">
        <v>179</v>
      </c>
      <c r="W212" s="209" t="s">
        <v>179</v>
      </c>
      <c r="X212" s="209" t="s">
        <v>180</v>
      </c>
      <c r="Y212" s="209" t="s">
        <v>180</v>
      </c>
      <c r="Z212" s="209">
        <v>9511046877</v>
      </c>
      <c r="AA212" s="209" t="s">
        <v>448</v>
      </c>
      <c r="AB212" s="209" t="s">
        <v>180</v>
      </c>
      <c r="AC212" s="209" t="s">
        <v>182</v>
      </c>
      <c r="AD212" s="209">
        <v>10</v>
      </c>
      <c r="AE212" s="209">
        <v>2024</v>
      </c>
      <c r="AF212" s="227">
        <v>45574</v>
      </c>
      <c r="AG212" s="227">
        <v>45575</v>
      </c>
      <c r="AH212" s="227">
        <v>45575</v>
      </c>
      <c r="AI212" s="228">
        <v>400512</v>
      </c>
      <c r="AJ212" s="228">
        <v>28</v>
      </c>
      <c r="AK212" s="228">
        <v>400512</v>
      </c>
      <c r="AL212" s="228">
        <v>28</v>
      </c>
      <c r="AM212" s="228">
        <v>0</v>
      </c>
      <c r="AN212" s="228">
        <v>0</v>
      </c>
      <c r="AO212" s="229">
        <v>41</v>
      </c>
      <c r="AP212" s="231">
        <v>10</v>
      </c>
      <c r="AQ212" s="231">
        <v>2024</v>
      </c>
      <c r="AR212" s="231" t="str">
        <f t="shared" si="25"/>
        <v>10/2024</v>
      </c>
      <c r="AS212" s="231">
        <f t="shared" si="26"/>
        <v>25</v>
      </c>
      <c r="AT212" s="239">
        <f>IF(G212="CERVECERIA Y MALTERIA",(AS212*AK212/1000000)*(1-VLOOKUP(N212,FCST!D:I,6,FALSE)),0)</f>
        <v>10.0128</v>
      </c>
      <c r="AU212" s="232">
        <v>5.0000000000000001E-3</v>
      </c>
      <c r="AV212" s="239">
        <f t="shared" si="27"/>
        <v>10.062863999999999</v>
      </c>
      <c r="AW212" s="239">
        <f>(AS212*AK212/1000000)*(VLOOKUP(N212,FCST!D:I,6,FALSE))</f>
        <v>0</v>
      </c>
      <c r="AX212" s="239">
        <f t="shared" si="28"/>
        <v>0</v>
      </c>
      <c r="AY212" s="239">
        <f>IF($G212="CERVECERIA Y MALTERIA.",($AS212*$AK212/1000000)*(1-VLOOKUP($N212,FCST!D:I,6,FALSE)),0)</f>
        <v>0</v>
      </c>
      <c r="AZ212" s="239">
        <f t="shared" si="29"/>
        <v>0</v>
      </c>
    </row>
    <row r="213" spans="1:52" x14ac:dyDescent="0.25">
      <c r="A213" s="209">
        <v>1078200</v>
      </c>
      <c r="B213" s="209">
        <v>30</v>
      </c>
      <c r="C213" s="209">
        <v>89284753</v>
      </c>
      <c r="D213" s="209">
        <v>10</v>
      </c>
      <c r="E213" s="209">
        <v>10000002</v>
      </c>
      <c r="F213" s="209">
        <v>20000340</v>
      </c>
      <c r="G213" s="209" t="s">
        <v>117</v>
      </c>
      <c r="H213" s="209">
        <v>20000340</v>
      </c>
      <c r="I213" s="209">
        <v>2</v>
      </c>
      <c r="J213" s="209" t="s">
        <v>169</v>
      </c>
      <c r="K213" s="209" t="s">
        <v>520</v>
      </c>
      <c r="L213" s="209" t="s">
        <v>171</v>
      </c>
      <c r="M213" s="209" t="s">
        <v>172</v>
      </c>
      <c r="N213" s="209">
        <v>50029843</v>
      </c>
      <c r="O213" s="209" t="s">
        <v>460</v>
      </c>
      <c r="P213" s="209">
        <v>5121</v>
      </c>
      <c r="Q213" s="209" t="s">
        <v>174</v>
      </c>
      <c r="R213" s="209" t="s">
        <v>175</v>
      </c>
      <c r="S213" s="209" t="s">
        <v>176</v>
      </c>
      <c r="T213" s="209" t="s">
        <v>177</v>
      </c>
      <c r="U213" s="209" t="s">
        <v>178</v>
      </c>
      <c r="V213" s="209" t="s">
        <v>179</v>
      </c>
      <c r="W213" s="209" t="s">
        <v>179</v>
      </c>
      <c r="X213" s="209" t="s">
        <v>180</v>
      </c>
      <c r="Y213" s="209" t="s">
        <v>180</v>
      </c>
      <c r="Z213" s="209">
        <v>9521066358</v>
      </c>
      <c r="AA213" s="209" t="s">
        <v>461</v>
      </c>
      <c r="AB213" s="209" t="s">
        <v>180</v>
      </c>
      <c r="AC213" s="209" t="s">
        <v>182</v>
      </c>
      <c r="AD213" s="209">
        <v>10</v>
      </c>
      <c r="AE213" s="209">
        <v>2024</v>
      </c>
      <c r="AF213" s="227">
        <v>45569</v>
      </c>
      <c r="AG213" s="227">
        <v>45574</v>
      </c>
      <c r="AH213" s="227">
        <v>45574</v>
      </c>
      <c r="AI213" s="228">
        <v>419328</v>
      </c>
      <c r="AJ213" s="228">
        <v>52</v>
      </c>
      <c r="AK213" s="228">
        <v>419328</v>
      </c>
      <c r="AL213" s="228">
        <v>52</v>
      </c>
      <c r="AM213" s="228">
        <v>0</v>
      </c>
      <c r="AN213" s="228">
        <v>0</v>
      </c>
      <c r="AO213" s="229">
        <v>41</v>
      </c>
      <c r="AP213" s="231">
        <v>10</v>
      </c>
      <c r="AQ213" s="231">
        <v>2024</v>
      </c>
      <c r="AR213" s="231" t="str">
        <f t="shared" si="25"/>
        <v>10/2024</v>
      </c>
      <c r="AS213" s="231">
        <f t="shared" si="26"/>
        <v>44.8</v>
      </c>
      <c r="AT213" s="239">
        <f>IF(G213="CERVECERIA Y MALTERIA",(AS213*AK213/1000000)*(1-VLOOKUP(N213,FCST!D:I,6,FALSE)),0)</f>
        <v>0</v>
      </c>
      <c r="AU213" s="232">
        <v>5.0000000000000001E-3</v>
      </c>
      <c r="AV213" s="239">
        <f t="shared" si="27"/>
        <v>0</v>
      </c>
      <c r="AW213" s="239">
        <f>(AS213*AK213/1000000)*(VLOOKUP(N213,FCST!D:I,6,FALSE))</f>
        <v>0</v>
      </c>
      <c r="AX213" s="239">
        <f t="shared" si="28"/>
        <v>0</v>
      </c>
      <c r="AY213" s="239">
        <f>IF($G213="CERVECERIA Y MALTERIA.",($AS213*$AK213/1000000)*(1-VLOOKUP($N213,FCST!D:I,6,FALSE)),0)</f>
        <v>18.7858944</v>
      </c>
      <c r="AZ213" s="239">
        <f t="shared" si="29"/>
        <v>18.879823871999999</v>
      </c>
    </row>
    <row r="214" spans="1:52" x14ac:dyDescent="0.25">
      <c r="A214" s="209">
        <v>1078198</v>
      </c>
      <c r="B214" s="209">
        <v>50</v>
      </c>
      <c r="C214" s="209">
        <v>89284982</v>
      </c>
      <c r="D214" s="209">
        <v>10</v>
      </c>
      <c r="E214" s="209">
        <v>10000002</v>
      </c>
      <c r="F214" s="209">
        <v>20000335</v>
      </c>
      <c r="G214" s="209" t="s">
        <v>105</v>
      </c>
      <c r="H214" s="209">
        <v>20000335</v>
      </c>
      <c r="I214" s="209">
        <v>2</v>
      </c>
      <c r="J214" s="209" t="s">
        <v>169</v>
      </c>
      <c r="K214" s="209" t="s">
        <v>521</v>
      </c>
      <c r="L214" s="209" t="s">
        <v>171</v>
      </c>
      <c r="M214" s="209" t="s">
        <v>199</v>
      </c>
      <c r="N214" s="209">
        <v>50032573</v>
      </c>
      <c r="O214" s="209" t="s">
        <v>173</v>
      </c>
      <c r="P214" s="209">
        <v>5121</v>
      </c>
      <c r="Q214" s="209" t="s">
        <v>200</v>
      </c>
      <c r="R214" s="209" t="s">
        <v>201</v>
      </c>
      <c r="S214" s="209" t="s">
        <v>202</v>
      </c>
      <c r="T214" s="209" t="s">
        <v>203</v>
      </c>
      <c r="U214" s="209" t="s">
        <v>201</v>
      </c>
      <c r="V214" s="209" t="s">
        <v>179</v>
      </c>
      <c r="W214" s="209" t="s">
        <v>179</v>
      </c>
      <c r="X214" s="209" t="s">
        <v>180</v>
      </c>
      <c r="Y214" s="209" t="s">
        <v>180</v>
      </c>
      <c r="Z214" s="209">
        <v>9521066346</v>
      </c>
      <c r="AA214" s="209" t="s">
        <v>452</v>
      </c>
      <c r="AB214" s="209" t="s">
        <v>180</v>
      </c>
      <c r="AC214" s="209" t="s">
        <v>182</v>
      </c>
      <c r="AD214" s="209">
        <v>10</v>
      </c>
      <c r="AE214" s="209">
        <v>2024</v>
      </c>
      <c r="AF214" s="227">
        <v>45569</v>
      </c>
      <c r="AG214" s="227">
        <v>45574</v>
      </c>
      <c r="AH214" s="227">
        <v>45574</v>
      </c>
      <c r="AI214" s="228">
        <v>265824</v>
      </c>
      <c r="AJ214" s="228">
        <v>26</v>
      </c>
      <c r="AK214" s="228">
        <v>265824</v>
      </c>
      <c r="AL214" s="228">
        <v>26</v>
      </c>
      <c r="AM214" s="228">
        <v>0</v>
      </c>
      <c r="AN214" s="228">
        <v>0</v>
      </c>
      <c r="AO214" s="229">
        <v>41</v>
      </c>
      <c r="AP214" s="231">
        <v>10</v>
      </c>
      <c r="AQ214" s="231">
        <v>2024</v>
      </c>
      <c r="AR214" s="231" t="str">
        <f t="shared" si="25"/>
        <v>10/2024</v>
      </c>
      <c r="AS214" s="231">
        <f t="shared" si="26"/>
        <v>37.200000000000003</v>
      </c>
      <c r="AT214" s="239">
        <f>IF(G214="CERVECERIA Y MALTERIA",(AS214*AK214/1000000)*(1-VLOOKUP(N214,FCST!D:I,6,FALSE)),0)</f>
        <v>9.8886528000000009</v>
      </c>
      <c r="AU214" s="232">
        <v>5.0000000000000001E-3</v>
      </c>
      <c r="AV214" s="239">
        <f t="shared" si="27"/>
        <v>9.9380960639999998</v>
      </c>
      <c r="AW214" s="239">
        <f>(AS214*AK214/1000000)*(VLOOKUP(N214,FCST!D:I,6,FALSE))</f>
        <v>0</v>
      </c>
      <c r="AX214" s="239">
        <f t="shared" si="28"/>
        <v>0</v>
      </c>
      <c r="AY214" s="239">
        <f>IF($G214="CERVECERIA Y MALTERIA.",($AS214*$AK214/1000000)*(1-VLOOKUP($N214,FCST!D:I,6,FALSE)),0)</f>
        <v>0</v>
      </c>
      <c r="AZ214" s="239">
        <f t="shared" si="29"/>
        <v>0</v>
      </c>
    </row>
    <row r="215" spans="1:52" x14ac:dyDescent="0.25">
      <c r="A215" s="209">
        <v>1078200</v>
      </c>
      <c r="B215" s="209">
        <v>40</v>
      </c>
      <c r="C215" s="209">
        <v>89284983</v>
      </c>
      <c r="D215" s="209">
        <v>10</v>
      </c>
      <c r="E215" s="209">
        <v>10000002</v>
      </c>
      <c r="F215" s="209">
        <v>20000340</v>
      </c>
      <c r="G215" s="209" t="s">
        <v>117</v>
      </c>
      <c r="H215" s="209">
        <v>20000340</v>
      </c>
      <c r="I215" s="209">
        <v>2</v>
      </c>
      <c r="J215" s="209" t="s">
        <v>169</v>
      </c>
      <c r="K215" s="209" t="s">
        <v>522</v>
      </c>
      <c r="L215" s="209" t="s">
        <v>171</v>
      </c>
      <c r="M215" s="209" t="s">
        <v>199</v>
      </c>
      <c r="N215" s="209">
        <v>50029843</v>
      </c>
      <c r="O215" s="209" t="s">
        <v>460</v>
      </c>
      <c r="P215" s="209">
        <v>5121</v>
      </c>
      <c r="Q215" s="209" t="s">
        <v>200</v>
      </c>
      <c r="R215" s="209" t="s">
        <v>201</v>
      </c>
      <c r="S215" s="209" t="s">
        <v>202</v>
      </c>
      <c r="T215" s="209" t="s">
        <v>203</v>
      </c>
      <c r="U215" s="209" t="s">
        <v>201</v>
      </c>
      <c r="V215" s="209" t="s">
        <v>179</v>
      </c>
      <c r="W215" s="209" t="s">
        <v>179</v>
      </c>
      <c r="X215" s="209" t="s">
        <v>180</v>
      </c>
      <c r="Y215" s="209" t="s">
        <v>180</v>
      </c>
      <c r="Z215" s="209">
        <v>9521066358</v>
      </c>
      <c r="AA215" s="209" t="s">
        <v>461</v>
      </c>
      <c r="AB215" s="209" t="s">
        <v>180</v>
      </c>
      <c r="AC215" s="209" t="s">
        <v>182</v>
      </c>
      <c r="AD215" s="209">
        <v>10</v>
      </c>
      <c r="AE215" s="209">
        <v>2024</v>
      </c>
      <c r="AF215" s="227">
        <v>45569</v>
      </c>
      <c r="AG215" s="227">
        <v>45574</v>
      </c>
      <c r="AH215" s="227">
        <v>45574</v>
      </c>
      <c r="AI215" s="228">
        <v>209664</v>
      </c>
      <c r="AJ215" s="228">
        <v>26</v>
      </c>
      <c r="AK215" s="228">
        <v>209664</v>
      </c>
      <c r="AL215" s="228">
        <v>26</v>
      </c>
      <c r="AM215" s="228">
        <v>0</v>
      </c>
      <c r="AN215" s="228">
        <v>0</v>
      </c>
      <c r="AO215" s="229">
        <v>41</v>
      </c>
      <c r="AP215" s="231">
        <v>10</v>
      </c>
      <c r="AQ215" s="231">
        <v>2024</v>
      </c>
      <c r="AR215" s="231" t="str">
        <f t="shared" si="25"/>
        <v>10/2024</v>
      </c>
      <c r="AS215" s="231">
        <f t="shared" si="26"/>
        <v>44.8</v>
      </c>
      <c r="AT215" s="239">
        <f>IF(G215="CERVECERIA Y MALTERIA",(AS215*AK215/1000000)*(1-VLOOKUP(N215,FCST!D:I,6,FALSE)),0)</f>
        <v>0</v>
      </c>
      <c r="AU215" s="232">
        <v>5.0000000000000001E-3</v>
      </c>
      <c r="AV215" s="239">
        <f t="shared" si="27"/>
        <v>0</v>
      </c>
      <c r="AW215" s="239">
        <f>(AS215*AK215/1000000)*(VLOOKUP(N215,FCST!D:I,6,FALSE))</f>
        <v>0</v>
      </c>
      <c r="AX215" s="239">
        <f t="shared" si="28"/>
        <v>0</v>
      </c>
      <c r="AY215" s="239">
        <f>IF($G215="CERVECERIA Y MALTERIA.",($AS215*$AK215/1000000)*(1-VLOOKUP($N215,FCST!D:I,6,FALSE)),0)</f>
        <v>9.3929472000000001</v>
      </c>
      <c r="AZ215" s="239">
        <f t="shared" si="29"/>
        <v>9.4399119359999997</v>
      </c>
    </row>
    <row r="216" spans="1:52" x14ac:dyDescent="0.25">
      <c r="A216" s="209">
        <v>1078198</v>
      </c>
      <c r="B216" s="209">
        <v>40</v>
      </c>
      <c r="C216" s="209">
        <v>89285116</v>
      </c>
      <c r="D216" s="209">
        <v>10</v>
      </c>
      <c r="E216" s="209">
        <v>10000002</v>
      </c>
      <c r="F216" s="209">
        <v>20000335</v>
      </c>
      <c r="G216" s="209" t="s">
        <v>105</v>
      </c>
      <c r="H216" s="209">
        <v>20000335</v>
      </c>
      <c r="I216" s="209">
        <v>2</v>
      </c>
      <c r="J216" s="209" t="s">
        <v>169</v>
      </c>
      <c r="K216" s="209" t="s">
        <v>523</v>
      </c>
      <c r="L216" s="209" t="s">
        <v>171</v>
      </c>
      <c r="M216" s="209" t="s">
        <v>172</v>
      </c>
      <c r="N216" s="209">
        <v>50034616</v>
      </c>
      <c r="O216" s="209" t="s">
        <v>191</v>
      </c>
      <c r="P216" s="209">
        <v>5121</v>
      </c>
      <c r="Q216" s="209" t="s">
        <v>174</v>
      </c>
      <c r="R216" s="209" t="s">
        <v>175</v>
      </c>
      <c r="S216" s="209" t="s">
        <v>176</v>
      </c>
      <c r="T216" s="209" t="s">
        <v>177</v>
      </c>
      <c r="U216" s="209" t="s">
        <v>178</v>
      </c>
      <c r="V216" s="209" t="s">
        <v>179</v>
      </c>
      <c r="W216" s="209" t="s">
        <v>179</v>
      </c>
      <c r="X216" s="209" t="s">
        <v>180</v>
      </c>
      <c r="Y216" s="209" t="s">
        <v>180</v>
      </c>
      <c r="Z216" s="209">
        <v>9521066348</v>
      </c>
      <c r="AA216" s="209" t="s">
        <v>524</v>
      </c>
      <c r="AB216" s="209" t="s">
        <v>180</v>
      </c>
      <c r="AC216" s="209" t="s">
        <v>182</v>
      </c>
      <c r="AD216" s="209">
        <v>10</v>
      </c>
      <c r="AE216" s="209">
        <v>2024</v>
      </c>
      <c r="AF216" s="227">
        <v>45569</v>
      </c>
      <c r="AG216" s="227">
        <v>45574</v>
      </c>
      <c r="AH216" s="227">
        <v>45574</v>
      </c>
      <c r="AI216" s="228">
        <v>426816</v>
      </c>
      <c r="AJ216" s="228">
        <v>52</v>
      </c>
      <c r="AK216" s="228">
        <v>426816</v>
      </c>
      <c r="AL216" s="228">
        <v>52</v>
      </c>
      <c r="AM216" s="228">
        <v>0</v>
      </c>
      <c r="AN216" s="228">
        <v>0</v>
      </c>
      <c r="AO216" s="229">
        <v>41</v>
      </c>
      <c r="AP216" s="231">
        <v>10</v>
      </c>
      <c r="AQ216" s="231">
        <v>2024</v>
      </c>
      <c r="AR216" s="231" t="str">
        <f t="shared" si="25"/>
        <v>10/2024</v>
      </c>
      <c r="AS216" s="231">
        <f t="shared" si="26"/>
        <v>46.6</v>
      </c>
      <c r="AT216" s="239">
        <f>IF(G216="CERVECERIA Y MALTERIA",(AS216*AK216/1000000)*(1-VLOOKUP(N216,FCST!D:I,6,FALSE)),0)</f>
        <v>19.889625600000002</v>
      </c>
      <c r="AU216" s="232">
        <v>5.0000000000000001E-3</v>
      </c>
      <c r="AV216" s="239">
        <f t="shared" si="27"/>
        <v>19.989073728000001</v>
      </c>
      <c r="AW216" s="239">
        <f>(AS216*AK216/1000000)*(VLOOKUP(N216,FCST!D:I,6,FALSE))</f>
        <v>0</v>
      </c>
      <c r="AX216" s="239">
        <f t="shared" si="28"/>
        <v>0</v>
      </c>
      <c r="AY216" s="239">
        <f>IF($G216="CERVECERIA Y MALTERIA.",($AS216*$AK216/1000000)*(1-VLOOKUP($N216,FCST!D:I,6,FALSE)),0)</f>
        <v>0</v>
      </c>
      <c r="AZ216" s="239">
        <f t="shared" si="29"/>
        <v>0</v>
      </c>
    </row>
    <row r="217" spans="1:52" x14ac:dyDescent="0.25">
      <c r="A217" s="209">
        <v>1078207</v>
      </c>
      <c r="B217" s="209">
        <v>40</v>
      </c>
      <c r="C217" s="209">
        <v>89285639</v>
      </c>
      <c r="D217" s="209">
        <v>10</v>
      </c>
      <c r="E217" s="209">
        <v>10000002</v>
      </c>
      <c r="F217" s="209">
        <v>20000336</v>
      </c>
      <c r="G217" s="209" t="s">
        <v>105</v>
      </c>
      <c r="H217" s="209">
        <v>20000336</v>
      </c>
      <c r="I217" s="209">
        <v>2</v>
      </c>
      <c r="J217" s="209" t="s">
        <v>169</v>
      </c>
      <c r="K217" s="209" t="s">
        <v>525</v>
      </c>
      <c r="L217" s="209" t="s">
        <v>171</v>
      </c>
      <c r="M217" s="209" t="s">
        <v>172</v>
      </c>
      <c r="N217" s="209">
        <v>50034634</v>
      </c>
      <c r="O217" s="209" t="s">
        <v>219</v>
      </c>
      <c r="P217" s="209">
        <v>5121</v>
      </c>
      <c r="Q217" s="209" t="s">
        <v>174</v>
      </c>
      <c r="R217" s="209" t="s">
        <v>175</v>
      </c>
      <c r="S217" s="209" t="s">
        <v>176</v>
      </c>
      <c r="T217" s="209" t="s">
        <v>177</v>
      </c>
      <c r="U217" s="209" t="s">
        <v>178</v>
      </c>
      <c r="V217" s="209" t="s">
        <v>179</v>
      </c>
      <c r="W217" s="209" t="s">
        <v>179</v>
      </c>
      <c r="X217" s="209" t="s">
        <v>180</v>
      </c>
      <c r="Y217" s="209" t="s">
        <v>180</v>
      </c>
      <c r="Z217" s="209">
        <v>9521066352</v>
      </c>
      <c r="AA217" s="209" t="s">
        <v>526</v>
      </c>
      <c r="AB217" s="209" t="s">
        <v>180</v>
      </c>
      <c r="AC217" s="209" t="s">
        <v>182</v>
      </c>
      <c r="AD217" s="209">
        <v>10</v>
      </c>
      <c r="AE217" s="209">
        <v>2024</v>
      </c>
      <c r="AF217" s="227">
        <v>45569</v>
      </c>
      <c r="AG217" s="227">
        <v>45574</v>
      </c>
      <c r="AH217" s="227">
        <v>45574</v>
      </c>
      <c r="AI217" s="228">
        <v>364416</v>
      </c>
      <c r="AJ217" s="228">
        <v>52</v>
      </c>
      <c r="AK217" s="228">
        <v>364416</v>
      </c>
      <c r="AL217" s="228">
        <v>52</v>
      </c>
      <c r="AM217" s="228">
        <v>0</v>
      </c>
      <c r="AN217" s="228">
        <v>0</v>
      </c>
      <c r="AO217" s="229">
        <v>41</v>
      </c>
      <c r="AP217" s="231">
        <v>10</v>
      </c>
      <c r="AQ217" s="231">
        <v>2024</v>
      </c>
      <c r="AR217" s="231" t="str">
        <f t="shared" si="25"/>
        <v>10/2024</v>
      </c>
      <c r="AS217" s="231">
        <f t="shared" si="26"/>
        <v>52</v>
      </c>
      <c r="AT217" s="239">
        <f>IF(G217="CERVECERIA Y MALTERIA",(AS217*AK217/1000000)*(1-VLOOKUP(N217,FCST!D:I,6,FALSE)),0)</f>
        <v>18.949632000000001</v>
      </c>
      <c r="AU217" s="232">
        <v>5.0000000000000001E-3</v>
      </c>
      <c r="AV217" s="239">
        <f t="shared" si="27"/>
        <v>19.044380159999999</v>
      </c>
      <c r="AW217" s="239">
        <f>(AS217*AK217/1000000)*(VLOOKUP(N217,FCST!D:I,6,FALSE))</f>
        <v>0</v>
      </c>
      <c r="AX217" s="239">
        <f t="shared" si="28"/>
        <v>0</v>
      </c>
      <c r="AY217" s="239">
        <f>IF($G217="CERVECERIA Y MALTERIA.",($AS217*$AK217/1000000)*(1-VLOOKUP($N217,FCST!D:I,6,FALSE)),0)</f>
        <v>0</v>
      </c>
      <c r="AZ217" s="239">
        <f t="shared" si="29"/>
        <v>0</v>
      </c>
    </row>
    <row r="218" spans="1:52" x14ac:dyDescent="0.25">
      <c r="A218" s="209">
        <v>1078198</v>
      </c>
      <c r="B218" s="209">
        <v>80</v>
      </c>
      <c r="C218" s="209">
        <v>89285775</v>
      </c>
      <c r="D218" s="209">
        <v>10</v>
      </c>
      <c r="E218" s="209">
        <v>10000002</v>
      </c>
      <c r="F218" s="209">
        <v>20000335</v>
      </c>
      <c r="G218" s="209" t="s">
        <v>105</v>
      </c>
      <c r="H218" s="209">
        <v>20000335</v>
      </c>
      <c r="I218" s="209">
        <v>2</v>
      </c>
      <c r="J218" s="209" t="s">
        <v>169</v>
      </c>
      <c r="K218" s="209" t="s">
        <v>527</v>
      </c>
      <c r="L218" s="209" t="s">
        <v>171</v>
      </c>
      <c r="M218" s="209" t="s">
        <v>199</v>
      </c>
      <c r="N218" s="209">
        <v>50034616</v>
      </c>
      <c r="O218" s="209" t="s">
        <v>191</v>
      </c>
      <c r="P218" s="209">
        <v>5121</v>
      </c>
      <c r="Q218" s="209" t="s">
        <v>200</v>
      </c>
      <c r="R218" s="209" t="s">
        <v>201</v>
      </c>
      <c r="S218" s="209" t="s">
        <v>202</v>
      </c>
      <c r="T218" s="209" t="s">
        <v>203</v>
      </c>
      <c r="U218" s="209" t="s">
        <v>201</v>
      </c>
      <c r="V218" s="209" t="s">
        <v>179</v>
      </c>
      <c r="W218" s="209" t="s">
        <v>179</v>
      </c>
      <c r="X218" s="209" t="s">
        <v>180</v>
      </c>
      <c r="Y218" s="209" t="s">
        <v>180</v>
      </c>
      <c r="Z218" s="209">
        <v>9521066348</v>
      </c>
      <c r="AA218" s="209" t="s">
        <v>524</v>
      </c>
      <c r="AB218" s="209" t="s">
        <v>180</v>
      </c>
      <c r="AC218" s="209" t="s">
        <v>182</v>
      </c>
      <c r="AD218" s="209">
        <v>10</v>
      </c>
      <c r="AE218" s="209">
        <v>2024</v>
      </c>
      <c r="AF218" s="227">
        <v>45569</v>
      </c>
      <c r="AG218" s="227">
        <v>45575</v>
      </c>
      <c r="AH218" s="227">
        <v>45575</v>
      </c>
      <c r="AI218" s="228">
        <v>426816</v>
      </c>
      <c r="AJ218" s="228">
        <v>52</v>
      </c>
      <c r="AK218" s="228">
        <v>426816</v>
      </c>
      <c r="AL218" s="228">
        <v>52</v>
      </c>
      <c r="AM218" s="228">
        <v>0</v>
      </c>
      <c r="AN218" s="228">
        <v>0</v>
      </c>
      <c r="AO218" s="229">
        <v>41</v>
      </c>
      <c r="AP218" s="231">
        <v>10</v>
      </c>
      <c r="AQ218" s="231">
        <v>2024</v>
      </c>
      <c r="AR218" s="231" t="str">
        <f t="shared" si="25"/>
        <v>10/2024</v>
      </c>
      <c r="AS218" s="231">
        <f t="shared" si="26"/>
        <v>46.6</v>
      </c>
      <c r="AT218" s="239">
        <f>IF(G218="CERVECERIA Y MALTERIA",(AS218*AK218/1000000)*(1-VLOOKUP(N218,FCST!D:I,6,FALSE)),0)</f>
        <v>19.889625600000002</v>
      </c>
      <c r="AU218" s="232">
        <v>5.0000000000000001E-3</v>
      </c>
      <c r="AV218" s="239">
        <f t="shared" si="27"/>
        <v>19.989073728000001</v>
      </c>
      <c r="AW218" s="239">
        <f>(AS218*AK218/1000000)*(VLOOKUP(N218,FCST!D:I,6,FALSE))</f>
        <v>0</v>
      </c>
      <c r="AX218" s="239">
        <f t="shared" si="28"/>
        <v>0</v>
      </c>
      <c r="AY218" s="239">
        <f>IF($G218="CERVECERIA Y MALTERIA.",($AS218*$AK218/1000000)*(1-VLOOKUP($N218,FCST!D:I,6,FALSE)),0)</f>
        <v>0</v>
      </c>
      <c r="AZ218" s="239">
        <f t="shared" si="29"/>
        <v>0</v>
      </c>
    </row>
    <row r="219" spans="1:52" x14ac:dyDescent="0.25">
      <c r="A219" s="209">
        <v>1078200</v>
      </c>
      <c r="B219" s="209">
        <v>50</v>
      </c>
      <c r="C219" s="209">
        <v>89285916</v>
      </c>
      <c r="D219" s="209">
        <v>10</v>
      </c>
      <c r="E219" s="209">
        <v>10000002</v>
      </c>
      <c r="F219" s="209">
        <v>20000340</v>
      </c>
      <c r="G219" s="209" t="s">
        <v>117</v>
      </c>
      <c r="H219" s="209">
        <v>20000340</v>
      </c>
      <c r="I219" s="209">
        <v>2</v>
      </c>
      <c r="J219" s="209" t="s">
        <v>169</v>
      </c>
      <c r="K219" s="209" t="s">
        <v>528</v>
      </c>
      <c r="L219" s="209" t="s">
        <v>171</v>
      </c>
      <c r="M219" s="209" t="s">
        <v>172</v>
      </c>
      <c r="N219" s="209">
        <v>50029843</v>
      </c>
      <c r="O219" s="209" t="s">
        <v>460</v>
      </c>
      <c r="P219" s="209">
        <v>5121</v>
      </c>
      <c r="Q219" s="209" t="s">
        <v>174</v>
      </c>
      <c r="R219" s="209" t="s">
        <v>175</v>
      </c>
      <c r="S219" s="209" t="s">
        <v>176</v>
      </c>
      <c r="T219" s="209" t="s">
        <v>177</v>
      </c>
      <c r="U219" s="209" t="s">
        <v>178</v>
      </c>
      <c r="V219" s="209" t="s">
        <v>179</v>
      </c>
      <c r="W219" s="209" t="s">
        <v>179</v>
      </c>
      <c r="X219" s="209" t="s">
        <v>180</v>
      </c>
      <c r="Y219" s="209" t="s">
        <v>180</v>
      </c>
      <c r="Z219" s="209">
        <v>9521066358</v>
      </c>
      <c r="AA219" s="209" t="s">
        <v>461</v>
      </c>
      <c r="AB219" s="209" t="s">
        <v>180</v>
      </c>
      <c r="AC219" s="209" t="s">
        <v>182</v>
      </c>
      <c r="AD219" s="209">
        <v>10</v>
      </c>
      <c r="AE219" s="209">
        <v>2024</v>
      </c>
      <c r="AF219" s="227">
        <v>45569</v>
      </c>
      <c r="AG219" s="227">
        <v>45575</v>
      </c>
      <c r="AH219" s="227">
        <v>45575</v>
      </c>
      <c r="AI219" s="228">
        <v>419328</v>
      </c>
      <c r="AJ219" s="228">
        <v>52</v>
      </c>
      <c r="AK219" s="228">
        <v>419328</v>
      </c>
      <c r="AL219" s="228">
        <v>52</v>
      </c>
      <c r="AM219" s="228">
        <v>0</v>
      </c>
      <c r="AN219" s="228">
        <v>0</v>
      </c>
      <c r="AO219" s="229">
        <v>41</v>
      </c>
      <c r="AP219" s="231">
        <v>10</v>
      </c>
      <c r="AQ219" s="231">
        <v>2024</v>
      </c>
      <c r="AR219" s="231" t="str">
        <f t="shared" si="25"/>
        <v>10/2024</v>
      </c>
      <c r="AS219" s="231">
        <f t="shared" si="26"/>
        <v>44.8</v>
      </c>
      <c r="AT219" s="239">
        <f>IF(G219="CERVECERIA Y MALTERIA",(AS219*AK219/1000000)*(1-VLOOKUP(N219,FCST!D:I,6,FALSE)),0)</f>
        <v>0</v>
      </c>
      <c r="AU219" s="232">
        <v>5.0000000000000001E-3</v>
      </c>
      <c r="AV219" s="239">
        <f t="shared" si="27"/>
        <v>0</v>
      </c>
      <c r="AW219" s="239">
        <f>(AS219*AK219/1000000)*(VLOOKUP(N219,FCST!D:I,6,FALSE))</f>
        <v>0</v>
      </c>
      <c r="AX219" s="239">
        <f t="shared" si="28"/>
        <v>0</v>
      </c>
      <c r="AY219" s="239">
        <f>IF($G219="CERVECERIA Y MALTERIA.",($AS219*$AK219/1000000)*(1-VLOOKUP($N219,FCST!D:I,6,FALSE)),0)</f>
        <v>18.7858944</v>
      </c>
      <c r="AZ219" s="239">
        <f t="shared" si="29"/>
        <v>18.879823871999999</v>
      </c>
    </row>
    <row r="220" spans="1:52" x14ac:dyDescent="0.25">
      <c r="A220" s="209">
        <v>1078198</v>
      </c>
      <c r="B220" s="209">
        <v>70</v>
      </c>
      <c r="C220" s="209">
        <v>89285919</v>
      </c>
      <c r="D220" s="209">
        <v>10</v>
      </c>
      <c r="E220" s="209">
        <v>10000002</v>
      </c>
      <c r="F220" s="209">
        <v>20000335</v>
      </c>
      <c r="G220" s="209" t="s">
        <v>105</v>
      </c>
      <c r="H220" s="209">
        <v>20000335</v>
      </c>
      <c r="I220" s="209">
        <v>2</v>
      </c>
      <c r="J220" s="209" t="s">
        <v>169</v>
      </c>
      <c r="K220" s="209" t="s">
        <v>529</v>
      </c>
      <c r="L220" s="209" t="s">
        <v>171</v>
      </c>
      <c r="M220" s="209" t="s">
        <v>172</v>
      </c>
      <c r="N220" s="209">
        <v>50034574</v>
      </c>
      <c r="O220" s="209" t="s">
        <v>196</v>
      </c>
      <c r="P220" s="209">
        <v>5121</v>
      </c>
      <c r="Q220" s="209" t="s">
        <v>174</v>
      </c>
      <c r="R220" s="209" t="s">
        <v>175</v>
      </c>
      <c r="S220" s="209" t="s">
        <v>176</v>
      </c>
      <c r="T220" s="209" t="s">
        <v>177</v>
      </c>
      <c r="U220" s="209" t="s">
        <v>178</v>
      </c>
      <c r="V220" s="209" t="s">
        <v>179</v>
      </c>
      <c r="W220" s="209" t="s">
        <v>179</v>
      </c>
      <c r="X220" s="209" t="s">
        <v>180</v>
      </c>
      <c r="Y220" s="209" t="s">
        <v>180</v>
      </c>
      <c r="Z220" s="209">
        <v>9521066361</v>
      </c>
      <c r="AA220" s="209" t="s">
        <v>458</v>
      </c>
      <c r="AB220" s="209" t="s">
        <v>180</v>
      </c>
      <c r="AC220" s="209" t="s">
        <v>182</v>
      </c>
      <c r="AD220" s="209">
        <v>10</v>
      </c>
      <c r="AE220" s="209">
        <v>2024</v>
      </c>
      <c r="AF220" s="227">
        <v>45569</v>
      </c>
      <c r="AG220" s="227">
        <v>45575</v>
      </c>
      <c r="AH220" s="227">
        <v>45575</v>
      </c>
      <c r="AI220" s="228">
        <v>977184</v>
      </c>
      <c r="AJ220" s="228">
        <v>52</v>
      </c>
      <c r="AK220" s="228">
        <v>977184</v>
      </c>
      <c r="AL220" s="228">
        <v>52</v>
      </c>
      <c r="AM220" s="228">
        <v>0</v>
      </c>
      <c r="AN220" s="228">
        <v>0</v>
      </c>
      <c r="AO220" s="229">
        <v>41</v>
      </c>
      <c r="AP220" s="231">
        <v>10</v>
      </c>
      <c r="AQ220" s="231">
        <v>2024</v>
      </c>
      <c r="AR220" s="231" t="str">
        <f t="shared" si="25"/>
        <v>10/2024</v>
      </c>
      <c r="AS220" s="231">
        <f t="shared" si="26"/>
        <v>19.5</v>
      </c>
      <c r="AT220" s="239">
        <f>IF(G220="CERVECERIA Y MALTERIA",(AS220*AK220/1000000)*(1-VLOOKUP(N220,FCST!D:I,6,FALSE)),0)</f>
        <v>19.055088000000001</v>
      </c>
      <c r="AU220" s="232">
        <v>5.0000000000000001E-3</v>
      </c>
      <c r="AV220" s="239">
        <f t="shared" si="27"/>
        <v>19.15036344</v>
      </c>
      <c r="AW220" s="239">
        <f>(AS220*AK220/1000000)*(VLOOKUP(N220,FCST!D:I,6,FALSE))</f>
        <v>0</v>
      </c>
      <c r="AX220" s="239">
        <f t="shared" si="28"/>
        <v>0</v>
      </c>
      <c r="AY220" s="239">
        <f>IF($G220="CERVECERIA Y MALTERIA.",($AS220*$AK220/1000000)*(1-VLOOKUP($N220,FCST!D:I,6,FALSE)),0)</f>
        <v>0</v>
      </c>
      <c r="AZ220" s="239">
        <f t="shared" si="29"/>
        <v>0</v>
      </c>
    </row>
    <row r="221" spans="1:52" x14ac:dyDescent="0.25">
      <c r="A221" s="209">
        <v>1078960</v>
      </c>
      <c r="B221" s="209">
        <v>10</v>
      </c>
      <c r="C221" s="209">
        <v>89288507</v>
      </c>
      <c r="D221" s="209">
        <v>10</v>
      </c>
      <c r="E221" s="209">
        <v>10000002</v>
      </c>
      <c r="F221" s="209">
        <v>20000335</v>
      </c>
      <c r="G221" s="209" t="s">
        <v>105</v>
      </c>
      <c r="H221" s="209">
        <v>20000335</v>
      </c>
      <c r="I221" s="209">
        <v>2</v>
      </c>
      <c r="J221" s="209" t="s">
        <v>169</v>
      </c>
      <c r="K221" s="209" t="s">
        <v>530</v>
      </c>
      <c r="L221" s="209" t="s">
        <v>171</v>
      </c>
      <c r="M221" s="209" t="s">
        <v>199</v>
      </c>
      <c r="N221" s="209">
        <v>50032573</v>
      </c>
      <c r="O221" s="209" t="s">
        <v>173</v>
      </c>
      <c r="P221" s="209">
        <v>5121</v>
      </c>
      <c r="Q221" s="209" t="s">
        <v>200</v>
      </c>
      <c r="R221" s="209" t="s">
        <v>201</v>
      </c>
      <c r="S221" s="209" t="s">
        <v>202</v>
      </c>
      <c r="T221" s="209" t="s">
        <v>203</v>
      </c>
      <c r="U221" s="209" t="s">
        <v>201</v>
      </c>
      <c r="V221" s="209" t="s">
        <v>179</v>
      </c>
      <c r="W221" s="209" t="s">
        <v>179</v>
      </c>
      <c r="X221" s="209" t="s">
        <v>180</v>
      </c>
      <c r="Y221" s="209" t="s">
        <v>180</v>
      </c>
      <c r="Z221" s="209">
        <v>9521066346</v>
      </c>
      <c r="AA221" s="209" t="s">
        <v>452</v>
      </c>
      <c r="AB221" s="209" t="s">
        <v>180</v>
      </c>
      <c r="AC221" s="209" t="s">
        <v>182</v>
      </c>
      <c r="AD221" s="209">
        <v>10</v>
      </c>
      <c r="AE221" s="209">
        <v>2024</v>
      </c>
      <c r="AF221" s="227">
        <v>45575</v>
      </c>
      <c r="AG221" s="227">
        <v>45579</v>
      </c>
      <c r="AH221" s="227">
        <v>45579</v>
      </c>
      <c r="AI221" s="228">
        <v>531648</v>
      </c>
      <c r="AJ221" s="228">
        <v>52</v>
      </c>
      <c r="AK221" s="228">
        <v>531648</v>
      </c>
      <c r="AL221" s="228">
        <v>52</v>
      </c>
      <c r="AM221" s="228">
        <v>0</v>
      </c>
      <c r="AN221" s="228">
        <v>0</v>
      </c>
      <c r="AO221" s="229">
        <v>42</v>
      </c>
      <c r="AP221" s="231">
        <v>10</v>
      </c>
      <c r="AQ221" s="231">
        <v>2024</v>
      </c>
      <c r="AR221" s="231" t="str">
        <f t="shared" si="25"/>
        <v>10/2024</v>
      </c>
      <c r="AS221" s="231">
        <f t="shared" si="26"/>
        <v>37.200000000000003</v>
      </c>
      <c r="AT221" s="239">
        <f>IF(G221="CERVECERIA Y MALTERIA",(AS221*AK221/1000000)*(1-VLOOKUP(N221,FCST!D:I,6,FALSE)),0)</f>
        <v>19.777305600000002</v>
      </c>
      <c r="AU221" s="232">
        <v>5.0000000000000001E-3</v>
      </c>
      <c r="AV221" s="239">
        <f t="shared" si="27"/>
        <v>19.876192128</v>
      </c>
      <c r="AW221" s="239">
        <f>(AS221*AK221/1000000)*(VLOOKUP(N221,FCST!D:I,6,FALSE))</f>
        <v>0</v>
      </c>
      <c r="AX221" s="239">
        <f t="shared" si="28"/>
        <v>0</v>
      </c>
      <c r="AY221" s="239">
        <f>IF($G221="CERVECERIA Y MALTERIA.",($AS221*$AK221/1000000)*(1-VLOOKUP($N221,FCST!D:I,6,FALSE)),0)</f>
        <v>0</v>
      </c>
      <c r="AZ221" s="239">
        <f t="shared" si="29"/>
        <v>0</v>
      </c>
    </row>
    <row r="222" spans="1:52" x14ac:dyDescent="0.25">
      <c r="A222" s="209">
        <v>1078962</v>
      </c>
      <c r="B222" s="209">
        <v>10</v>
      </c>
      <c r="C222" s="209">
        <v>89288796</v>
      </c>
      <c r="D222" s="209">
        <v>10</v>
      </c>
      <c r="E222" s="209">
        <v>10000002</v>
      </c>
      <c r="F222" s="209">
        <v>20000337</v>
      </c>
      <c r="G222" s="209" t="s">
        <v>105</v>
      </c>
      <c r="H222" s="209">
        <v>20000337</v>
      </c>
      <c r="I222" s="209">
        <v>2</v>
      </c>
      <c r="J222" s="209" t="s">
        <v>169</v>
      </c>
      <c r="K222" s="209" t="s">
        <v>531</v>
      </c>
      <c r="L222" s="209" t="s">
        <v>171</v>
      </c>
      <c r="M222" s="209" t="s">
        <v>199</v>
      </c>
      <c r="N222" s="209">
        <v>50034616</v>
      </c>
      <c r="O222" s="209" t="s">
        <v>191</v>
      </c>
      <c r="P222" s="209">
        <v>5121</v>
      </c>
      <c r="Q222" s="209" t="s">
        <v>200</v>
      </c>
      <c r="R222" s="209" t="s">
        <v>201</v>
      </c>
      <c r="S222" s="209" t="s">
        <v>202</v>
      </c>
      <c r="T222" s="209" t="s">
        <v>203</v>
      </c>
      <c r="U222" s="209" t="s">
        <v>201</v>
      </c>
      <c r="V222" s="209" t="s">
        <v>179</v>
      </c>
      <c r="W222" s="209" t="s">
        <v>179</v>
      </c>
      <c r="X222" s="209" t="s">
        <v>180</v>
      </c>
      <c r="Y222" s="209" t="s">
        <v>180</v>
      </c>
      <c r="Z222" s="209">
        <v>9521066354</v>
      </c>
      <c r="AA222" s="209" t="s">
        <v>463</v>
      </c>
      <c r="AB222" s="209" t="s">
        <v>180</v>
      </c>
      <c r="AC222" s="209" t="s">
        <v>182</v>
      </c>
      <c r="AD222" s="209">
        <v>10</v>
      </c>
      <c r="AE222" s="209">
        <v>2024</v>
      </c>
      <c r="AF222" s="227">
        <v>45575</v>
      </c>
      <c r="AG222" s="227">
        <v>45579</v>
      </c>
      <c r="AH222" s="227">
        <v>45579</v>
      </c>
      <c r="AI222" s="228">
        <v>426816</v>
      </c>
      <c r="AJ222" s="228">
        <v>52</v>
      </c>
      <c r="AK222" s="228">
        <v>426816</v>
      </c>
      <c r="AL222" s="228">
        <v>52</v>
      </c>
      <c r="AM222" s="228">
        <v>0</v>
      </c>
      <c r="AN222" s="228">
        <v>0</v>
      </c>
      <c r="AO222" s="229">
        <v>42</v>
      </c>
      <c r="AP222" s="231">
        <v>10</v>
      </c>
      <c r="AQ222" s="231">
        <v>2024</v>
      </c>
      <c r="AR222" s="231" t="str">
        <f t="shared" si="25"/>
        <v>10/2024</v>
      </c>
      <c r="AS222" s="231">
        <f t="shared" si="26"/>
        <v>46.6</v>
      </c>
      <c r="AT222" s="239">
        <f>IF(G222="CERVECERIA Y MALTERIA",(AS222*AK222/1000000)*(1-VLOOKUP(N222,FCST!D:I,6,FALSE)),0)</f>
        <v>19.889625600000002</v>
      </c>
      <c r="AU222" s="232">
        <v>5.0000000000000001E-3</v>
      </c>
      <c r="AV222" s="239">
        <f t="shared" si="27"/>
        <v>19.989073728000001</v>
      </c>
      <c r="AW222" s="239">
        <f>(AS222*AK222/1000000)*(VLOOKUP(N222,FCST!D:I,6,FALSE))</f>
        <v>0</v>
      </c>
      <c r="AX222" s="239">
        <f t="shared" si="28"/>
        <v>0</v>
      </c>
      <c r="AY222" s="239">
        <f>IF($G222="CERVECERIA Y MALTERIA.",($AS222*$AK222/1000000)*(1-VLOOKUP($N222,FCST!D:I,6,FALSE)),0)</f>
        <v>0</v>
      </c>
      <c r="AZ222" s="239">
        <f t="shared" si="29"/>
        <v>0</v>
      </c>
    </row>
    <row r="223" spans="1:52" x14ac:dyDescent="0.25">
      <c r="A223" s="209">
        <v>1079024</v>
      </c>
      <c r="B223" s="209">
        <v>10</v>
      </c>
      <c r="C223" s="209">
        <v>89288797</v>
      </c>
      <c r="D223" s="209">
        <v>10</v>
      </c>
      <c r="E223" s="209">
        <v>10000002</v>
      </c>
      <c r="F223" s="209">
        <v>20001057</v>
      </c>
      <c r="G223" s="209" t="s">
        <v>105</v>
      </c>
      <c r="H223" s="209">
        <v>20001057</v>
      </c>
      <c r="I223" s="209">
        <v>2</v>
      </c>
      <c r="J223" s="209" t="s">
        <v>169</v>
      </c>
      <c r="K223" s="209" t="s">
        <v>532</v>
      </c>
      <c r="L223" s="209" t="s">
        <v>171</v>
      </c>
      <c r="M223" s="209" t="s">
        <v>172</v>
      </c>
      <c r="N223" s="209">
        <v>50032573</v>
      </c>
      <c r="O223" s="209" t="s">
        <v>173</v>
      </c>
      <c r="P223" s="209">
        <v>5121</v>
      </c>
      <c r="Q223" s="209" t="s">
        <v>174</v>
      </c>
      <c r="R223" s="209" t="s">
        <v>175</v>
      </c>
      <c r="S223" s="209" t="s">
        <v>176</v>
      </c>
      <c r="T223" s="209" t="s">
        <v>177</v>
      </c>
      <c r="U223" s="209" t="s">
        <v>178</v>
      </c>
      <c r="V223" s="209" t="s">
        <v>179</v>
      </c>
      <c r="W223" s="209" t="s">
        <v>179</v>
      </c>
      <c r="X223" s="209" t="s">
        <v>180</v>
      </c>
      <c r="Y223" s="209" t="s">
        <v>180</v>
      </c>
      <c r="Z223" s="209">
        <v>9521066359</v>
      </c>
      <c r="AA223" s="209" t="s">
        <v>533</v>
      </c>
      <c r="AB223" s="209" t="s">
        <v>180</v>
      </c>
      <c r="AC223" s="209" t="s">
        <v>182</v>
      </c>
      <c r="AD223" s="209">
        <v>10</v>
      </c>
      <c r="AE223" s="209">
        <v>2024</v>
      </c>
      <c r="AF223" s="227">
        <v>45575</v>
      </c>
      <c r="AG223" s="227">
        <v>45579</v>
      </c>
      <c r="AH223" s="227">
        <v>45579</v>
      </c>
      <c r="AI223" s="228">
        <v>153360</v>
      </c>
      <c r="AJ223" s="228">
        <v>15</v>
      </c>
      <c r="AK223" s="228">
        <v>153360</v>
      </c>
      <c r="AL223" s="228">
        <v>15</v>
      </c>
      <c r="AM223" s="228">
        <v>0</v>
      </c>
      <c r="AN223" s="228">
        <v>0</v>
      </c>
      <c r="AO223" s="229">
        <v>42</v>
      </c>
      <c r="AP223" s="231">
        <v>10</v>
      </c>
      <c r="AQ223" s="231">
        <v>2024</v>
      </c>
      <c r="AR223" s="231" t="str">
        <f t="shared" si="25"/>
        <v>10/2024</v>
      </c>
      <c r="AS223" s="231">
        <f t="shared" si="26"/>
        <v>37.200000000000003</v>
      </c>
      <c r="AT223" s="239">
        <f>IF(G223="CERVECERIA Y MALTERIA",(AS223*AK223/1000000)*(1-VLOOKUP(N223,FCST!D:I,6,FALSE)),0)</f>
        <v>5.7049919999999998</v>
      </c>
      <c r="AU223" s="232">
        <v>5.0000000000000001E-3</v>
      </c>
      <c r="AV223" s="239">
        <f t="shared" si="27"/>
        <v>5.7335169599999993</v>
      </c>
      <c r="AW223" s="239">
        <f>(AS223*AK223/1000000)*(VLOOKUP(N223,FCST!D:I,6,FALSE))</f>
        <v>0</v>
      </c>
      <c r="AX223" s="239">
        <f t="shared" si="28"/>
        <v>0</v>
      </c>
      <c r="AY223" s="239">
        <f>IF($G223="CERVECERIA Y MALTERIA.",($AS223*$AK223/1000000)*(1-VLOOKUP($N223,FCST!D:I,6,FALSE)),0)</f>
        <v>0</v>
      </c>
      <c r="AZ223" s="239">
        <f t="shared" si="29"/>
        <v>0</v>
      </c>
    </row>
    <row r="224" spans="1:52" x14ac:dyDescent="0.25">
      <c r="A224" s="209">
        <v>1079024</v>
      </c>
      <c r="B224" s="209">
        <v>20</v>
      </c>
      <c r="C224" s="209">
        <v>89288797</v>
      </c>
      <c r="D224" s="209">
        <v>20</v>
      </c>
      <c r="E224" s="209">
        <v>10000002</v>
      </c>
      <c r="F224" s="209">
        <v>20001057</v>
      </c>
      <c r="G224" s="209" t="s">
        <v>105</v>
      </c>
      <c r="H224" s="209">
        <v>20001057</v>
      </c>
      <c r="I224" s="209">
        <v>2</v>
      </c>
      <c r="J224" s="209" t="s">
        <v>169</v>
      </c>
      <c r="K224" s="209" t="s">
        <v>532</v>
      </c>
      <c r="L224" s="209" t="s">
        <v>171</v>
      </c>
      <c r="M224" s="209" t="s">
        <v>172</v>
      </c>
      <c r="N224" s="209">
        <v>50032578</v>
      </c>
      <c r="O224" s="209" t="s">
        <v>329</v>
      </c>
      <c r="P224" s="209">
        <v>5121</v>
      </c>
      <c r="Q224" s="209" t="s">
        <v>174</v>
      </c>
      <c r="R224" s="209" t="s">
        <v>175</v>
      </c>
      <c r="S224" s="209" t="s">
        <v>176</v>
      </c>
      <c r="T224" s="209" t="s">
        <v>177</v>
      </c>
      <c r="U224" s="209" t="s">
        <v>178</v>
      </c>
      <c r="V224" s="209" t="s">
        <v>179</v>
      </c>
      <c r="W224" s="209" t="s">
        <v>179</v>
      </c>
      <c r="X224" s="209" t="s">
        <v>180</v>
      </c>
      <c r="Y224" s="209" t="s">
        <v>180</v>
      </c>
      <c r="Z224" s="209">
        <v>9521066359</v>
      </c>
      <c r="AA224" s="209" t="s">
        <v>533</v>
      </c>
      <c r="AB224" s="209" t="s">
        <v>180</v>
      </c>
      <c r="AC224" s="209" t="s">
        <v>182</v>
      </c>
      <c r="AD224" s="209">
        <v>10</v>
      </c>
      <c r="AE224" s="209">
        <v>2024</v>
      </c>
      <c r="AF224" s="227">
        <v>45575</v>
      </c>
      <c r="AG224" s="227">
        <v>45579</v>
      </c>
      <c r="AH224" s="227">
        <v>45579</v>
      </c>
      <c r="AI224" s="228">
        <v>224928</v>
      </c>
      <c r="AJ224" s="228">
        <v>22</v>
      </c>
      <c r="AK224" s="228">
        <v>224928</v>
      </c>
      <c r="AL224" s="228">
        <v>22</v>
      </c>
      <c r="AM224" s="228">
        <v>0</v>
      </c>
      <c r="AN224" s="228">
        <v>0</v>
      </c>
      <c r="AO224" s="229">
        <v>42</v>
      </c>
      <c r="AP224" s="231">
        <v>10</v>
      </c>
      <c r="AQ224" s="231">
        <v>2024</v>
      </c>
      <c r="AR224" s="231" t="str">
        <f t="shared" si="25"/>
        <v>10/2024</v>
      </c>
      <c r="AS224" s="231">
        <f t="shared" si="26"/>
        <v>37.200000000000003</v>
      </c>
      <c r="AT224" s="239">
        <f>IF(G224="CERVECERIA Y MALTERIA",(AS224*AK224/1000000)*(1-VLOOKUP(N224,FCST!D:I,6,FALSE)),0)</f>
        <v>8.3673216000000004</v>
      </c>
      <c r="AU224" s="232">
        <v>5.0000000000000001E-3</v>
      </c>
      <c r="AV224" s="239">
        <f t="shared" si="27"/>
        <v>8.4091582079999991</v>
      </c>
      <c r="AW224" s="239">
        <f>(AS224*AK224/1000000)*(VLOOKUP(N224,FCST!D:I,6,FALSE))</f>
        <v>0</v>
      </c>
      <c r="AX224" s="239">
        <f t="shared" si="28"/>
        <v>0</v>
      </c>
      <c r="AY224" s="239">
        <f>IF($G224="CERVECERIA Y MALTERIA.",($AS224*$AK224/1000000)*(1-VLOOKUP($N224,FCST!D:I,6,FALSE)),0)</f>
        <v>0</v>
      </c>
      <c r="AZ224" s="239">
        <f t="shared" si="29"/>
        <v>0</v>
      </c>
    </row>
    <row r="225" spans="1:52" x14ac:dyDescent="0.25">
      <c r="A225" s="209">
        <v>1079024</v>
      </c>
      <c r="B225" s="209">
        <v>30</v>
      </c>
      <c r="C225" s="209">
        <v>89288797</v>
      </c>
      <c r="D225" s="209">
        <v>30</v>
      </c>
      <c r="E225" s="209">
        <v>10000002</v>
      </c>
      <c r="F225" s="209">
        <v>20001057</v>
      </c>
      <c r="G225" s="209" t="s">
        <v>105</v>
      </c>
      <c r="H225" s="209">
        <v>20001057</v>
      </c>
      <c r="I225" s="209">
        <v>2</v>
      </c>
      <c r="J225" s="209" t="s">
        <v>169</v>
      </c>
      <c r="K225" s="209" t="s">
        <v>532</v>
      </c>
      <c r="L225" s="209" t="s">
        <v>171</v>
      </c>
      <c r="M225" s="209" t="s">
        <v>172</v>
      </c>
      <c r="N225" s="209">
        <v>50035183</v>
      </c>
      <c r="O225" s="209" t="s">
        <v>215</v>
      </c>
      <c r="P225" s="209">
        <v>5121</v>
      </c>
      <c r="Q225" s="209" t="s">
        <v>174</v>
      </c>
      <c r="R225" s="209" t="s">
        <v>175</v>
      </c>
      <c r="S225" s="209" t="s">
        <v>176</v>
      </c>
      <c r="T225" s="209" t="s">
        <v>177</v>
      </c>
      <c r="U225" s="209" t="s">
        <v>178</v>
      </c>
      <c r="V225" s="209" t="s">
        <v>179</v>
      </c>
      <c r="W225" s="209" t="s">
        <v>179</v>
      </c>
      <c r="X225" s="209" t="s">
        <v>180</v>
      </c>
      <c r="Y225" s="209" t="s">
        <v>180</v>
      </c>
      <c r="Z225" s="209">
        <v>9521066359</v>
      </c>
      <c r="AA225" s="209" t="s">
        <v>533</v>
      </c>
      <c r="AB225" s="209" t="s">
        <v>180</v>
      </c>
      <c r="AC225" s="209" t="s">
        <v>182</v>
      </c>
      <c r="AD225" s="209">
        <v>10</v>
      </c>
      <c r="AE225" s="209">
        <v>2024</v>
      </c>
      <c r="AF225" s="227">
        <v>45575</v>
      </c>
      <c r="AG225" s="227">
        <v>45579</v>
      </c>
      <c r="AH225" s="227">
        <v>45579</v>
      </c>
      <c r="AI225" s="228">
        <v>123120</v>
      </c>
      <c r="AJ225" s="228">
        <v>15</v>
      </c>
      <c r="AK225" s="228">
        <v>123120</v>
      </c>
      <c r="AL225" s="228">
        <v>15</v>
      </c>
      <c r="AM225" s="228">
        <v>0</v>
      </c>
      <c r="AN225" s="228">
        <v>0</v>
      </c>
      <c r="AO225" s="229">
        <v>42</v>
      </c>
      <c r="AP225" s="231">
        <v>10</v>
      </c>
      <c r="AQ225" s="231">
        <v>2024</v>
      </c>
      <c r="AR225" s="231" t="str">
        <f t="shared" si="25"/>
        <v>10/2024</v>
      </c>
      <c r="AS225" s="231">
        <f t="shared" si="26"/>
        <v>46.6</v>
      </c>
      <c r="AT225" s="239">
        <f>IF(G225="CERVECERIA Y MALTERIA",(AS225*AK225/1000000)*(1-VLOOKUP(N225,FCST!D:I,6,FALSE)),0)</f>
        <v>5.7373919999999998</v>
      </c>
      <c r="AU225" s="232">
        <v>5.0000000000000001E-3</v>
      </c>
      <c r="AV225" s="239">
        <f t="shared" si="27"/>
        <v>5.7660789599999989</v>
      </c>
      <c r="AW225" s="239">
        <f>(AS225*AK225/1000000)*(VLOOKUP(N225,FCST!D:I,6,FALSE))</f>
        <v>0</v>
      </c>
      <c r="AX225" s="239">
        <f t="shared" si="28"/>
        <v>0</v>
      </c>
      <c r="AY225" s="239">
        <f>IF($G225="CERVECERIA Y MALTERIA.",($AS225*$AK225/1000000)*(1-VLOOKUP($N225,FCST!D:I,6,FALSE)),0)</f>
        <v>0</v>
      </c>
      <c r="AZ225" s="239">
        <f t="shared" si="29"/>
        <v>0</v>
      </c>
    </row>
    <row r="226" spans="1:52" x14ac:dyDescent="0.25">
      <c r="A226" s="209">
        <v>1078960</v>
      </c>
      <c r="B226" s="209">
        <v>20</v>
      </c>
      <c r="C226" s="209">
        <v>89288445</v>
      </c>
      <c r="D226" s="209">
        <v>10</v>
      </c>
      <c r="E226" s="209">
        <v>10000002</v>
      </c>
      <c r="F226" s="209">
        <v>20000335</v>
      </c>
      <c r="G226" s="209" t="s">
        <v>105</v>
      </c>
      <c r="H226" s="209">
        <v>20000335</v>
      </c>
      <c r="I226" s="209">
        <v>2</v>
      </c>
      <c r="J226" s="209" t="s">
        <v>169</v>
      </c>
      <c r="K226" s="209" t="s">
        <v>534</v>
      </c>
      <c r="L226" s="209" t="s">
        <v>171</v>
      </c>
      <c r="M226" s="209" t="s">
        <v>184</v>
      </c>
      <c r="N226" s="209">
        <v>50034616</v>
      </c>
      <c r="O226" s="209" t="s">
        <v>191</v>
      </c>
      <c r="P226" s="209">
        <v>5121</v>
      </c>
      <c r="Q226" s="209" t="s">
        <v>174</v>
      </c>
      <c r="R226" s="209" t="s">
        <v>175</v>
      </c>
      <c r="S226" s="209" t="s">
        <v>176</v>
      </c>
      <c r="T226" s="209" t="s">
        <v>177</v>
      </c>
      <c r="U226" s="209" t="s">
        <v>178</v>
      </c>
      <c r="V226" s="209" t="s">
        <v>179</v>
      </c>
      <c r="W226" s="209" t="s">
        <v>179</v>
      </c>
      <c r="X226" s="209" t="s">
        <v>180</v>
      </c>
      <c r="Y226" s="209" t="s">
        <v>180</v>
      </c>
      <c r="Z226" s="209">
        <v>9521066349</v>
      </c>
      <c r="AA226" s="209" t="s">
        <v>535</v>
      </c>
      <c r="AB226" s="209" t="s">
        <v>180</v>
      </c>
      <c r="AC226" s="209" t="s">
        <v>182</v>
      </c>
      <c r="AD226" s="209">
        <v>10</v>
      </c>
      <c r="AE226" s="209">
        <v>2024</v>
      </c>
      <c r="AF226" s="227">
        <v>45575</v>
      </c>
      <c r="AG226" s="227">
        <v>45579</v>
      </c>
      <c r="AH226" s="227">
        <v>45579</v>
      </c>
      <c r="AI226" s="228">
        <v>426816</v>
      </c>
      <c r="AJ226" s="228">
        <v>52</v>
      </c>
      <c r="AK226" s="228">
        <v>426816</v>
      </c>
      <c r="AL226" s="228">
        <v>52</v>
      </c>
      <c r="AM226" s="228">
        <v>0</v>
      </c>
      <c r="AN226" s="228">
        <v>0</v>
      </c>
      <c r="AO226" s="229">
        <v>42</v>
      </c>
      <c r="AP226" s="231">
        <v>10</v>
      </c>
      <c r="AQ226" s="231">
        <v>2024</v>
      </c>
      <c r="AR226" s="231" t="str">
        <f t="shared" si="25"/>
        <v>10/2024</v>
      </c>
      <c r="AS226" s="231">
        <f t="shared" si="26"/>
        <v>46.6</v>
      </c>
      <c r="AT226" s="239">
        <f>IF(G226="CERVECERIA Y MALTERIA",(AS226*AK226/1000000)*(1-VLOOKUP(N226,FCST!D:I,6,FALSE)),0)</f>
        <v>19.889625600000002</v>
      </c>
      <c r="AU226" s="232">
        <v>5.0000000000000001E-3</v>
      </c>
      <c r="AV226" s="239">
        <f t="shared" si="27"/>
        <v>19.989073728000001</v>
      </c>
      <c r="AW226" s="239">
        <f>(AS226*AK226/1000000)*(VLOOKUP(N226,FCST!D:I,6,FALSE))</f>
        <v>0</v>
      </c>
      <c r="AX226" s="239">
        <f t="shared" si="28"/>
        <v>0</v>
      </c>
      <c r="AY226" s="239">
        <f>IF($G226="CERVECERIA Y MALTERIA.",($AS226*$AK226/1000000)*(1-VLOOKUP($N226,FCST!D:I,6,FALSE)),0)</f>
        <v>0</v>
      </c>
      <c r="AZ226" s="239">
        <f t="shared" si="29"/>
        <v>0</v>
      </c>
    </row>
    <row r="227" spans="1:52" x14ac:dyDescent="0.25">
      <c r="A227" s="209">
        <v>1078961</v>
      </c>
      <c r="B227" s="209">
        <v>10</v>
      </c>
      <c r="C227" s="209">
        <v>89288367</v>
      </c>
      <c r="D227" s="209">
        <v>10</v>
      </c>
      <c r="E227" s="209">
        <v>10000002</v>
      </c>
      <c r="F227" s="209">
        <v>20000340</v>
      </c>
      <c r="G227" s="209" t="s">
        <v>117</v>
      </c>
      <c r="H227" s="209">
        <v>20000340</v>
      </c>
      <c r="I227" s="209">
        <v>2</v>
      </c>
      <c r="J227" s="209" t="s">
        <v>169</v>
      </c>
      <c r="K227" s="209" t="s">
        <v>536</v>
      </c>
      <c r="L227" s="209" t="s">
        <v>171</v>
      </c>
      <c r="M227" s="209" t="s">
        <v>184</v>
      </c>
      <c r="N227" s="209">
        <v>50027468</v>
      </c>
      <c r="O227" s="209" t="s">
        <v>285</v>
      </c>
      <c r="P227" s="209">
        <v>5101</v>
      </c>
      <c r="Q227" s="209" t="s">
        <v>186</v>
      </c>
      <c r="R227" s="209" t="s">
        <v>175</v>
      </c>
      <c r="S227" s="209" t="s">
        <v>176</v>
      </c>
      <c r="T227" s="209" t="s">
        <v>187</v>
      </c>
      <c r="U227" s="209" t="s">
        <v>188</v>
      </c>
      <c r="V227" s="209" t="s">
        <v>179</v>
      </c>
      <c r="W227" s="209" t="s">
        <v>179</v>
      </c>
      <c r="X227" s="209" t="s">
        <v>180</v>
      </c>
      <c r="Y227" s="209" t="s">
        <v>180</v>
      </c>
      <c r="Z227" s="209">
        <v>9511046879</v>
      </c>
      <c r="AA227" s="209" t="s">
        <v>537</v>
      </c>
      <c r="AB227" s="209" t="s">
        <v>180</v>
      </c>
      <c r="AC227" s="209" t="s">
        <v>182</v>
      </c>
      <c r="AD227" s="209">
        <v>10</v>
      </c>
      <c r="AE227" s="209">
        <v>2024</v>
      </c>
      <c r="AF227" s="227">
        <v>45575</v>
      </c>
      <c r="AG227" s="227">
        <v>45579</v>
      </c>
      <c r="AH227" s="227">
        <v>45579</v>
      </c>
      <c r="AI227" s="228">
        <v>399360</v>
      </c>
      <c r="AJ227" s="228">
        <v>52</v>
      </c>
      <c r="AK227" s="228">
        <v>399360</v>
      </c>
      <c r="AL227" s="228">
        <v>52</v>
      </c>
      <c r="AM227" s="228">
        <v>0</v>
      </c>
      <c r="AN227" s="228">
        <v>0</v>
      </c>
      <c r="AO227" s="229">
        <v>42</v>
      </c>
      <c r="AP227" s="231">
        <v>10</v>
      </c>
      <c r="AQ227" s="231">
        <v>2024</v>
      </c>
      <c r="AR227" s="231" t="str">
        <f t="shared" si="25"/>
        <v>10/2024</v>
      </c>
      <c r="AS227" s="231">
        <f t="shared" si="26"/>
        <v>52</v>
      </c>
      <c r="AT227" s="239">
        <f>IF(G227="CERVECERIA Y MALTERIA",(AS227*AK227/1000000)*(1-VLOOKUP(N227,FCST!D:I,6,FALSE)),0)</f>
        <v>0</v>
      </c>
      <c r="AU227" s="232">
        <v>5.0000000000000001E-3</v>
      </c>
      <c r="AV227" s="239">
        <f t="shared" si="27"/>
        <v>0</v>
      </c>
      <c r="AW227" s="239">
        <f>(AS227*AK227/1000000)*(VLOOKUP(N227,FCST!D:I,6,FALSE))</f>
        <v>0</v>
      </c>
      <c r="AX227" s="239">
        <f t="shared" si="28"/>
        <v>0</v>
      </c>
      <c r="AY227" s="239">
        <f>IF($G227="CERVECERIA Y MALTERIA.",($AS227*$AK227/1000000)*(1-VLOOKUP($N227,FCST!D:I,6,FALSE)),0)</f>
        <v>20.766719999999999</v>
      </c>
      <c r="AZ227" s="239">
        <f t="shared" si="29"/>
        <v>20.870553599999997</v>
      </c>
    </row>
    <row r="229" spans="1:52" x14ac:dyDescent="0.25">
      <c r="A229" s="209">
        <v>1087104</v>
      </c>
      <c r="B229" s="209">
        <v>30</v>
      </c>
      <c r="C229" s="209">
        <v>89320549</v>
      </c>
      <c r="D229" s="209">
        <v>10</v>
      </c>
      <c r="E229" s="209">
        <v>10000002</v>
      </c>
      <c r="F229" s="209">
        <v>20000335</v>
      </c>
      <c r="G229" s="209" t="s">
        <v>105</v>
      </c>
      <c r="H229" s="209">
        <v>20000335</v>
      </c>
      <c r="I229" s="209">
        <v>2</v>
      </c>
      <c r="J229" s="209" t="s">
        <v>169</v>
      </c>
      <c r="K229" s="209" t="s">
        <v>538</v>
      </c>
      <c r="L229" s="209" t="s">
        <v>171</v>
      </c>
      <c r="M229" s="209" t="s">
        <v>184</v>
      </c>
      <c r="N229" s="209">
        <v>50034574</v>
      </c>
      <c r="O229" s="209" t="s">
        <v>196</v>
      </c>
      <c r="P229" s="209">
        <v>5121</v>
      </c>
      <c r="Q229" s="209" t="s">
        <v>174</v>
      </c>
      <c r="R229" s="209" t="s">
        <v>175</v>
      </c>
      <c r="S229" s="209" t="s">
        <v>176</v>
      </c>
      <c r="T229" s="209" t="s">
        <v>177</v>
      </c>
      <c r="U229" s="209" t="s">
        <v>178</v>
      </c>
      <c r="V229" s="209" t="s">
        <v>179</v>
      </c>
      <c r="W229" s="209" t="s">
        <v>179</v>
      </c>
      <c r="X229" s="209" t="s">
        <v>180</v>
      </c>
      <c r="Y229" s="209" t="s">
        <v>180</v>
      </c>
      <c r="Z229" s="209">
        <v>9521066884</v>
      </c>
      <c r="AA229" s="209" t="s">
        <v>539</v>
      </c>
      <c r="AB229" s="209" t="s">
        <v>180</v>
      </c>
      <c r="AC229" s="209" t="s">
        <v>182</v>
      </c>
      <c r="AD229" s="209">
        <v>11</v>
      </c>
      <c r="AE229" s="209">
        <v>2024</v>
      </c>
      <c r="AF229" s="227">
        <v>45618</v>
      </c>
      <c r="AG229" s="227">
        <v>45621</v>
      </c>
      <c r="AH229" s="227">
        <v>45621</v>
      </c>
      <c r="AI229" s="228">
        <v>789264</v>
      </c>
      <c r="AJ229" s="228">
        <v>42</v>
      </c>
      <c r="AK229" s="228">
        <v>789264</v>
      </c>
      <c r="AL229" s="228">
        <v>42</v>
      </c>
      <c r="AM229" s="228">
        <v>0</v>
      </c>
      <c r="AN229" s="228">
        <v>0</v>
      </c>
      <c r="AO229" s="229">
        <v>48</v>
      </c>
      <c r="AP229" s="231">
        <v>11</v>
      </c>
      <c r="AQ229" s="231">
        <v>2024</v>
      </c>
      <c r="AR229" s="231" t="str">
        <f t="shared" ref="AR229" si="30">+IF(AP229&lt;10,"0"&amp;AP229&amp; "/"&amp;AQ229,AP229&amp; "/"&amp;AQ229)</f>
        <v>11/2024</v>
      </c>
      <c r="AS229" s="231">
        <f t="shared" ref="AS229" si="31">VALUE(MID(INDEX(_xlfn.TEXTSPLIT(O229, ","), 1, 3), 1,FIND("G", INDEX(_xlfn.TEXTSPLIT(O229, ","), 1, 3))-1))</f>
        <v>19.5</v>
      </c>
      <c r="AT229" s="239">
        <f>IF(G229="CERVECERIA Y MALTERIA",(AS229*AK229/1000000)*(1-VLOOKUP(N229,FCST!D:I,6,FALSE)),0)</f>
        <v>15.390648000000001</v>
      </c>
      <c r="AU229" s="232">
        <v>5.0000000000000001E-3</v>
      </c>
      <c r="AV229" s="239">
        <f t="shared" ref="AV229" si="32">+AT229*(1+AU229)</f>
        <v>15.467601239999999</v>
      </c>
      <c r="AW229" s="239">
        <f>(AS229*AK229/1000000)*(VLOOKUP(N229,FCST!D:I,6,FALSE))</f>
        <v>0</v>
      </c>
      <c r="AX229" s="239">
        <f t="shared" ref="AX229" si="33">+AW229*(1+AU229)</f>
        <v>0</v>
      </c>
      <c r="AY229" s="239">
        <f>IF($G229="CERVECERIA Y MALTERIA.",($AS229*$AK229/1000000)*(1-VLOOKUP($N229,FCST!D:I,6,FALSE)),0)</f>
        <v>0</v>
      </c>
      <c r="AZ229" s="239">
        <f t="shared" ref="AZ229" si="34">+AY229*(1+AU229)</f>
        <v>0</v>
      </c>
    </row>
    <row r="230" spans="1:52" x14ac:dyDescent="0.25">
      <c r="A230" s="209">
        <v>10001918</v>
      </c>
      <c r="B230" s="209">
        <v>10</v>
      </c>
      <c r="C230" s="209">
        <v>89320550</v>
      </c>
      <c r="D230" s="209">
        <v>10</v>
      </c>
      <c r="E230" s="209">
        <v>10000002</v>
      </c>
      <c r="F230" s="209">
        <v>20000335</v>
      </c>
      <c r="G230" s="209" t="s">
        <v>105</v>
      </c>
      <c r="H230" s="209">
        <v>20000335</v>
      </c>
      <c r="I230" s="209">
        <v>2</v>
      </c>
      <c r="J230" s="209" t="s">
        <v>169</v>
      </c>
      <c r="K230" s="209" t="s">
        <v>540</v>
      </c>
      <c r="L230" s="209" t="s">
        <v>171</v>
      </c>
      <c r="M230" s="209" t="s">
        <v>184</v>
      </c>
      <c r="N230" s="209">
        <v>50036915</v>
      </c>
      <c r="O230" s="209" t="s">
        <v>541</v>
      </c>
      <c r="P230" s="209">
        <v>5121</v>
      </c>
      <c r="Q230" s="209" t="s">
        <v>174</v>
      </c>
      <c r="R230" s="209" t="s">
        <v>175</v>
      </c>
      <c r="S230" s="209" t="s">
        <v>176</v>
      </c>
      <c r="T230" s="209" t="s">
        <v>177</v>
      </c>
      <c r="U230" s="209" t="s">
        <v>178</v>
      </c>
      <c r="V230" s="209" t="s">
        <v>179</v>
      </c>
      <c r="W230" s="209" t="s">
        <v>179</v>
      </c>
      <c r="X230" s="209" t="s">
        <v>180</v>
      </c>
      <c r="Y230" s="209" t="s">
        <v>180</v>
      </c>
      <c r="Z230" s="209" t="s">
        <v>180</v>
      </c>
      <c r="AA230" s="209" t="s">
        <v>180</v>
      </c>
      <c r="AB230" s="209" t="s">
        <v>180</v>
      </c>
      <c r="AC230" s="209" t="s">
        <v>182</v>
      </c>
      <c r="AD230" s="209">
        <v>11</v>
      </c>
      <c r="AE230" s="209">
        <v>2024</v>
      </c>
      <c r="AF230" s="227">
        <v>45618</v>
      </c>
      <c r="AG230" s="227">
        <v>45621</v>
      </c>
      <c r="AH230" s="227">
        <v>45621</v>
      </c>
      <c r="AI230" s="228">
        <v>82080</v>
      </c>
      <c r="AJ230" s="228">
        <v>10</v>
      </c>
      <c r="AK230" s="228">
        <v>82080</v>
      </c>
      <c r="AL230" s="228">
        <v>10</v>
      </c>
      <c r="AM230" s="228">
        <v>0</v>
      </c>
      <c r="AN230" s="228">
        <v>0</v>
      </c>
      <c r="AO230" s="229">
        <v>47</v>
      </c>
      <c r="AP230" s="231">
        <v>11</v>
      </c>
      <c r="AQ230" s="231">
        <v>2024</v>
      </c>
      <c r="AR230" s="231" t="str">
        <f t="shared" ref="AR230:AR293" si="35">+IF(AP230&lt;10,"0"&amp;AP230&amp; "/"&amp;AQ230,AP230&amp; "/"&amp;AQ230)</f>
        <v>11/2024</v>
      </c>
      <c r="AS230" s="231">
        <f t="shared" ref="AS230:AS293" si="36">VALUE(MID(INDEX(_xlfn.TEXTSPLIT(O230, ","), 1, 3), 1,FIND("G", INDEX(_xlfn.TEXTSPLIT(O230, ","), 1, 3))-1))</f>
        <v>46.6</v>
      </c>
      <c r="AT230" s="239">
        <f>IF(G230="CERVECERIA Y MALTERIA",(AS230*AK230/1000000)*(1-VLOOKUP(N230,FCST!D:I,6,FALSE)),0)</f>
        <v>3.0599424000000002</v>
      </c>
      <c r="AU230" s="232">
        <v>5.0000000000000001E-3</v>
      </c>
      <c r="AV230" s="239">
        <f t="shared" ref="AV230:AV293" si="37">+AT230*(1+AU230)</f>
        <v>3.0752421119999998</v>
      </c>
      <c r="AW230" s="239">
        <f>(AS230*AK230/1000000)*(VLOOKUP(N230,FCST!D:I,6,FALSE))</f>
        <v>0.76498560000000004</v>
      </c>
      <c r="AX230" s="239">
        <f t="shared" ref="AX230:AX293" si="38">+AW230*(1+AU230)</f>
        <v>0.76881052799999994</v>
      </c>
      <c r="AY230" s="239">
        <f>IF($G230="CERVECERIA Y MALTERIA.",($AS230*$AK230/1000000)*(1-VLOOKUP($N230,FCST!D:I,6,FALSE)),0)</f>
        <v>0</v>
      </c>
      <c r="AZ230" s="239">
        <f t="shared" ref="AZ230:AZ293" si="39">+AY230*(1+AU230)</f>
        <v>0</v>
      </c>
    </row>
    <row r="231" spans="1:52" x14ac:dyDescent="0.25">
      <c r="A231" s="209">
        <v>1087104</v>
      </c>
      <c r="B231" s="209">
        <v>20</v>
      </c>
      <c r="C231" s="209">
        <v>89320462</v>
      </c>
      <c r="D231" s="209">
        <v>10</v>
      </c>
      <c r="E231" s="209">
        <v>10000002</v>
      </c>
      <c r="F231" s="209">
        <v>20000335</v>
      </c>
      <c r="G231" s="209" t="s">
        <v>105</v>
      </c>
      <c r="H231" s="209">
        <v>20000335</v>
      </c>
      <c r="I231" s="209">
        <v>2</v>
      </c>
      <c r="J231" s="209" t="s">
        <v>169</v>
      </c>
      <c r="K231" s="209" t="s">
        <v>542</v>
      </c>
      <c r="L231" s="209" t="s">
        <v>171</v>
      </c>
      <c r="M231" s="209" t="s">
        <v>184</v>
      </c>
      <c r="N231" s="209">
        <v>50037042</v>
      </c>
      <c r="O231" s="209" t="s">
        <v>543</v>
      </c>
      <c r="P231" s="209">
        <v>5121</v>
      </c>
      <c r="Q231" s="209" t="s">
        <v>174</v>
      </c>
      <c r="R231" s="209" t="s">
        <v>175</v>
      </c>
      <c r="S231" s="209" t="s">
        <v>176</v>
      </c>
      <c r="T231" s="209" t="s">
        <v>177</v>
      </c>
      <c r="U231" s="209" t="s">
        <v>178</v>
      </c>
      <c r="V231" s="209" t="s">
        <v>179</v>
      </c>
      <c r="W231" s="209" t="s">
        <v>179</v>
      </c>
      <c r="X231" s="209" t="s">
        <v>180</v>
      </c>
      <c r="Y231" s="209" t="s">
        <v>180</v>
      </c>
      <c r="Z231" s="209">
        <v>9521066883</v>
      </c>
      <c r="AA231" s="209" t="s">
        <v>544</v>
      </c>
      <c r="AB231" s="209" t="s">
        <v>180</v>
      </c>
      <c r="AC231" s="209" t="s">
        <v>182</v>
      </c>
      <c r="AD231" s="209">
        <v>11</v>
      </c>
      <c r="AE231" s="209">
        <v>2024</v>
      </c>
      <c r="AF231" s="227">
        <v>45618</v>
      </c>
      <c r="AG231" s="227">
        <v>45621</v>
      </c>
      <c r="AH231" s="227">
        <v>45621</v>
      </c>
      <c r="AI231" s="228">
        <v>426816</v>
      </c>
      <c r="AJ231" s="228">
        <v>52</v>
      </c>
      <c r="AK231" s="228">
        <v>426816</v>
      </c>
      <c r="AL231" s="228">
        <v>52</v>
      </c>
      <c r="AM231" s="228">
        <v>0</v>
      </c>
      <c r="AN231" s="228">
        <v>0</v>
      </c>
      <c r="AO231" s="229">
        <v>48</v>
      </c>
      <c r="AP231" s="231">
        <v>11</v>
      </c>
      <c r="AQ231" s="231">
        <v>2024</v>
      </c>
      <c r="AR231" s="231" t="str">
        <f t="shared" si="35"/>
        <v>11/2024</v>
      </c>
      <c r="AS231" s="231">
        <f t="shared" si="36"/>
        <v>46.6</v>
      </c>
      <c r="AT231" s="239">
        <f>IF(G231="CERVECERIA Y MALTERIA",(AS231*AK231/1000000)*(1-VLOOKUP(N231,FCST!D:I,6,FALSE)),0)</f>
        <v>15.911700480000002</v>
      </c>
      <c r="AU231" s="232">
        <v>5.0000000000000001E-3</v>
      </c>
      <c r="AV231" s="239">
        <f t="shared" si="37"/>
        <v>15.9912589824</v>
      </c>
      <c r="AW231" s="239">
        <f>(AS231*AK231/1000000)*(VLOOKUP(N231,FCST!D:I,6,FALSE))</f>
        <v>3.9779251200000005</v>
      </c>
      <c r="AX231" s="239">
        <f t="shared" si="38"/>
        <v>3.9978147455999999</v>
      </c>
      <c r="AY231" s="239">
        <f>IF($G231="CERVECERIA Y MALTERIA.",($AS231*$AK231/1000000)*(1-VLOOKUP($N231,FCST!D:I,6,FALSE)),0)</f>
        <v>0</v>
      </c>
      <c r="AZ231" s="239">
        <f t="shared" si="39"/>
        <v>0</v>
      </c>
    </row>
    <row r="232" spans="1:52" x14ac:dyDescent="0.25">
      <c r="A232" s="209">
        <v>1087112</v>
      </c>
      <c r="B232" s="209">
        <v>30</v>
      </c>
      <c r="C232" s="209">
        <v>89320790</v>
      </c>
      <c r="D232" s="209">
        <v>10</v>
      </c>
      <c r="E232" s="209">
        <v>10000002</v>
      </c>
      <c r="F232" s="209">
        <v>20000339</v>
      </c>
      <c r="G232" s="209" t="s">
        <v>105</v>
      </c>
      <c r="H232" s="209">
        <v>20000339</v>
      </c>
      <c r="I232" s="209">
        <v>2</v>
      </c>
      <c r="J232" s="209" t="s">
        <v>169</v>
      </c>
      <c r="K232" s="209" t="s">
        <v>545</v>
      </c>
      <c r="L232" s="209" t="s">
        <v>171</v>
      </c>
      <c r="M232" s="209" t="s">
        <v>184</v>
      </c>
      <c r="N232" s="209">
        <v>50033268</v>
      </c>
      <c r="O232" s="209" t="s">
        <v>253</v>
      </c>
      <c r="P232" s="209">
        <v>5121</v>
      </c>
      <c r="Q232" s="209" t="s">
        <v>174</v>
      </c>
      <c r="R232" s="209" t="s">
        <v>175</v>
      </c>
      <c r="S232" s="209" t="s">
        <v>176</v>
      </c>
      <c r="T232" s="209" t="s">
        <v>177</v>
      </c>
      <c r="U232" s="209" t="s">
        <v>178</v>
      </c>
      <c r="V232" s="209" t="s">
        <v>179</v>
      </c>
      <c r="W232" s="209" t="s">
        <v>179</v>
      </c>
      <c r="X232" s="209" t="s">
        <v>180</v>
      </c>
      <c r="Y232" s="209" t="s">
        <v>180</v>
      </c>
      <c r="Z232" s="209">
        <v>9521066892</v>
      </c>
      <c r="AA232" s="209" t="s">
        <v>546</v>
      </c>
      <c r="AB232" s="209" t="s">
        <v>180</v>
      </c>
      <c r="AC232" s="209" t="s">
        <v>182</v>
      </c>
      <c r="AD232" s="209">
        <v>11</v>
      </c>
      <c r="AE232" s="209">
        <v>2024</v>
      </c>
      <c r="AF232" s="227">
        <v>45618</v>
      </c>
      <c r="AG232" s="227">
        <v>45621</v>
      </c>
      <c r="AH232" s="227">
        <v>45621</v>
      </c>
      <c r="AI232" s="228">
        <v>125184</v>
      </c>
      <c r="AJ232" s="228">
        <v>16</v>
      </c>
      <c r="AK232" s="228">
        <v>125184</v>
      </c>
      <c r="AL232" s="228">
        <v>16</v>
      </c>
      <c r="AM232" s="228">
        <v>0</v>
      </c>
      <c r="AN232" s="228">
        <v>0</v>
      </c>
      <c r="AO232" s="229">
        <v>48</v>
      </c>
      <c r="AP232" s="231">
        <v>11</v>
      </c>
      <c r="AQ232" s="231">
        <v>2024</v>
      </c>
      <c r="AR232" s="231" t="str">
        <f t="shared" si="35"/>
        <v>11/2024</v>
      </c>
      <c r="AS232" s="231">
        <f t="shared" si="36"/>
        <v>44</v>
      </c>
      <c r="AT232" s="239">
        <f>IF(G232="CERVECERIA Y MALTERIA",(AS232*AK232/1000000)*(1-VLOOKUP(N232,FCST!D:I,6,FALSE)),0)</f>
        <v>5.5080960000000001</v>
      </c>
      <c r="AU232" s="232">
        <v>5.0000000000000001E-3</v>
      </c>
      <c r="AV232" s="239">
        <f t="shared" si="37"/>
        <v>5.5356364799999991</v>
      </c>
      <c r="AW232" s="239">
        <f>(AS232*AK232/1000000)*(VLOOKUP(N232,FCST!D:I,6,FALSE))</f>
        <v>0</v>
      </c>
      <c r="AX232" s="239">
        <f t="shared" si="38"/>
        <v>0</v>
      </c>
      <c r="AY232" s="239">
        <f>IF($G232="CERVECERIA Y MALTERIA.",($AS232*$AK232/1000000)*(1-VLOOKUP($N232,FCST!D:I,6,FALSE)),0)</f>
        <v>0</v>
      </c>
      <c r="AZ232" s="239">
        <f t="shared" si="39"/>
        <v>0</v>
      </c>
    </row>
    <row r="233" spans="1:52" x14ac:dyDescent="0.25">
      <c r="A233" s="209">
        <v>1087112</v>
      </c>
      <c r="B233" s="209">
        <v>40</v>
      </c>
      <c r="C233" s="209">
        <v>89320790</v>
      </c>
      <c r="D233" s="209">
        <v>20</v>
      </c>
      <c r="E233" s="209">
        <v>10000002</v>
      </c>
      <c r="F233" s="209">
        <v>20000339</v>
      </c>
      <c r="G233" s="209" t="s">
        <v>105</v>
      </c>
      <c r="H233" s="209">
        <v>20000339</v>
      </c>
      <c r="I233" s="209">
        <v>2</v>
      </c>
      <c r="J233" s="209" t="s">
        <v>169</v>
      </c>
      <c r="K233" s="209" t="s">
        <v>545</v>
      </c>
      <c r="L233" s="209" t="s">
        <v>171</v>
      </c>
      <c r="M233" s="209" t="s">
        <v>184</v>
      </c>
      <c r="N233" s="209">
        <v>50034634</v>
      </c>
      <c r="O233" s="209" t="s">
        <v>219</v>
      </c>
      <c r="P233" s="209">
        <v>5121</v>
      </c>
      <c r="Q233" s="209" t="s">
        <v>174</v>
      </c>
      <c r="R233" s="209" t="s">
        <v>175</v>
      </c>
      <c r="S233" s="209" t="s">
        <v>176</v>
      </c>
      <c r="T233" s="209" t="s">
        <v>177</v>
      </c>
      <c r="U233" s="209" t="s">
        <v>178</v>
      </c>
      <c r="V233" s="209" t="s">
        <v>179</v>
      </c>
      <c r="W233" s="209" t="s">
        <v>179</v>
      </c>
      <c r="X233" s="209" t="s">
        <v>180</v>
      </c>
      <c r="Y233" s="209" t="s">
        <v>180</v>
      </c>
      <c r="Z233" s="209">
        <v>9521066892</v>
      </c>
      <c r="AA233" s="209" t="s">
        <v>546</v>
      </c>
      <c r="AB233" s="209" t="s">
        <v>180</v>
      </c>
      <c r="AC233" s="209" t="s">
        <v>182</v>
      </c>
      <c r="AD233" s="209">
        <v>11</v>
      </c>
      <c r="AE233" s="209">
        <v>2024</v>
      </c>
      <c r="AF233" s="227">
        <v>45618</v>
      </c>
      <c r="AG233" s="227">
        <v>45621</v>
      </c>
      <c r="AH233" s="227">
        <v>45621</v>
      </c>
      <c r="AI233" s="228">
        <v>252288</v>
      </c>
      <c r="AJ233" s="228">
        <v>36</v>
      </c>
      <c r="AK233" s="228">
        <v>252288</v>
      </c>
      <c r="AL233" s="228">
        <v>36</v>
      </c>
      <c r="AM233" s="228">
        <v>0</v>
      </c>
      <c r="AN233" s="228">
        <v>0</v>
      </c>
      <c r="AO233" s="229">
        <v>48</v>
      </c>
      <c r="AP233" s="231">
        <v>11</v>
      </c>
      <c r="AQ233" s="231">
        <v>2024</v>
      </c>
      <c r="AR233" s="231" t="str">
        <f t="shared" si="35"/>
        <v>11/2024</v>
      </c>
      <c r="AS233" s="231">
        <f t="shared" si="36"/>
        <v>52</v>
      </c>
      <c r="AT233" s="239">
        <f>IF(G233="CERVECERIA Y MALTERIA",(AS233*AK233/1000000)*(1-VLOOKUP(N233,FCST!D:I,6,FALSE)),0)</f>
        <v>13.118976</v>
      </c>
      <c r="AU233" s="232">
        <v>5.0000000000000001E-3</v>
      </c>
      <c r="AV233" s="239">
        <f t="shared" si="37"/>
        <v>13.184570879999999</v>
      </c>
      <c r="AW233" s="239">
        <f>(AS233*AK233/1000000)*(VLOOKUP(N233,FCST!D:I,6,FALSE))</f>
        <v>0</v>
      </c>
      <c r="AX233" s="239">
        <f t="shared" si="38"/>
        <v>0</v>
      </c>
      <c r="AY233" s="239">
        <f>IF($G233="CERVECERIA Y MALTERIA.",($AS233*$AK233/1000000)*(1-VLOOKUP($N233,FCST!D:I,6,FALSE)),0)</f>
        <v>0</v>
      </c>
      <c r="AZ233" s="239">
        <f t="shared" si="39"/>
        <v>0</v>
      </c>
    </row>
    <row r="234" spans="1:52" x14ac:dyDescent="0.25">
      <c r="A234" s="209">
        <v>1087104</v>
      </c>
      <c r="B234" s="209">
        <v>10</v>
      </c>
      <c r="C234" s="209">
        <v>89320791</v>
      </c>
      <c r="D234" s="209">
        <v>10</v>
      </c>
      <c r="E234" s="209">
        <v>10000002</v>
      </c>
      <c r="F234" s="209">
        <v>20000335</v>
      </c>
      <c r="G234" s="209" t="s">
        <v>105</v>
      </c>
      <c r="H234" s="209">
        <v>20000335</v>
      </c>
      <c r="I234" s="209">
        <v>2</v>
      </c>
      <c r="J234" s="209" t="s">
        <v>169</v>
      </c>
      <c r="K234" s="209" t="s">
        <v>547</v>
      </c>
      <c r="L234" s="209" t="s">
        <v>171</v>
      </c>
      <c r="M234" s="209" t="s">
        <v>199</v>
      </c>
      <c r="N234" s="209">
        <v>50032573</v>
      </c>
      <c r="O234" s="209" t="s">
        <v>173</v>
      </c>
      <c r="P234" s="209">
        <v>5121</v>
      </c>
      <c r="Q234" s="209" t="s">
        <v>200</v>
      </c>
      <c r="R234" s="209" t="s">
        <v>201</v>
      </c>
      <c r="S234" s="209" t="s">
        <v>202</v>
      </c>
      <c r="T234" s="209" t="s">
        <v>203</v>
      </c>
      <c r="U234" s="209" t="s">
        <v>201</v>
      </c>
      <c r="V234" s="209" t="s">
        <v>179</v>
      </c>
      <c r="W234" s="209" t="s">
        <v>179</v>
      </c>
      <c r="X234" s="209" t="s">
        <v>180</v>
      </c>
      <c r="Y234" s="209" t="s">
        <v>180</v>
      </c>
      <c r="Z234" s="209">
        <v>9521066881</v>
      </c>
      <c r="AA234" s="209" t="s">
        <v>548</v>
      </c>
      <c r="AB234" s="209" t="s">
        <v>180</v>
      </c>
      <c r="AC234" s="209" t="s">
        <v>182</v>
      </c>
      <c r="AD234" s="209">
        <v>11</v>
      </c>
      <c r="AE234" s="209">
        <v>2024</v>
      </c>
      <c r="AF234" s="227">
        <v>45618</v>
      </c>
      <c r="AG234" s="227">
        <v>45621</v>
      </c>
      <c r="AH234" s="227">
        <v>45621</v>
      </c>
      <c r="AI234" s="228">
        <v>531648</v>
      </c>
      <c r="AJ234" s="228">
        <v>52</v>
      </c>
      <c r="AK234" s="228">
        <v>531648</v>
      </c>
      <c r="AL234" s="228">
        <v>52</v>
      </c>
      <c r="AM234" s="228">
        <v>0</v>
      </c>
      <c r="AN234" s="228">
        <v>0</v>
      </c>
      <c r="AO234" s="229">
        <v>48</v>
      </c>
      <c r="AP234" s="231">
        <v>11</v>
      </c>
      <c r="AQ234" s="231">
        <v>2024</v>
      </c>
      <c r="AR234" s="231" t="str">
        <f t="shared" si="35"/>
        <v>11/2024</v>
      </c>
      <c r="AS234" s="231">
        <f t="shared" si="36"/>
        <v>37.200000000000003</v>
      </c>
      <c r="AT234" s="239">
        <f>IF(G234="CERVECERIA Y MALTERIA",(AS234*AK234/1000000)*(1-VLOOKUP(N234,FCST!D:I,6,FALSE)),0)</f>
        <v>19.777305600000002</v>
      </c>
      <c r="AU234" s="232">
        <v>5.0000000000000001E-3</v>
      </c>
      <c r="AV234" s="239">
        <f t="shared" si="37"/>
        <v>19.876192128</v>
      </c>
      <c r="AW234" s="239">
        <f>(AS234*AK234/1000000)*(VLOOKUP(N234,FCST!D:I,6,FALSE))</f>
        <v>0</v>
      </c>
      <c r="AX234" s="239">
        <f t="shared" si="38"/>
        <v>0</v>
      </c>
      <c r="AY234" s="239">
        <f>IF($G234="CERVECERIA Y MALTERIA.",($AS234*$AK234/1000000)*(1-VLOOKUP($N234,FCST!D:I,6,FALSE)),0)</f>
        <v>0</v>
      </c>
      <c r="AZ234" s="239">
        <f t="shared" si="39"/>
        <v>0</v>
      </c>
    </row>
    <row r="235" spans="1:52" x14ac:dyDescent="0.25">
      <c r="A235" s="209">
        <v>1087112</v>
      </c>
      <c r="B235" s="209">
        <v>10</v>
      </c>
      <c r="C235" s="209">
        <v>89320893</v>
      </c>
      <c r="D235" s="209">
        <v>10</v>
      </c>
      <c r="E235" s="209">
        <v>10000002</v>
      </c>
      <c r="F235" s="209">
        <v>20000339</v>
      </c>
      <c r="G235" s="209" t="s">
        <v>105</v>
      </c>
      <c r="H235" s="209">
        <v>20000339</v>
      </c>
      <c r="I235" s="209">
        <v>2</v>
      </c>
      <c r="J235" s="209" t="s">
        <v>169</v>
      </c>
      <c r="K235" s="209" t="s">
        <v>549</v>
      </c>
      <c r="L235" s="209" t="s">
        <v>171</v>
      </c>
      <c r="M235" s="209" t="s">
        <v>227</v>
      </c>
      <c r="N235" s="209">
        <v>50034634</v>
      </c>
      <c r="O235" s="209" t="s">
        <v>219</v>
      </c>
      <c r="P235" s="209">
        <v>5121</v>
      </c>
      <c r="Q235" s="209" t="s">
        <v>228</v>
      </c>
      <c r="R235" s="209" t="s">
        <v>229</v>
      </c>
      <c r="S235" s="209" t="s">
        <v>230</v>
      </c>
      <c r="T235" s="209" t="s">
        <v>231</v>
      </c>
      <c r="U235" s="209" t="s">
        <v>232</v>
      </c>
      <c r="V235" s="209" t="s">
        <v>179</v>
      </c>
      <c r="W235" s="209" t="s">
        <v>179</v>
      </c>
      <c r="X235" s="209" t="s">
        <v>180</v>
      </c>
      <c r="Y235" s="209" t="s">
        <v>180</v>
      </c>
      <c r="Z235" s="209">
        <v>9521066901</v>
      </c>
      <c r="AA235" s="209" t="s">
        <v>550</v>
      </c>
      <c r="AB235" s="209" t="s">
        <v>180</v>
      </c>
      <c r="AC235" s="209" t="s">
        <v>182</v>
      </c>
      <c r="AD235" s="209">
        <v>11</v>
      </c>
      <c r="AE235" s="209">
        <v>2024</v>
      </c>
      <c r="AF235" s="227">
        <v>45618</v>
      </c>
      <c r="AG235" s="227">
        <v>45621</v>
      </c>
      <c r="AH235" s="227">
        <v>45621</v>
      </c>
      <c r="AI235" s="228">
        <v>322368</v>
      </c>
      <c r="AJ235" s="228">
        <v>46</v>
      </c>
      <c r="AK235" s="228">
        <v>322368</v>
      </c>
      <c r="AL235" s="228">
        <v>46</v>
      </c>
      <c r="AM235" s="228">
        <v>0</v>
      </c>
      <c r="AN235" s="228">
        <v>0</v>
      </c>
      <c r="AO235" s="229">
        <v>48</v>
      </c>
      <c r="AP235" s="231">
        <v>11</v>
      </c>
      <c r="AQ235" s="231">
        <v>2024</v>
      </c>
      <c r="AR235" s="231" t="str">
        <f t="shared" si="35"/>
        <v>11/2024</v>
      </c>
      <c r="AS235" s="231">
        <f t="shared" si="36"/>
        <v>52</v>
      </c>
      <c r="AT235" s="239">
        <f>IF(G235="CERVECERIA Y MALTERIA",(AS235*AK235/1000000)*(1-VLOOKUP(N235,FCST!D:I,6,FALSE)),0)</f>
        <v>16.763135999999999</v>
      </c>
      <c r="AU235" s="232">
        <v>5.0000000000000001E-3</v>
      </c>
      <c r="AV235" s="239">
        <f t="shared" si="37"/>
        <v>16.846951679999997</v>
      </c>
      <c r="AW235" s="239">
        <f>(AS235*AK235/1000000)*(VLOOKUP(N235,FCST!D:I,6,FALSE))</f>
        <v>0</v>
      </c>
      <c r="AX235" s="239">
        <f t="shared" si="38"/>
        <v>0</v>
      </c>
      <c r="AY235" s="239">
        <f>IF($G235="CERVECERIA Y MALTERIA.",($AS235*$AK235/1000000)*(1-VLOOKUP($N235,FCST!D:I,6,FALSE)),0)</f>
        <v>0</v>
      </c>
      <c r="AZ235" s="239">
        <f t="shared" si="39"/>
        <v>0</v>
      </c>
    </row>
    <row r="236" spans="1:52" x14ac:dyDescent="0.25">
      <c r="A236" s="209">
        <v>1087112</v>
      </c>
      <c r="B236" s="209">
        <v>20</v>
      </c>
      <c r="C236" s="209">
        <v>89320893</v>
      </c>
      <c r="D236" s="209">
        <v>20</v>
      </c>
      <c r="E236" s="209">
        <v>10000002</v>
      </c>
      <c r="F236" s="209">
        <v>20000339</v>
      </c>
      <c r="G236" s="209" t="s">
        <v>105</v>
      </c>
      <c r="H236" s="209">
        <v>20000339</v>
      </c>
      <c r="I236" s="209">
        <v>2</v>
      </c>
      <c r="J236" s="209" t="s">
        <v>169</v>
      </c>
      <c r="K236" s="209" t="s">
        <v>549</v>
      </c>
      <c r="L236" s="209" t="s">
        <v>171</v>
      </c>
      <c r="M236" s="209" t="s">
        <v>227</v>
      </c>
      <c r="N236" s="209">
        <v>50033268</v>
      </c>
      <c r="O236" s="209" t="s">
        <v>253</v>
      </c>
      <c r="P236" s="209">
        <v>5121</v>
      </c>
      <c r="Q236" s="209" t="s">
        <v>228</v>
      </c>
      <c r="R236" s="209" t="s">
        <v>229</v>
      </c>
      <c r="S236" s="209" t="s">
        <v>230</v>
      </c>
      <c r="T236" s="209" t="s">
        <v>231</v>
      </c>
      <c r="U236" s="209" t="s">
        <v>232</v>
      </c>
      <c r="V236" s="209" t="s">
        <v>179</v>
      </c>
      <c r="W236" s="209" t="s">
        <v>179</v>
      </c>
      <c r="X236" s="209" t="s">
        <v>180</v>
      </c>
      <c r="Y236" s="209" t="s">
        <v>180</v>
      </c>
      <c r="Z236" s="209">
        <v>9521066901</v>
      </c>
      <c r="AA236" s="209" t="s">
        <v>550</v>
      </c>
      <c r="AB236" s="209" t="s">
        <v>180</v>
      </c>
      <c r="AC236" s="209" t="s">
        <v>182</v>
      </c>
      <c r="AD236" s="209">
        <v>11</v>
      </c>
      <c r="AE236" s="209">
        <v>2024</v>
      </c>
      <c r="AF236" s="227">
        <v>45618</v>
      </c>
      <c r="AG236" s="227">
        <v>45622</v>
      </c>
      <c r="AH236" s="227">
        <v>45621</v>
      </c>
      <c r="AI236" s="228">
        <v>46944</v>
      </c>
      <c r="AJ236" s="228">
        <v>6</v>
      </c>
      <c r="AK236" s="228">
        <v>46944</v>
      </c>
      <c r="AL236" s="228">
        <v>6</v>
      </c>
      <c r="AM236" s="228">
        <v>0</v>
      </c>
      <c r="AN236" s="228">
        <v>0</v>
      </c>
      <c r="AO236" s="229">
        <v>48</v>
      </c>
      <c r="AP236" s="231">
        <v>11</v>
      </c>
      <c r="AQ236" s="231">
        <v>2024</v>
      </c>
      <c r="AR236" s="231" t="str">
        <f t="shared" si="35"/>
        <v>11/2024</v>
      </c>
      <c r="AS236" s="231">
        <f t="shared" si="36"/>
        <v>44</v>
      </c>
      <c r="AT236" s="239">
        <f>IF(G236="CERVECERIA Y MALTERIA",(AS236*AK236/1000000)*(1-VLOOKUP(N236,FCST!D:I,6,FALSE)),0)</f>
        <v>2.0655359999999998</v>
      </c>
      <c r="AU236" s="232">
        <v>5.0000000000000001E-3</v>
      </c>
      <c r="AV236" s="239">
        <f t="shared" si="37"/>
        <v>2.0758636799999994</v>
      </c>
      <c r="AW236" s="239">
        <f>(AS236*AK236/1000000)*(VLOOKUP(N236,FCST!D:I,6,FALSE))</f>
        <v>0</v>
      </c>
      <c r="AX236" s="239">
        <f t="shared" si="38"/>
        <v>0</v>
      </c>
      <c r="AY236" s="239">
        <f>IF($G236="CERVECERIA Y MALTERIA.",($AS236*$AK236/1000000)*(1-VLOOKUP($N236,FCST!D:I,6,FALSE)),0)</f>
        <v>0</v>
      </c>
      <c r="AZ236" s="239">
        <f t="shared" si="39"/>
        <v>0</v>
      </c>
    </row>
    <row r="237" spans="1:52" x14ac:dyDescent="0.25">
      <c r="A237" s="209">
        <v>1085749</v>
      </c>
      <c r="B237" s="209">
        <v>90</v>
      </c>
      <c r="C237" s="209">
        <v>89319686</v>
      </c>
      <c r="D237" s="209">
        <v>10</v>
      </c>
      <c r="E237" s="209">
        <v>10000002</v>
      </c>
      <c r="F237" s="209">
        <v>20000340</v>
      </c>
      <c r="G237" s="209" t="s">
        <v>117</v>
      </c>
      <c r="H237" s="209">
        <v>20000340</v>
      </c>
      <c r="I237" s="209">
        <v>2</v>
      </c>
      <c r="J237" s="209" t="s">
        <v>169</v>
      </c>
      <c r="K237" s="209" t="s">
        <v>551</v>
      </c>
      <c r="L237" s="209" t="s">
        <v>171</v>
      </c>
      <c r="M237" s="209" t="s">
        <v>184</v>
      </c>
      <c r="N237" s="209">
        <v>50036718</v>
      </c>
      <c r="O237" s="209" t="s">
        <v>259</v>
      </c>
      <c r="P237" s="209">
        <v>5101</v>
      </c>
      <c r="Q237" s="209" t="s">
        <v>186</v>
      </c>
      <c r="R237" s="209" t="s">
        <v>175</v>
      </c>
      <c r="S237" s="209" t="s">
        <v>176</v>
      </c>
      <c r="T237" s="209" t="s">
        <v>187</v>
      </c>
      <c r="U237" s="209" t="s">
        <v>188</v>
      </c>
      <c r="V237" s="209" t="s">
        <v>179</v>
      </c>
      <c r="W237" s="209" t="s">
        <v>179</v>
      </c>
      <c r="X237" s="209" t="s">
        <v>180</v>
      </c>
      <c r="Y237" s="209" t="s">
        <v>180</v>
      </c>
      <c r="Z237" s="209">
        <v>9511047127</v>
      </c>
      <c r="AA237" s="209" t="s">
        <v>552</v>
      </c>
      <c r="AB237" s="209" t="s">
        <v>180</v>
      </c>
      <c r="AC237" s="209" t="s">
        <v>182</v>
      </c>
      <c r="AD237" s="209">
        <v>11</v>
      </c>
      <c r="AE237" s="209">
        <v>2024</v>
      </c>
      <c r="AF237" s="227">
        <v>45611</v>
      </c>
      <c r="AG237" s="227">
        <v>45618</v>
      </c>
      <c r="AH237" s="227">
        <v>45618</v>
      </c>
      <c r="AI237" s="228">
        <v>519168</v>
      </c>
      <c r="AJ237" s="228">
        <v>52</v>
      </c>
      <c r="AK237" s="228">
        <v>519168</v>
      </c>
      <c r="AL237" s="228">
        <v>52</v>
      </c>
      <c r="AM237" s="228">
        <v>0</v>
      </c>
      <c r="AN237" s="228">
        <v>0</v>
      </c>
      <c r="AO237" s="229">
        <v>47</v>
      </c>
      <c r="AP237" s="231">
        <v>11</v>
      </c>
      <c r="AQ237" s="231">
        <v>2024</v>
      </c>
      <c r="AR237" s="231" t="str">
        <f t="shared" si="35"/>
        <v>11/2024</v>
      </c>
      <c r="AS237" s="231">
        <f t="shared" si="36"/>
        <v>34</v>
      </c>
      <c r="AT237" s="239">
        <f>IF(G237="CERVECERIA Y MALTERIA",(AS237*AK237/1000000)*(1-VLOOKUP(N237,FCST!D:I,6,FALSE)),0)</f>
        <v>0</v>
      </c>
      <c r="AU237" s="232">
        <v>5.0000000000000001E-3</v>
      </c>
      <c r="AV237" s="239">
        <f t="shared" si="37"/>
        <v>0</v>
      </c>
      <c r="AW237" s="239">
        <f>(AS237*AK237/1000000)*(VLOOKUP(N237,FCST!D:I,6,FALSE))</f>
        <v>0</v>
      </c>
      <c r="AX237" s="239">
        <f t="shared" si="38"/>
        <v>0</v>
      </c>
      <c r="AY237" s="239">
        <f>IF($G237="CERVECERIA Y MALTERIA.",($AS237*$AK237/1000000)*(1-VLOOKUP($N237,FCST!D:I,6,FALSE)),0)</f>
        <v>17.651712</v>
      </c>
      <c r="AZ237" s="239">
        <f t="shared" si="39"/>
        <v>17.73997056</v>
      </c>
    </row>
    <row r="238" spans="1:52" x14ac:dyDescent="0.25">
      <c r="A238" s="209">
        <v>1086757</v>
      </c>
      <c r="B238" s="209">
        <v>10</v>
      </c>
      <c r="C238" s="209">
        <v>89319723</v>
      </c>
      <c r="D238" s="209">
        <v>10</v>
      </c>
      <c r="E238" s="209">
        <v>10000002</v>
      </c>
      <c r="F238" s="209">
        <v>20001057</v>
      </c>
      <c r="G238" s="209" t="s">
        <v>105</v>
      </c>
      <c r="H238" s="209">
        <v>20001057</v>
      </c>
      <c r="I238" s="209">
        <v>2</v>
      </c>
      <c r="J238" s="209" t="s">
        <v>169</v>
      </c>
      <c r="K238" s="209" t="s">
        <v>553</v>
      </c>
      <c r="L238" s="209" t="s">
        <v>171</v>
      </c>
      <c r="M238" s="209" t="s">
        <v>199</v>
      </c>
      <c r="N238" s="209">
        <v>50032573</v>
      </c>
      <c r="O238" s="209" t="s">
        <v>173</v>
      </c>
      <c r="P238" s="209">
        <v>5121</v>
      </c>
      <c r="Q238" s="209" t="s">
        <v>200</v>
      </c>
      <c r="R238" s="209" t="s">
        <v>201</v>
      </c>
      <c r="S238" s="209" t="s">
        <v>202</v>
      </c>
      <c r="T238" s="209" t="s">
        <v>203</v>
      </c>
      <c r="U238" s="209" t="s">
        <v>201</v>
      </c>
      <c r="V238" s="209" t="s">
        <v>179</v>
      </c>
      <c r="W238" s="209" t="s">
        <v>179</v>
      </c>
      <c r="X238" s="209" t="s">
        <v>180</v>
      </c>
      <c r="Y238" s="209" t="s">
        <v>180</v>
      </c>
      <c r="Z238" s="209">
        <v>9521066902</v>
      </c>
      <c r="AA238" s="209" t="s">
        <v>554</v>
      </c>
      <c r="AB238" s="209" t="s">
        <v>180</v>
      </c>
      <c r="AC238" s="209" t="s">
        <v>182</v>
      </c>
      <c r="AD238" s="209">
        <v>11</v>
      </c>
      <c r="AE238" s="209">
        <v>2024</v>
      </c>
      <c r="AF238" s="227">
        <v>45616</v>
      </c>
      <c r="AG238" s="227">
        <v>45618</v>
      </c>
      <c r="AH238" s="227">
        <v>45618</v>
      </c>
      <c r="AI238" s="228">
        <v>531648</v>
      </c>
      <c r="AJ238" s="228">
        <v>52</v>
      </c>
      <c r="AK238" s="228">
        <v>531648</v>
      </c>
      <c r="AL238" s="228">
        <v>52</v>
      </c>
      <c r="AM238" s="228">
        <v>0</v>
      </c>
      <c r="AN238" s="228">
        <v>0</v>
      </c>
      <c r="AO238" s="229">
        <v>47</v>
      </c>
      <c r="AP238" s="231">
        <v>11</v>
      </c>
      <c r="AQ238" s="231">
        <v>2024</v>
      </c>
      <c r="AR238" s="231" t="str">
        <f t="shared" si="35"/>
        <v>11/2024</v>
      </c>
      <c r="AS238" s="231">
        <f t="shared" si="36"/>
        <v>37.200000000000003</v>
      </c>
      <c r="AT238" s="239">
        <f>IF(G238="CERVECERIA Y MALTERIA",(AS238*AK238/1000000)*(1-VLOOKUP(N238,FCST!D:I,6,FALSE)),0)</f>
        <v>19.777305600000002</v>
      </c>
      <c r="AU238" s="232">
        <v>5.0000000000000001E-3</v>
      </c>
      <c r="AV238" s="239">
        <f t="shared" si="37"/>
        <v>19.876192128</v>
      </c>
      <c r="AW238" s="239">
        <f>(AS238*AK238/1000000)*(VLOOKUP(N238,FCST!D:I,6,FALSE))</f>
        <v>0</v>
      </c>
      <c r="AX238" s="239">
        <f t="shared" si="38"/>
        <v>0</v>
      </c>
      <c r="AY238" s="239">
        <f>IF($G238="CERVECERIA Y MALTERIA.",($AS238*$AK238/1000000)*(1-VLOOKUP($N238,FCST!D:I,6,FALSE)),0)</f>
        <v>0</v>
      </c>
      <c r="AZ238" s="239">
        <f t="shared" si="39"/>
        <v>0</v>
      </c>
    </row>
    <row r="239" spans="1:52" x14ac:dyDescent="0.25">
      <c r="A239" s="209">
        <v>1085724</v>
      </c>
      <c r="B239" s="209">
        <v>20</v>
      </c>
      <c r="C239" s="209">
        <v>89319750</v>
      </c>
      <c r="D239" s="209">
        <v>10</v>
      </c>
      <c r="E239" s="209">
        <v>10000002</v>
      </c>
      <c r="F239" s="209">
        <v>20000336</v>
      </c>
      <c r="G239" s="209" t="s">
        <v>105</v>
      </c>
      <c r="H239" s="209">
        <v>20000336</v>
      </c>
      <c r="I239" s="209">
        <v>2</v>
      </c>
      <c r="J239" s="209" t="s">
        <v>169</v>
      </c>
      <c r="K239" s="209" t="s">
        <v>555</v>
      </c>
      <c r="L239" s="209" t="s">
        <v>556</v>
      </c>
      <c r="M239" s="209" t="s">
        <v>184</v>
      </c>
      <c r="N239" s="209">
        <v>50034634</v>
      </c>
      <c r="O239" s="209" t="s">
        <v>219</v>
      </c>
      <c r="P239" s="209">
        <v>5121</v>
      </c>
      <c r="Q239" s="209" t="s">
        <v>174</v>
      </c>
      <c r="R239" s="209" t="s">
        <v>175</v>
      </c>
      <c r="S239" s="209" t="s">
        <v>176</v>
      </c>
      <c r="T239" s="209" t="s">
        <v>177</v>
      </c>
      <c r="U239" s="209" t="s">
        <v>178</v>
      </c>
      <c r="V239" s="209" t="s">
        <v>179</v>
      </c>
      <c r="W239" s="209" t="s">
        <v>179</v>
      </c>
      <c r="X239" s="209" t="s">
        <v>180</v>
      </c>
      <c r="Y239" s="209" t="s">
        <v>180</v>
      </c>
      <c r="Z239" s="209">
        <v>9521066888</v>
      </c>
      <c r="AA239" s="209" t="s">
        <v>557</v>
      </c>
      <c r="AB239" s="209" t="s">
        <v>180</v>
      </c>
      <c r="AC239" s="209" t="s">
        <v>182</v>
      </c>
      <c r="AD239" s="209">
        <v>11</v>
      </c>
      <c r="AE239" s="209">
        <v>2024</v>
      </c>
      <c r="AF239" s="227">
        <v>45611</v>
      </c>
      <c r="AG239" s="227">
        <v>45618</v>
      </c>
      <c r="AH239" s="227">
        <v>45618</v>
      </c>
      <c r="AI239" s="228">
        <v>364416</v>
      </c>
      <c r="AJ239" s="228">
        <v>52</v>
      </c>
      <c r="AK239" s="228">
        <v>364416</v>
      </c>
      <c r="AL239" s="228">
        <v>52</v>
      </c>
      <c r="AM239" s="228">
        <v>0</v>
      </c>
      <c r="AN239" s="228">
        <v>0</v>
      </c>
      <c r="AO239" s="229">
        <v>47</v>
      </c>
      <c r="AP239" s="231">
        <v>11</v>
      </c>
      <c r="AQ239" s="231">
        <v>2024</v>
      </c>
      <c r="AR239" s="231" t="str">
        <f t="shared" si="35"/>
        <v>11/2024</v>
      </c>
      <c r="AS239" s="231">
        <f t="shared" si="36"/>
        <v>52</v>
      </c>
      <c r="AT239" s="239">
        <f>IF(G239="CERVECERIA Y MALTERIA",(AS239*AK239/1000000)*(1-VLOOKUP(N239,FCST!D:I,6,FALSE)),0)</f>
        <v>18.949632000000001</v>
      </c>
      <c r="AU239" s="232">
        <v>5.0000000000000001E-3</v>
      </c>
      <c r="AV239" s="239">
        <f t="shared" si="37"/>
        <v>19.044380159999999</v>
      </c>
      <c r="AW239" s="239">
        <f>(AS239*AK239/1000000)*(VLOOKUP(N239,FCST!D:I,6,FALSE))</f>
        <v>0</v>
      </c>
      <c r="AX239" s="239">
        <f t="shared" si="38"/>
        <v>0</v>
      </c>
      <c r="AY239" s="239">
        <f>IF($G239="CERVECERIA Y MALTERIA.",($AS239*$AK239/1000000)*(1-VLOOKUP($N239,FCST!D:I,6,FALSE)),0)</f>
        <v>0</v>
      </c>
      <c r="AZ239" s="239">
        <f t="shared" si="39"/>
        <v>0</v>
      </c>
    </row>
    <row r="240" spans="1:52" x14ac:dyDescent="0.25">
      <c r="A240" s="209">
        <v>1087104</v>
      </c>
      <c r="B240" s="209">
        <v>50</v>
      </c>
      <c r="C240" s="209">
        <v>89321846</v>
      </c>
      <c r="D240" s="209">
        <v>10</v>
      </c>
      <c r="E240" s="209">
        <v>10000002</v>
      </c>
      <c r="F240" s="209">
        <v>20000335</v>
      </c>
      <c r="G240" s="209" t="s">
        <v>105</v>
      </c>
      <c r="H240" s="209">
        <v>20000335</v>
      </c>
      <c r="I240" s="209">
        <v>2</v>
      </c>
      <c r="J240" s="209" t="s">
        <v>169</v>
      </c>
      <c r="K240" s="209" t="s">
        <v>558</v>
      </c>
      <c r="L240" s="209" t="s">
        <v>171</v>
      </c>
      <c r="M240" s="209" t="s">
        <v>184</v>
      </c>
      <c r="N240" s="209">
        <v>50037042</v>
      </c>
      <c r="O240" s="209" t="s">
        <v>543</v>
      </c>
      <c r="P240" s="209">
        <v>5121</v>
      </c>
      <c r="Q240" s="209" t="s">
        <v>174</v>
      </c>
      <c r="R240" s="209" t="s">
        <v>175</v>
      </c>
      <c r="S240" s="209" t="s">
        <v>176</v>
      </c>
      <c r="T240" s="209" t="s">
        <v>177</v>
      </c>
      <c r="U240" s="209" t="s">
        <v>178</v>
      </c>
      <c r="V240" s="209" t="s">
        <v>179</v>
      </c>
      <c r="W240" s="209" t="s">
        <v>179</v>
      </c>
      <c r="X240" s="209" t="s">
        <v>180</v>
      </c>
      <c r="Y240" s="209" t="s">
        <v>180</v>
      </c>
      <c r="Z240" s="209">
        <v>9521066883</v>
      </c>
      <c r="AA240" s="209" t="s">
        <v>544</v>
      </c>
      <c r="AB240" s="209" t="s">
        <v>180</v>
      </c>
      <c r="AC240" s="209" t="s">
        <v>182</v>
      </c>
      <c r="AD240" s="209">
        <v>11</v>
      </c>
      <c r="AE240" s="209">
        <v>2024</v>
      </c>
      <c r="AF240" s="227">
        <v>45618</v>
      </c>
      <c r="AG240" s="227">
        <v>45622</v>
      </c>
      <c r="AH240" s="227">
        <v>45622</v>
      </c>
      <c r="AI240" s="228">
        <v>426816</v>
      </c>
      <c r="AJ240" s="228">
        <v>52</v>
      </c>
      <c r="AK240" s="228">
        <v>426816</v>
      </c>
      <c r="AL240" s="228">
        <v>52</v>
      </c>
      <c r="AM240" s="228">
        <v>0</v>
      </c>
      <c r="AN240" s="228">
        <v>0</v>
      </c>
      <c r="AO240" s="229">
        <v>48</v>
      </c>
      <c r="AP240" s="231">
        <v>11</v>
      </c>
      <c r="AQ240" s="231">
        <v>2024</v>
      </c>
      <c r="AR240" s="231" t="str">
        <f t="shared" si="35"/>
        <v>11/2024</v>
      </c>
      <c r="AS240" s="231">
        <f t="shared" si="36"/>
        <v>46.6</v>
      </c>
      <c r="AT240" s="239">
        <f>IF(G240="CERVECERIA Y MALTERIA",(AS240*AK240/1000000)*(1-VLOOKUP(N240,FCST!D:I,6,FALSE)),0)</f>
        <v>15.911700480000002</v>
      </c>
      <c r="AU240" s="232">
        <v>5.0000000000000001E-3</v>
      </c>
      <c r="AV240" s="239">
        <f t="shared" si="37"/>
        <v>15.9912589824</v>
      </c>
      <c r="AW240" s="239">
        <f>(AS240*AK240/1000000)*(VLOOKUP(N240,FCST!D:I,6,FALSE))</f>
        <v>3.9779251200000005</v>
      </c>
      <c r="AX240" s="239">
        <f t="shared" si="38"/>
        <v>3.9978147455999999</v>
      </c>
      <c r="AY240" s="239">
        <f>IF($G240="CERVECERIA Y MALTERIA.",($AS240*$AK240/1000000)*(1-VLOOKUP($N240,FCST!D:I,6,FALSE)),0)</f>
        <v>0</v>
      </c>
      <c r="AZ240" s="239">
        <f t="shared" si="39"/>
        <v>0</v>
      </c>
    </row>
    <row r="241" spans="1:52" x14ac:dyDescent="0.25">
      <c r="A241" s="209">
        <v>1087104</v>
      </c>
      <c r="B241" s="209">
        <v>60</v>
      </c>
      <c r="C241" s="209">
        <v>89322086</v>
      </c>
      <c r="D241" s="209">
        <v>10</v>
      </c>
      <c r="E241" s="209">
        <v>10000002</v>
      </c>
      <c r="F241" s="209">
        <v>20000335</v>
      </c>
      <c r="G241" s="209" t="s">
        <v>105</v>
      </c>
      <c r="H241" s="209">
        <v>20000335</v>
      </c>
      <c r="I241" s="209">
        <v>2</v>
      </c>
      <c r="J241" s="209" t="s">
        <v>169</v>
      </c>
      <c r="K241" s="209" t="s">
        <v>559</v>
      </c>
      <c r="L241" s="209" t="s">
        <v>171</v>
      </c>
      <c r="M241" s="209" t="s">
        <v>199</v>
      </c>
      <c r="N241" s="209">
        <v>50032573</v>
      </c>
      <c r="O241" s="209" t="s">
        <v>173</v>
      </c>
      <c r="P241" s="209">
        <v>5121</v>
      </c>
      <c r="Q241" s="209" t="s">
        <v>200</v>
      </c>
      <c r="R241" s="209" t="s">
        <v>201</v>
      </c>
      <c r="S241" s="209" t="s">
        <v>202</v>
      </c>
      <c r="T241" s="209" t="s">
        <v>203</v>
      </c>
      <c r="U241" s="209" t="s">
        <v>201</v>
      </c>
      <c r="V241" s="209" t="s">
        <v>179</v>
      </c>
      <c r="W241" s="209" t="s">
        <v>179</v>
      </c>
      <c r="X241" s="209" t="s">
        <v>180</v>
      </c>
      <c r="Y241" s="209" t="s">
        <v>180</v>
      </c>
      <c r="Z241" s="209">
        <v>9521066881</v>
      </c>
      <c r="AA241" s="209" t="s">
        <v>548</v>
      </c>
      <c r="AB241" s="209" t="s">
        <v>180</v>
      </c>
      <c r="AC241" s="209" t="s">
        <v>182</v>
      </c>
      <c r="AD241" s="209">
        <v>11</v>
      </c>
      <c r="AE241" s="209">
        <v>2024</v>
      </c>
      <c r="AF241" s="227">
        <v>45618</v>
      </c>
      <c r="AG241" s="227">
        <v>45622</v>
      </c>
      <c r="AH241" s="227">
        <v>45622</v>
      </c>
      <c r="AI241" s="228">
        <v>531648</v>
      </c>
      <c r="AJ241" s="228">
        <v>52</v>
      </c>
      <c r="AK241" s="228">
        <v>531648</v>
      </c>
      <c r="AL241" s="228">
        <v>52</v>
      </c>
      <c r="AM241" s="228">
        <v>0</v>
      </c>
      <c r="AN241" s="228">
        <v>0</v>
      </c>
      <c r="AO241" s="229">
        <v>48</v>
      </c>
      <c r="AP241" s="231">
        <v>11</v>
      </c>
      <c r="AQ241" s="231">
        <v>2024</v>
      </c>
      <c r="AR241" s="231" t="str">
        <f t="shared" si="35"/>
        <v>11/2024</v>
      </c>
      <c r="AS241" s="231">
        <f t="shared" si="36"/>
        <v>37.200000000000003</v>
      </c>
      <c r="AT241" s="239">
        <f>IF(G241="CERVECERIA Y MALTERIA",(AS241*AK241/1000000)*(1-VLOOKUP(N241,FCST!D:I,6,FALSE)),0)</f>
        <v>19.777305600000002</v>
      </c>
      <c r="AU241" s="232">
        <v>5.0000000000000001E-3</v>
      </c>
      <c r="AV241" s="239">
        <f t="shared" si="37"/>
        <v>19.876192128</v>
      </c>
      <c r="AW241" s="239">
        <f>(AS241*AK241/1000000)*(VLOOKUP(N241,FCST!D:I,6,FALSE))</f>
        <v>0</v>
      </c>
      <c r="AX241" s="239">
        <f t="shared" si="38"/>
        <v>0</v>
      </c>
      <c r="AY241" s="239">
        <f>IF($G241="CERVECERIA Y MALTERIA.",($AS241*$AK241/1000000)*(1-VLOOKUP($N241,FCST!D:I,6,FALSE)),0)</f>
        <v>0</v>
      </c>
      <c r="AZ241" s="239">
        <f t="shared" si="39"/>
        <v>0</v>
      </c>
    </row>
    <row r="242" spans="1:52" x14ac:dyDescent="0.25">
      <c r="A242" s="209">
        <v>1087105</v>
      </c>
      <c r="B242" s="209">
        <v>10</v>
      </c>
      <c r="C242" s="209">
        <v>89321554</v>
      </c>
      <c r="D242" s="209">
        <v>10</v>
      </c>
      <c r="E242" s="209">
        <v>10000002</v>
      </c>
      <c r="F242" s="209">
        <v>20000340</v>
      </c>
      <c r="G242" s="209" t="s">
        <v>117</v>
      </c>
      <c r="H242" s="209">
        <v>20000340</v>
      </c>
      <c r="I242" s="209">
        <v>2</v>
      </c>
      <c r="J242" s="209" t="s">
        <v>169</v>
      </c>
      <c r="K242" s="209" t="s">
        <v>560</v>
      </c>
      <c r="L242" s="209" t="s">
        <v>171</v>
      </c>
      <c r="M242" s="209" t="s">
        <v>184</v>
      </c>
      <c r="N242" s="209">
        <v>50027468</v>
      </c>
      <c r="O242" s="209" t="s">
        <v>285</v>
      </c>
      <c r="P242" s="209">
        <v>5101</v>
      </c>
      <c r="Q242" s="209" t="s">
        <v>186</v>
      </c>
      <c r="R242" s="209" t="s">
        <v>175</v>
      </c>
      <c r="S242" s="209" t="s">
        <v>176</v>
      </c>
      <c r="T242" s="209" t="s">
        <v>187</v>
      </c>
      <c r="U242" s="209" t="s">
        <v>188</v>
      </c>
      <c r="V242" s="209" t="s">
        <v>179</v>
      </c>
      <c r="W242" s="209" t="s">
        <v>179</v>
      </c>
      <c r="X242" s="209" t="s">
        <v>180</v>
      </c>
      <c r="Y242" s="209" t="s">
        <v>180</v>
      </c>
      <c r="Z242" s="209">
        <v>9511047125</v>
      </c>
      <c r="AA242" s="209" t="s">
        <v>561</v>
      </c>
      <c r="AB242" s="209" t="s">
        <v>180</v>
      </c>
      <c r="AC242" s="209" t="s">
        <v>182</v>
      </c>
      <c r="AD242" s="209">
        <v>11</v>
      </c>
      <c r="AE242" s="209">
        <v>2024</v>
      </c>
      <c r="AF242" s="227">
        <v>45618</v>
      </c>
      <c r="AG242" s="227">
        <v>45622</v>
      </c>
      <c r="AH242" s="227">
        <v>45622</v>
      </c>
      <c r="AI242" s="228">
        <v>399360</v>
      </c>
      <c r="AJ242" s="228">
        <v>52</v>
      </c>
      <c r="AK242" s="228">
        <v>399360</v>
      </c>
      <c r="AL242" s="228">
        <v>52</v>
      </c>
      <c r="AM242" s="228">
        <v>0</v>
      </c>
      <c r="AN242" s="228">
        <v>0</v>
      </c>
      <c r="AO242" s="229">
        <v>48</v>
      </c>
      <c r="AP242" s="231">
        <v>11</v>
      </c>
      <c r="AQ242" s="231">
        <v>2024</v>
      </c>
      <c r="AR242" s="231" t="str">
        <f t="shared" si="35"/>
        <v>11/2024</v>
      </c>
      <c r="AS242" s="231">
        <f t="shared" si="36"/>
        <v>52</v>
      </c>
      <c r="AT242" s="239">
        <f>IF(G242="CERVECERIA Y MALTERIA",(AS242*AK242/1000000)*(1-VLOOKUP(N242,FCST!D:I,6,FALSE)),0)</f>
        <v>0</v>
      </c>
      <c r="AU242" s="232">
        <v>5.0000000000000001E-3</v>
      </c>
      <c r="AV242" s="239">
        <f t="shared" si="37"/>
        <v>0</v>
      </c>
      <c r="AW242" s="239">
        <f>(AS242*AK242/1000000)*(VLOOKUP(N242,FCST!D:I,6,FALSE))</f>
        <v>0</v>
      </c>
      <c r="AX242" s="239">
        <f t="shared" si="38"/>
        <v>0</v>
      </c>
      <c r="AY242" s="239">
        <f>IF($G242="CERVECERIA Y MALTERIA.",($AS242*$AK242/1000000)*(1-VLOOKUP($N242,FCST!D:I,6,FALSE)),0)</f>
        <v>20.766719999999999</v>
      </c>
      <c r="AZ242" s="239">
        <f t="shared" si="39"/>
        <v>20.870553599999997</v>
      </c>
    </row>
    <row r="243" spans="1:52" x14ac:dyDescent="0.25">
      <c r="A243" s="209">
        <v>1086914</v>
      </c>
      <c r="B243" s="209">
        <v>10</v>
      </c>
      <c r="C243" s="209">
        <v>89319366</v>
      </c>
      <c r="D243" s="209">
        <v>10</v>
      </c>
      <c r="E243" s="209">
        <v>10000002</v>
      </c>
      <c r="F243" s="209">
        <v>20000337</v>
      </c>
      <c r="G243" s="209" t="s">
        <v>105</v>
      </c>
      <c r="H243" s="209">
        <v>20000337</v>
      </c>
      <c r="I243" s="209">
        <v>2</v>
      </c>
      <c r="J243" s="209" t="s">
        <v>169</v>
      </c>
      <c r="K243" s="209" t="s">
        <v>562</v>
      </c>
      <c r="L243" s="209" t="s">
        <v>556</v>
      </c>
      <c r="M243" s="209" t="s">
        <v>199</v>
      </c>
      <c r="N243" s="209">
        <v>50032583</v>
      </c>
      <c r="O243" s="209" t="s">
        <v>205</v>
      </c>
      <c r="P243" s="209">
        <v>5121</v>
      </c>
      <c r="Q243" s="209" t="s">
        <v>200</v>
      </c>
      <c r="R243" s="209" t="s">
        <v>201</v>
      </c>
      <c r="S243" s="209" t="s">
        <v>202</v>
      </c>
      <c r="T243" s="209" t="s">
        <v>203</v>
      </c>
      <c r="U243" s="209" t="s">
        <v>201</v>
      </c>
      <c r="V243" s="209" t="s">
        <v>179</v>
      </c>
      <c r="W243" s="209" t="s">
        <v>179</v>
      </c>
      <c r="X243" s="209" t="s">
        <v>180</v>
      </c>
      <c r="Y243" s="209" t="s">
        <v>180</v>
      </c>
      <c r="Z243" s="209">
        <v>9521066893</v>
      </c>
      <c r="AA243" s="209" t="s">
        <v>563</v>
      </c>
      <c r="AB243" s="209" t="s">
        <v>180</v>
      </c>
      <c r="AC243" s="209" t="s">
        <v>182</v>
      </c>
      <c r="AD243" s="209">
        <v>11</v>
      </c>
      <c r="AE243" s="209">
        <v>2024</v>
      </c>
      <c r="AF243" s="227">
        <v>45617</v>
      </c>
      <c r="AG243" s="227">
        <v>45618</v>
      </c>
      <c r="AH243" s="227">
        <v>45618</v>
      </c>
      <c r="AI243" s="228">
        <v>351936</v>
      </c>
      <c r="AJ243" s="228">
        <v>52</v>
      </c>
      <c r="AK243" s="228">
        <v>351936</v>
      </c>
      <c r="AL243" s="228">
        <v>52</v>
      </c>
      <c r="AM243" s="228">
        <v>0</v>
      </c>
      <c r="AN243" s="228">
        <v>0</v>
      </c>
      <c r="AO243" s="229">
        <v>47</v>
      </c>
      <c r="AP243" s="231">
        <v>11</v>
      </c>
      <c r="AQ243" s="231">
        <v>2024</v>
      </c>
      <c r="AR243" s="231" t="str">
        <f t="shared" si="35"/>
        <v>11/2024</v>
      </c>
      <c r="AS243" s="231">
        <f t="shared" si="36"/>
        <v>54.7</v>
      </c>
      <c r="AT243" s="239">
        <f>IF(G243="CERVECERIA Y MALTERIA",(AS243*AK243/1000000)*(1-VLOOKUP(N243,FCST!D:I,6,FALSE)),0)</f>
        <v>19.250899199999999</v>
      </c>
      <c r="AU243" s="232">
        <v>5.0000000000000001E-3</v>
      </c>
      <c r="AV243" s="239">
        <f t="shared" si="37"/>
        <v>19.347153695999996</v>
      </c>
      <c r="AW243" s="239">
        <f>(AS243*AK243/1000000)*(VLOOKUP(N243,FCST!D:I,6,FALSE))</f>
        <v>0</v>
      </c>
      <c r="AX243" s="239">
        <f t="shared" si="38"/>
        <v>0</v>
      </c>
      <c r="AY243" s="239">
        <f>IF($G243="CERVECERIA Y MALTERIA.",($AS243*$AK243/1000000)*(1-VLOOKUP($N243,FCST!D:I,6,FALSE)),0)</f>
        <v>0</v>
      </c>
      <c r="AZ243" s="239">
        <f t="shared" si="39"/>
        <v>0</v>
      </c>
    </row>
    <row r="244" spans="1:52" x14ac:dyDescent="0.25">
      <c r="A244" s="209">
        <v>1085747</v>
      </c>
      <c r="B244" s="209">
        <v>40</v>
      </c>
      <c r="C244" s="209">
        <v>89317482</v>
      </c>
      <c r="D244" s="209">
        <v>10</v>
      </c>
      <c r="E244" s="209">
        <v>10000002</v>
      </c>
      <c r="F244" s="209">
        <v>20000335</v>
      </c>
      <c r="G244" s="209" t="s">
        <v>105</v>
      </c>
      <c r="H244" s="209">
        <v>20000335</v>
      </c>
      <c r="I244" s="209">
        <v>2</v>
      </c>
      <c r="J244" s="209" t="s">
        <v>169</v>
      </c>
      <c r="K244" s="209" t="s">
        <v>564</v>
      </c>
      <c r="L244" s="209" t="s">
        <v>171</v>
      </c>
      <c r="M244" s="209" t="s">
        <v>172</v>
      </c>
      <c r="N244" s="209">
        <v>50034574</v>
      </c>
      <c r="O244" s="209" t="s">
        <v>196</v>
      </c>
      <c r="P244" s="209">
        <v>5121</v>
      </c>
      <c r="Q244" s="209" t="s">
        <v>174</v>
      </c>
      <c r="R244" s="209" t="s">
        <v>175</v>
      </c>
      <c r="S244" s="209" t="s">
        <v>176</v>
      </c>
      <c r="T244" s="209" t="s">
        <v>177</v>
      </c>
      <c r="U244" s="209" t="s">
        <v>178</v>
      </c>
      <c r="V244" s="209" t="s">
        <v>179</v>
      </c>
      <c r="W244" s="209" t="s">
        <v>179</v>
      </c>
      <c r="X244" s="209" t="s">
        <v>180</v>
      </c>
      <c r="Y244" s="209" t="s">
        <v>180</v>
      </c>
      <c r="Z244" s="209">
        <v>9521066884</v>
      </c>
      <c r="AA244" s="209" t="s">
        <v>539</v>
      </c>
      <c r="AB244" s="209" t="s">
        <v>180</v>
      </c>
      <c r="AC244" s="209" t="s">
        <v>182</v>
      </c>
      <c r="AD244" s="209">
        <v>11</v>
      </c>
      <c r="AE244" s="209">
        <v>2024</v>
      </c>
      <c r="AF244" s="227">
        <v>45611</v>
      </c>
      <c r="AG244" s="227">
        <v>45616</v>
      </c>
      <c r="AH244" s="227">
        <v>45616</v>
      </c>
      <c r="AI244" s="228">
        <v>864432</v>
      </c>
      <c r="AJ244" s="228">
        <v>46</v>
      </c>
      <c r="AK244" s="228">
        <v>864432</v>
      </c>
      <c r="AL244" s="228">
        <v>46</v>
      </c>
      <c r="AM244" s="228">
        <v>0</v>
      </c>
      <c r="AN244" s="228">
        <v>0</v>
      </c>
      <c r="AO244" s="229">
        <v>47</v>
      </c>
      <c r="AP244" s="231">
        <v>11</v>
      </c>
      <c r="AQ244" s="231">
        <v>2024</v>
      </c>
      <c r="AR244" s="231" t="str">
        <f t="shared" si="35"/>
        <v>11/2024</v>
      </c>
      <c r="AS244" s="231">
        <f t="shared" si="36"/>
        <v>19.5</v>
      </c>
      <c r="AT244" s="239">
        <f>IF(G244="CERVECERIA Y MALTERIA",(AS244*AK244/1000000)*(1-VLOOKUP(N244,FCST!D:I,6,FALSE)),0)</f>
        <v>16.856424000000001</v>
      </c>
      <c r="AU244" s="232">
        <v>5.0000000000000001E-3</v>
      </c>
      <c r="AV244" s="239">
        <f t="shared" si="37"/>
        <v>16.940706119999998</v>
      </c>
      <c r="AW244" s="239">
        <f>(AS244*AK244/1000000)*(VLOOKUP(N244,FCST!D:I,6,FALSE))</f>
        <v>0</v>
      </c>
      <c r="AX244" s="239">
        <f t="shared" si="38"/>
        <v>0</v>
      </c>
      <c r="AY244" s="239">
        <f>IF($G244="CERVECERIA Y MALTERIA.",($AS244*$AK244/1000000)*(1-VLOOKUP($N244,FCST!D:I,6,FALSE)),0)</f>
        <v>0</v>
      </c>
      <c r="AZ244" s="239">
        <f t="shared" si="39"/>
        <v>0</v>
      </c>
    </row>
    <row r="245" spans="1:52" x14ac:dyDescent="0.25">
      <c r="A245" s="209">
        <v>1085749</v>
      </c>
      <c r="B245" s="209">
        <v>10</v>
      </c>
      <c r="C245" s="209">
        <v>89317484</v>
      </c>
      <c r="D245" s="209">
        <v>10</v>
      </c>
      <c r="E245" s="209">
        <v>10000002</v>
      </c>
      <c r="F245" s="209">
        <v>20000340</v>
      </c>
      <c r="G245" s="209" t="s">
        <v>117</v>
      </c>
      <c r="H245" s="209">
        <v>20000340</v>
      </c>
      <c r="I245" s="209">
        <v>2</v>
      </c>
      <c r="J245" s="209" t="s">
        <v>169</v>
      </c>
      <c r="K245" s="209" t="s">
        <v>565</v>
      </c>
      <c r="L245" s="209" t="s">
        <v>171</v>
      </c>
      <c r="M245" s="209" t="s">
        <v>172</v>
      </c>
      <c r="N245" s="209">
        <v>50027468</v>
      </c>
      <c r="O245" s="209" t="s">
        <v>285</v>
      </c>
      <c r="P245" s="209">
        <v>5101</v>
      </c>
      <c r="Q245" s="209" t="s">
        <v>186</v>
      </c>
      <c r="R245" s="209" t="s">
        <v>175</v>
      </c>
      <c r="S245" s="209" t="s">
        <v>176</v>
      </c>
      <c r="T245" s="209" t="s">
        <v>187</v>
      </c>
      <c r="U245" s="209" t="s">
        <v>188</v>
      </c>
      <c r="V245" s="209" t="s">
        <v>179</v>
      </c>
      <c r="W245" s="209" t="s">
        <v>179</v>
      </c>
      <c r="X245" s="209" t="s">
        <v>180</v>
      </c>
      <c r="Y245" s="209" t="s">
        <v>180</v>
      </c>
      <c r="Z245" s="209">
        <v>9511047125</v>
      </c>
      <c r="AA245" s="209" t="s">
        <v>561</v>
      </c>
      <c r="AB245" s="209" t="s">
        <v>180</v>
      </c>
      <c r="AC245" s="209" t="s">
        <v>182</v>
      </c>
      <c r="AD245" s="209">
        <v>11</v>
      </c>
      <c r="AE245" s="209">
        <v>2024</v>
      </c>
      <c r="AF245" s="227">
        <v>45611</v>
      </c>
      <c r="AG245" s="227">
        <v>45616</v>
      </c>
      <c r="AH245" s="227">
        <v>45616</v>
      </c>
      <c r="AI245" s="228">
        <v>42048</v>
      </c>
      <c r="AJ245" s="228">
        <v>5</v>
      </c>
      <c r="AK245" s="228">
        <v>46080</v>
      </c>
      <c r="AL245" s="228">
        <v>6</v>
      </c>
      <c r="AM245" s="228">
        <v>0</v>
      </c>
      <c r="AN245" s="228">
        <v>-4032</v>
      </c>
      <c r="AO245" s="229">
        <v>47</v>
      </c>
      <c r="AP245" s="231">
        <v>11</v>
      </c>
      <c r="AQ245" s="231">
        <v>2024</v>
      </c>
      <c r="AR245" s="231" t="str">
        <f t="shared" si="35"/>
        <v>11/2024</v>
      </c>
      <c r="AS245" s="231">
        <f t="shared" si="36"/>
        <v>52</v>
      </c>
      <c r="AT245" s="239">
        <f>IF(G245="CERVECERIA Y MALTERIA",(AS245*AK245/1000000)*(1-VLOOKUP(N245,FCST!D:I,6,FALSE)),0)</f>
        <v>0</v>
      </c>
      <c r="AU245" s="232">
        <v>5.0000000000000001E-3</v>
      </c>
      <c r="AV245" s="239">
        <f t="shared" si="37"/>
        <v>0</v>
      </c>
      <c r="AW245" s="239">
        <f>(AS245*AK245/1000000)*(VLOOKUP(N245,FCST!D:I,6,FALSE))</f>
        <v>0</v>
      </c>
      <c r="AX245" s="239">
        <f t="shared" si="38"/>
        <v>0</v>
      </c>
      <c r="AY245" s="239">
        <f>IF($G245="CERVECERIA Y MALTERIA.",($AS245*$AK245/1000000)*(1-VLOOKUP($N245,FCST!D:I,6,FALSE)),0)</f>
        <v>2.3961600000000001</v>
      </c>
      <c r="AZ245" s="239">
        <f t="shared" si="39"/>
        <v>2.4081408</v>
      </c>
    </row>
    <row r="246" spans="1:52" x14ac:dyDescent="0.25">
      <c r="A246" s="209">
        <v>1085747</v>
      </c>
      <c r="B246" s="209">
        <v>60</v>
      </c>
      <c r="C246" s="209">
        <v>89317503</v>
      </c>
      <c r="D246" s="209">
        <v>10</v>
      </c>
      <c r="E246" s="209">
        <v>10000002</v>
      </c>
      <c r="F246" s="209">
        <v>20000335</v>
      </c>
      <c r="G246" s="209" t="s">
        <v>105</v>
      </c>
      <c r="H246" s="209">
        <v>20000335</v>
      </c>
      <c r="I246" s="209">
        <v>2</v>
      </c>
      <c r="J246" s="209" t="s">
        <v>169</v>
      </c>
      <c r="K246" s="209" t="s">
        <v>566</v>
      </c>
      <c r="L246" s="209" t="s">
        <v>171</v>
      </c>
      <c r="M246" s="209" t="s">
        <v>199</v>
      </c>
      <c r="N246" s="209">
        <v>50034616</v>
      </c>
      <c r="O246" s="209" t="s">
        <v>191</v>
      </c>
      <c r="P246" s="209">
        <v>5121</v>
      </c>
      <c r="Q246" s="209" t="s">
        <v>200</v>
      </c>
      <c r="R246" s="209" t="s">
        <v>201</v>
      </c>
      <c r="S246" s="209" t="s">
        <v>202</v>
      </c>
      <c r="T246" s="209" t="s">
        <v>203</v>
      </c>
      <c r="U246" s="209" t="s">
        <v>201</v>
      </c>
      <c r="V246" s="209" t="s">
        <v>179</v>
      </c>
      <c r="W246" s="209" t="s">
        <v>179</v>
      </c>
      <c r="X246" s="209" t="s">
        <v>180</v>
      </c>
      <c r="Y246" s="209" t="s">
        <v>180</v>
      </c>
      <c r="Z246" s="209">
        <v>9521066882</v>
      </c>
      <c r="AA246" s="209" t="s">
        <v>567</v>
      </c>
      <c r="AB246" s="209" t="s">
        <v>180</v>
      </c>
      <c r="AC246" s="209" t="s">
        <v>182</v>
      </c>
      <c r="AD246" s="209">
        <v>11</v>
      </c>
      <c r="AE246" s="209">
        <v>2024</v>
      </c>
      <c r="AF246" s="227">
        <v>45611</v>
      </c>
      <c r="AG246" s="227">
        <v>45616</v>
      </c>
      <c r="AH246" s="227">
        <v>45616</v>
      </c>
      <c r="AI246" s="228">
        <v>426816</v>
      </c>
      <c r="AJ246" s="228">
        <v>52</v>
      </c>
      <c r="AK246" s="228">
        <v>426816</v>
      </c>
      <c r="AL246" s="228">
        <v>52</v>
      </c>
      <c r="AM246" s="228">
        <v>0</v>
      </c>
      <c r="AN246" s="228">
        <v>0</v>
      </c>
      <c r="AO246" s="229">
        <v>47</v>
      </c>
      <c r="AP246" s="231">
        <v>11</v>
      </c>
      <c r="AQ246" s="231">
        <v>2024</v>
      </c>
      <c r="AR246" s="231" t="str">
        <f t="shared" si="35"/>
        <v>11/2024</v>
      </c>
      <c r="AS246" s="231">
        <f t="shared" si="36"/>
        <v>46.6</v>
      </c>
      <c r="AT246" s="239">
        <f>IF(G246="CERVECERIA Y MALTERIA",(AS246*AK246/1000000)*(1-VLOOKUP(N246,FCST!D:I,6,FALSE)),0)</f>
        <v>19.889625600000002</v>
      </c>
      <c r="AU246" s="232">
        <v>5.0000000000000001E-3</v>
      </c>
      <c r="AV246" s="239">
        <f t="shared" si="37"/>
        <v>19.989073728000001</v>
      </c>
      <c r="AW246" s="239">
        <f>(AS246*AK246/1000000)*(VLOOKUP(N246,FCST!D:I,6,FALSE))</f>
        <v>0</v>
      </c>
      <c r="AX246" s="239">
        <f t="shared" si="38"/>
        <v>0</v>
      </c>
      <c r="AY246" s="239">
        <f>IF($G246="CERVECERIA Y MALTERIA.",($AS246*$AK246/1000000)*(1-VLOOKUP($N246,FCST!D:I,6,FALSE)),0)</f>
        <v>0</v>
      </c>
      <c r="AZ246" s="239">
        <f t="shared" si="39"/>
        <v>0</v>
      </c>
    </row>
    <row r="247" spans="1:52" x14ac:dyDescent="0.25">
      <c r="A247" s="209">
        <v>1085724</v>
      </c>
      <c r="B247" s="209">
        <v>10</v>
      </c>
      <c r="C247" s="209">
        <v>89317598</v>
      </c>
      <c r="D247" s="209">
        <v>10</v>
      </c>
      <c r="E247" s="209">
        <v>10000002</v>
      </c>
      <c r="F247" s="209">
        <v>20000336</v>
      </c>
      <c r="G247" s="209" t="s">
        <v>105</v>
      </c>
      <c r="H247" s="209">
        <v>20000336</v>
      </c>
      <c r="I247" s="209">
        <v>2</v>
      </c>
      <c r="J247" s="209" t="s">
        <v>169</v>
      </c>
      <c r="K247" s="209" t="s">
        <v>568</v>
      </c>
      <c r="L247" s="209" t="s">
        <v>556</v>
      </c>
      <c r="M247" s="209" t="s">
        <v>172</v>
      </c>
      <c r="N247" s="209">
        <v>50034194</v>
      </c>
      <c r="O247" s="209" t="s">
        <v>276</v>
      </c>
      <c r="P247" s="209">
        <v>5121</v>
      </c>
      <c r="Q247" s="209" t="s">
        <v>174</v>
      </c>
      <c r="R247" s="209" t="s">
        <v>175</v>
      </c>
      <c r="S247" s="209" t="s">
        <v>176</v>
      </c>
      <c r="T247" s="209" t="s">
        <v>177</v>
      </c>
      <c r="U247" s="209" t="s">
        <v>178</v>
      </c>
      <c r="V247" s="209" t="s">
        <v>179</v>
      </c>
      <c r="W247" s="209" t="s">
        <v>179</v>
      </c>
      <c r="X247" s="209" t="s">
        <v>180</v>
      </c>
      <c r="Y247" s="209" t="s">
        <v>180</v>
      </c>
      <c r="Z247" s="209">
        <v>9521066887</v>
      </c>
      <c r="AA247" s="209" t="s">
        <v>569</v>
      </c>
      <c r="AB247" s="209" t="s">
        <v>180</v>
      </c>
      <c r="AC247" s="209" t="s">
        <v>182</v>
      </c>
      <c r="AD247" s="209">
        <v>11</v>
      </c>
      <c r="AE247" s="209">
        <v>2024</v>
      </c>
      <c r="AF247" s="227">
        <v>45611</v>
      </c>
      <c r="AG247" s="227">
        <v>45616</v>
      </c>
      <c r="AH247" s="227">
        <v>45616</v>
      </c>
      <c r="AI247" s="228">
        <v>316992</v>
      </c>
      <c r="AJ247" s="228">
        <v>52</v>
      </c>
      <c r="AK247" s="228">
        <v>316992</v>
      </c>
      <c r="AL247" s="228">
        <v>52</v>
      </c>
      <c r="AM247" s="228">
        <v>0</v>
      </c>
      <c r="AN247" s="228">
        <v>0</v>
      </c>
      <c r="AO247" s="229">
        <v>47</v>
      </c>
      <c r="AP247" s="231">
        <v>11</v>
      </c>
      <c r="AQ247" s="231">
        <v>2024</v>
      </c>
      <c r="AR247" s="231" t="str">
        <f t="shared" si="35"/>
        <v>11/2024</v>
      </c>
      <c r="AS247" s="231">
        <f t="shared" si="36"/>
        <v>62</v>
      </c>
      <c r="AT247" s="239">
        <f>IF(G247="CERVECERIA Y MALTERIA",(AS247*AK247/1000000)*(1-VLOOKUP(N247,FCST!D:I,6,FALSE)),0)</f>
        <v>19.653504000000002</v>
      </c>
      <c r="AU247" s="232">
        <v>5.0000000000000001E-3</v>
      </c>
      <c r="AV247" s="239">
        <f t="shared" si="37"/>
        <v>19.751771519999998</v>
      </c>
      <c r="AW247" s="239">
        <f>(AS247*AK247/1000000)*(VLOOKUP(N247,FCST!D:I,6,FALSE))</f>
        <v>0</v>
      </c>
      <c r="AX247" s="239">
        <f t="shared" si="38"/>
        <v>0</v>
      </c>
      <c r="AY247" s="239">
        <f>IF($G247="CERVECERIA Y MALTERIA.",($AS247*$AK247/1000000)*(1-VLOOKUP($N247,FCST!D:I,6,FALSE)),0)</f>
        <v>0</v>
      </c>
      <c r="AZ247" s="239">
        <f t="shared" si="39"/>
        <v>0</v>
      </c>
    </row>
    <row r="248" spans="1:52" x14ac:dyDescent="0.25">
      <c r="A248" s="209">
        <v>1085749</v>
      </c>
      <c r="B248" s="209">
        <v>20</v>
      </c>
      <c r="C248" s="209">
        <v>89317766</v>
      </c>
      <c r="D248" s="209">
        <v>10</v>
      </c>
      <c r="E248" s="209">
        <v>10000002</v>
      </c>
      <c r="F248" s="209">
        <v>20000340</v>
      </c>
      <c r="G248" s="209" t="s">
        <v>117</v>
      </c>
      <c r="H248" s="209">
        <v>20000340</v>
      </c>
      <c r="I248" s="209">
        <v>2</v>
      </c>
      <c r="J248" s="209" t="s">
        <v>169</v>
      </c>
      <c r="K248" s="209" t="s">
        <v>570</v>
      </c>
      <c r="L248" s="209" t="s">
        <v>171</v>
      </c>
      <c r="M248" s="209" t="s">
        <v>172</v>
      </c>
      <c r="N248" s="209">
        <v>50027468</v>
      </c>
      <c r="O248" s="209" t="s">
        <v>285</v>
      </c>
      <c r="P248" s="209">
        <v>5101</v>
      </c>
      <c r="Q248" s="209" t="s">
        <v>186</v>
      </c>
      <c r="R248" s="209" t="s">
        <v>175</v>
      </c>
      <c r="S248" s="209" t="s">
        <v>176</v>
      </c>
      <c r="T248" s="209" t="s">
        <v>187</v>
      </c>
      <c r="U248" s="209" t="s">
        <v>188</v>
      </c>
      <c r="V248" s="209" t="s">
        <v>179</v>
      </c>
      <c r="W248" s="209" t="s">
        <v>179</v>
      </c>
      <c r="X248" s="209" t="s">
        <v>180</v>
      </c>
      <c r="Y248" s="209" t="s">
        <v>180</v>
      </c>
      <c r="Z248" s="209">
        <v>9511047125</v>
      </c>
      <c r="AA248" s="209" t="s">
        <v>561</v>
      </c>
      <c r="AB248" s="209" t="s">
        <v>180</v>
      </c>
      <c r="AC248" s="209" t="s">
        <v>182</v>
      </c>
      <c r="AD248" s="209">
        <v>11</v>
      </c>
      <c r="AE248" s="209">
        <v>2024</v>
      </c>
      <c r="AF248" s="227">
        <v>45611</v>
      </c>
      <c r="AG248" s="227">
        <v>45616</v>
      </c>
      <c r="AH248" s="227">
        <v>45616</v>
      </c>
      <c r="AI248" s="228">
        <v>364416</v>
      </c>
      <c r="AJ248" s="228">
        <v>47</v>
      </c>
      <c r="AK248" s="228">
        <v>399360</v>
      </c>
      <c r="AL248" s="228">
        <v>52</v>
      </c>
      <c r="AM248" s="228">
        <v>0</v>
      </c>
      <c r="AN248" s="228">
        <v>-34944</v>
      </c>
      <c r="AO248" s="229">
        <v>47</v>
      </c>
      <c r="AP248" s="231">
        <v>11</v>
      </c>
      <c r="AQ248" s="231">
        <v>2024</v>
      </c>
      <c r="AR248" s="231" t="str">
        <f t="shared" si="35"/>
        <v>11/2024</v>
      </c>
      <c r="AS248" s="231">
        <f t="shared" si="36"/>
        <v>52</v>
      </c>
      <c r="AT248" s="239">
        <f>IF(G248="CERVECERIA Y MALTERIA",(AS248*AK248/1000000)*(1-VLOOKUP(N248,FCST!D:I,6,FALSE)),0)</f>
        <v>0</v>
      </c>
      <c r="AU248" s="232">
        <v>5.0000000000000001E-3</v>
      </c>
      <c r="AV248" s="239">
        <f t="shared" si="37"/>
        <v>0</v>
      </c>
      <c r="AW248" s="239">
        <f>(AS248*AK248/1000000)*(VLOOKUP(N248,FCST!D:I,6,FALSE))</f>
        <v>0</v>
      </c>
      <c r="AX248" s="239">
        <f t="shared" si="38"/>
        <v>0</v>
      </c>
      <c r="AY248" s="239">
        <f>IF($G248="CERVECERIA Y MALTERIA.",($AS248*$AK248/1000000)*(1-VLOOKUP($N248,FCST!D:I,6,FALSE)),0)</f>
        <v>20.766719999999999</v>
      </c>
      <c r="AZ248" s="239">
        <f t="shared" si="39"/>
        <v>20.870553599999997</v>
      </c>
    </row>
    <row r="249" spans="1:52" x14ac:dyDescent="0.25">
      <c r="A249" s="209">
        <v>1085747</v>
      </c>
      <c r="B249" s="209">
        <v>50</v>
      </c>
      <c r="C249" s="209">
        <v>89317847</v>
      </c>
      <c r="D249" s="209">
        <v>10</v>
      </c>
      <c r="E249" s="209">
        <v>10000002</v>
      </c>
      <c r="F249" s="209">
        <v>20000335</v>
      </c>
      <c r="G249" s="209" t="s">
        <v>105</v>
      </c>
      <c r="H249" s="209">
        <v>20000335</v>
      </c>
      <c r="I249" s="209">
        <v>2</v>
      </c>
      <c r="J249" s="209" t="s">
        <v>169</v>
      </c>
      <c r="K249" s="209" t="s">
        <v>571</v>
      </c>
      <c r="L249" s="209" t="s">
        <v>171</v>
      </c>
      <c r="M249" s="209" t="s">
        <v>184</v>
      </c>
      <c r="N249" s="209">
        <v>50032573</v>
      </c>
      <c r="O249" s="209" t="s">
        <v>173</v>
      </c>
      <c r="P249" s="209">
        <v>5121</v>
      </c>
      <c r="Q249" s="209" t="s">
        <v>174</v>
      </c>
      <c r="R249" s="209" t="s">
        <v>175</v>
      </c>
      <c r="S249" s="209" t="s">
        <v>176</v>
      </c>
      <c r="T249" s="209" t="s">
        <v>177</v>
      </c>
      <c r="U249" s="209" t="s">
        <v>178</v>
      </c>
      <c r="V249" s="209" t="s">
        <v>179</v>
      </c>
      <c r="W249" s="209" t="s">
        <v>179</v>
      </c>
      <c r="X249" s="209" t="s">
        <v>180</v>
      </c>
      <c r="Y249" s="209" t="s">
        <v>180</v>
      </c>
      <c r="Z249" s="209">
        <v>9521066881</v>
      </c>
      <c r="AA249" s="209" t="s">
        <v>548</v>
      </c>
      <c r="AB249" s="209" t="s">
        <v>180</v>
      </c>
      <c r="AC249" s="209" t="s">
        <v>182</v>
      </c>
      <c r="AD249" s="209">
        <v>11</v>
      </c>
      <c r="AE249" s="209">
        <v>2024</v>
      </c>
      <c r="AF249" s="227">
        <v>45611</v>
      </c>
      <c r="AG249" s="227">
        <v>45616</v>
      </c>
      <c r="AH249" s="227">
        <v>45616</v>
      </c>
      <c r="AI249" s="228">
        <v>531648</v>
      </c>
      <c r="AJ249" s="228">
        <v>52</v>
      </c>
      <c r="AK249" s="228">
        <v>531648</v>
      </c>
      <c r="AL249" s="228">
        <v>52</v>
      </c>
      <c r="AM249" s="228">
        <v>0</v>
      </c>
      <c r="AN249" s="228">
        <v>0</v>
      </c>
      <c r="AO249" s="229">
        <v>47</v>
      </c>
      <c r="AP249" s="231">
        <v>11</v>
      </c>
      <c r="AQ249" s="231">
        <v>2024</v>
      </c>
      <c r="AR249" s="231" t="str">
        <f t="shared" si="35"/>
        <v>11/2024</v>
      </c>
      <c r="AS249" s="231">
        <f t="shared" si="36"/>
        <v>37.200000000000003</v>
      </c>
      <c r="AT249" s="239">
        <f>IF(G249="CERVECERIA Y MALTERIA",(AS249*AK249/1000000)*(1-VLOOKUP(N249,FCST!D:I,6,FALSE)),0)</f>
        <v>19.777305600000002</v>
      </c>
      <c r="AU249" s="232">
        <v>5.0000000000000001E-3</v>
      </c>
      <c r="AV249" s="239">
        <f t="shared" si="37"/>
        <v>19.876192128</v>
      </c>
      <c r="AW249" s="239">
        <f>(AS249*AK249/1000000)*(VLOOKUP(N249,FCST!D:I,6,FALSE))</f>
        <v>0</v>
      </c>
      <c r="AX249" s="239">
        <f t="shared" si="38"/>
        <v>0</v>
      </c>
      <c r="AY249" s="239">
        <f>IF($G249="CERVECERIA Y MALTERIA.",($AS249*$AK249/1000000)*(1-VLOOKUP($N249,FCST!D:I,6,FALSE)),0)</f>
        <v>0</v>
      </c>
      <c r="AZ249" s="239">
        <f t="shared" si="39"/>
        <v>0</v>
      </c>
    </row>
    <row r="250" spans="1:52" x14ac:dyDescent="0.25">
      <c r="A250" s="209">
        <v>1085747</v>
      </c>
      <c r="B250" s="209">
        <v>20</v>
      </c>
      <c r="C250" s="209">
        <v>89316725</v>
      </c>
      <c r="D250" s="209">
        <v>10</v>
      </c>
      <c r="E250" s="209">
        <v>10000002</v>
      </c>
      <c r="F250" s="209">
        <v>20000335</v>
      </c>
      <c r="G250" s="209" t="s">
        <v>105</v>
      </c>
      <c r="H250" s="209">
        <v>20000335</v>
      </c>
      <c r="I250" s="209">
        <v>2</v>
      </c>
      <c r="J250" s="209" t="s">
        <v>169</v>
      </c>
      <c r="K250" s="209" t="s">
        <v>572</v>
      </c>
      <c r="L250" s="209" t="s">
        <v>171</v>
      </c>
      <c r="M250" s="209" t="s">
        <v>172</v>
      </c>
      <c r="N250" s="209">
        <v>50034616</v>
      </c>
      <c r="O250" s="209" t="s">
        <v>191</v>
      </c>
      <c r="P250" s="209">
        <v>5121</v>
      </c>
      <c r="Q250" s="209" t="s">
        <v>174</v>
      </c>
      <c r="R250" s="209" t="s">
        <v>175</v>
      </c>
      <c r="S250" s="209" t="s">
        <v>176</v>
      </c>
      <c r="T250" s="209" t="s">
        <v>177</v>
      </c>
      <c r="U250" s="209" t="s">
        <v>178</v>
      </c>
      <c r="V250" s="209" t="s">
        <v>179</v>
      </c>
      <c r="W250" s="209" t="s">
        <v>179</v>
      </c>
      <c r="X250" s="209" t="s">
        <v>180</v>
      </c>
      <c r="Y250" s="209" t="s">
        <v>180</v>
      </c>
      <c r="Z250" s="209">
        <v>9521066882</v>
      </c>
      <c r="AA250" s="209" t="s">
        <v>567</v>
      </c>
      <c r="AB250" s="209" t="s">
        <v>180</v>
      </c>
      <c r="AC250" s="209" t="s">
        <v>182</v>
      </c>
      <c r="AD250" s="209">
        <v>11</v>
      </c>
      <c r="AE250" s="209">
        <v>2024</v>
      </c>
      <c r="AF250" s="227">
        <v>45611</v>
      </c>
      <c r="AG250" s="227">
        <v>45615</v>
      </c>
      <c r="AH250" s="227">
        <v>45615</v>
      </c>
      <c r="AI250" s="228">
        <v>426816</v>
      </c>
      <c r="AJ250" s="228">
        <v>52</v>
      </c>
      <c r="AK250" s="228">
        <v>426816</v>
      </c>
      <c r="AL250" s="228">
        <v>52</v>
      </c>
      <c r="AM250" s="228">
        <v>0</v>
      </c>
      <c r="AN250" s="228">
        <v>0</v>
      </c>
      <c r="AO250" s="229">
        <v>47</v>
      </c>
      <c r="AP250" s="231">
        <v>11</v>
      </c>
      <c r="AQ250" s="231">
        <v>2024</v>
      </c>
      <c r="AR250" s="231" t="str">
        <f t="shared" si="35"/>
        <v>11/2024</v>
      </c>
      <c r="AS250" s="231">
        <f t="shared" si="36"/>
        <v>46.6</v>
      </c>
      <c r="AT250" s="239">
        <f>IF(G250="CERVECERIA Y MALTERIA",(AS250*AK250/1000000)*(1-VLOOKUP(N250,FCST!D:I,6,FALSE)),0)</f>
        <v>19.889625600000002</v>
      </c>
      <c r="AU250" s="232">
        <v>5.0000000000000001E-3</v>
      </c>
      <c r="AV250" s="239">
        <f t="shared" si="37"/>
        <v>19.989073728000001</v>
      </c>
      <c r="AW250" s="239">
        <f>(AS250*AK250/1000000)*(VLOOKUP(N250,FCST!D:I,6,FALSE))</f>
        <v>0</v>
      </c>
      <c r="AX250" s="239">
        <f t="shared" si="38"/>
        <v>0</v>
      </c>
      <c r="AY250" s="239">
        <f>IF($G250="CERVECERIA Y MALTERIA.",($AS250*$AK250/1000000)*(1-VLOOKUP($N250,FCST!D:I,6,FALSE)),0)</f>
        <v>0</v>
      </c>
      <c r="AZ250" s="239">
        <f t="shared" si="39"/>
        <v>0</v>
      </c>
    </row>
    <row r="251" spans="1:52" x14ac:dyDescent="0.25">
      <c r="A251" s="209">
        <v>1085690</v>
      </c>
      <c r="B251" s="209">
        <v>10</v>
      </c>
      <c r="C251" s="209">
        <v>89316830</v>
      </c>
      <c r="D251" s="209">
        <v>10</v>
      </c>
      <c r="E251" s="209">
        <v>10000002</v>
      </c>
      <c r="F251" s="209">
        <v>20000339</v>
      </c>
      <c r="G251" s="209" t="s">
        <v>105</v>
      </c>
      <c r="H251" s="209">
        <v>20000339</v>
      </c>
      <c r="I251" s="209">
        <v>2</v>
      </c>
      <c r="J251" s="209" t="s">
        <v>169</v>
      </c>
      <c r="K251" s="209" t="s">
        <v>573</v>
      </c>
      <c r="L251" s="209" t="s">
        <v>556</v>
      </c>
      <c r="M251" s="209" t="s">
        <v>227</v>
      </c>
      <c r="N251" s="209">
        <v>50034577</v>
      </c>
      <c r="O251" s="209" t="s">
        <v>237</v>
      </c>
      <c r="P251" s="209">
        <v>5101</v>
      </c>
      <c r="Q251" s="209" t="s">
        <v>444</v>
      </c>
      <c r="R251" s="209" t="s">
        <v>445</v>
      </c>
      <c r="S251" s="209" t="s">
        <v>230</v>
      </c>
      <c r="T251" s="209" t="s">
        <v>446</v>
      </c>
      <c r="U251" s="209" t="s">
        <v>447</v>
      </c>
      <c r="V251" s="209" t="s">
        <v>179</v>
      </c>
      <c r="W251" s="209" t="s">
        <v>179</v>
      </c>
      <c r="X251" s="209" t="s">
        <v>180</v>
      </c>
      <c r="Y251" s="209" t="s">
        <v>180</v>
      </c>
      <c r="Z251" s="209">
        <v>9511047133</v>
      </c>
      <c r="AA251" s="209" t="s">
        <v>574</v>
      </c>
      <c r="AB251" s="209" t="s">
        <v>180</v>
      </c>
      <c r="AC251" s="209" t="s">
        <v>182</v>
      </c>
      <c r="AD251" s="209">
        <v>11</v>
      </c>
      <c r="AE251" s="209">
        <v>2024</v>
      </c>
      <c r="AF251" s="227">
        <v>45611</v>
      </c>
      <c r="AG251" s="227">
        <v>45615</v>
      </c>
      <c r="AH251" s="227">
        <v>45615</v>
      </c>
      <c r="AI251" s="228">
        <v>114432</v>
      </c>
      <c r="AJ251" s="228">
        <v>8</v>
      </c>
      <c r="AK251" s="228">
        <v>114432</v>
      </c>
      <c r="AL251" s="228">
        <v>8</v>
      </c>
      <c r="AM251" s="228">
        <v>0</v>
      </c>
      <c r="AN251" s="228">
        <v>0</v>
      </c>
      <c r="AO251" s="229">
        <v>47</v>
      </c>
      <c r="AP251" s="231">
        <v>11</v>
      </c>
      <c r="AQ251" s="231">
        <v>2024</v>
      </c>
      <c r="AR251" s="231" t="str">
        <f t="shared" si="35"/>
        <v>11/2024</v>
      </c>
      <c r="AS251" s="231">
        <f t="shared" si="36"/>
        <v>25</v>
      </c>
      <c r="AT251" s="239">
        <f>IF(G251="CERVECERIA Y MALTERIA",(AS251*AK251/1000000)*(1-VLOOKUP(N251,FCST!D:I,6,FALSE)),0)</f>
        <v>2.8607999999999998</v>
      </c>
      <c r="AU251" s="232">
        <v>5.0000000000000001E-3</v>
      </c>
      <c r="AV251" s="239">
        <f t="shared" si="37"/>
        <v>2.8751039999999994</v>
      </c>
      <c r="AW251" s="239">
        <f>(AS251*AK251/1000000)*(VLOOKUP(N251,FCST!D:I,6,FALSE))</f>
        <v>0</v>
      </c>
      <c r="AX251" s="239">
        <f t="shared" si="38"/>
        <v>0</v>
      </c>
      <c r="AY251" s="239">
        <f>IF($G251="CERVECERIA Y MALTERIA.",($AS251*$AK251/1000000)*(1-VLOOKUP($N251,FCST!D:I,6,FALSE)),0)</f>
        <v>0</v>
      </c>
      <c r="AZ251" s="239">
        <f t="shared" si="39"/>
        <v>0</v>
      </c>
    </row>
    <row r="252" spans="1:52" x14ac:dyDescent="0.25">
      <c r="A252" s="209">
        <v>1085747</v>
      </c>
      <c r="B252" s="209">
        <v>30</v>
      </c>
      <c r="C252" s="209">
        <v>89316931</v>
      </c>
      <c r="D252" s="209">
        <v>10</v>
      </c>
      <c r="E252" s="209">
        <v>10000002</v>
      </c>
      <c r="F252" s="209">
        <v>20000335</v>
      </c>
      <c r="G252" s="209" t="s">
        <v>105</v>
      </c>
      <c r="H252" s="209">
        <v>20000335</v>
      </c>
      <c r="I252" s="209">
        <v>2</v>
      </c>
      <c r="J252" s="209" t="s">
        <v>169</v>
      </c>
      <c r="K252" s="209" t="s">
        <v>575</v>
      </c>
      <c r="L252" s="209" t="s">
        <v>171</v>
      </c>
      <c r="M252" s="209" t="s">
        <v>199</v>
      </c>
      <c r="N252" s="209">
        <v>50034616</v>
      </c>
      <c r="O252" s="209" t="s">
        <v>191</v>
      </c>
      <c r="P252" s="209">
        <v>5121</v>
      </c>
      <c r="Q252" s="209" t="s">
        <v>200</v>
      </c>
      <c r="R252" s="209" t="s">
        <v>201</v>
      </c>
      <c r="S252" s="209" t="s">
        <v>202</v>
      </c>
      <c r="T252" s="209" t="s">
        <v>203</v>
      </c>
      <c r="U252" s="209" t="s">
        <v>201</v>
      </c>
      <c r="V252" s="209" t="s">
        <v>179</v>
      </c>
      <c r="W252" s="209" t="s">
        <v>179</v>
      </c>
      <c r="X252" s="209" t="s">
        <v>180</v>
      </c>
      <c r="Y252" s="209" t="s">
        <v>180</v>
      </c>
      <c r="Z252" s="209">
        <v>9521066882</v>
      </c>
      <c r="AA252" s="209" t="s">
        <v>567</v>
      </c>
      <c r="AB252" s="209" t="s">
        <v>180</v>
      </c>
      <c r="AC252" s="209" t="s">
        <v>182</v>
      </c>
      <c r="AD252" s="209">
        <v>11</v>
      </c>
      <c r="AE252" s="209">
        <v>2024</v>
      </c>
      <c r="AF252" s="227">
        <v>45611</v>
      </c>
      <c r="AG252" s="227">
        <v>45615</v>
      </c>
      <c r="AH252" s="227">
        <v>45615</v>
      </c>
      <c r="AI252" s="228">
        <v>426816</v>
      </c>
      <c r="AJ252" s="228">
        <v>52</v>
      </c>
      <c r="AK252" s="228">
        <v>426816</v>
      </c>
      <c r="AL252" s="228">
        <v>52</v>
      </c>
      <c r="AM252" s="228">
        <v>0</v>
      </c>
      <c r="AN252" s="228">
        <v>0</v>
      </c>
      <c r="AO252" s="229">
        <v>47</v>
      </c>
      <c r="AP252" s="231">
        <v>11</v>
      </c>
      <c r="AQ252" s="231">
        <v>2024</v>
      </c>
      <c r="AR252" s="231" t="str">
        <f t="shared" si="35"/>
        <v>11/2024</v>
      </c>
      <c r="AS252" s="231">
        <f t="shared" si="36"/>
        <v>46.6</v>
      </c>
      <c r="AT252" s="239">
        <f>IF(G252="CERVECERIA Y MALTERIA",(AS252*AK252/1000000)*(1-VLOOKUP(N252,FCST!D:I,6,FALSE)),0)</f>
        <v>19.889625600000002</v>
      </c>
      <c r="AU252" s="232">
        <v>5.0000000000000001E-3</v>
      </c>
      <c r="AV252" s="239">
        <f t="shared" si="37"/>
        <v>19.989073728000001</v>
      </c>
      <c r="AW252" s="239">
        <f>(AS252*AK252/1000000)*(VLOOKUP(N252,FCST!D:I,6,FALSE))</f>
        <v>0</v>
      </c>
      <c r="AX252" s="239">
        <f t="shared" si="38"/>
        <v>0</v>
      </c>
      <c r="AY252" s="239">
        <f>IF($G252="CERVECERIA Y MALTERIA.",($AS252*$AK252/1000000)*(1-VLOOKUP($N252,FCST!D:I,6,FALSE)),0)</f>
        <v>0</v>
      </c>
      <c r="AZ252" s="239">
        <f t="shared" si="39"/>
        <v>0</v>
      </c>
    </row>
    <row r="253" spans="1:52" x14ac:dyDescent="0.25">
      <c r="A253" s="209">
        <v>1085747</v>
      </c>
      <c r="B253" s="209">
        <v>10</v>
      </c>
      <c r="C253" s="209">
        <v>89316973</v>
      </c>
      <c r="D253" s="209">
        <v>10</v>
      </c>
      <c r="E253" s="209">
        <v>10000002</v>
      </c>
      <c r="F253" s="209">
        <v>20000335</v>
      </c>
      <c r="G253" s="209" t="s">
        <v>105</v>
      </c>
      <c r="H253" s="209">
        <v>20000335</v>
      </c>
      <c r="I253" s="209">
        <v>2</v>
      </c>
      <c r="J253" s="209" t="s">
        <v>169</v>
      </c>
      <c r="K253" s="209" t="s">
        <v>576</v>
      </c>
      <c r="L253" s="209" t="s">
        <v>171</v>
      </c>
      <c r="M253" s="209" t="s">
        <v>184</v>
      </c>
      <c r="N253" s="209">
        <v>50032573</v>
      </c>
      <c r="O253" s="209" t="s">
        <v>173</v>
      </c>
      <c r="P253" s="209">
        <v>5121</v>
      </c>
      <c r="Q253" s="209" t="s">
        <v>174</v>
      </c>
      <c r="R253" s="209" t="s">
        <v>175</v>
      </c>
      <c r="S253" s="209" t="s">
        <v>176</v>
      </c>
      <c r="T253" s="209" t="s">
        <v>177</v>
      </c>
      <c r="U253" s="209" t="s">
        <v>178</v>
      </c>
      <c r="V253" s="209" t="s">
        <v>179</v>
      </c>
      <c r="W253" s="209" t="s">
        <v>179</v>
      </c>
      <c r="X253" s="209" t="s">
        <v>180</v>
      </c>
      <c r="Y253" s="209" t="s">
        <v>180</v>
      </c>
      <c r="Z253" s="209">
        <v>9521066881</v>
      </c>
      <c r="AA253" s="209" t="s">
        <v>548</v>
      </c>
      <c r="AB253" s="209" t="s">
        <v>180</v>
      </c>
      <c r="AC253" s="209" t="s">
        <v>182</v>
      </c>
      <c r="AD253" s="209">
        <v>11</v>
      </c>
      <c r="AE253" s="209">
        <v>2024</v>
      </c>
      <c r="AF253" s="227">
        <v>45611</v>
      </c>
      <c r="AG253" s="227">
        <v>45615</v>
      </c>
      <c r="AH253" s="227">
        <v>45615</v>
      </c>
      <c r="AI253" s="228">
        <v>531648</v>
      </c>
      <c r="AJ253" s="228">
        <v>52</v>
      </c>
      <c r="AK253" s="228">
        <v>531648</v>
      </c>
      <c r="AL253" s="228">
        <v>52</v>
      </c>
      <c r="AM253" s="228">
        <v>0</v>
      </c>
      <c r="AN253" s="228">
        <v>0</v>
      </c>
      <c r="AO253" s="229">
        <v>47</v>
      </c>
      <c r="AP253" s="231">
        <v>11</v>
      </c>
      <c r="AQ253" s="231">
        <v>2024</v>
      </c>
      <c r="AR253" s="231" t="str">
        <f t="shared" si="35"/>
        <v>11/2024</v>
      </c>
      <c r="AS253" s="231">
        <f t="shared" si="36"/>
        <v>37.200000000000003</v>
      </c>
      <c r="AT253" s="239">
        <f>IF(G253="CERVECERIA Y MALTERIA",(AS253*AK253/1000000)*(1-VLOOKUP(N253,FCST!D:I,6,FALSE)),0)</f>
        <v>19.777305600000002</v>
      </c>
      <c r="AU253" s="232">
        <v>5.0000000000000001E-3</v>
      </c>
      <c r="AV253" s="239">
        <f t="shared" si="37"/>
        <v>19.876192128</v>
      </c>
      <c r="AW253" s="239">
        <f>(AS253*AK253/1000000)*(VLOOKUP(N253,FCST!D:I,6,FALSE))</f>
        <v>0</v>
      </c>
      <c r="AX253" s="239">
        <f t="shared" si="38"/>
        <v>0</v>
      </c>
      <c r="AY253" s="239">
        <f>IF($G253="CERVECERIA Y MALTERIA.",($AS253*$AK253/1000000)*(1-VLOOKUP($N253,FCST!D:I,6,FALSE)),0)</f>
        <v>0</v>
      </c>
      <c r="AZ253" s="239">
        <f t="shared" si="39"/>
        <v>0</v>
      </c>
    </row>
    <row r="254" spans="1:52" x14ac:dyDescent="0.25">
      <c r="A254" s="209">
        <v>1085749</v>
      </c>
      <c r="B254" s="209">
        <v>40</v>
      </c>
      <c r="C254" s="209">
        <v>89319260</v>
      </c>
      <c r="D254" s="209">
        <v>10</v>
      </c>
      <c r="E254" s="209">
        <v>10000002</v>
      </c>
      <c r="F254" s="209">
        <v>20000340</v>
      </c>
      <c r="G254" s="209" t="s">
        <v>117</v>
      </c>
      <c r="H254" s="209">
        <v>20000340</v>
      </c>
      <c r="I254" s="209">
        <v>2</v>
      </c>
      <c r="J254" s="209" t="s">
        <v>169</v>
      </c>
      <c r="K254" s="209" t="s">
        <v>577</v>
      </c>
      <c r="L254" s="209" t="s">
        <v>171</v>
      </c>
      <c r="M254" s="209" t="s">
        <v>172</v>
      </c>
      <c r="N254" s="209">
        <v>50036718</v>
      </c>
      <c r="O254" s="209" t="s">
        <v>259</v>
      </c>
      <c r="P254" s="209">
        <v>5101</v>
      </c>
      <c r="Q254" s="209" t="s">
        <v>186</v>
      </c>
      <c r="R254" s="209" t="s">
        <v>175</v>
      </c>
      <c r="S254" s="209" t="s">
        <v>176</v>
      </c>
      <c r="T254" s="209" t="s">
        <v>187</v>
      </c>
      <c r="U254" s="209" t="s">
        <v>188</v>
      </c>
      <c r="V254" s="209" t="s">
        <v>179</v>
      </c>
      <c r="W254" s="209" t="s">
        <v>179</v>
      </c>
      <c r="X254" s="209" t="s">
        <v>180</v>
      </c>
      <c r="Y254" s="209" t="s">
        <v>180</v>
      </c>
      <c r="Z254" s="209">
        <v>9511047127</v>
      </c>
      <c r="AA254" s="209" t="s">
        <v>552</v>
      </c>
      <c r="AB254" s="209" t="s">
        <v>180</v>
      </c>
      <c r="AC254" s="209" t="s">
        <v>182</v>
      </c>
      <c r="AD254" s="209">
        <v>11</v>
      </c>
      <c r="AE254" s="209">
        <v>2024</v>
      </c>
      <c r="AF254" s="227">
        <v>45611</v>
      </c>
      <c r="AG254" s="227">
        <v>45618</v>
      </c>
      <c r="AH254" s="227">
        <v>45618</v>
      </c>
      <c r="AI254" s="228">
        <v>519168</v>
      </c>
      <c r="AJ254" s="228">
        <v>52</v>
      </c>
      <c r="AK254" s="228">
        <v>519168</v>
      </c>
      <c r="AL254" s="228">
        <v>52</v>
      </c>
      <c r="AM254" s="228">
        <v>0</v>
      </c>
      <c r="AN254" s="228">
        <v>0</v>
      </c>
      <c r="AO254" s="229">
        <v>47</v>
      </c>
      <c r="AP254" s="231">
        <v>11</v>
      </c>
      <c r="AQ254" s="231">
        <v>2024</v>
      </c>
      <c r="AR254" s="231" t="str">
        <f t="shared" si="35"/>
        <v>11/2024</v>
      </c>
      <c r="AS254" s="231">
        <f t="shared" si="36"/>
        <v>34</v>
      </c>
      <c r="AT254" s="239">
        <f>IF(G254="CERVECERIA Y MALTERIA",(AS254*AK254/1000000)*(1-VLOOKUP(N254,FCST!D:I,6,FALSE)),0)</f>
        <v>0</v>
      </c>
      <c r="AU254" s="232">
        <v>5.0000000000000001E-3</v>
      </c>
      <c r="AV254" s="239">
        <f t="shared" si="37"/>
        <v>0</v>
      </c>
      <c r="AW254" s="239">
        <f>(AS254*AK254/1000000)*(VLOOKUP(N254,FCST!D:I,6,FALSE))</f>
        <v>0</v>
      </c>
      <c r="AX254" s="239">
        <f t="shared" si="38"/>
        <v>0</v>
      </c>
      <c r="AY254" s="239">
        <f>IF($G254="CERVECERIA Y MALTERIA.",($AS254*$AK254/1000000)*(1-VLOOKUP($N254,FCST!D:I,6,FALSE)),0)</f>
        <v>17.651712</v>
      </c>
      <c r="AZ254" s="239">
        <f t="shared" si="39"/>
        <v>17.73997056</v>
      </c>
    </row>
    <row r="255" spans="1:52" x14ac:dyDescent="0.25">
      <c r="A255" s="209">
        <v>1085749</v>
      </c>
      <c r="B255" s="209">
        <v>80</v>
      </c>
      <c r="C255" s="209">
        <v>89319276</v>
      </c>
      <c r="D255" s="209">
        <v>10</v>
      </c>
      <c r="E255" s="209">
        <v>10000002</v>
      </c>
      <c r="F255" s="209">
        <v>20000340</v>
      </c>
      <c r="G255" s="209" t="s">
        <v>117</v>
      </c>
      <c r="H255" s="209">
        <v>20000340</v>
      </c>
      <c r="I255" s="209">
        <v>2</v>
      </c>
      <c r="J255" s="209" t="s">
        <v>169</v>
      </c>
      <c r="K255" s="209" t="s">
        <v>578</v>
      </c>
      <c r="L255" s="209" t="s">
        <v>171</v>
      </c>
      <c r="M255" s="209" t="s">
        <v>172</v>
      </c>
      <c r="N255" s="209">
        <v>50036718</v>
      </c>
      <c r="O255" s="209" t="s">
        <v>259</v>
      </c>
      <c r="P255" s="209">
        <v>5101</v>
      </c>
      <c r="Q255" s="209" t="s">
        <v>186</v>
      </c>
      <c r="R255" s="209" t="s">
        <v>175</v>
      </c>
      <c r="S255" s="209" t="s">
        <v>176</v>
      </c>
      <c r="T255" s="209" t="s">
        <v>187</v>
      </c>
      <c r="U255" s="209" t="s">
        <v>188</v>
      </c>
      <c r="V255" s="209" t="s">
        <v>179</v>
      </c>
      <c r="W255" s="209" t="s">
        <v>179</v>
      </c>
      <c r="X255" s="209" t="s">
        <v>180</v>
      </c>
      <c r="Y255" s="209" t="s">
        <v>180</v>
      </c>
      <c r="Z255" s="209">
        <v>9511047127</v>
      </c>
      <c r="AA255" s="209" t="s">
        <v>552</v>
      </c>
      <c r="AB255" s="209" t="s">
        <v>180</v>
      </c>
      <c r="AC255" s="209" t="s">
        <v>182</v>
      </c>
      <c r="AD255" s="209">
        <v>11</v>
      </c>
      <c r="AE255" s="209">
        <v>2024</v>
      </c>
      <c r="AF255" s="227">
        <v>45611</v>
      </c>
      <c r="AG255" s="227">
        <v>45618</v>
      </c>
      <c r="AH255" s="227">
        <v>45618</v>
      </c>
      <c r="AI255" s="228">
        <v>519168</v>
      </c>
      <c r="AJ255" s="228">
        <v>52</v>
      </c>
      <c r="AK255" s="228">
        <v>519168</v>
      </c>
      <c r="AL255" s="228">
        <v>52</v>
      </c>
      <c r="AM255" s="228">
        <v>0</v>
      </c>
      <c r="AN255" s="228">
        <v>0</v>
      </c>
      <c r="AO255" s="229">
        <v>47</v>
      </c>
      <c r="AP255" s="231">
        <v>11</v>
      </c>
      <c r="AQ255" s="231">
        <v>2024</v>
      </c>
      <c r="AR255" s="231" t="str">
        <f t="shared" si="35"/>
        <v>11/2024</v>
      </c>
      <c r="AS255" s="231">
        <f t="shared" si="36"/>
        <v>34</v>
      </c>
      <c r="AT255" s="239">
        <f>IF(G255="CERVECERIA Y MALTERIA",(AS255*AK255/1000000)*(1-VLOOKUP(N255,FCST!D:I,6,FALSE)),0)</f>
        <v>0</v>
      </c>
      <c r="AU255" s="232">
        <v>5.0000000000000001E-3</v>
      </c>
      <c r="AV255" s="239">
        <f t="shared" si="37"/>
        <v>0</v>
      </c>
      <c r="AW255" s="239">
        <f>(AS255*AK255/1000000)*(VLOOKUP(N255,FCST!D:I,6,FALSE))</f>
        <v>0</v>
      </c>
      <c r="AX255" s="239">
        <f t="shared" si="38"/>
        <v>0</v>
      </c>
      <c r="AY255" s="239">
        <f>IF($G255="CERVECERIA Y MALTERIA.",($AS255*$AK255/1000000)*(1-VLOOKUP($N255,FCST!D:I,6,FALSE)),0)</f>
        <v>17.651712</v>
      </c>
      <c r="AZ255" s="239">
        <f t="shared" si="39"/>
        <v>17.73997056</v>
      </c>
    </row>
    <row r="256" spans="1:52" x14ac:dyDescent="0.25">
      <c r="A256" s="209">
        <v>1085747</v>
      </c>
      <c r="B256" s="209">
        <v>80</v>
      </c>
      <c r="C256" s="209">
        <v>89319280</v>
      </c>
      <c r="D256" s="209">
        <v>10</v>
      </c>
      <c r="E256" s="209">
        <v>10000002</v>
      </c>
      <c r="F256" s="209">
        <v>20000335</v>
      </c>
      <c r="G256" s="209" t="s">
        <v>105</v>
      </c>
      <c r="H256" s="209">
        <v>20000335</v>
      </c>
      <c r="I256" s="209">
        <v>2</v>
      </c>
      <c r="J256" s="209" t="s">
        <v>169</v>
      </c>
      <c r="K256" s="209" t="s">
        <v>579</v>
      </c>
      <c r="L256" s="209" t="s">
        <v>171</v>
      </c>
      <c r="M256" s="209" t="s">
        <v>199</v>
      </c>
      <c r="N256" s="209">
        <v>50032573</v>
      </c>
      <c r="O256" s="209" t="s">
        <v>173</v>
      </c>
      <c r="P256" s="209">
        <v>5121</v>
      </c>
      <c r="Q256" s="209" t="s">
        <v>200</v>
      </c>
      <c r="R256" s="209" t="s">
        <v>201</v>
      </c>
      <c r="S256" s="209" t="s">
        <v>202</v>
      </c>
      <c r="T256" s="209" t="s">
        <v>203</v>
      </c>
      <c r="U256" s="209" t="s">
        <v>201</v>
      </c>
      <c r="V256" s="209" t="s">
        <v>179</v>
      </c>
      <c r="W256" s="209" t="s">
        <v>179</v>
      </c>
      <c r="X256" s="209" t="s">
        <v>180</v>
      </c>
      <c r="Y256" s="209" t="s">
        <v>180</v>
      </c>
      <c r="Z256" s="209">
        <v>9521066881</v>
      </c>
      <c r="AA256" s="209" t="s">
        <v>548</v>
      </c>
      <c r="AB256" s="209" t="s">
        <v>180</v>
      </c>
      <c r="AC256" s="209" t="s">
        <v>182</v>
      </c>
      <c r="AD256" s="209">
        <v>11</v>
      </c>
      <c r="AE256" s="209">
        <v>2024</v>
      </c>
      <c r="AF256" s="227">
        <v>45611</v>
      </c>
      <c r="AG256" s="227">
        <v>45618</v>
      </c>
      <c r="AH256" s="227">
        <v>45618</v>
      </c>
      <c r="AI256" s="228">
        <v>531648</v>
      </c>
      <c r="AJ256" s="228">
        <v>52</v>
      </c>
      <c r="AK256" s="228">
        <v>531648</v>
      </c>
      <c r="AL256" s="228">
        <v>52</v>
      </c>
      <c r="AM256" s="228">
        <v>0</v>
      </c>
      <c r="AN256" s="228">
        <v>0</v>
      </c>
      <c r="AO256" s="229">
        <v>47</v>
      </c>
      <c r="AP256" s="231">
        <v>11</v>
      </c>
      <c r="AQ256" s="231">
        <v>2024</v>
      </c>
      <c r="AR256" s="231" t="str">
        <f t="shared" si="35"/>
        <v>11/2024</v>
      </c>
      <c r="AS256" s="231">
        <f t="shared" si="36"/>
        <v>37.200000000000003</v>
      </c>
      <c r="AT256" s="239">
        <f>IF(G256="CERVECERIA Y MALTERIA",(AS256*AK256/1000000)*(1-VLOOKUP(N256,FCST!D:I,6,FALSE)),0)</f>
        <v>19.777305600000002</v>
      </c>
      <c r="AU256" s="232">
        <v>5.0000000000000001E-3</v>
      </c>
      <c r="AV256" s="239">
        <f t="shared" si="37"/>
        <v>19.876192128</v>
      </c>
      <c r="AW256" s="239">
        <f>(AS256*AK256/1000000)*(VLOOKUP(N256,FCST!D:I,6,FALSE))</f>
        <v>0</v>
      </c>
      <c r="AX256" s="239">
        <f t="shared" si="38"/>
        <v>0</v>
      </c>
      <c r="AY256" s="239">
        <f>IF($G256="CERVECERIA Y MALTERIA.",($AS256*$AK256/1000000)*(1-VLOOKUP($N256,FCST!D:I,6,FALSE)),0)</f>
        <v>0</v>
      </c>
      <c r="AZ256" s="239">
        <f t="shared" si="39"/>
        <v>0</v>
      </c>
    </row>
    <row r="257" spans="1:52" x14ac:dyDescent="0.25">
      <c r="A257" s="209">
        <v>1086757</v>
      </c>
      <c r="B257" s="209">
        <v>20</v>
      </c>
      <c r="C257" s="209">
        <v>89319344</v>
      </c>
      <c r="D257" s="209">
        <v>10</v>
      </c>
      <c r="E257" s="209">
        <v>10000002</v>
      </c>
      <c r="F257" s="209">
        <v>20001057</v>
      </c>
      <c r="G257" s="209" t="s">
        <v>105</v>
      </c>
      <c r="H257" s="209">
        <v>20001057</v>
      </c>
      <c r="I257" s="209">
        <v>2</v>
      </c>
      <c r="J257" s="209" t="s">
        <v>169</v>
      </c>
      <c r="K257" s="209" t="s">
        <v>580</v>
      </c>
      <c r="L257" s="209" t="s">
        <v>171</v>
      </c>
      <c r="M257" s="209" t="s">
        <v>172</v>
      </c>
      <c r="N257" s="209">
        <v>50032573</v>
      </c>
      <c r="O257" s="209" t="s">
        <v>173</v>
      </c>
      <c r="P257" s="209">
        <v>5121</v>
      </c>
      <c r="Q257" s="209" t="s">
        <v>174</v>
      </c>
      <c r="R257" s="209" t="s">
        <v>175</v>
      </c>
      <c r="S257" s="209" t="s">
        <v>176</v>
      </c>
      <c r="T257" s="209" t="s">
        <v>177</v>
      </c>
      <c r="U257" s="209" t="s">
        <v>178</v>
      </c>
      <c r="V257" s="209" t="s">
        <v>179</v>
      </c>
      <c r="W257" s="209" t="s">
        <v>179</v>
      </c>
      <c r="X257" s="209" t="s">
        <v>180</v>
      </c>
      <c r="Y257" s="209" t="s">
        <v>180</v>
      </c>
      <c r="Z257" s="209">
        <v>9521066898</v>
      </c>
      <c r="AA257" s="209" t="s">
        <v>581</v>
      </c>
      <c r="AB257" s="209" t="s">
        <v>180</v>
      </c>
      <c r="AC257" s="209" t="s">
        <v>182</v>
      </c>
      <c r="AD257" s="209">
        <v>11</v>
      </c>
      <c r="AE257" s="209">
        <v>2024</v>
      </c>
      <c r="AF257" s="227">
        <v>45616</v>
      </c>
      <c r="AG257" s="227">
        <v>45618</v>
      </c>
      <c r="AH257" s="227">
        <v>45618</v>
      </c>
      <c r="AI257" s="228">
        <v>276048</v>
      </c>
      <c r="AJ257" s="228">
        <v>27</v>
      </c>
      <c r="AK257" s="228">
        <v>276048</v>
      </c>
      <c r="AL257" s="228">
        <v>27</v>
      </c>
      <c r="AM257" s="228">
        <v>0</v>
      </c>
      <c r="AN257" s="228">
        <v>0</v>
      </c>
      <c r="AO257" s="229">
        <v>47</v>
      </c>
      <c r="AP257" s="231">
        <v>11</v>
      </c>
      <c r="AQ257" s="231">
        <v>2024</v>
      </c>
      <c r="AR257" s="231" t="str">
        <f t="shared" si="35"/>
        <v>11/2024</v>
      </c>
      <c r="AS257" s="231">
        <f t="shared" si="36"/>
        <v>37.200000000000003</v>
      </c>
      <c r="AT257" s="239">
        <f>IF(G257="CERVECERIA Y MALTERIA",(AS257*AK257/1000000)*(1-VLOOKUP(N257,FCST!D:I,6,FALSE)),0)</f>
        <v>10.268985600000001</v>
      </c>
      <c r="AU257" s="232">
        <v>5.0000000000000001E-3</v>
      </c>
      <c r="AV257" s="239">
        <f t="shared" si="37"/>
        <v>10.320330528</v>
      </c>
      <c r="AW257" s="239">
        <f>(AS257*AK257/1000000)*(VLOOKUP(N257,FCST!D:I,6,FALSE))</f>
        <v>0</v>
      </c>
      <c r="AX257" s="239">
        <f t="shared" si="38"/>
        <v>0</v>
      </c>
      <c r="AY257" s="239">
        <f>IF($G257="CERVECERIA Y MALTERIA.",($AS257*$AK257/1000000)*(1-VLOOKUP($N257,FCST!D:I,6,FALSE)),0)</f>
        <v>0</v>
      </c>
      <c r="AZ257" s="239">
        <f t="shared" si="39"/>
        <v>0</v>
      </c>
    </row>
    <row r="258" spans="1:52" x14ac:dyDescent="0.25">
      <c r="A258" s="209">
        <v>1086757</v>
      </c>
      <c r="B258" s="209">
        <v>30</v>
      </c>
      <c r="C258" s="209">
        <v>89319344</v>
      </c>
      <c r="D258" s="209">
        <v>20</v>
      </c>
      <c r="E258" s="209">
        <v>10000002</v>
      </c>
      <c r="F258" s="209">
        <v>20001057</v>
      </c>
      <c r="G258" s="209" t="s">
        <v>105</v>
      </c>
      <c r="H258" s="209">
        <v>20001057</v>
      </c>
      <c r="I258" s="209">
        <v>2</v>
      </c>
      <c r="J258" s="209" t="s">
        <v>169</v>
      </c>
      <c r="K258" s="209" t="s">
        <v>580</v>
      </c>
      <c r="L258" s="209" t="s">
        <v>171</v>
      </c>
      <c r="M258" s="209" t="s">
        <v>172</v>
      </c>
      <c r="N258" s="209">
        <v>50034574</v>
      </c>
      <c r="O258" s="209" t="s">
        <v>196</v>
      </c>
      <c r="P258" s="209">
        <v>5121</v>
      </c>
      <c r="Q258" s="209" t="s">
        <v>174</v>
      </c>
      <c r="R258" s="209" t="s">
        <v>175</v>
      </c>
      <c r="S258" s="209" t="s">
        <v>176</v>
      </c>
      <c r="T258" s="209" t="s">
        <v>177</v>
      </c>
      <c r="U258" s="209" t="s">
        <v>178</v>
      </c>
      <c r="V258" s="209" t="s">
        <v>179</v>
      </c>
      <c r="W258" s="209" t="s">
        <v>179</v>
      </c>
      <c r="X258" s="209" t="s">
        <v>180</v>
      </c>
      <c r="Y258" s="209" t="s">
        <v>180</v>
      </c>
      <c r="Z258" s="209">
        <v>9521066898</v>
      </c>
      <c r="AA258" s="209" t="s">
        <v>581</v>
      </c>
      <c r="AB258" s="209" t="s">
        <v>180</v>
      </c>
      <c r="AC258" s="209" t="s">
        <v>182</v>
      </c>
      <c r="AD258" s="209">
        <v>11</v>
      </c>
      <c r="AE258" s="209">
        <v>2024</v>
      </c>
      <c r="AF258" s="227">
        <v>45616</v>
      </c>
      <c r="AG258" s="227">
        <v>45618</v>
      </c>
      <c r="AH258" s="227">
        <v>45618</v>
      </c>
      <c r="AI258" s="228">
        <v>469800</v>
      </c>
      <c r="AJ258" s="228">
        <v>25</v>
      </c>
      <c r="AK258" s="228">
        <v>469800</v>
      </c>
      <c r="AL258" s="228">
        <v>25</v>
      </c>
      <c r="AM258" s="228">
        <v>0</v>
      </c>
      <c r="AN258" s="228">
        <v>0</v>
      </c>
      <c r="AO258" s="229">
        <v>47</v>
      </c>
      <c r="AP258" s="231">
        <v>11</v>
      </c>
      <c r="AQ258" s="231">
        <v>2024</v>
      </c>
      <c r="AR258" s="231" t="str">
        <f t="shared" si="35"/>
        <v>11/2024</v>
      </c>
      <c r="AS258" s="231">
        <f t="shared" si="36"/>
        <v>19.5</v>
      </c>
      <c r="AT258" s="239">
        <f>IF(G258="CERVECERIA Y MALTERIA",(AS258*AK258/1000000)*(1-VLOOKUP(N258,FCST!D:I,6,FALSE)),0)</f>
        <v>9.1610999999999994</v>
      </c>
      <c r="AU258" s="232">
        <v>5.0000000000000001E-3</v>
      </c>
      <c r="AV258" s="239">
        <f t="shared" si="37"/>
        <v>9.2069054999999977</v>
      </c>
      <c r="AW258" s="239">
        <f>(AS258*AK258/1000000)*(VLOOKUP(N258,FCST!D:I,6,FALSE))</f>
        <v>0</v>
      </c>
      <c r="AX258" s="239">
        <f t="shared" si="38"/>
        <v>0</v>
      </c>
      <c r="AY258" s="239">
        <f>IF($G258="CERVECERIA Y MALTERIA.",($AS258*$AK258/1000000)*(1-VLOOKUP($N258,FCST!D:I,6,FALSE)),0)</f>
        <v>0</v>
      </c>
      <c r="AZ258" s="239">
        <f t="shared" si="39"/>
        <v>0</v>
      </c>
    </row>
    <row r="259" spans="1:52" x14ac:dyDescent="0.25">
      <c r="A259" s="209">
        <v>1085749</v>
      </c>
      <c r="B259" s="209">
        <v>70</v>
      </c>
      <c r="C259" s="209">
        <v>89318703</v>
      </c>
      <c r="D259" s="209">
        <v>10</v>
      </c>
      <c r="E259" s="209">
        <v>10000002</v>
      </c>
      <c r="F259" s="209">
        <v>20000340</v>
      </c>
      <c r="G259" s="209" t="s">
        <v>117</v>
      </c>
      <c r="H259" s="209">
        <v>20000340</v>
      </c>
      <c r="I259" s="209">
        <v>2</v>
      </c>
      <c r="J259" s="209" t="s">
        <v>169</v>
      </c>
      <c r="K259" s="209" t="s">
        <v>582</v>
      </c>
      <c r="L259" s="209" t="s">
        <v>171</v>
      </c>
      <c r="M259" s="209" t="s">
        <v>172</v>
      </c>
      <c r="N259" s="209">
        <v>50029817</v>
      </c>
      <c r="O259" s="209" t="s">
        <v>396</v>
      </c>
      <c r="P259" s="209">
        <v>5101</v>
      </c>
      <c r="Q259" s="209" t="s">
        <v>186</v>
      </c>
      <c r="R259" s="209" t="s">
        <v>175</v>
      </c>
      <c r="S259" s="209" t="s">
        <v>176</v>
      </c>
      <c r="T259" s="209" t="s">
        <v>187</v>
      </c>
      <c r="U259" s="209" t="s">
        <v>188</v>
      </c>
      <c r="V259" s="209" t="s">
        <v>179</v>
      </c>
      <c r="W259" s="209" t="s">
        <v>179</v>
      </c>
      <c r="X259" s="209" t="s">
        <v>180</v>
      </c>
      <c r="Y259" s="209" t="s">
        <v>180</v>
      </c>
      <c r="Z259" s="209">
        <v>9511047126</v>
      </c>
      <c r="AA259" s="209" t="s">
        <v>583</v>
      </c>
      <c r="AB259" s="209" t="s">
        <v>180</v>
      </c>
      <c r="AC259" s="209" t="s">
        <v>182</v>
      </c>
      <c r="AD259" s="209">
        <v>11</v>
      </c>
      <c r="AE259" s="209">
        <v>2024</v>
      </c>
      <c r="AF259" s="227">
        <v>45611</v>
      </c>
      <c r="AG259" s="227">
        <v>45617</v>
      </c>
      <c r="AH259" s="227">
        <v>45617</v>
      </c>
      <c r="AI259" s="228">
        <v>606528</v>
      </c>
      <c r="AJ259" s="228">
        <v>52</v>
      </c>
      <c r="AK259" s="228">
        <v>606528</v>
      </c>
      <c r="AL259" s="228">
        <v>52</v>
      </c>
      <c r="AM259" s="228">
        <v>0</v>
      </c>
      <c r="AN259" s="228">
        <v>0</v>
      </c>
      <c r="AO259" s="229">
        <v>47</v>
      </c>
      <c r="AP259" s="231">
        <v>11</v>
      </c>
      <c r="AQ259" s="231">
        <v>2024</v>
      </c>
      <c r="AR259" s="231" t="str">
        <f t="shared" si="35"/>
        <v>11/2024</v>
      </c>
      <c r="AS259" s="231">
        <f t="shared" si="36"/>
        <v>30</v>
      </c>
      <c r="AT259" s="239">
        <f>IF(G259="CERVECERIA Y MALTERIA",(AS259*AK259/1000000)*(1-VLOOKUP(N259,FCST!D:I,6,FALSE)),0)</f>
        <v>0</v>
      </c>
      <c r="AU259" s="232">
        <v>5.0000000000000001E-3</v>
      </c>
      <c r="AV259" s="239">
        <f t="shared" si="37"/>
        <v>0</v>
      </c>
      <c r="AW259" s="239">
        <f>(AS259*AK259/1000000)*(VLOOKUP(N259,FCST!D:I,6,FALSE))</f>
        <v>5.4587519999999996</v>
      </c>
      <c r="AX259" s="239">
        <f t="shared" si="38"/>
        <v>5.4860457599999988</v>
      </c>
      <c r="AY259" s="239">
        <f>IF($G259="CERVECERIA Y MALTERIA.",($AS259*$AK259/1000000)*(1-VLOOKUP($N259,FCST!D:I,6,FALSE)),0)</f>
        <v>12.737088</v>
      </c>
      <c r="AZ259" s="239">
        <f t="shared" si="39"/>
        <v>12.800773439999999</v>
      </c>
    </row>
    <row r="260" spans="1:52" x14ac:dyDescent="0.25">
      <c r="A260" s="209">
        <v>1085749</v>
      </c>
      <c r="B260" s="209">
        <v>60</v>
      </c>
      <c r="C260" s="209">
        <v>89318420</v>
      </c>
      <c r="D260" s="209">
        <v>10</v>
      </c>
      <c r="E260" s="209">
        <v>10000002</v>
      </c>
      <c r="F260" s="209">
        <v>20000340</v>
      </c>
      <c r="G260" s="209" t="s">
        <v>117</v>
      </c>
      <c r="H260" s="209">
        <v>20000340</v>
      </c>
      <c r="I260" s="209">
        <v>2</v>
      </c>
      <c r="J260" s="209" t="s">
        <v>169</v>
      </c>
      <c r="K260" s="209" t="s">
        <v>584</v>
      </c>
      <c r="L260" s="209" t="s">
        <v>171</v>
      </c>
      <c r="M260" s="209" t="s">
        <v>172</v>
      </c>
      <c r="N260" s="209">
        <v>50029817</v>
      </c>
      <c r="O260" s="209" t="s">
        <v>396</v>
      </c>
      <c r="P260" s="209">
        <v>5101</v>
      </c>
      <c r="Q260" s="209" t="s">
        <v>186</v>
      </c>
      <c r="R260" s="209" t="s">
        <v>175</v>
      </c>
      <c r="S260" s="209" t="s">
        <v>176</v>
      </c>
      <c r="T260" s="209" t="s">
        <v>187</v>
      </c>
      <c r="U260" s="209" t="s">
        <v>188</v>
      </c>
      <c r="V260" s="209" t="s">
        <v>179</v>
      </c>
      <c r="W260" s="209" t="s">
        <v>179</v>
      </c>
      <c r="X260" s="209" t="s">
        <v>180</v>
      </c>
      <c r="Y260" s="209" t="s">
        <v>180</v>
      </c>
      <c r="Z260" s="209">
        <v>9511047126</v>
      </c>
      <c r="AA260" s="209" t="s">
        <v>583</v>
      </c>
      <c r="AB260" s="209" t="s">
        <v>180</v>
      </c>
      <c r="AC260" s="209" t="s">
        <v>182</v>
      </c>
      <c r="AD260" s="209">
        <v>11</v>
      </c>
      <c r="AE260" s="209">
        <v>2024</v>
      </c>
      <c r="AF260" s="227">
        <v>45611</v>
      </c>
      <c r="AG260" s="227">
        <v>45617</v>
      </c>
      <c r="AH260" s="227">
        <v>45617</v>
      </c>
      <c r="AI260" s="228">
        <v>606528</v>
      </c>
      <c r="AJ260" s="228">
        <v>52</v>
      </c>
      <c r="AK260" s="228">
        <v>606528</v>
      </c>
      <c r="AL260" s="228">
        <v>52</v>
      </c>
      <c r="AM260" s="228">
        <v>0</v>
      </c>
      <c r="AN260" s="228">
        <v>0</v>
      </c>
      <c r="AO260" s="229">
        <v>47</v>
      </c>
      <c r="AP260" s="231">
        <v>11</v>
      </c>
      <c r="AQ260" s="231">
        <v>2024</v>
      </c>
      <c r="AR260" s="231" t="str">
        <f t="shared" si="35"/>
        <v>11/2024</v>
      </c>
      <c r="AS260" s="231">
        <f t="shared" si="36"/>
        <v>30</v>
      </c>
      <c r="AT260" s="239">
        <f>IF(G260="CERVECERIA Y MALTERIA",(AS260*AK260/1000000)*(1-VLOOKUP(N260,FCST!D:I,6,FALSE)),0)</f>
        <v>0</v>
      </c>
      <c r="AU260" s="232">
        <v>5.0000000000000001E-3</v>
      </c>
      <c r="AV260" s="239">
        <f t="shared" si="37"/>
        <v>0</v>
      </c>
      <c r="AW260" s="239">
        <f>(AS260*AK260/1000000)*(VLOOKUP(N260,FCST!D:I,6,FALSE))</f>
        <v>5.4587519999999996</v>
      </c>
      <c r="AX260" s="239">
        <f t="shared" si="38"/>
        <v>5.4860457599999988</v>
      </c>
      <c r="AY260" s="239">
        <f>IF($G260="CERVECERIA Y MALTERIA.",($AS260*$AK260/1000000)*(1-VLOOKUP($N260,FCST!D:I,6,FALSE)),0)</f>
        <v>12.737088</v>
      </c>
      <c r="AZ260" s="239">
        <f t="shared" si="39"/>
        <v>12.800773439999999</v>
      </c>
    </row>
    <row r="261" spans="1:52" x14ac:dyDescent="0.25">
      <c r="A261" s="209">
        <v>1085747</v>
      </c>
      <c r="B261" s="209">
        <v>90</v>
      </c>
      <c r="C261" s="209">
        <v>89318428</v>
      </c>
      <c r="D261" s="209">
        <v>10</v>
      </c>
      <c r="E261" s="209">
        <v>10000002</v>
      </c>
      <c r="F261" s="209">
        <v>20000335</v>
      </c>
      <c r="G261" s="209" t="s">
        <v>105</v>
      </c>
      <c r="H261" s="209">
        <v>20000335</v>
      </c>
      <c r="I261" s="209">
        <v>2</v>
      </c>
      <c r="J261" s="209" t="s">
        <v>169</v>
      </c>
      <c r="K261" s="209" t="s">
        <v>585</v>
      </c>
      <c r="L261" s="209" t="s">
        <v>171</v>
      </c>
      <c r="M261" s="209" t="s">
        <v>199</v>
      </c>
      <c r="N261" s="209">
        <v>50034616</v>
      </c>
      <c r="O261" s="209" t="s">
        <v>191</v>
      </c>
      <c r="P261" s="209">
        <v>5121</v>
      </c>
      <c r="Q261" s="209" t="s">
        <v>200</v>
      </c>
      <c r="R261" s="209" t="s">
        <v>201</v>
      </c>
      <c r="S261" s="209" t="s">
        <v>202</v>
      </c>
      <c r="T261" s="209" t="s">
        <v>203</v>
      </c>
      <c r="U261" s="209" t="s">
        <v>201</v>
      </c>
      <c r="V261" s="209" t="s">
        <v>179</v>
      </c>
      <c r="W261" s="209" t="s">
        <v>179</v>
      </c>
      <c r="X261" s="209" t="s">
        <v>180</v>
      </c>
      <c r="Y261" s="209" t="s">
        <v>180</v>
      </c>
      <c r="Z261" s="209">
        <v>9521066882</v>
      </c>
      <c r="AA261" s="209" t="s">
        <v>567</v>
      </c>
      <c r="AB261" s="209" t="s">
        <v>180</v>
      </c>
      <c r="AC261" s="209" t="s">
        <v>182</v>
      </c>
      <c r="AD261" s="209">
        <v>11</v>
      </c>
      <c r="AE261" s="209">
        <v>2024</v>
      </c>
      <c r="AF261" s="227">
        <v>45611</v>
      </c>
      <c r="AG261" s="227">
        <v>45617</v>
      </c>
      <c r="AH261" s="227">
        <v>45617</v>
      </c>
      <c r="AI261" s="228">
        <v>426816</v>
      </c>
      <c r="AJ261" s="228">
        <v>52</v>
      </c>
      <c r="AK261" s="228">
        <v>426816</v>
      </c>
      <c r="AL261" s="228">
        <v>52</v>
      </c>
      <c r="AM261" s="228">
        <v>0</v>
      </c>
      <c r="AN261" s="228">
        <v>0</v>
      </c>
      <c r="AO261" s="229">
        <v>47</v>
      </c>
      <c r="AP261" s="231">
        <v>11</v>
      </c>
      <c r="AQ261" s="231">
        <v>2024</v>
      </c>
      <c r="AR261" s="231" t="str">
        <f t="shared" si="35"/>
        <v>11/2024</v>
      </c>
      <c r="AS261" s="231">
        <f t="shared" si="36"/>
        <v>46.6</v>
      </c>
      <c r="AT261" s="239">
        <f>IF(G261="CERVECERIA Y MALTERIA",(AS261*AK261/1000000)*(1-VLOOKUP(N261,FCST!D:I,6,FALSE)),0)</f>
        <v>19.889625600000002</v>
      </c>
      <c r="AU261" s="232">
        <v>5.0000000000000001E-3</v>
      </c>
      <c r="AV261" s="239">
        <f t="shared" si="37"/>
        <v>19.989073728000001</v>
      </c>
      <c r="AW261" s="239">
        <f>(AS261*AK261/1000000)*(VLOOKUP(N261,FCST!D:I,6,FALSE))</f>
        <v>0</v>
      </c>
      <c r="AX261" s="239">
        <f t="shared" si="38"/>
        <v>0</v>
      </c>
      <c r="AY261" s="239">
        <f>IF($G261="CERVECERIA Y MALTERIA.",($AS261*$AK261/1000000)*(1-VLOOKUP($N261,FCST!D:I,6,FALSE)),0)</f>
        <v>0</v>
      </c>
      <c r="AZ261" s="239">
        <f t="shared" si="39"/>
        <v>0</v>
      </c>
    </row>
    <row r="262" spans="1:52" x14ac:dyDescent="0.25">
      <c r="A262" s="209">
        <v>1085747</v>
      </c>
      <c r="B262" s="209">
        <v>70</v>
      </c>
      <c r="C262" s="209">
        <v>89318451</v>
      </c>
      <c r="D262" s="209">
        <v>10</v>
      </c>
      <c r="E262" s="209">
        <v>10000002</v>
      </c>
      <c r="F262" s="209">
        <v>20000335</v>
      </c>
      <c r="G262" s="209" t="s">
        <v>105</v>
      </c>
      <c r="H262" s="209">
        <v>20000335</v>
      </c>
      <c r="I262" s="209">
        <v>2</v>
      </c>
      <c r="J262" s="209" t="s">
        <v>169</v>
      </c>
      <c r="K262" s="209" t="s">
        <v>586</v>
      </c>
      <c r="L262" s="209" t="s">
        <v>171</v>
      </c>
      <c r="M262" s="209" t="s">
        <v>199</v>
      </c>
      <c r="N262" s="209">
        <v>50034574</v>
      </c>
      <c r="O262" s="209" t="s">
        <v>196</v>
      </c>
      <c r="P262" s="209">
        <v>5121</v>
      </c>
      <c r="Q262" s="209" t="s">
        <v>200</v>
      </c>
      <c r="R262" s="209" t="s">
        <v>201</v>
      </c>
      <c r="S262" s="209" t="s">
        <v>202</v>
      </c>
      <c r="T262" s="209" t="s">
        <v>203</v>
      </c>
      <c r="U262" s="209" t="s">
        <v>201</v>
      </c>
      <c r="V262" s="209" t="s">
        <v>179</v>
      </c>
      <c r="W262" s="209" t="s">
        <v>179</v>
      </c>
      <c r="X262" s="209" t="s">
        <v>180</v>
      </c>
      <c r="Y262" s="209" t="s">
        <v>180</v>
      </c>
      <c r="Z262" s="209">
        <v>9521066884</v>
      </c>
      <c r="AA262" s="209" t="s">
        <v>539</v>
      </c>
      <c r="AB262" s="209" t="s">
        <v>180</v>
      </c>
      <c r="AC262" s="209" t="s">
        <v>182</v>
      </c>
      <c r="AD262" s="209">
        <v>11</v>
      </c>
      <c r="AE262" s="209">
        <v>2024</v>
      </c>
      <c r="AF262" s="227">
        <v>45611</v>
      </c>
      <c r="AG262" s="227">
        <v>45617</v>
      </c>
      <c r="AH262" s="227">
        <v>45617</v>
      </c>
      <c r="AI262" s="228">
        <v>977184</v>
      </c>
      <c r="AJ262" s="228">
        <v>52</v>
      </c>
      <c r="AK262" s="228">
        <v>977184</v>
      </c>
      <c r="AL262" s="228">
        <v>52</v>
      </c>
      <c r="AM262" s="228">
        <v>0</v>
      </c>
      <c r="AN262" s="228">
        <v>0</v>
      </c>
      <c r="AO262" s="229">
        <v>47</v>
      </c>
      <c r="AP262" s="231">
        <v>11</v>
      </c>
      <c r="AQ262" s="231">
        <v>2024</v>
      </c>
      <c r="AR262" s="231" t="str">
        <f t="shared" si="35"/>
        <v>11/2024</v>
      </c>
      <c r="AS262" s="231">
        <f t="shared" si="36"/>
        <v>19.5</v>
      </c>
      <c r="AT262" s="239">
        <f>IF(G262="CERVECERIA Y MALTERIA",(AS262*AK262/1000000)*(1-VLOOKUP(N262,FCST!D:I,6,FALSE)),0)</f>
        <v>19.055088000000001</v>
      </c>
      <c r="AU262" s="232">
        <v>5.0000000000000001E-3</v>
      </c>
      <c r="AV262" s="239">
        <f t="shared" si="37"/>
        <v>19.15036344</v>
      </c>
      <c r="AW262" s="239">
        <f>(AS262*AK262/1000000)*(VLOOKUP(N262,FCST!D:I,6,FALSE))</f>
        <v>0</v>
      </c>
      <c r="AX262" s="239">
        <f t="shared" si="38"/>
        <v>0</v>
      </c>
      <c r="AY262" s="239">
        <f>IF($G262="CERVECERIA Y MALTERIA.",($AS262*$AK262/1000000)*(1-VLOOKUP($N262,FCST!D:I,6,FALSE)),0)</f>
        <v>0</v>
      </c>
      <c r="AZ262" s="239">
        <f t="shared" si="39"/>
        <v>0</v>
      </c>
    </row>
    <row r="263" spans="1:52" x14ac:dyDescent="0.25">
      <c r="A263" s="209">
        <v>1086756</v>
      </c>
      <c r="B263" s="209">
        <v>10</v>
      </c>
      <c r="C263" s="209">
        <v>89318461</v>
      </c>
      <c r="D263" s="209">
        <v>10</v>
      </c>
      <c r="E263" s="209">
        <v>10000002</v>
      </c>
      <c r="F263" s="209">
        <v>20000339</v>
      </c>
      <c r="G263" s="209" t="s">
        <v>105</v>
      </c>
      <c r="H263" s="209">
        <v>20000339</v>
      </c>
      <c r="I263" s="209">
        <v>2</v>
      </c>
      <c r="J263" s="209" t="s">
        <v>169</v>
      </c>
      <c r="K263" s="209" t="s">
        <v>587</v>
      </c>
      <c r="L263" s="209" t="s">
        <v>171</v>
      </c>
      <c r="M263" s="209" t="s">
        <v>227</v>
      </c>
      <c r="N263" s="209">
        <v>50033268</v>
      </c>
      <c r="O263" s="209" t="s">
        <v>253</v>
      </c>
      <c r="P263" s="209">
        <v>5121</v>
      </c>
      <c r="Q263" s="209" t="s">
        <v>228</v>
      </c>
      <c r="R263" s="209" t="s">
        <v>229</v>
      </c>
      <c r="S263" s="209" t="s">
        <v>230</v>
      </c>
      <c r="T263" s="209" t="s">
        <v>231</v>
      </c>
      <c r="U263" s="209" t="s">
        <v>232</v>
      </c>
      <c r="V263" s="209" t="s">
        <v>179</v>
      </c>
      <c r="W263" s="209" t="s">
        <v>179</v>
      </c>
      <c r="X263" s="209" t="s">
        <v>180</v>
      </c>
      <c r="Y263" s="209" t="s">
        <v>180</v>
      </c>
      <c r="Z263" s="209">
        <v>9521066900</v>
      </c>
      <c r="AA263" s="209" t="s">
        <v>588</v>
      </c>
      <c r="AB263" s="209" t="s">
        <v>180</v>
      </c>
      <c r="AC263" s="209" t="s">
        <v>182</v>
      </c>
      <c r="AD263" s="209">
        <v>11</v>
      </c>
      <c r="AE263" s="209">
        <v>2024</v>
      </c>
      <c r="AF263" s="227">
        <v>45616</v>
      </c>
      <c r="AG263" s="227">
        <v>45617</v>
      </c>
      <c r="AH263" s="227">
        <v>45617</v>
      </c>
      <c r="AI263" s="228">
        <v>406848</v>
      </c>
      <c r="AJ263" s="228">
        <v>52</v>
      </c>
      <c r="AK263" s="228">
        <v>406848</v>
      </c>
      <c r="AL263" s="228">
        <v>52</v>
      </c>
      <c r="AM263" s="228">
        <v>0</v>
      </c>
      <c r="AN263" s="228">
        <v>0</v>
      </c>
      <c r="AO263" s="229">
        <v>47</v>
      </c>
      <c r="AP263" s="231">
        <v>11</v>
      </c>
      <c r="AQ263" s="231">
        <v>2024</v>
      </c>
      <c r="AR263" s="231" t="str">
        <f t="shared" si="35"/>
        <v>11/2024</v>
      </c>
      <c r="AS263" s="231">
        <f t="shared" si="36"/>
        <v>44</v>
      </c>
      <c r="AT263" s="239">
        <f>IF(G263="CERVECERIA Y MALTERIA",(AS263*AK263/1000000)*(1-VLOOKUP(N263,FCST!D:I,6,FALSE)),0)</f>
        <v>17.901312000000001</v>
      </c>
      <c r="AU263" s="232">
        <v>5.0000000000000001E-3</v>
      </c>
      <c r="AV263" s="239">
        <f t="shared" si="37"/>
        <v>17.990818559999997</v>
      </c>
      <c r="AW263" s="239">
        <f>(AS263*AK263/1000000)*(VLOOKUP(N263,FCST!D:I,6,FALSE))</f>
        <v>0</v>
      </c>
      <c r="AX263" s="239">
        <f t="shared" si="38"/>
        <v>0</v>
      </c>
      <c r="AY263" s="239">
        <f>IF($G263="CERVECERIA Y MALTERIA.",($AS263*$AK263/1000000)*(1-VLOOKUP($N263,FCST!D:I,6,FALSE)),0)</f>
        <v>0</v>
      </c>
      <c r="AZ263" s="239">
        <f t="shared" si="39"/>
        <v>0</v>
      </c>
    </row>
    <row r="264" spans="1:52" x14ac:dyDescent="0.25">
      <c r="A264" s="209">
        <v>1087105</v>
      </c>
      <c r="B264" s="209">
        <v>40</v>
      </c>
      <c r="C264" s="209">
        <v>89324669</v>
      </c>
      <c r="D264" s="209">
        <v>10</v>
      </c>
      <c r="E264" s="209">
        <v>10000002</v>
      </c>
      <c r="F264" s="209">
        <v>20000340</v>
      </c>
      <c r="G264" s="209" t="s">
        <v>117</v>
      </c>
      <c r="H264" s="209">
        <v>20000340</v>
      </c>
      <c r="I264" s="209">
        <v>2</v>
      </c>
      <c r="J264" s="209" t="s">
        <v>169</v>
      </c>
      <c r="K264" s="209" t="s">
        <v>589</v>
      </c>
      <c r="L264" s="209" t="s">
        <v>171</v>
      </c>
      <c r="M264" s="209" t="s">
        <v>172</v>
      </c>
      <c r="N264" s="209">
        <v>50027468</v>
      </c>
      <c r="O264" s="209" t="s">
        <v>285</v>
      </c>
      <c r="P264" s="209">
        <v>5101</v>
      </c>
      <c r="Q264" s="209" t="s">
        <v>186</v>
      </c>
      <c r="R264" s="209" t="s">
        <v>175</v>
      </c>
      <c r="S264" s="209" t="s">
        <v>176</v>
      </c>
      <c r="T264" s="209" t="s">
        <v>187</v>
      </c>
      <c r="U264" s="209" t="s">
        <v>188</v>
      </c>
      <c r="V264" s="209" t="s">
        <v>179</v>
      </c>
      <c r="W264" s="209" t="s">
        <v>179</v>
      </c>
      <c r="X264" s="209" t="s">
        <v>180</v>
      </c>
      <c r="Y264" s="209" t="s">
        <v>180</v>
      </c>
      <c r="Z264" s="209">
        <v>9511047125</v>
      </c>
      <c r="AA264" s="209" t="s">
        <v>561</v>
      </c>
      <c r="AB264" s="209" t="s">
        <v>180</v>
      </c>
      <c r="AC264" s="209" t="s">
        <v>182</v>
      </c>
      <c r="AD264" s="209">
        <v>11</v>
      </c>
      <c r="AE264" s="209">
        <v>2024</v>
      </c>
      <c r="AF264" s="227">
        <v>45618</v>
      </c>
      <c r="AG264" s="227">
        <v>45625</v>
      </c>
      <c r="AH264" s="227">
        <v>45625</v>
      </c>
      <c r="AI264" s="228">
        <v>384000</v>
      </c>
      <c r="AJ264" s="228">
        <v>50</v>
      </c>
      <c r="AK264" s="228">
        <v>384000</v>
      </c>
      <c r="AL264" s="228">
        <v>50</v>
      </c>
      <c r="AM264" s="228">
        <v>0</v>
      </c>
      <c r="AN264" s="228">
        <v>0</v>
      </c>
      <c r="AO264" s="229">
        <v>48</v>
      </c>
      <c r="AP264" s="231">
        <v>11</v>
      </c>
      <c r="AQ264" s="231">
        <v>2024</v>
      </c>
      <c r="AR264" s="231" t="str">
        <f t="shared" si="35"/>
        <v>11/2024</v>
      </c>
      <c r="AS264" s="231">
        <f t="shared" si="36"/>
        <v>52</v>
      </c>
      <c r="AT264" s="239">
        <f>IF(G264="CERVECERIA Y MALTERIA",(AS264*AK264/1000000)*(1-VLOOKUP(N264,FCST!D:I,6,FALSE)),0)</f>
        <v>0</v>
      </c>
      <c r="AU264" s="232">
        <v>5.0000000000000001E-3</v>
      </c>
      <c r="AV264" s="239">
        <f t="shared" si="37"/>
        <v>0</v>
      </c>
      <c r="AW264" s="239">
        <f>(AS264*AK264/1000000)*(VLOOKUP(N264,FCST!D:I,6,FALSE))</f>
        <v>0</v>
      </c>
      <c r="AX264" s="239">
        <f t="shared" si="38"/>
        <v>0</v>
      </c>
      <c r="AY264" s="239">
        <f>IF($G264="CERVECERIA Y MALTERIA.",($AS264*$AK264/1000000)*(1-VLOOKUP($N264,FCST!D:I,6,FALSE)),0)</f>
        <v>19.968</v>
      </c>
      <c r="AZ264" s="239">
        <f t="shared" si="39"/>
        <v>20.067839999999997</v>
      </c>
    </row>
    <row r="265" spans="1:52" x14ac:dyDescent="0.25">
      <c r="A265" s="209">
        <v>1085690</v>
      </c>
      <c r="B265" s="209">
        <v>20</v>
      </c>
      <c r="C265" s="209">
        <v>89324677</v>
      </c>
      <c r="D265" s="209">
        <v>10</v>
      </c>
      <c r="E265" s="209">
        <v>10000002</v>
      </c>
      <c r="F265" s="209">
        <v>20000339</v>
      </c>
      <c r="G265" s="209" t="s">
        <v>105</v>
      </c>
      <c r="H265" s="209">
        <v>20000339</v>
      </c>
      <c r="I265" s="209">
        <v>2</v>
      </c>
      <c r="J265" s="209" t="s">
        <v>169</v>
      </c>
      <c r="K265" s="209" t="s">
        <v>590</v>
      </c>
      <c r="L265" s="209" t="s">
        <v>556</v>
      </c>
      <c r="M265" s="209" t="s">
        <v>172</v>
      </c>
      <c r="N265" s="209">
        <v>50034245</v>
      </c>
      <c r="O265" s="209" t="s">
        <v>591</v>
      </c>
      <c r="P265" s="209">
        <v>5101</v>
      </c>
      <c r="Q265" s="209" t="s">
        <v>186</v>
      </c>
      <c r="R265" s="209" t="s">
        <v>175</v>
      </c>
      <c r="S265" s="209" t="s">
        <v>176</v>
      </c>
      <c r="T265" s="209" t="s">
        <v>187</v>
      </c>
      <c r="U265" s="209" t="s">
        <v>188</v>
      </c>
      <c r="V265" s="209" t="s">
        <v>179</v>
      </c>
      <c r="W265" s="209" t="s">
        <v>179</v>
      </c>
      <c r="X265" s="209" t="s">
        <v>180</v>
      </c>
      <c r="Y265" s="209" t="s">
        <v>180</v>
      </c>
      <c r="Z265" s="209">
        <v>9511047124</v>
      </c>
      <c r="AA265" s="209" t="s">
        <v>592</v>
      </c>
      <c r="AB265" s="209" t="s">
        <v>180</v>
      </c>
      <c r="AC265" s="209" t="s">
        <v>182</v>
      </c>
      <c r="AD265" s="209">
        <v>11</v>
      </c>
      <c r="AE265" s="209">
        <v>2024</v>
      </c>
      <c r="AF265" s="227">
        <v>45611</v>
      </c>
      <c r="AG265" s="227">
        <v>45625</v>
      </c>
      <c r="AH265" s="227">
        <v>45625</v>
      </c>
      <c r="AI265" s="228">
        <v>228864</v>
      </c>
      <c r="AJ265" s="228">
        <v>16</v>
      </c>
      <c r="AK265" s="228">
        <v>228864</v>
      </c>
      <c r="AL265" s="228">
        <v>16</v>
      </c>
      <c r="AM265" s="228">
        <v>0</v>
      </c>
      <c r="AN265" s="228">
        <v>0</v>
      </c>
      <c r="AO265" s="229">
        <v>47</v>
      </c>
      <c r="AP265" s="231">
        <v>11</v>
      </c>
      <c r="AQ265" s="231">
        <v>2024</v>
      </c>
      <c r="AR265" s="231" t="str">
        <f t="shared" si="35"/>
        <v>11/2024</v>
      </c>
      <c r="AS265" s="231">
        <f t="shared" si="36"/>
        <v>25</v>
      </c>
      <c r="AT265" s="239">
        <f>IF(G265="CERVECERIA Y MALTERIA",(AS265*AK265/1000000)*(1-VLOOKUP(N265,FCST!D:I,6,FALSE)),0)</f>
        <v>0</v>
      </c>
      <c r="AU265" s="232">
        <v>5.0000000000000001E-3</v>
      </c>
      <c r="AV265" s="239">
        <f t="shared" si="37"/>
        <v>0</v>
      </c>
      <c r="AW265" s="239">
        <f>(AS265*AK265/1000000)*(VLOOKUP(N265,FCST!D:I,6,FALSE))</f>
        <v>5.7215999999999996</v>
      </c>
      <c r="AX265" s="239">
        <f t="shared" si="38"/>
        <v>5.7502079999999989</v>
      </c>
      <c r="AY265" s="239">
        <f>IF($G265="CERVECERIA Y MALTERIA.",($AS265*$AK265/1000000)*(1-VLOOKUP($N265,FCST!D:I,6,FALSE)),0)</f>
        <v>0</v>
      </c>
      <c r="AZ265" s="239">
        <f t="shared" si="39"/>
        <v>0</v>
      </c>
    </row>
    <row r="266" spans="1:52" x14ac:dyDescent="0.25">
      <c r="A266" s="209">
        <v>1087112</v>
      </c>
      <c r="B266" s="209">
        <v>60</v>
      </c>
      <c r="C266" s="209">
        <v>89324678</v>
      </c>
      <c r="D266" s="209">
        <v>10</v>
      </c>
      <c r="E266" s="209">
        <v>10000002</v>
      </c>
      <c r="F266" s="209">
        <v>20000339</v>
      </c>
      <c r="G266" s="209" t="s">
        <v>105</v>
      </c>
      <c r="H266" s="209">
        <v>20000339</v>
      </c>
      <c r="I266" s="209">
        <v>2</v>
      </c>
      <c r="J266" s="209" t="s">
        <v>169</v>
      </c>
      <c r="K266" s="209" t="s">
        <v>593</v>
      </c>
      <c r="L266" s="209" t="s">
        <v>171</v>
      </c>
      <c r="M266" s="209" t="s">
        <v>172</v>
      </c>
      <c r="N266" s="209">
        <v>50034194</v>
      </c>
      <c r="O266" s="209" t="s">
        <v>276</v>
      </c>
      <c r="P266" s="209">
        <v>5121</v>
      </c>
      <c r="Q266" s="209" t="s">
        <v>174</v>
      </c>
      <c r="R266" s="209" t="s">
        <v>175</v>
      </c>
      <c r="S266" s="209" t="s">
        <v>176</v>
      </c>
      <c r="T266" s="209" t="s">
        <v>177</v>
      </c>
      <c r="U266" s="209" t="s">
        <v>178</v>
      </c>
      <c r="V266" s="209" t="s">
        <v>179</v>
      </c>
      <c r="W266" s="209" t="s">
        <v>179</v>
      </c>
      <c r="X266" s="209" t="s">
        <v>180</v>
      </c>
      <c r="Y266" s="209" t="s">
        <v>180</v>
      </c>
      <c r="Z266" s="209">
        <v>9521066897</v>
      </c>
      <c r="AA266" s="209" t="s">
        <v>594</v>
      </c>
      <c r="AB266" s="209" t="s">
        <v>180</v>
      </c>
      <c r="AC266" s="209" t="s">
        <v>182</v>
      </c>
      <c r="AD266" s="209">
        <v>11</v>
      </c>
      <c r="AE266" s="209">
        <v>2024</v>
      </c>
      <c r="AF266" s="227">
        <v>45618</v>
      </c>
      <c r="AG266" s="227">
        <v>45625</v>
      </c>
      <c r="AH266" s="227">
        <v>45625</v>
      </c>
      <c r="AI266" s="228">
        <v>219456</v>
      </c>
      <c r="AJ266" s="228">
        <v>36</v>
      </c>
      <c r="AK266" s="228">
        <v>219456</v>
      </c>
      <c r="AL266" s="228">
        <v>36</v>
      </c>
      <c r="AM266" s="228">
        <v>0</v>
      </c>
      <c r="AN266" s="228">
        <v>0</v>
      </c>
      <c r="AO266" s="229">
        <v>48</v>
      </c>
      <c r="AP266" s="231">
        <v>11</v>
      </c>
      <c r="AQ266" s="231">
        <v>2024</v>
      </c>
      <c r="AR266" s="231" t="str">
        <f t="shared" si="35"/>
        <v>11/2024</v>
      </c>
      <c r="AS266" s="231">
        <f t="shared" si="36"/>
        <v>62</v>
      </c>
      <c r="AT266" s="239">
        <f>IF(G266="CERVECERIA Y MALTERIA",(AS266*AK266/1000000)*(1-VLOOKUP(N266,FCST!D:I,6,FALSE)),0)</f>
        <v>13.606272000000001</v>
      </c>
      <c r="AU266" s="232">
        <v>5.0000000000000001E-3</v>
      </c>
      <c r="AV266" s="239">
        <f t="shared" si="37"/>
        <v>13.67430336</v>
      </c>
      <c r="AW266" s="239">
        <f>(AS266*AK266/1000000)*(VLOOKUP(N266,FCST!D:I,6,FALSE))</f>
        <v>0</v>
      </c>
      <c r="AX266" s="239">
        <f t="shared" si="38"/>
        <v>0</v>
      </c>
      <c r="AY266" s="239">
        <f>IF($G266="CERVECERIA Y MALTERIA.",($AS266*$AK266/1000000)*(1-VLOOKUP($N266,FCST!D:I,6,FALSE)),0)</f>
        <v>0</v>
      </c>
      <c r="AZ266" s="239">
        <f t="shared" si="39"/>
        <v>0</v>
      </c>
    </row>
    <row r="267" spans="1:52" x14ac:dyDescent="0.25">
      <c r="A267" s="209">
        <v>1087110</v>
      </c>
      <c r="B267" s="209">
        <v>30</v>
      </c>
      <c r="C267" s="209">
        <v>89324514</v>
      </c>
      <c r="D267" s="209">
        <v>10</v>
      </c>
      <c r="E267" s="209">
        <v>10000002</v>
      </c>
      <c r="F267" s="209">
        <v>20000336</v>
      </c>
      <c r="G267" s="209" t="s">
        <v>105</v>
      </c>
      <c r="H267" s="209">
        <v>20000336</v>
      </c>
      <c r="I267" s="209">
        <v>2</v>
      </c>
      <c r="J267" s="209" t="s">
        <v>169</v>
      </c>
      <c r="K267" s="209" t="s">
        <v>595</v>
      </c>
      <c r="L267" s="209" t="s">
        <v>171</v>
      </c>
      <c r="M267" s="209" t="s">
        <v>328</v>
      </c>
      <c r="N267" s="209">
        <v>50033268</v>
      </c>
      <c r="O267" s="209" t="s">
        <v>253</v>
      </c>
      <c r="P267" s="209">
        <v>5121</v>
      </c>
      <c r="Q267" s="209" t="s">
        <v>174</v>
      </c>
      <c r="R267" s="209" t="s">
        <v>175</v>
      </c>
      <c r="S267" s="209" t="s">
        <v>176</v>
      </c>
      <c r="T267" s="209" t="s">
        <v>177</v>
      </c>
      <c r="U267" s="209" t="s">
        <v>178</v>
      </c>
      <c r="V267" s="209" t="s">
        <v>179</v>
      </c>
      <c r="W267" s="209" t="s">
        <v>179</v>
      </c>
      <c r="X267" s="209" t="s">
        <v>180</v>
      </c>
      <c r="Y267" s="209" t="s">
        <v>180</v>
      </c>
      <c r="Z267" s="209">
        <v>9521066890</v>
      </c>
      <c r="AA267" s="209" t="s">
        <v>596</v>
      </c>
      <c r="AB267" s="209" t="s">
        <v>180</v>
      </c>
      <c r="AC267" s="209" t="s">
        <v>182</v>
      </c>
      <c r="AD267" s="209">
        <v>11</v>
      </c>
      <c r="AE267" s="209">
        <v>2024</v>
      </c>
      <c r="AF267" s="227">
        <v>45618</v>
      </c>
      <c r="AG267" s="227">
        <v>45624</v>
      </c>
      <c r="AH267" s="227">
        <v>45625</v>
      </c>
      <c r="AI267" s="228">
        <v>406848</v>
      </c>
      <c r="AJ267" s="228">
        <v>52</v>
      </c>
      <c r="AK267" s="228">
        <v>406848</v>
      </c>
      <c r="AL267" s="228">
        <v>52</v>
      </c>
      <c r="AM267" s="228">
        <v>0</v>
      </c>
      <c r="AN267" s="228">
        <v>0</v>
      </c>
      <c r="AO267" s="229">
        <v>48</v>
      </c>
      <c r="AP267" s="231">
        <v>11</v>
      </c>
      <c r="AQ267" s="231">
        <v>2024</v>
      </c>
      <c r="AR267" s="231" t="str">
        <f t="shared" si="35"/>
        <v>11/2024</v>
      </c>
      <c r="AS267" s="231">
        <f t="shared" si="36"/>
        <v>44</v>
      </c>
      <c r="AT267" s="239">
        <f>IF(G267="CERVECERIA Y MALTERIA",(AS267*AK267/1000000)*(1-VLOOKUP(N267,FCST!D:I,6,FALSE)),0)</f>
        <v>17.901312000000001</v>
      </c>
      <c r="AU267" s="232">
        <v>5.0000000000000001E-3</v>
      </c>
      <c r="AV267" s="239">
        <f t="shared" si="37"/>
        <v>17.990818559999997</v>
      </c>
      <c r="AW267" s="239">
        <f>(AS267*AK267/1000000)*(VLOOKUP(N267,FCST!D:I,6,FALSE))</f>
        <v>0</v>
      </c>
      <c r="AX267" s="239">
        <f t="shared" si="38"/>
        <v>0</v>
      </c>
      <c r="AY267" s="239">
        <f>IF($G267="CERVECERIA Y MALTERIA.",($AS267*$AK267/1000000)*(1-VLOOKUP($N267,FCST!D:I,6,FALSE)),0)</f>
        <v>0</v>
      </c>
      <c r="AZ267" s="239">
        <f t="shared" si="39"/>
        <v>0</v>
      </c>
    </row>
    <row r="268" spans="1:52" x14ac:dyDescent="0.25">
      <c r="A268" s="209">
        <v>1087104</v>
      </c>
      <c r="B268" s="209">
        <v>130</v>
      </c>
      <c r="C268" s="209">
        <v>89324583</v>
      </c>
      <c r="D268" s="209">
        <v>10</v>
      </c>
      <c r="E268" s="209">
        <v>10000002</v>
      </c>
      <c r="F268" s="209">
        <v>20000335</v>
      </c>
      <c r="G268" s="209" t="s">
        <v>105</v>
      </c>
      <c r="H268" s="209">
        <v>20000335</v>
      </c>
      <c r="I268" s="209">
        <v>2</v>
      </c>
      <c r="J268" s="209" t="s">
        <v>169</v>
      </c>
      <c r="K268" s="209" t="s">
        <v>597</v>
      </c>
      <c r="L268" s="209" t="s">
        <v>171</v>
      </c>
      <c r="M268" s="209" t="s">
        <v>328</v>
      </c>
      <c r="N268" s="209">
        <v>50034561</v>
      </c>
      <c r="O268" s="209" t="s">
        <v>307</v>
      </c>
      <c r="P268" s="209">
        <v>5121</v>
      </c>
      <c r="Q268" s="209" t="s">
        <v>174</v>
      </c>
      <c r="R268" s="209" t="s">
        <v>175</v>
      </c>
      <c r="S268" s="209" t="s">
        <v>176</v>
      </c>
      <c r="T268" s="209" t="s">
        <v>177</v>
      </c>
      <c r="U268" s="209" t="s">
        <v>178</v>
      </c>
      <c r="V268" s="209" t="s">
        <v>179</v>
      </c>
      <c r="W268" s="209" t="s">
        <v>179</v>
      </c>
      <c r="X268" s="209" t="s">
        <v>180</v>
      </c>
      <c r="Y268" s="209" t="s">
        <v>180</v>
      </c>
      <c r="Z268" s="209">
        <v>9521066885</v>
      </c>
      <c r="AA268" s="209" t="s">
        <v>598</v>
      </c>
      <c r="AB268" s="209" t="s">
        <v>180</v>
      </c>
      <c r="AC268" s="209" t="s">
        <v>182</v>
      </c>
      <c r="AD268" s="209">
        <v>11</v>
      </c>
      <c r="AE268" s="209">
        <v>2024</v>
      </c>
      <c r="AF268" s="227">
        <v>45618</v>
      </c>
      <c r="AG268" s="227">
        <v>45625</v>
      </c>
      <c r="AH268" s="227">
        <v>45625</v>
      </c>
      <c r="AI268" s="228">
        <v>977184</v>
      </c>
      <c r="AJ268" s="228">
        <v>52</v>
      </c>
      <c r="AK268" s="228">
        <v>977184</v>
      </c>
      <c r="AL268" s="228">
        <v>52</v>
      </c>
      <c r="AM268" s="228">
        <v>0</v>
      </c>
      <c r="AN268" s="228">
        <v>0</v>
      </c>
      <c r="AO268" s="229">
        <v>48</v>
      </c>
      <c r="AP268" s="231">
        <v>11</v>
      </c>
      <c r="AQ268" s="231">
        <v>2024</v>
      </c>
      <c r="AR268" s="231" t="str">
        <f t="shared" si="35"/>
        <v>11/2024</v>
      </c>
      <c r="AS268" s="231">
        <f t="shared" si="36"/>
        <v>19.5</v>
      </c>
      <c r="AT268" s="239">
        <f>IF(G268="CERVECERIA Y MALTERIA",(AS268*AK268/1000000)*(1-VLOOKUP(N268,FCST!D:I,6,FALSE)),0)</f>
        <v>19.055088000000001</v>
      </c>
      <c r="AU268" s="232">
        <v>5.0000000000000001E-3</v>
      </c>
      <c r="AV268" s="239">
        <f t="shared" si="37"/>
        <v>19.15036344</v>
      </c>
      <c r="AW268" s="239">
        <f>(AS268*AK268/1000000)*(VLOOKUP(N268,FCST!D:I,6,FALSE))</f>
        <v>0</v>
      </c>
      <c r="AX268" s="239">
        <f t="shared" si="38"/>
        <v>0</v>
      </c>
      <c r="AY268" s="239">
        <f>IF($G268="CERVECERIA Y MALTERIA.",($AS268*$AK268/1000000)*(1-VLOOKUP($N268,FCST!D:I,6,FALSE)),0)</f>
        <v>0</v>
      </c>
      <c r="AZ268" s="239">
        <f t="shared" si="39"/>
        <v>0</v>
      </c>
    </row>
    <row r="269" spans="1:52" x14ac:dyDescent="0.25">
      <c r="A269" s="209">
        <v>1087104</v>
      </c>
      <c r="B269" s="209">
        <v>140</v>
      </c>
      <c r="C269" s="209">
        <v>89324615</v>
      </c>
      <c r="D269" s="209">
        <v>10</v>
      </c>
      <c r="E269" s="209">
        <v>10000002</v>
      </c>
      <c r="F269" s="209">
        <v>20000335</v>
      </c>
      <c r="G269" s="209" t="s">
        <v>105</v>
      </c>
      <c r="H269" s="209">
        <v>20000335</v>
      </c>
      <c r="I269" s="209">
        <v>2</v>
      </c>
      <c r="J269" s="209" t="s">
        <v>169</v>
      </c>
      <c r="K269" s="209" t="s">
        <v>599</v>
      </c>
      <c r="L269" s="209" t="s">
        <v>171</v>
      </c>
      <c r="M269" s="209" t="s">
        <v>199</v>
      </c>
      <c r="N269" s="209">
        <v>50034574</v>
      </c>
      <c r="O269" s="209" t="s">
        <v>196</v>
      </c>
      <c r="P269" s="209">
        <v>5121</v>
      </c>
      <c r="Q269" s="209" t="s">
        <v>200</v>
      </c>
      <c r="R269" s="209" t="s">
        <v>201</v>
      </c>
      <c r="S269" s="209" t="s">
        <v>202</v>
      </c>
      <c r="T269" s="209" t="s">
        <v>203</v>
      </c>
      <c r="U269" s="209" t="s">
        <v>201</v>
      </c>
      <c r="V269" s="209" t="s">
        <v>179</v>
      </c>
      <c r="W269" s="209" t="s">
        <v>179</v>
      </c>
      <c r="X269" s="209" t="s">
        <v>180</v>
      </c>
      <c r="Y269" s="209" t="s">
        <v>180</v>
      </c>
      <c r="Z269" s="209">
        <v>9521066884</v>
      </c>
      <c r="AA269" s="209" t="s">
        <v>539</v>
      </c>
      <c r="AB269" s="209" t="s">
        <v>180</v>
      </c>
      <c r="AC269" s="209" t="s">
        <v>182</v>
      </c>
      <c r="AD269" s="209">
        <v>11</v>
      </c>
      <c r="AE269" s="209">
        <v>2024</v>
      </c>
      <c r="AF269" s="227">
        <v>45618</v>
      </c>
      <c r="AG269" s="227">
        <v>45625</v>
      </c>
      <c r="AH269" s="227">
        <v>45625</v>
      </c>
      <c r="AI269" s="228">
        <v>977184</v>
      </c>
      <c r="AJ269" s="228">
        <v>52</v>
      </c>
      <c r="AK269" s="228">
        <v>977184</v>
      </c>
      <c r="AL269" s="228">
        <v>52</v>
      </c>
      <c r="AM269" s="228">
        <v>0</v>
      </c>
      <c r="AN269" s="228">
        <v>0</v>
      </c>
      <c r="AO269" s="229">
        <v>48</v>
      </c>
      <c r="AP269" s="231">
        <v>11</v>
      </c>
      <c r="AQ269" s="231">
        <v>2024</v>
      </c>
      <c r="AR269" s="231" t="str">
        <f t="shared" si="35"/>
        <v>11/2024</v>
      </c>
      <c r="AS269" s="231">
        <f t="shared" si="36"/>
        <v>19.5</v>
      </c>
      <c r="AT269" s="239">
        <f>IF(G269="CERVECERIA Y MALTERIA",(AS269*AK269/1000000)*(1-VLOOKUP(N269,FCST!D:I,6,FALSE)),0)</f>
        <v>19.055088000000001</v>
      </c>
      <c r="AU269" s="232">
        <v>5.0000000000000001E-3</v>
      </c>
      <c r="AV269" s="239">
        <f t="shared" si="37"/>
        <v>19.15036344</v>
      </c>
      <c r="AW269" s="239">
        <f>(AS269*AK269/1000000)*(VLOOKUP(N269,FCST!D:I,6,FALSE))</f>
        <v>0</v>
      </c>
      <c r="AX269" s="239">
        <f t="shared" si="38"/>
        <v>0</v>
      </c>
      <c r="AY269" s="239">
        <f>IF($G269="CERVECERIA Y MALTERIA.",($AS269*$AK269/1000000)*(1-VLOOKUP($N269,FCST!D:I,6,FALSE)),0)</f>
        <v>0</v>
      </c>
      <c r="AZ269" s="239">
        <f t="shared" si="39"/>
        <v>0</v>
      </c>
    </row>
    <row r="270" spans="1:52" x14ac:dyDescent="0.25">
      <c r="A270" s="209">
        <v>1087110</v>
      </c>
      <c r="B270" s="209">
        <v>20</v>
      </c>
      <c r="C270" s="209">
        <v>89324690</v>
      </c>
      <c r="D270" s="209">
        <v>10</v>
      </c>
      <c r="E270" s="209">
        <v>10000002</v>
      </c>
      <c r="F270" s="209">
        <v>20000336</v>
      </c>
      <c r="G270" s="209" t="s">
        <v>105</v>
      </c>
      <c r="H270" s="209">
        <v>20000336</v>
      </c>
      <c r="I270" s="209">
        <v>2</v>
      </c>
      <c r="J270" s="209" t="s">
        <v>169</v>
      </c>
      <c r="K270" s="209" t="s">
        <v>600</v>
      </c>
      <c r="L270" s="209" t="s">
        <v>171</v>
      </c>
      <c r="M270" s="209" t="s">
        <v>172</v>
      </c>
      <c r="N270" s="209">
        <v>50033268</v>
      </c>
      <c r="O270" s="209" t="s">
        <v>253</v>
      </c>
      <c r="P270" s="209">
        <v>5121</v>
      </c>
      <c r="Q270" s="209" t="s">
        <v>174</v>
      </c>
      <c r="R270" s="209" t="s">
        <v>175</v>
      </c>
      <c r="S270" s="209" t="s">
        <v>176</v>
      </c>
      <c r="T270" s="209" t="s">
        <v>177</v>
      </c>
      <c r="U270" s="209" t="s">
        <v>178</v>
      </c>
      <c r="V270" s="209" t="s">
        <v>179</v>
      </c>
      <c r="W270" s="209" t="s">
        <v>179</v>
      </c>
      <c r="X270" s="209" t="s">
        <v>180</v>
      </c>
      <c r="Y270" s="209" t="s">
        <v>180</v>
      </c>
      <c r="Z270" s="209">
        <v>9521066890</v>
      </c>
      <c r="AA270" s="209" t="s">
        <v>596</v>
      </c>
      <c r="AB270" s="209" t="s">
        <v>180</v>
      </c>
      <c r="AC270" s="209" t="s">
        <v>182</v>
      </c>
      <c r="AD270" s="209">
        <v>11</v>
      </c>
      <c r="AE270" s="209">
        <v>2024</v>
      </c>
      <c r="AF270" s="227">
        <v>45618</v>
      </c>
      <c r="AG270" s="227">
        <v>45624</v>
      </c>
      <c r="AH270" s="227">
        <v>45625</v>
      </c>
      <c r="AI270" s="228">
        <v>406848</v>
      </c>
      <c r="AJ270" s="228">
        <v>52</v>
      </c>
      <c r="AK270" s="228">
        <v>406848</v>
      </c>
      <c r="AL270" s="228">
        <v>52</v>
      </c>
      <c r="AM270" s="228">
        <v>0</v>
      </c>
      <c r="AN270" s="228">
        <v>0</v>
      </c>
      <c r="AO270" s="229">
        <v>48</v>
      </c>
      <c r="AP270" s="231">
        <v>11</v>
      </c>
      <c r="AQ270" s="231">
        <v>2024</v>
      </c>
      <c r="AR270" s="231" t="str">
        <f t="shared" si="35"/>
        <v>11/2024</v>
      </c>
      <c r="AS270" s="231">
        <f t="shared" si="36"/>
        <v>44</v>
      </c>
      <c r="AT270" s="239">
        <f>IF(G270="CERVECERIA Y MALTERIA",(AS270*AK270/1000000)*(1-VLOOKUP(N270,FCST!D:I,6,FALSE)),0)</f>
        <v>17.901312000000001</v>
      </c>
      <c r="AU270" s="232">
        <v>5.0000000000000001E-3</v>
      </c>
      <c r="AV270" s="239">
        <f t="shared" si="37"/>
        <v>17.990818559999997</v>
      </c>
      <c r="AW270" s="239">
        <f>(AS270*AK270/1000000)*(VLOOKUP(N270,FCST!D:I,6,FALSE))</f>
        <v>0</v>
      </c>
      <c r="AX270" s="239">
        <f t="shared" si="38"/>
        <v>0</v>
      </c>
      <c r="AY270" s="239">
        <f>IF($G270="CERVECERIA Y MALTERIA.",($AS270*$AK270/1000000)*(1-VLOOKUP($N270,FCST!D:I,6,FALSE)),0)</f>
        <v>0</v>
      </c>
      <c r="AZ270" s="239">
        <f t="shared" si="39"/>
        <v>0</v>
      </c>
    </row>
    <row r="271" spans="1:52" x14ac:dyDescent="0.25">
      <c r="A271" s="209">
        <v>1086757</v>
      </c>
      <c r="B271" s="209">
        <v>40</v>
      </c>
      <c r="C271" s="209">
        <v>89324761</v>
      </c>
      <c r="D271" s="209">
        <v>10</v>
      </c>
      <c r="E271" s="209">
        <v>10000002</v>
      </c>
      <c r="F271" s="209">
        <v>20001057</v>
      </c>
      <c r="G271" s="209" t="s">
        <v>105</v>
      </c>
      <c r="H271" s="209">
        <v>20001057</v>
      </c>
      <c r="I271" s="209">
        <v>2</v>
      </c>
      <c r="J271" s="209" t="s">
        <v>169</v>
      </c>
      <c r="K271" s="209" t="s">
        <v>601</v>
      </c>
      <c r="L271" s="209" t="s">
        <v>171</v>
      </c>
      <c r="M271" s="209" t="s">
        <v>199</v>
      </c>
      <c r="N271" s="209">
        <v>50034616</v>
      </c>
      <c r="O271" s="209" t="s">
        <v>191</v>
      </c>
      <c r="P271" s="209">
        <v>5121</v>
      </c>
      <c r="Q271" s="209" t="s">
        <v>200</v>
      </c>
      <c r="R271" s="209" t="s">
        <v>201</v>
      </c>
      <c r="S271" s="209" t="s">
        <v>202</v>
      </c>
      <c r="T271" s="209" t="s">
        <v>203</v>
      </c>
      <c r="U271" s="209" t="s">
        <v>201</v>
      </c>
      <c r="V271" s="209" t="s">
        <v>179</v>
      </c>
      <c r="W271" s="209" t="s">
        <v>179</v>
      </c>
      <c r="X271" s="209" t="s">
        <v>180</v>
      </c>
      <c r="Y271" s="209" t="s">
        <v>180</v>
      </c>
      <c r="Z271" s="209">
        <v>9521066903</v>
      </c>
      <c r="AA271" s="209" t="s">
        <v>602</v>
      </c>
      <c r="AB271" s="209" t="s">
        <v>180</v>
      </c>
      <c r="AC271" s="209" t="s">
        <v>182</v>
      </c>
      <c r="AD271" s="209">
        <v>11</v>
      </c>
      <c r="AE271" s="209">
        <v>2024</v>
      </c>
      <c r="AF271" s="227">
        <v>45616</v>
      </c>
      <c r="AG271" s="227">
        <v>45625</v>
      </c>
      <c r="AH271" s="227">
        <v>45625</v>
      </c>
      <c r="AI271" s="228">
        <v>426816</v>
      </c>
      <c r="AJ271" s="228">
        <v>52</v>
      </c>
      <c r="AK271" s="228">
        <v>426816</v>
      </c>
      <c r="AL271" s="228">
        <v>52</v>
      </c>
      <c r="AM271" s="228">
        <v>0</v>
      </c>
      <c r="AN271" s="228">
        <v>0</v>
      </c>
      <c r="AO271" s="229">
        <v>47</v>
      </c>
      <c r="AP271" s="231">
        <v>11</v>
      </c>
      <c r="AQ271" s="231">
        <v>2024</v>
      </c>
      <c r="AR271" s="231" t="str">
        <f t="shared" si="35"/>
        <v>11/2024</v>
      </c>
      <c r="AS271" s="231">
        <f t="shared" si="36"/>
        <v>46.6</v>
      </c>
      <c r="AT271" s="239">
        <f>IF(G271="CERVECERIA Y MALTERIA",(AS271*AK271/1000000)*(1-VLOOKUP(N271,FCST!D:I,6,FALSE)),0)</f>
        <v>19.889625600000002</v>
      </c>
      <c r="AU271" s="232">
        <v>5.0000000000000001E-3</v>
      </c>
      <c r="AV271" s="239">
        <f t="shared" si="37"/>
        <v>19.989073728000001</v>
      </c>
      <c r="AW271" s="239">
        <f>(AS271*AK271/1000000)*(VLOOKUP(N271,FCST!D:I,6,FALSE))</f>
        <v>0</v>
      </c>
      <c r="AX271" s="239">
        <f t="shared" si="38"/>
        <v>0</v>
      </c>
      <c r="AY271" s="239">
        <f>IF($G271="CERVECERIA Y MALTERIA.",($AS271*$AK271/1000000)*(1-VLOOKUP($N271,FCST!D:I,6,FALSE)),0)</f>
        <v>0</v>
      </c>
      <c r="AZ271" s="239">
        <f t="shared" si="39"/>
        <v>0</v>
      </c>
    </row>
    <row r="272" spans="1:52" x14ac:dyDescent="0.25">
      <c r="A272" s="209">
        <v>1087104</v>
      </c>
      <c r="B272" s="209">
        <v>120</v>
      </c>
      <c r="C272" s="209">
        <v>89324791</v>
      </c>
      <c r="D272" s="209">
        <v>10</v>
      </c>
      <c r="E272" s="209">
        <v>10000002</v>
      </c>
      <c r="F272" s="209">
        <v>20000335</v>
      </c>
      <c r="G272" s="209" t="s">
        <v>105</v>
      </c>
      <c r="H272" s="209">
        <v>20000335</v>
      </c>
      <c r="I272" s="209">
        <v>2</v>
      </c>
      <c r="J272" s="209" t="s">
        <v>169</v>
      </c>
      <c r="K272" s="209" t="s">
        <v>603</v>
      </c>
      <c r="L272" s="209" t="s">
        <v>171</v>
      </c>
      <c r="M272" s="209" t="s">
        <v>172</v>
      </c>
      <c r="N272" s="209">
        <v>50037042</v>
      </c>
      <c r="O272" s="209" t="s">
        <v>543</v>
      </c>
      <c r="P272" s="209">
        <v>5121</v>
      </c>
      <c r="Q272" s="209" t="s">
        <v>174</v>
      </c>
      <c r="R272" s="209" t="s">
        <v>175</v>
      </c>
      <c r="S272" s="209" t="s">
        <v>176</v>
      </c>
      <c r="T272" s="209" t="s">
        <v>177</v>
      </c>
      <c r="U272" s="209" t="s">
        <v>178</v>
      </c>
      <c r="V272" s="209" t="s">
        <v>179</v>
      </c>
      <c r="W272" s="209" t="s">
        <v>179</v>
      </c>
      <c r="X272" s="209" t="s">
        <v>180</v>
      </c>
      <c r="Y272" s="209" t="s">
        <v>180</v>
      </c>
      <c r="Z272" s="209">
        <v>9521066883</v>
      </c>
      <c r="AA272" s="209" t="s">
        <v>544</v>
      </c>
      <c r="AB272" s="209" t="s">
        <v>180</v>
      </c>
      <c r="AC272" s="209" t="s">
        <v>182</v>
      </c>
      <c r="AD272" s="209">
        <v>11</v>
      </c>
      <c r="AE272" s="209">
        <v>2024</v>
      </c>
      <c r="AF272" s="227">
        <v>45618</v>
      </c>
      <c r="AG272" s="227">
        <v>45625</v>
      </c>
      <c r="AH272" s="227">
        <v>45625</v>
      </c>
      <c r="AI272" s="228">
        <v>426816</v>
      </c>
      <c r="AJ272" s="228">
        <v>52</v>
      </c>
      <c r="AK272" s="228">
        <v>426816</v>
      </c>
      <c r="AL272" s="228">
        <v>52</v>
      </c>
      <c r="AM272" s="228">
        <v>0</v>
      </c>
      <c r="AN272" s="228">
        <v>0</v>
      </c>
      <c r="AO272" s="229">
        <v>48</v>
      </c>
      <c r="AP272" s="231">
        <v>11</v>
      </c>
      <c r="AQ272" s="231">
        <v>2024</v>
      </c>
      <c r="AR272" s="231" t="str">
        <f t="shared" si="35"/>
        <v>11/2024</v>
      </c>
      <c r="AS272" s="231">
        <f t="shared" si="36"/>
        <v>46.6</v>
      </c>
      <c r="AT272" s="239">
        <f>IF(G272="CERVECERIA Y MALTERIA",(AS272*AK272/1000000)*(1-VLOOKUP(N272,FCST!D:I,6,FALSE)),0)</f>
        <v>15.911700480000002</v>
      </c>
      <c r="AU272" s="232">
        <v>5.0000000000000001E-3</v>
      </c>
      <c r="AV272" s="239">
        <f t="shared" si="37"/>
        <v>15.9912589824</v>
      </c>
      <c r="AW272" s="239">
        <f>(AS272*AK272/1000000)*(VLOOKUP(N272,FCST!D:I,6,FALSE))</f>
        <v>3.9779251200000005</v>
      </c>
      <c r="AX272" s="239">
        <f t="shared" si="38"/>
        <v>3.9978147455999999</v>
      </c>
      <c r="AY272" s="239">
        <f>IF($G272="CERVECERIA Y MALTERIA.",($AS272*$AK272/1000000)*(1-VLOOKUP($N272,FCST!D:I,6,FALSE)),0)</f>
        <v>0</v>
      </c>
      <c r="AZ272" s="239">
        <f t="shared" si="39"/>
        <v>0</v>
      </c>
    </row>
    <row r="273" spans="1:52" x14ac:dyDescent="0.25">
      <c r="A273" s="209">
        <v>1087105</v>
      </c>
      <c r="B273" s="209">
        <v>20</v>
      </c>
      <c r="C273" s="209">
        <v>89323111</v>
      </c>
      <c r="D273" s="209">
        <v>10</v>
      </c>
      <c r="E273" s="209">
        <v>10000002</v>
      </c>
      <c r="F273" s="209">
        <v>20000340</v>
      </c>
      <c r="G273" s="209" t="s">
        <v>117</v>
      </c>
      <c r="H273" s="209">
        <v>20000340</v>
      </c>
      <c r="I273" s="209">
        <v>2</v>
      </c>
      <c r="J273" s="209" t="s">
        <v>169</v>
      </c>
      <c r="K273" s="209" t="s">
        <v>604</v>
      </c>
      <c r="L273" s="209" t="s">
        <v>171</v>
      </c>
      <c r="M273" s="209" t="s">
        <v>184</v>
      </c>
      <c r="N273" s="209">
        <v>50027468</v>
      </c>
      <c r="O273" s="209" t="s">
        <v>285</v>
      </c>
      <c r="P273" s="209">
        <v>5101</v>
      </c>
      <c r="Q273" s="209" t="s">
        <v>186</v>
      </c>
      <c r="R273" s="209" t="s">
        <v>175</v>
      </c>
      <c r="S273" s="209" t="s">
        <v>176</v>
      </c>
      <c r="T273" s="209" t="s">
        <v>187</v>
      </c>
      <c r="U273" s="209" t="s">
        <v>188</v>
      </c>
      <c r="V273" s="209" t="s">
        <v>179</v>
      </c>
      <c r="W273" s="209" t="s">
        <v>179</v>
      </c>
      <c r="X273" s="209" t="s">
        <v>180</v>
      </c>
      <c r="Y273" s="209" t="s">
        <v>180</v>
      </c>
      <c r="Z273" s="209">
        <v>9511047125</v>
      </c>
      <c r="AA273" s="209" t="s">
        <v>561</v>
      </c>
      <c r="AB273" s="209" t="s">
        <v>180</v>
      </c>
      <c r="AC273" s="209" t="s">
        <v>182</v>
      </c>
      <c r="AD273" s="209">
        <v>11</v>
      </c>
      <c r="AE273" s="209">
        <v>2024</v>
      </c>
      <c r="AF273" s="227">
        <v>45618</v>
      </c>
      <c r="AG273" s="227">
        <v>45623</v>
      </c>
      <c r="AH273" s="227">
        <v>45623</v>
      </c>
      <c r="AI273" s="228">
        <v>399360</v>
      </c>
      <c r="AJ273" s="228">
        <v>52</v>
      </c>
      <c r="AK273" s="228">
        <v>399360</v>
      </c>
      <c r="AL273" s="228">
        <v>52</v>
      </c>
      <c r="AM273" s="228">
        <v>0</v>
      </c>
      <c r="AN273" s="228">
        <v>0</v>
      </c>
      <c r="AO273" s="229">
        <v>48</v>
      </c>
      <c r="AP273" s="231">
        <v>11</v>
      </c>
      <c r="AQ273" s="231">
        <v>2024</v>
      </c>
      <c r="AR273" s="231" t="str">
        <f t="shared" si="35"/>
        <v>11/2024</v>
      </c>
      <c r="AS273" s="231">
        <f t="shared" si="36"/>
        <v>52</v>
      </c>
      <c r="AT273" s="239">
        <f>IF(G273="CERVECERIA Y MALTERIA",(AS273*AK273/1000000)*(1-VLOOKUP(N273,FCST!D:I,6,FALSE)),0)</f>
        <v>0</v>
      </c>
      <c r="AU273" s="232">
        <v>5.0000000000000001E-3</v>
      </c>
      <c r="AV273" s="239">
        <f t="shared" si="37"/>
        <v>0</v>
      </c>
      <c r="AW273" s="239">
        <f>(AS273*AK273/1000000)*(VLOOKUP(N273,FCST!D:I,6,FALSE))</f>
        <v>0</v>
      </c>
      <c r="AX273" s="239">
        <f t="shared" si="38"/>
        <v>0</v>
      </c>
      <c r="AY273" s="239">
        <f>IF($G273="CERVECERIA Y MALTERIA.",($AS273*$AK273/1000000)*(1-VLOOKUP($N273,FCST!D:I,6,FALSE)),0)</f>
        <v>20.766719999999999</v>
      </c>
      <c r="AZ273" s="239">
        <f t="shared" si="39"/>
        <v>20.870553599999997</v>
      </c>
    </row>
    <row r="274" spans="1:52" x14ac:dyDescent="0.25">
      <c r="A274" s="209">
        <v>1087104</v>
      </c>
      <c r="B274" s="209">
        <v>80</v>
      </c>
      <c r="C274" s="209">
        <v>89323112</v>
      </c>
      <c r="D274" s="209">
        <v>10</v>
      </c>
      <c r="E274" s="209">
        <v>10000002</v>
      </c>
      <c r="F274" s="209">
        <v>20000335</v>
      </c>
      <c r="G274" s="209" t="s">
        <v>105</v>
      </c>
      <c r="H274" s="209">
        <v>20000335</v>
      </c>
      <c r="I274" s="209">
        <v>2</v>
      </c>
      <c r="J274" s="209" t="s">
        <v>169</v>
      </c>
      <c r="K274" s="209" t="s">
        <v>605</v>
      </c>
      <c r="L274" s="209" t="s">
        <v>171</v>
      </c>
      <c r="M274" s="209" t="s">
        <v>184</v>
      </c>
      <c r="N274" s="209">
        <v>50032573</v>
      </c>
      <c r="O274" s="209" t="s">
        <v>173</v>
      </c>
      <c r="P274" s="209">
        <v>5121</v>
      </c>
      <c r="Q274" s="209" t="s">
        <v>174</v>
      </c>
      <c r="R274" s="209" t="s">
        <v>175</v>
      </c>
      <c r="S274" s="209" t="s">
        <v>176</v>
      </c>
      <c r="T274" s="209" t="s">
        <v>177</v>
      </c>
      <c r="U274" s="209" t="s">
        <v>178</v>
      </c>
      <c r="V274" s="209" t="s">
        <v>179</v>
      </c>
      <c r="W274" s="209" t="s">
        <v>179</v>
      </c>
      <c r="X274" s="209" t="s">
        <v>180</v>
      </c>
      <c r="Y274" s="209" t="s">
        <v>180</v>
      </c>
      <c r="Z274" s="209">
        <v>9521066881</v>
      </c>
      <c r="AA274" s="209" t="s">
        <v>548</v>
      </c>
      <c r="AB274" s="209" t="s">
        <v>180</v>
      </c>
      <c r="AC274" s="209" t="s">
        <v>182</v>
      </c>
      <c r="AD274" s="209">
        <v>11</v>
      </c>
      <c r="AE274" s="209">
        <v>2024</v>
      </c>
      <c r="AF274" s="227">
        <v>45618</v>
      </c>
      <c r="AG274" s="227">
        <v>45623</v>
      </c>
      <c r="AH274" s="227">
        <v>45623</v>
      </c>
      <c r="AI274" s="228">
        <v>531648</v>
      </c>
      <c r="AJ274" s="228">
        <v>52</v>
      </c>
      <c r="AK274" s="228">
        <v>531648</v>
      </c>
      <c r="AL274" s="228">
        <v>52</v>
      </c>
      <c r="AM274" s="228">
        <v>0</v>
      </c>
      <c r="AN274" s="228">
        <v>0</v>
      </c>
      <c r="AO274" s="229">
        <v>48</v>
      </c>
      <c r="AP274" s="231">
        <v>11</v>
      </c>
      <c r="AQ274" s="231">
        <v>2024</v>
      </c>
      <c r="AR274" s="231" t="str">
        <f t="shared" si="35"/>
        <v>11/2024</v>
      </c>
      <c r="AS274" s="231">
        <f t="shared" si="36"/>
        <v>37.200000000000003</v>
      </c>
      <c r="AT274" s="239">
        <f>IF(G274="CERVECERIA Y MALTERIA",(AS274*AK274/1000000)*(1-VLOOKUP(N274,FCST!D:I,6,FALSE)),0)</f>
        <v>19.777305600000002</v>
      </c>
      <c r="AU274" s="232">
        <v>5.0000000000000001E-3</v>
      </c>
      <c r="AV274" s="239">
        <f t="shared" si="37"/>
        <v>19.876192128</v>
      </c>
      <c r="AW274" s="239">
        <f>(AS274*AK274/1000000)*(VLOOKUP(N274,FCST!D:I,6,FALSE))</f>
        <v>0</v>
      </c>
      <c r="AX274" s="239">
        <f t="shared" si="38"/>
        <v>0</v>
      </c>
      <c r="AY274" s="239">
        <f>IF($G274="CERVECERIA Y MALTERIA.",($AS274*$AK274/1000000)*(1-VLOOKUP($N274,FCST!D:I,6,FALSE)),0)</f>
        <v>0</v>
      </c>
      <c r="AZ274" s="239">
        <f t="shared" si="39"/>
        <v>0</v>
      </c>
    </row>
    <row r="275" spans="1:52" x14ac:dyDescent="0.25">
      <c r="A275" s="209">
        <v>1087104</v>
      </c>
      <c r="B275" s="209">
        <v>70</v>
      </c>
      <c r="C275" s="209">
        <v>89323456</v>
      </c>
      <c r="D275" s="209">
        <v>10</v>
      </c>
      <c r="E275" s="209">
        <v>10000002</v>
      </c>
      <c r="F275" s="209">
        <v>20000335</v>
      </c>
      <c r="G275" s="209" t="s">
        <v>105</v>
      </c>
      <c r="H275" s="209">
        <v>20000335</v>
      </c>
      <c r="I275" s="209">
        <v>2</v>
      </c>
      <c r="J275" s="209" t="s">
        <v>169</v>
      </c>
      <c r="K275" s="209" t="s">
        <v>606</v>
      </c>
      <c r="L275" s="209" t="s">
        <v>171</v>
      </c>
      <c r="M275" s="209" t="s">
        <v>199</v>
      </c>
      <c r="N275" s="209">
        <v>50034574</v>
      </c>
      <c r="O275" s="209" t="s">
        <v>196</v>
      </c>
      <c r="P275" s="209">
        <v>5121</v>
      </c>
      <c r="Q275" s="209" t="s">
        <v>200</v>
      </c>
      <c r="R275" s="209" t="s">
        <v>201</v>
      </c>
      <c r="S275" s="209" t="s">
        <v>202</v>
      </c>
      <c r="T275" s="209" t="s">
        <v>203</v>
      </c>
      <c r="U275" s="209" t="s">
        <v>201</v>
      </c>
      <c r="V275" s="209" t="s">
        <v>179</v>
      </c>
      <c r="W275" s="209" t="s">
        <v>179</v>
      </c>
      <c r="X275" s="209" t="s">
        <v>180</v>
      </c>
      <c r="Y275" s="209" t="s">
        <v>180</v>
      </c>
      <c r="Z275" s="209">
        <v>9521066884</v>
      </c>
      <c r="AA275" s="209" t="s">
        <v>539</v>
      </c>
      <c r="AB275" s="209" t="s">
        <v>180</v>
      </c>
      <c r="AC275" s="209" t="s">
        <v>182</v>
      </c>
      <c r="AD275" s="209">
        <v>11</v>
      </c>
      <c r="AE275" s="209">
        <v>2024</v>
      </c>
      <c r="AF275" s="227">
        <v>45618</v>
      </c>
      <c r="AG275" s="227">
        <v>45623</v>
      </c>
      <c r="AH275" s="227">
        <v>45623</v>
      </c>
      <c r="AI275" s="228">
        <v>977184</v>
      </c>
      <c r="AJ275" s="228">
        <v>52</v>
      </c>
      <c r="AK275" s="228">
        <v>977184</v>
      </c>
      <c r="AL275" s="228">
        <v>52</v>
      </c>
      <c r="AM275" s="228">
        <v>0</v>
      </c>
      <c r="AN275" s="228">
        <v>0</v>
      </c>
      <c r="AO275" s="229">
        <v>48</v>
      </c>
      <c r="AP275" s="231">
        <v>11</v>
      </c>
      <c r="AQ275" s="231">
        <v>2024</v>
      </c>
      <c r="AR275" s="231" t="str">
        <f t="shared" si="35"/>
        <v>11/2024</v>
      </c>
      <c r="AS275" s="231">
        <f t="shared" si="36"/>
        <v>19.5</v>
      </c>
      <c r="AT275" s="239">
        <f>IF(G275="CERVECERIA Y MALTERIA",(AS275*AK275/1000000)*(1-VLOOKUP(N275,FCST!D:I,6,FALSE)),0)</f>
        <v>19.055088000000001</v>
      </c>
      <c r="AU275" s="232">
        <v>5.0000000000000001E-3</v>
      </c>
      <c r="AV275" s="239">
        <f t="shared" si="37"/>
        <v>19.15036344</v>
      </c>
      <c r="AW275" s="239">
        <f>(AS275*AK275/1000000)*(VLOOKUP(N275,FCST!D:I,6,FALSE))</f>
        <v>0</v>
      </c>
      <c r="AX275" s="239">
        <f t="shared" si="38"/>
        <v>0</v>
      </c>
      <c r="AY275" s="239">
        <f>IF($G275="CERVECERIA Y MALTERIA.",($AS275*$AK275/1000000)*(1-VLOOKUP($N275,FCST!D:I,6,FALSE)),0)</f>
        <v>0</v>
      </c>
      <c r="AZ275" s="239">
        <f t="shared" si="39"/>
        <v>0</v>
      </c>
    </row>
    <row r="276" spans="1:52" x14ac:dyDescent="0.25">
      <c r="A276" s="209">
        <v>1087104</v>
      </c>
      <c r="B276" s="209">
        <v>90</v>
      </c>
      <c r="C276" s="209">
        <v>89323495</v>
      </c>
      <c r="D276" s="209">
        <v>10</v>
      </c>
      <c r="E276" s="209">
        <v>10000002</v>
      </c>
      <c r="F276" s="209">
        <v>20000335</v>
      </c>
      <c r="G276" s="209" t="s">
        <v>105</v>
      </c>
      <c r="H276" s="209">
        <v>20000335</v>
      </c>
      <c r="I276" s="209">
        <v>2</v>
      </c>
      <c r="J276" s="209" t="s">
        <v>169</v>
      </c>
      <c r="K276" s="209" t="s">
        <v>607</v>
      </c>
      <c r="L276" s="209" t="s">
        <v>171</v>
      </c>
      <c r="M276" s="209" t="s">
        <v>172</v>
      </c>
      <c r="N276" s="209">
        <v>50037042</v>
      </c>
      <c r="O276" s="209" t="s">
        <v>543</v>
      </c>
      <c r="P276" s="209">
        <v>5121</v>
      </c>
      <c r="Q276" s="209" t="s">
        <v>174</v>
      </c>
      <c r="R276" s="209" t="s">
        <v>175</v>
      </c>
      <c r="S276" s="209" t="s">
        <v>176</v>
      </c>
      <c r="T276" s="209" t="s">
        <v>177</v>
      </c>
      <c r="U276" s="209" t="s">
        <v>178</v>
      </c>
      <c r="V276" s="209" t="s">
        <v>179</v>
      </c>
      <c r="W276" s="209" t="s">
        <v>179</v>
      </c>
      <c r="X276" s="209" t="s">
        <v>180</v>
      </c>
      <c r="Y276" s="209" t="s">
        <v>180</v>
      </c>
      <c r="Z276" s="209">
        <v>9521066883</v>
      </c>
      <c r="AA276" s="209" t="s">
        <v>544</v>
      </c>
      <c r="AB276" s="209" t="s">
        <v>180</v>
      </c>
      <c r="AC276" s="209" t="s">
        <v>182</v>
      </c>
      <c r="AD276" s="209">
        <v>11</v>
      </c>
      <c r="AE276" s="209">
        <v>2024</v>
      </c>
      <c r="AF276" s="227">
        <v>45618</v>
      </c>
      <c r="AG276" s="227">
        <v>45623</v>
      </c>
      <c r="AH276" s="227">
        <v>45623</v>
      </c>
      <c r="AI276" s="228">
        <v>426816</v>
      </c>
      <c r="AJ276" s="228">
        <v>52</v>
      </c>
      <c r="AK276" s="228">
        <v>426816</v>
      </c>
      <c r="AL276" s="228">
        <v>52</v>
      </c>
      <c r="AM276" s="228">
        <v>0</v>
      </c>
      <c r="AN276" s="228">
        <v>0</v>
      </c>
      <c r="AO276" s="229">
        <v>48</v>
      </c>
      <c r="AP276" s="231">
        <v>11</v>
      </c>
      <c r="AQ276" s="231">
        <v>2024</v>
      </c>
      <c r="AR276" s="231" t="str">
        <f t="shared" si="35"/>
        <v>11/2024</v>
      </c>
      <c r="AS276" s="231">
        <f t="shared" si="36"/>
        <v>46.6</v>
      </c>
      <c r="AT276" s="239">
        <f>IF(G276="CERVECERIA Y MALTERIA",(AS276*AK276/1000000)*(1-VLOOKUP(N276,FCST!D:I,6,FALSE)),0)</f>
        <v>15.911700480000002</v>
      </c>
      <c r="AU276" s="232">
        <v>5.0000000000000001E-3</v>
      </c>
      <c r="AV276" s="239">
        <f t="shared" si="37"/>
        <v>15.9912589824</v>
      </c>
      <c r="AW276" s="239">
        <f>(AS276*AK276/1000000)*(VLOOKUP(N276,FCST!D:I,6,FALSE))</f>
        <v>3.9779251200000005</v>
      </c>
      <c r="AX276" s="239">
        <f t="shared" si="38"/>
        <v>3.9978147455999999</v>
      </c>
      <c r="AY276" s="239">
        <f>IF($G276="CERVECERIA Y MALTERIA.",($AS276*$AK276/1000000)*(1-VLOOKUP($N276,FCST!D:I,6,FALSE)),0)</f>
        <v>0</v>
      </c>
      <c r="AZ276" s="239">
        <f t="shared" si="39"/>
        <v>0</v>
      </c>
    </row>
    <row r="277" spans="1:52" x14ac:dyDescent="0.25">
      <c r="A277" s="209">
        <v>1087104</v>
      </c>
      <c r="B277" s="209">
        <v>100</v>
      </c>
      <c r="C277" s="209">
        <v>89324107</v>
      </c>
      <c r="D277" s="209">
        <v>10</v>
      </c>
      <c r="E277" s="209">
        <v>10000002</v>
      </c>
      <c r="F277" s="209">
        <v>20000335</v>
      </c>
      <c r="G277" s="209" t="s">
        <v>105</v>
      </c>
      <c r="H277" s="209">
        <v>20000335</v>
      </c>
      <c r="I277" s="209">
        <v>2</v>
      </c>
      <c r="J277" s="209" t="s">
        <v>169</v>
      </c>
      <c r="K277" s="209" t="s">
        <v>608</v>
      </c>
      <c r="L277" s="209" t="s">
        <v>171</v>
      </c>
      <c r="M277" s="209" t="s">
        <v>184</v>
      </c>
      <c r="N277" s="209">
        <v>50034561</v>
      </c>
      <c r="O277" s="209" t="s">
        <v>307</v>
      </c>
      <c r="P277" s="209">
        <v>5121</v>
      </c>
      <c r="Q277" s="209" t="s">
        <v>174</v>
      </c>
      <c r="R277" s="209" t="s">
        <v>175</v>
      </c>
      <c r="S277" s="209" t="s">
        <v>176</v>
      </c>
      <c r="T277" s="209" t="s">
        <v>177</v>
      </c>
      <c r="U277" s="209" t="s">
        <v>178</v>
      </c>
      <c r="V277" s="209" t="s">
        <v>179</v>
      </c>
      <c r="W277" s="209" t="s">
        <v>179</v>
      </c>
      <c r="X277" s="209" t="s">
        <v>180</v>
      </c>
      <c r="Y277" s="209" t="s">
        <v>180</v>
      </c>
      <c r="Z277" s="209">
        <v>9521066885</v>
      </c>
      <c r="AA277" s="209" t="s">
        <v>598</v>
      </c>
      <c r="AB277" s="209" t="s">
        <v>180</v>
      </c>
      <c r="AC277" s="209" t="s">
        <v>182</v>
      </c>
      <c r="AD277" s="209">
        <v>11</v>
      </c>
      <c r="AE277" s="209">
        <v>2024</v>
      </c>
      <c r="AF277" s="227">
        <v>45618</v>
      </c>
      <c r="AG277" s="227">
        <v>45624</v>
      </c>
      <c r="AH277" s="227">
        <v>45624</v>
      </c>
      <c r="AI277" s="228">
        <v>977184</v>
      </c>
      <c r="AJ277" s="228">
        <v>52</v>
      </c>
      <c r="AK277" s="228">
        <v>977184</v>
      </c>
      <c r="AL277" s="228">
        <v>52</v>
      </c>
      <c r="AM277" s="228">
        <v>0</v>
      </c>
      <c r="AN277" s="228">
        <v>0</v>
      </c>
      <c r="AO277" s="229">
        <v>48</v>
      </c>
      <c r="AP277" s="231">
        <v>11</v>
      </c>
      <c r="AQ277" s="231">
        <v>2024</v>
      </c>
      <c r="AR277" s="231" t="str">
        <f t="shared" si="35"/>
        <v>11/2024</v>
      </c>
      <c r="AS277" s="231">
        <f t="shared" si="36"/>
        <v>19.5</v>
      </c>
      <c r="AT277" s="239">
        <f>IF(G277="CERVECERIA Y MALTERIA",(AS277*AK277/1000000)*(1-VLOOKUP(N277,FCST!D:I,6,FALSE)),0)</f>
        <v>19.055088000000001</v>
      </c>
      <c r="AU277" s="232">
        <v>5.0000000000000001E-3</v>
      </c>
      <c r="AV277" s="239">
        <f t="shared" si="37"/>
        <v>19.15036344</v>
      </c>
      <c r="AW277" s="239">
        <f>(AS277*AK277/1000000)*(VLOOKUP(N277,FCST!D:I,6,FALSE))</f>
        <v>0</v>
      </c>
      <c r="AX277" s="239">
        <f t="shared" si="38"/>
        <v>0</v>
      </c>
      <c r="AY277" s="239">
        <f>IF($G277="CERVECERIA Y MALTERIA.",($AS277*$AK277/1000000)*(1-VLOOKUP($N277,FCST!D:I,6,FALSE)),0)</f>
        <v>0</v>
      </c>
      <c r="AZ277" s="239">
        <f t="shared" si="39"/>
        <v>0</v>
      </c>
    </row>
    <row r="278" spans="1:52" x14ac:dyDescent="0.25">
      <c r="A278" s="209">
        <v>1087110</v>
      </c>
      <c r="B278" s="209">
        <v>10</v>
      </c>
      <c r="C278" s="209">
        <v>89322759</v>
      </c>
      <c r="D278" s="209">
        <v>10</v>
      </c>
      <c r="E278" s="209">
        <v>10000002</v>
      </c>
      <c r="F278" s="209">
        <v>20000336</v>
      </c>
      <c r="G278" s="209" t="s">
        <v>105</v>
      </c>
      <c r="H278" s="209">
        <v>20000336</v>
      </c>
      <c r="I278" s="209">
        <v>2</v>
      </c>
      <c r="J278" s="209" t="s">
        <v>169</v>
      </c>
      <c r="K278" s="209" t="s">
        <v>609</v>
      </c>
      <c r="L278" s="209" t="s">
        <v>171</v>
      </c>
      <c r="M278" s="209" t="s">
        <v>172</v>
      </c>
      <c r="N278" s="209">
        <v>50034634</v>
      </c>
      <c r="O278" s="209" t="s">
        <v>219</v>
      </c>
      <c r="P278" s="209">
        <v>5121</v>
      </c>
      <c r="Q278" s="209" t="s">
        <v>174</v>
      </c>
      <c r="R278" s="209" t="s">
        <v>175</v>
      </c>
      <c r="S278" s="209" t="s">
        <v>176</v>
      </c>
      <c r="T278" s="209" t="s">
        <v>177</v>
      </c>
      <c r="U278" s="209" t="s">
        <v>178</v>
      </c>
      <c r="V278" s="209" t="s">
        <v>179</v>
      </c>
      <c r="W278" s="209" t="s">
        <v>179</v>
      </c>
      <c r="X278" s="209" t="s">
        <v>180</v>
      </c>
      <c r="Y278" s="209" t="s">
        <v>180</v>
      </c>
      <c r="Z278" s="209">
        <v>9521066888</v>
      </c>
      <c r="AA278" s="209" t="s">
        <v>557</v>
      </c>
      <c r="AB278" s="209" t="s">
        <v>180</v>
      </c>
      <c r="AC278" s="209" t="s">
        <v>182</v>
      </c>
      <c r="AD278" s="209">
        <v>11</v>
      </c>
      <c r="AE278" s="209">
        <v>2024</v>
      </c>
      <c r="AF278" s="227">
        <v>45618</v>
      </c>
      <c r="AG278" s="227">
        <v>45622</v>
      </c>
      <c r="AH278" s="227">
        <v>45622</v>
      </c>
      <c r="AI278" s="228">
        <v>364416</v>
      </c>
      <c r="AJ278" s="228">
        <v>52</v>
      </c>
      <c r="AK278" s="228">
        <v>364416</v>
      </c>
      <c r="AL278" s="228">
        <v>52</v>
      </c>
      <c r="AM278" s="228">
        <v>0</v>
      </c>
      <c r="AN278" s="228">
        <v>0</v>
      </c>
      <c r="AO278" s="229">
        <v>48</v>
      </c>
      <c r="AP278" s="231">
        <v>11</v>
      </c>
      <c r="AQ278" s="231">
        <v>2024</v>
      </c>
      <c r="AR278" s="231" t="str">
        <f t="shared" si="35"/>
        <v>11/2024</v>
      </c>
      <c r="AS278" s="231">
        <f t="shared" si="36"/>
        <v>52</v>
      </c>
      <c r="AT278" s="239">
        <f>IF(G278="CERVECERIA Y MALTERIA",(AS278*AK278/1000000)*(1-VLOOKUP(N278,FCST!D:I,6,FALSE)),0)</f>
        <v>18.949632000000001</v>
      </c>
      <c r="AU278" s="232">
        <v>5.0000000000000001E-3</v>
      </c>
      <c r="AV278" s="239">
        <f t="shared" si="37"/>
        <v>19.044380159999999</v>
      </c>
      <c r="AW278" s="239">
        <f>(AS278*AK278/1000000)*(VLOOKUP(N278,FCST!D:I,6,FALSE))</f>
        <v>0</v>
      </c>
      <c r="AX278" s="239">
        <f t="shared" si="38"/>
        <v>0</v>
      </c>
      <c r="AY278" s="239">
        <f>IF($G278="CERVECERIA Y MALTERIA.",($AS278*$AK278/1000000)*(1-VLOOKUP($N278,FCST!D:I,6,FALSE)),0)</f>
        <v>0</v>
      </c>
      <c r="AZ278" s="239">
        <f t="shared" si="39"/>
        <v>0</v>
      </c>
    </row>
    <row r="279" spans="1:52" x14ac:dyDescent="0.25">
      <c r="A279" s="209">
        <v>1087104</v>
      </c>
      <c r="B279" s="209">
        <v>40</v>
      </c>
      <c r="C279" s="209">
        <v>89321857</v>
      </c>
      <c r="D279" s="209">
        <v>10</v>
      </c>
      <c r="E279" s="209">
        <v>10000002</v>
      </c>
      <c r="F279" s="209">
        <v>20000335</v>
      </c>
      <c r="G279" s="209" t="s">
        <v>105</v>
      </c>
      <c r="H279" s="209">
        <v>20000335</v>
      </c>
      <c r="I279" s="209">
        <v>2</v>
      </c>
      <c r="J279" s="209" t="s">
        <v>169</v>
      </c>
      <c r="K279" s="209" t="s">
        <v>610</v>
      </c>
      <c r="L279" s="209" t="s">
        <v>171</v>
      </c>
      <c r="M279" s="209" t="s">
        <v>199</v>
      </c>
      <c r="N279" s="209">
        <v>50034574</v>
      </c>
      <c r="O279" s="209" t="s">
        <v>196</v>
      </c>
      <c r="P279" s="209">
        <v>5121</v>
      </c>
      <c r="Q279" s="209" t="s">
        <v>200</v>
      </c>
      <c r="R279" s="209" t="s">
        <v>201</v>
      </c>
      <c r="S279" s="209" t="s">
        <v>202</v>
      </c>
      <c r="T279" s="209" t="s">
        <v>203</v>
      </c>
      <c r="U279" s="209" t="s">
        <v>201</v>
      </c>
      <c r="V279" s="209" t="s">
        <v>179</v>
      </c>
      <c r="W279" s="209" t="s">
        <v>179</v>
      </c>
      <c r="X279" s="209" t="s">
        <v>180</v>
      </c>
      <c r="Y279" s="209" t="s">
        <v>180</v>
      </c>
      <c r="Z279" s="209">
        <v>9521066884</v>
      </c>
      <c r="AA279" s="209" t="s">
        <v>539</v>
      </c>
      <c r="AB279" s="209" t="s">
        <v>180</v>
      </c>
      <c r="AC279" s="209" t="s">
        <v>182</v>
      </c>
      <c r="AD279" s="209">
        <v>11</v>
      </c>
      <c r="AE279" s="209">
        <v>2024</v>
      </c>
      <c r="AF279" s="227">
        <v>45618</v>
      </c>
      <c r="AG279" s="227">
        <v>45622</v>
      </c>
      <c r="AH279" s="227">
        <v>45623</v>
      </c>
      <c r="AI279" s="228">
        <v>977184</v>
      </c>
      <c r="AJ279" s="228">
        <v>52</v>
      </c>
      <c r="AK279" s="228">
        <v>977184</v>
      </c>
      <c r="AL279" s="228">
        <v>52</v>
      </c>
      <c r="AM279" s="228">
        <v>0</v>
      </c>
      <c r="AN279" s="228">
        <v>0</v>
      </c>
      <c r="AO279" s="229">
        <v>48</v>
      </c>
      <c r="AP279" s="231">
        <v>11</v>
      </c>
      <c r="AQ279" s="231">
        <v>2024</v>
      </c>
      <c r="AR279" s="231" t="str">
        <f t="shared" si="35"/>
        <v>11/2024</v>
      </c>
      <c r="AS279" s="231">
        <f t="shared" si="36"/>
        <v>19.5</v>
      </c>
      <c r="AT279" s="239">
        <f>IF(G279="CERVECERIA Y MALTERIA",(AS279*AK279/1000000)*(1-VLOOKUP(N279,FCST!D:I,6,FALSE)),0)</f>
        <v>19.055088000000001</v>
      </c>
      <c r="AU279" s="232">
        <v>5.0000000000000001E-3</v>
      </c>
      <c r="AV279" s="239">
        <f t="shared" si="37"/>
        <v>19.15036344</v>
      </c>
      <c r="AW279" s="239">
        <f>(AS279*AK279/1000000)*(VLOOKUP(N279,FCST!D:I,6,FALSE))</f>
        <v>0</v>
      </c>
      <c r="AX279" s="239">
        <f t="shared" si="38"/>
        <v>0</v>
      </c>
      <c r="AY279" s="239">
        <f>IF($G279="CERVECERIA Y MALTERIA.",($AS279*$AK279/1000000)*(1-VLOOKUP($N279,FCST!D:I,6,FALSE)),0)</f>
        <v>0</v>
      </c>
      <c r="AZ279" s="239">
        <f t="shared" si="39"/>
        <v>0</v>
      </c>
    </row>
    <row r="280" spans="1:52" x14ac:dyDescent="0.25">
      <c r="A280" s="209">
        <v>1087105</v>
      </c>
      <c r="B280" s="209">
        <v>30</v>
      </c>
      <c r="C280" s="209">
        <v>89324112</v>
      </c>
      <c r="D280" s="209">
        <v>10</v>
      </c>
      <c r="E280" s="209">
        <v>10000002</v>
      </c>
      <c r="F280" s="209">
        <v>20000340</v>
      </c>
      <c r="G280" s="209" t="s">
        <v>117</v>
      </c>
      <c r="H280" s="209">
        <v>20000340</v>
      </c>
      <c r="I280" s="209">
        <v>2</v>
      </c>
      <c r="J280" s="209" t="s">
        <v>169</v>
      </c>
      <c r="K280" s="209" t="s">
        <v>611</v>
      </c>
      <c r="L280" s="209" t="s">
        <v>171</v>
      </c>
      <c r="M280" s="209" t="s">
        <v>184</v>
      </c>
      <c r="N280" s="209">
        <v>50027468</v>
      </c>
      <c r="O280" s="209" t="s">
        <v>285</v>
      </c>
      <c r="P280" s="209">
        <v>5101</v>
      </c>
      <c r="Q280" s="209" t="s">
        <v>186</v>
      </c>
      <c r="R280" s="209" t="s">
        <v>175</v>
      </c>
      <c r="S280" s="209" t="s">
        <v>176</v>
      </c>
      <c r="T280" s="209" t="s">
        <v>187</v>
      </c>
      <c r="U280" s="209" t="s">
        <v>188</v>
      </c>
      <c r="V280" s="209" t="s">
        <v>179</v>
      </c>
      <c r="W280" s="209" t="s">
        <v>179</v>
      </c>
      <c r="X280" s="209" t="s">
        <v>180</v>
      </c>
      <c r="Y280" s="209" t="s">
        <v>180</v>
      </c>
      <c r="Z280" s="209">
        <v>9511047125</v>
      </c>
      <c r="AA280" s="209" t="s">
        <v>561</v>
      </c>
      <c r="AB280" s="209" t="s">
        <v>180</v>
      </c>
      <c r="AC280" s="209" t="s">
        <v>182</v>
      </c>
      <c r="AD280" s="209">
        <v>11</v>
      </c>
      <c r="AE280" s="209">
        <v>2024</v>
      </c>
      <c r="AF280" s="227">
        <v>45618</v>
      </c>
      <c r="AG280" s="227">
        <v>45624</v>
      </c>
      <c r="AH280" s="227">
        <v>45624</v>
      </c>
      <c r="AI280" s="228">
        <v>399360</v>
      </c>
      <c r="AJ280" s="228">
        <v>52</v>
      </c>
      <c r="AK280" s="228">
        <v>399360</v>
      </c>
      <c r="AL280" s="228">
        <v>52</v>
      </c>
      <c r="AM280" s="228">
        <v>0</v>
      </c>
      <c r="AN280" s="228">
        <v>0</v>
      </c>
      <c r="AO280" s="229">
        <v>48</v>
      </c>
      <c r="AP280" s="231">
        <v>11</v>
      </c>
      <c r="AQ280" s="231">
        <v>2024</v>
      </c>
      <c r="AR280" s="231" t="str">
        <f t="shared" si="35"/>
        <v>11/2024</v>
      </c>
      <c r="AS280" s="231">
        <f t="shared" si="36"/>
        <v>52</v>
      </c>
      <c r="AT280" s="239">
        <f>IF(G280="CERVECERIA Y MALTERIA",(AS280*AK280/1000000)*(1-VLOOKUP(N280,FCST!D:I,6,FALSE)),0)</f>
        <v>0</v>
      </c>
      <c r="AU280" s="232">
        <v>5.0000000000000001E-3</v>
      </c>
      <c r="AV280" s="239">
        <f t="shared" si="37"/>
        <v>0</v>
      </c>
      <c r="AW280" s="239">
        <f>(AS280*AK280/1000000)*(VLOOKUP(N280,FCST!D:I,6,FALSE))</f>
        <v>0</v>
      </c>
      <c r="AX280" s="239">
        <f t="shared" si="38"/>
        <v>0</v>
      </c>
      <c r="AY280" s="239">
        <f>IF($G280="CERVECERIA Y MALTERIA.",($AS280*$AK280/1000000)*(1-VLOOKUP($N280,FCST!D:I,6,FALSE)),0)</f>
        <v>20.766719999999999</v>
      </c>
      <c r="AZ280" s="239">
        <f t="shared" si="39"/>
        <v>20.870553599999997</v>
      </c>
    </row>
    <row r="281" spans="1:52" x14ac:dyDescent="0.25">
      <c r="A281" s="209">
        <v>1087112</v>
      </c>
      <c r="B281" s="209">
        <v>50</v>
      </c>
      <c r="C281" s="209">
        <v>89324126</v>
      </c>
      <c r="D281" s="209">
        <v>10</v>
      </c>
      <c r="E281" s="209">
        <v>10000002</v>
      </c>
      <c r="F281" s="209">
        <v>20000339</v>
      </c>
      <c r="G281" s="209" t="s">
        <v>105</v>
      </c>
      <c r="H281" s="209">
        <v>20000339</v>
      </c>
      <c r="I281" s="209">
        <v>2</v>
      </c>
      <c r="J281" s="209" t="s">
        <v>169</v>
      </c>
      <c r="K281" s="209" t="s">
        <v>612</v>
      </c>
      <c r="L281" s="209" t="s">
        <v>171</v>
      </c>
      <c r="M281" s="209" t="s">
        <v>227</v>
      </c>
      <c r="N281" s="209">
        <v>50034634</v>
      </c>
      <c r="O281" s="209" t="s">
        <v>219</v>
      </c>
      <c r="P281" s="209">
        <v>5121</v>
      </c>
      <c r="Q281" s="209" t="s">
        <v>228</v>
      </c>
      <c r="R281" s="209" t="s">
        <v>229</v>
      </c>
      <c r="S281" s="209" t="s">
        <v>230</v>
      </c>
      <c r="T281" s="209" t="s">
        <v>231</v>
      </c>
      <c r="U281" s="209" t="s">
        <v>232</v>
      </c>
      <c r="V281" s="209" t="s">
        <v>179</v>
      </c>
      <c r="W281" s="209" t="s">
        <v>179</v>
      </c>
      <c r="X281" s="209" t="s">
        <v>180</v>
      </c>
      <c r="Y281" s="209" t="s">
        <v>180</v>
      </c>
      <c r="Z281" s="209">
        <v>9521066896</v>
      </c>
      <c r="AA281" s="209" t="s">
        <v>613</v>
      </c>
      <c r="AB281" s="209" t="s">
        <v>180</v>
      </c>
      <c r="AC281" s="209" t="s">
        <v>182</v>
      </c>
      <c r="AD281" s="209">
        <v>11</v>
      </c>
      <c r="AE281" s="209">
        <v>2024</v>
      </c>
      <c r="AF281" s="227">
        <v>45618</v>
      </c>
      <c r="AG281" s="227">
        <v>45624</v>
      </c>
      <c r="AH281" s="227">
        <v>45624</v>
      </c>
      <c r="AI281" s="228">
        <v>364416</v>
      </c>
      <c r="AJ281" s="228">
        <v>52</v>
      </c>
      <c r="AK281" s="228">
        <v>364416</v>
      </c>
      <c r="AL281" s="228">
        <v>52</v>
      </c>
      <c r="AM281" s="228">
        <v>0</v>
      </c>
      <c r="AN281" s="228">
        <v>0</v>
      </c>
      <c r="AO281" s="229">
        <v>48</v>
      </c>
      <c r="AP281" s="231">
        <v>11</v>
      </c>
      <c r="AQ281" s="231">
        <v>2024</v>
      </c>
      <c r="AR281" s="231" t="str">
        <f t="shared" si="35"/>
        <v>11/2024</v>
      </c>
      <c r="AS281" s="231">
        <f t="shared" si="36"/>
        <v>52</v>
      </c>
      <c r="AT281" s="239">
        <f>IF(G281="CERVECERIA Y MALTERIA",(AS281*AK281/1000000)*(1-VLOOKUP(N281,FCST!D:I,6,FALSE)),0)</f>
        <v>18.949632000000001</v>
      </c>
      <c r="AU281" s="232">
        <v>5.0000000000000001E-3</v>
      </c>
      <c r="AV281" s="239">
        <f t="shared" si="37"/>
        <v>19.044380159999999</v>
      </c>
      <c r="AW281" s="239">
        <f>(AS281*AK281/1000000)*(VLOOKUP(N281,FCST!D:I,6,FALSE))</f>
        <v>0</v>
      </c>
      <c r="AX281" s="239">
        <f t="shared" si="38"/>
        <v>0</v>
      </c>
      <c r="AY281" s="239">
        <f>IF($G281="CERVECERIA Y MALTERIA.",($AS281*$AK281/1000000)*(1-VLOOKUP($N281,FCST!D:I,6,FALSE)),0)</f>
        <v>0</v>
      </c>
      <c r="AZ281" s="239">
        <f t="shared" si="39"/>
        <v>0</v>
      </c>
    </row>
    <row r="282" spans="1:52" x14ac:dyDescent="0.25">
      <c r="A282" s="209">
        <v>1086914</v>
      </c>
      <c r="B282" s="209">
        <v>20</v>
      </c>
      <c r="C282" s="209">
        <v>89324139</v>
      </c>
      <c r="D282" s="209">
        <v>10</v>
      </c>
      <c r="E282" s="209">
        <v>10000002</v>
      </c>
      <c r="F282" s="209">
        <v>20000337</v>
      </c>
      <c r="G282" s="209" t="s">
        <v>105</v>
      </c>
      <c r="H282" s="209">
        <v>20000337</v>
      </c>
      <c r="I282" s="209">
        <v>2</v>
      </c>
      <c r="J282" s="209" t="s">
        <v>169</v>
      </c>
      <c r="K282" s="209" t="s">
        <v>614</v>
      </c>
      <c r="L282" s="209" t="s">
        <v>556</v>
      </c>
      <c r="M282" s="209" t="s">
        <v>199</v>
      </c>
      <c r="N282" s="209">
        <v>50032583</v>
      </c>
      <c r="O282" s="209" t="s">
        <v>205</v>
      </c>
      <c r="P282" s="209">
        <v>5121</v>
      </c>
      <c r="Q282" s="209" t="s">
        <v>200</v>
      </c>
      <c r="R282" s="209" t="s">
        <v>201</v>
      </c>
      <c r="S282" s="209" t="s">
        <v>202</v>
      </c>
      <c r="T282" s="209" t="s">
        <v>203</v>
      </c>
      <c r="U282" s="209" t="s">
        <v>201</v>
      </c>
      <c r="V282" s="209" t="s">
        <v>179</v>
      </c>
      <c r="W282" s="209" t="s">
        <v>179</v>
      </c>
      <c r="X282" s="209" t="s">
        <v>180</v>
      </c>
      <c r="Y282" s="209" t="s">
        <v>180</v>
      </c>
      <c r="Z282" s="209">
        <v>9521066894</v>
      </c>
      <c r="AA282" s="209" t="s">
        <v>615</v>
      </c>
      <c r="AB282" s="209" t="s">
        <v>180</v>
      </c>
      <c r="AC282" s="209" t="s">
        <v>182</v>
      </c>
      <c r="AD282" s="209">
        <v>11</v>
      </c>
      <c r="AE282" s="209">
        <v>2024</v>
      </c>
      <c r="AF282" s="227">
        <v>45617</v>
      </c>
      <c r="AG282" s="227">
        <v>45624</v>
      </c>
      <c r="AH282" s="227">
        <v>45624</v>
      </c>
      <c r="AI282" s="228">
        <v>101520</v>
      </c>
      <c r="AJ282" s="228">
        <v>15</v>
      </c>
      <c r="AK282" s="228">
        <v>101520</v>
      </c>
      <c r="AL282" s="228">
        <v>15</v>
      </c>
      <c r="AM282" s="228">
        <v>0</v>
      </c>
      <c r="AN282" s="228">
        <v>0</v>
      </c>
      <c r="AO282" s="229">
        <v>47</v>
      </c>
      <c r="AP282" s="231">
        <v>11</v>
      </c>
      <c r="AQ282" s="231">
        <v>2024</v>
      </c>
      <c r="AR282" s="231" t="str">
        <f t="shared" si="35"/>
        <v>11/2024</v>
      </c>
      <c r="AS282" s="231">
        <f t="shared" si="36"/>
        <v>54.7</v>
      </c>
      <c r="AT282" s="239">
        <f>IF(G282="CERVECERIA Y MALTERIA",(AS282*AK282/1000000)*(1-VLOOKUP(N282,FCST!D:I,6,FALSE)),0)</f>
        <v>5.5531439999999996</v>
      </c>
      <c r="AU282" s="232">
        <v>5.0000000000000001E-3</v>
      </c>
      <c r="AV282" s="239">
        <f t="shared" si="37"/>
        <v>5.5809097199999993</v>
      </c>
      <c r="AW282" s="239">
        <f>(AS282*AK282/1000000)*(VLOOKUP(N282,FCST!D:I,6,FALSE))</f>
        <v>0</v>
      </c>
      <c r="AX282" s="239">
        <f t="shared" si="38"/>
        <v>0</v>
      </c>
      <c r="AY282" s="239">
        <f>IF($G282="CERVECERIA Y MALTERIA.",($AS282*$AK282/1000000)*(1-VLOOKUP($N282,FCST!D:I,6,FALSE)),0)</f>
        <v>0</v>
      </c>
      <c r="AZ282" s="239">
        <f t="shared" si="39"/>
        <v>0</v>
      </c>
    </row>
    <row r="283" spans="1:52" x14ac:dyDescent="0.25">
      <c r="A283" s="209">
        <v>1086914</v>
      </c>
      <c r="B283" s="209">
        <v>30</v>
      </c>
      <c r="C283" s="209">
        <v>89324139</v>
      </c>
      <c r="D283" s="209">
        <v>20</v>
      </c>
      <c r="E283" s="209">
        <v>10000002</v>
      </c>
      <c r="F283" s="209">
        <v>20000337</v>
      </c>
      <c r="G283" s="209" t="s">
        <v>105</v>
      </c>
      <c r="H283" s="209">
        <v>20000337</v>
      </c>
      <c r="I283" s="209">
        <v>2</v>
      </c>
      <c r="J283" s="209" t="s">
        <v>169</v>
      </c>
      <c r="K283" s="209" t="s">
        <v>614</v>
      </c>
      <c r="L283" s="209" t="s">
        <v>556</v>
      </c>
      <c r="M283" s="209" t="s">
        <v>199</v>
      </c>
      <c r="N283" s="209">
        <v>50034616</v>
      </c>
      <c r="O283" s="209" t="s">
        <v>191</v>
      </c>
      <c r="P283" s="209">
        <v>5121</v>
      </c>
      <c r="Q283" s="209" t="s">
        <v>200</v>
      </c>
      <c r="R283" s="209" t="s">
        <v>201</v>
      </c>
      <c r="S283" s="209" t="s">
        <v>202</v>
      </c>
      <c r="T283" s="209" t="s">
        <v>203</v>
      </c>
      <c r="U283" s="209" t="s">
        <v>201</v>
      </c>
      <c r="V283" s="209" t="s">
        <v>179</v>
      </c>
      <c r="W283" s="209" t="s">
        <v>179</v>
      </c>
      <c r="X283" s="209" t="s">
        <v>180</v>
      </c>
      <c r="Y283" s="209" t="s">
        <v>180</v>
      </c>
      <c r="Z283" s="209">
        <v>9521066894</v>
      </c>
      <c r="AA283" s="209" t="s">
        <v>615</v>
      </c>
      <c r="AB283" s="209" t="s">
        <v>180</v>
      </c>
      <c r="AC283" s="209" t="s">
        <v>182</v>
      </c>
      <c r="AD283" s="209">
        <v>11</v>
      </c>
      <c r="AE283" s="209">
        <v>2024</v>
      </c>
      <c r="AF283" s="227">
        <v>45617</v>
      </c>
      <c r="AG283" s="227">
        <v>45624</v>
      </c>
      <c r="AH283" s="227">
        <v>45624</v>
      </c>
      <c r="AI283" s="228">
        <v>303696</v>
      </c>
      <c r="AJ283" s="228">
        <v>37</v>
      </c>
      <c r="AK283" s="228">
        <v>303696</v>
      </c>
      <c r="AL283" s="228">
        <v>37</v>
      </c>
      <c r="AM283" s="228">
        <v>0</v>
      </c>
      <c r="AN283" s="228">
        <v>0</v>
      </c>
      <c r="AO283" s="229">
        <v>47</v>
      </c>
      <c r="AP283" s="231">
        <v>11</v>
      </c>
      <c r="AQ283" s="231">
        <v>2024</v>
      </c>
      <c r="AR283" s="231" t="str">
        <f t="shared" si="35"/>
        <v>11/2024</v>
      </c>
      <c r="AS283" s="231">
        <f t="shared" si="36"/>
        <v>46.6</v>
      </c>
      <c r="AT283" s="239">
        <f>IF(G283="CERVECERIA Y MALTERIA",(AS283*AK283/1000000)*(1-VLOOKUP(N283,FCST!D:I,6,FALSE)),0)</f>
        <v>14.152233599999999</v>
      </c>
      <c r="AU283" s="232">
        <v>5.0000000000000001E-3</v>
      </c>
      <c r="AV283" s="239">
        <f t="shared" si="37"/>
        <v>14.222994767999998</v>
      </c>
      <c r="AW283" s="239">
        <f>(AS283*AK283/1000000)*(VLOOKUP(N283,FCST!D:I,6,FALSE))</f>
        <v>0</v>
      </c>
      <c r="AX283" s="239">
        <f t="shared" si="38"/>
        <v>0</v>
      </c>
      <c r="AY283" s="239">
        <f>IF($G283="CERVECERIA Y MALTERIA.",($AS283*$AK283/1000000)*(1-VLOOKUP($N283,FCST!D:I,6,FALSE)),0)</f>
        <v>0</v>
      </c>
      <c r="AZ283" s="239">
        <f t="shared" si="39"/>
        <v>0</v>
      </c>
    </row>
    <row r="284" spans="1:52" x14ac:dyDescent="0.25">
      <c r="A284" s="209">
        <v>1087104</v>
      </c>
      <c r="B284" s="209">
        <v>110</v>
      </c>
      <c r="C284" s="209">
        <v>89324192</v>
      </c>
      <c r="D284" s="209">
        <v>10</v>
      </c>
      <c r="E284" s="209">
        <v>10000002</v>
      </c>
      <c r="F284" s="209">
        <v>20000335</v>
      </c>
      <c r="G284" s="209" t="s">
        <v>105</v>
      </c>
      <c r="H284" s="209">
        <v>20000335</v>
      </c>
      <c r="I284" s="209">
        <v>2</v>
      </c>
      <c r="J284" s="209" t="s">
        <v>169</v>
      </c>
      <c r="K284" s="209" t="s">
        <v>616</v>
      </c>
      <c r="L284" s="209" t="s">
        <v>171</v>
      </c>
      <c r="M284" s="209" t="s">
        <v>184</v>
      </c>
      <c r="N284" s="209">
        <v>50034561</v>
      </c>
      <c r="O284" s="209" t="s">
        <v>307</v>
      </c>
      <c r="P284" s="209">
        <v>5121</v>
      </c>
      <c r="Q284" s="209" t="s">
        <v>174</v>
      </c>
      <c r="R284" s="209" t="s">
        <v>175</v>
      </c>
      <c r="S284" s="209" t="s">
        <v>176</v>
      </c>
      <c r="T284" s="209" t="s">
        <v>177</v>
      </c>
      <c r="U284" s="209" t="s">
        <v>178</v>
      </c>
      <c r="V284" s="209" t="s">
        <v>179</v>
      </c>
      <c r="W284" s="209" t="s">
        <v>179</v>
      </c>
      <c r="X284" s="209" t="s">
        <v>180</v>
      </c>
      <c r="Y284" s="209" t="s">
        <v>180</v>
      </c>
      <c r="Z284" s="209">
        <v>9521066885</v>
      </c>
      <c r="AA284" s="209" t="s">
        <v>598</v>
      </c>
      <c r="AB284" s="209" t="s">
        <v>180</v>
      </c>
      <c r="AC284" s="209" t="s">
        <v>182</v>
      </c>
      <c r="AD284" s="209">
        <v>11</v>
      </c>
      <c r="AE284" s="209">
        <v>2024</v>
      </c>
      <c r="AF284" s="227">
        <v>45618</v>
      </c>
      <c r="AG284" s="227">
        <v>45624</v>
      </c>
      <c r="AH284" s="227">
        <v>45624</v>
      </c>
      <c r="AI284" s="228">
        <v>977184</v>
      </c>
      <c r="AJ284" s="228">
        <v>52</v>
      </c>
      <c r="AK284" s="228">
        <v>977184</v>
      </c>
      <c r="AL284" s="228">
        <v>52</v>
      </c>
      <c r="AM284" s="228">
        <v>0</v>
      </c>
      <c r="AN284" s="228">
        <v>0</v>
      </c>
      <c r="AO284" s="229">
        <v>48</v>
      </c>
      <c r="AP284" s="231">
        <v>11</v>
      </c>
      <c r="AQ284" s="231">
        <v>2024</v>
      </c>
      <c r="AR284" s="231" t="str">
        <f t="shared" si="35"/>
        <v>11/2024</v>
      </c>
      <c r="AS284" s="231">
        <f t="shared" si="36"/>
        <v>19.5</v>
      </c>
      <c r="AT284" s="239">
        <f>IF(G284="CERVECERIA Y MALTERIA",(AS284*AK284/1000000)*(1-VLOOKUP(N284,FCST!D:I,6,FALSE)),0)</f>
        <v>19.055088000000001</v>
      </c>
      <c r="AU284" s="232">
        <v>5.0000000000000001E-3</v>
      </c>
      <c r="AV284" s="239">
        <f t="shared" si="37"/>
        <v>19.15036344</v>
      </c>
      <c r="AW284" s="239">
        <f>(AS284*AK284/1000000)*(VLOOKUP(N284,FCST!D:I,6,FALSE))</f>
        <v>0</v>
      </c>
      <c r="AX284" s="239">
        <f t="shared" si="38"/>
        <v>0</v>
      </c>
      <c r="AY284" s="239">
        <f>IF($G284="CERVECERIA Y MALTERIA.",($AS284*$AK284/1000000)*(1-VLOOKUP($N284,FCST!D:I,6,FALSE)),0)</f>
        <v>0</v>
      </c>
      <c r="AZ284" s="239">
        <f t="shared" si="39"/>
        <v>0</v>
      </c>
    </row>
    <row r="285" spans="1:52" x14ac:dyDescent="0.25">
      <c r="A285" s="209">
        <v>1087104</v>
      </c>
      <c r="B285" s="209">
        <v>150</v>
      </c>
      <c r="C285" s="209">
        <v>89324223</v>
      </c>
      <c r="D285" s="209">
        <v>10</v>
      </c>
      <c r="E285" s="209">
        <v>10000002</v>
      </c>
      <c r="F285" s="209">
        <v>20000335</v>
      </c>
      <c r="G285" s="209" t="s">
        <v>105</v>
      </c>
      <c r="H285" s="209">
        <v>20000335</v>
      </c>
      <c r="I285" s="209">
        <v>2</v>
      </c>
      <c r="J285" s="209" t="s">
        <v>169</v>
      </c>
      <c r="K285" s="209" t="s">
        <v>617</v>
      </c>
      <c r="L285" s="209" t="s">
        <v>171</v>
      </c>
      <c r="M285" s="209" t="s">
        <v>184</v>
      </c>
      <c r="N285" s="209">
        <v>50037042</v>
      </c>
      <c r="O285" s="209" t="s">
        <v>543</v>
      </c>
      <c r="P285" s="209">
        <v>5121</v>
      </c>
      <c r="Q285" s="209" t="s">
        <v>174</v>
      </c>
      <c r="R285" s="209" t="s">
        <v>175</v>
      </c>
      <c r="S285" s="209" t="s">
        <v>176</v>
      </c>
      <c r="T285" s="209" t="s">
        <v>177</v>
      </c>
      <c r="U285" s="209" t="s">
        <v>178</v>
      </c>
      <c r="V285" s="209" t="s">
        <v>179</v>
      </c>
      <c r="W285" s="209" t="s">
        <v>179</v>
      </c>
      <c r="X285" s="209" t="s">
        <v>180</v>
      </c>
      <c r="Y285" s="209" t="s">
        <v>180</v>
      </c>
      <c r="Z285" s="209">
        <v>9521066883</v>
      </c>
      <c r="AA285" s="209" t="s">
        <v>544</v>
      </c>
      <c r="AB285" s="209" t="s">
        <v>180</v>
      </c>
      <c r="AC285" s="209" t="s">
        <v>182</v>
      </c>
      <c r="AD285" s="209">
        <v>11</v>
      </c>
      <c r="AE285" s="209">
        <v>2024</v>
      </c>
      <c r="AF285" s="227">
        <v>45618</v>
      </c>
      <c r="AG285" s="227">
        <v>45624</v>
      </c>
      <c r="AH285" s="227">
        <v>45624</v>
      </c>
      <c r="AI285" s="228">
        <v>426816</v>
      </c>
      <c r="AJ285" s="228">
        <v>52</v>
      </c>
      <c r="AK285" s="228">
        <v>426816</v>
      </c>
      <c r="AL285" s="228">
        <v>52</v>
      </c>
      <c r="AM285" s="228">
        <v>0</v>
      </c>
      <c r="AN285" s="228">
        <v>0</v>
      </c>
      <c r="AO285" s="229">
        <v>48</v>
      </c>
      <c r="AP285" s="231">
        <v>11</v>
      </c>
      <c r="AQ285" s="231">
        <v>2024</v>
      </c>
      <c r="AR285" s="231" t="str">
        <f t="shared" si="35"/>
        <v>11/2024</v>
      </c>
      <c r="AS285" s="231">
        <f t="shared" si="36"/>
        <v>46.6</v>
      </c>
      <c r="AT285" s="239">
        <f>IF(G285="CERVECERIA Y MALTERIA",(AS285*AK285/1000000)*(1-VLOOKUP(N285,FCST!D:I,6,FALSE)),0)</f>
        <v>15.911700480000002</v>
      </c>
      <c r="AU285" s="232">
        <v>5.0000000000000001E-3</v>
      </c>
      <c r="AV285" s="239">
        <f t="shared" si="37"/>
        <v>15.9912589824</v>
      </c>
      <c r="AW285" s="239">
        <f>(AS285*AK285/1000000)*(VLOOKUP(N285,FCST!D:I,6,FALSE))</f>
        <v>3.9779251200000005</v>
      </c>
      <c r="AX285" s="239">
        <f t="shared" si="38"/>
        <v>3.9978147455999999</v>
      </c>
      <c r="AY285" s="239">
        <f>IF($G285="CERVECERIA Y MALTERIA.",($AS285*$AK285/1000000)*(1-VLOOKUP($N285,FCST!D:I,6,FALSE)),0)</f>
        <v>0</v>
      </c>
      <c r="AZ285" s="239">
        <f t="shared" si="39"/>
        <v>0</v>
      </c>
    </row>
    <row r="286" spans="1:52" x14ac:dyDescent="0.25">
      <c r="A286" s="209">
        <v>1083382</v>
      </c>
      <c r="B286" s="209">
        <v>40</v>
      </c>
      <c r="C286" s="209">
        <v>89307103</v>
      </c>
      <c r="D286" s="209">
        <v>10</v>
      </c>
      <c r="E286" s="209">
        <v>10000002</v>
      </c>
      <c r="F286" s="209">
        <v>20000340</v>
      </c>
      <c r="G286" s="209" t="s">
        <v>117</v>
      </c>
      <c r="H286" s="209">
        <v>20000340</v>
      </c>
      <c r="I286" s="209">
        <v>2</v>
      </c>
      <c r="J286" s="209" t="s">
        <v>169</v>
      </c>
      <c r="K286" s="209" t="s">
        <v>618</v>
      </c>
      <c r="L286" s="209" t="s">
        <v>171</v>
      </c>
      <c r="M286" s="209" t="s">
        <v>172</v>
      </c>
      <c r="N286" s="209">
        <v>50036718</v>
      </c>
      <c r="O286" s="209" t="s">
        <v>259</v>
      </c>
      <c r="P286" s="209">
        <v>5101</v>
      </c>
      <c r="Q286" s="209" t="s">
        <v>186</v>
      </c>
      <c r="R286" s="209" t="s">
        <v>175</v>
      </c>
      <c r="S286" s="209" t="s">
        <v>176</v>
      </c>
      <c r="T286" s="209" t="s">
        <v>187</v>
      </c>
      <c r="U286" s="209" t="s">
        <v>188</v>
      </c>
      <c r="V286" s="209" t="s">
        <v>179</v>
      </c>
      <c r="W286" s="209" t="s">
        <v>179</v>
      </c>
      <c r="X286" s="209" t="s">
        <v>180</v>
      </c>
      <c r="Y286" s="209" t="s">
        <v>180</v>
      </c>
      <c r="Z286" s="209">
        <v>9511047127</v>
      </c>
      <c r="AA286" s="209" t="s">
        <v>552</v>
      </c>
      <c r="AB286" s="209" t="s">
        <v>180</v>
      </c>
      <c r="AC286" s="209" t="s">
        <v>182</v>
      </c>
      <c r="AD286" s="209">
        <v>11</v>
      </c>
      <c r="AE286" s="209">
        <v>2024</v>
      </c>
      <c r="AF286" s="227">
        <v>45597</v>
      </c>
      <c r="AG286" s="227">
        <v>45602</v>
      </c>
      <c r="AH286" s="227">
        <v>45602</v>
      </c>
      <c r="AI286" s="228">
        <v>519168</v>
      </c>
      <c r="AJ286" s="228">
        <v>52</v>
      </c>
      <c r="AK286" s="228">
        <v>519168</v>
      </c>
      <c r="AL286" s="228">
        <v>52</v>
      </c>
      <c r="AM286" s="228">
        <v>0</v>
      </c>
      <c r="AN286" s="228">
        <v>0</v>
      </c>
      <c r="AO286" s="229">
        <v>45</v>
      </c>
      <c r="AP286" s="231">
        <v>11</v>
      </c>
      <c r="AQ286" s="231">
        <v>2024</v>
      </c>
      <c r="AR286" s="231" t="str">
        <f t="shared" si="35"/>
        <v>11/2024</v>
      </c>
      <c r="AS286" s="231">
        <f t="shared" si="36"/>
        <v>34</v>
      </c>
      <c r="AT286" s="239">
        <f>IF(G286="CERVECERIA Y MALTERIA",(AS286*AK286/1000000)*(1-VLOOKUP(N286,FCST!D:I,6,FALSE)),0)</f>
        <v>0</v>
      </c>
      <c r="AU286" s="232">
        <v>5.0000000000000001E-3</v>
      </c>
      <c r="AV286" s="239">
        <f t="shared" si="37"/>
        <v>0</v>
      </c>
      <c r="AW286" s="239">
        <f>(AS286*AK286/1000000)*(VLOOKUP(N286,FCST!D:I,6,FALSE))</f>
        <v>0</v>
      </c>
      <c r="AX286" s="239">
        <f t="shared" si="38"/>
        <v>0</v>
      </c>
      <c r="AY286" s="239">
        <f>IF($G286="CERVECERIA Y MALTERIA.",($AS286*$AK286/1000000)*(1-VLOOKUP($N286,FCST!D:I,6,FALSE)),0)</f>
        <v>17.651712</v>
      </c>
      <c r="AZ286" s="239">
        <f t="shared" si="39"/>
        <v>17.73997056</v>
      </c>
    </row>
    <row r="287" spans="1:52" x14ac:dyDescent="0.25">
      <c r="A287" s="209">
        <v>1083379</v>
      </c>
      <c r="B287" s="209">
        <v>70</v>
      </c>
      <c r="C287" s="209">
        <v>89307217</v>
      </c>
      <c r="D287" s="209">
        <v>10</v>
      </c>
      <c r="E287" s="209">
        <v>10000002</v>
      </c>
      <c r="F287" s="209">
        <v>20000335</v>
      </c>
      <c r="G287" s="209" t="s">
        <v>105</v>
      </c>
      <c r="H287" s="209">
        <v>20000335</v>
      </c>
      <c r="I287" s="209">
        <v>2</v>
      </c>
      <c r="J287" s="209" t="s">
        <v>169</v>
      </c>
      <c r="K287" s="209" t="s">
        <v>619</v>
      </c>
      <c r="L287" s="209" t="s">
        <v>171</v>
      </c>
      <c r="M287" s="209" t="s">
        <v>172</v>
      </c>
      <c r="N287" s="209">
        <v>50034574</v>
      </c>
      <c r="O287" s="209" t="s">
        <v>196</v>
      </c>
      <c r="P287" s="209">
        <v>5121</v>
      </c>
      <c r="Q287" s="209" t="s">
        <v>174</v>
      </c>
      <c r="R287" s="209" t="s">
        <v>175</v>
      </c>
      <c r="S287" s="209" t="s">
        <v>176</v>
      </c>
      <c r="T287" s="209" t="s">
        <v>177</v>
      </c>
      <c r="U287" s="209" t="s">
        <v>178</v>
      </c>
      <c r="V287" s="209" t="s">
        <v>179</v>
      </c>
      <c r="W287" s="209" t="s">
        <v>179</v>
      </c>
      <c r="X287" s="209" t="s">
        <v>180</v>
      </c>
      <c r="Y287" s="209" t="s">
        <v>180</v>
      </c>
      <c r="Z287" s="209">
        <v>9521066884</v>
      </c>
      <c r="AA287" s="209" t="s">
        <v>539</v>
      </c>
      <c r="AB287" s="209" t="s">
        <v>180</v>
      </c>
      <c r="AC287" s="209" t="s">
        <v>182</v>
      </c>
      <c r="AD287" s="209">
        <v>11</v>
      </c>
      <c r="AE287" s="209">
        <v>2024</v>
      </c>
      <c r="AF287" s="227">
        <v>45597</v>
      </c>
      <c r="AG287" s="227">
        <v>45602</v>
      </c>
      <c r="AH287" s="227">
        <v>45602</v>
      </c>
      <c r="AI287" s="228">
        <v>977184</v>
      </c>
      <c r="AJ287" s="228">
        <v>52</v>
      </c>
      <c r="AK287" s="228">
        <v>977184</v>
      </c>
      <c r="AL287" s="228">
        <v>52</v>
      </c>
      <c r="AM287" s="228">
        <v>0</v>
      </c>
      <c r="AN287" s="228">
        <v>0</v>
      </c>
      <c r="AO287" s="229">
        <v>45</v>
      </c>
      <c r="AP287" s="231">
        <v>11</v>
      </c>
      <c r="AQ287" s="231">
        <v>2024</v>
      </c>
      <c r="AR287" s="231" t="str">
        <f t="shared" si="35"/>
        <v>11/2024</v>
      </c>
      <c r="AS287" s="231">
        <f t="shared" si="36"/>
        <v>19.5</v>
      </c>
      <c r="AT287" s="239">
        <f>IF(G287="CERVECERIA Y MALTERIA",(AS287*AK287/1000000)*(1-VLOOKUP(N287,FCST!D:I,6,FALSE)),0)</f>
        <v>19.055088000000001</v>
      </c>
      <c r="AU287" s="232">
        <v>5.0000000000000001E-3</v>
      </c>
      <c r="AV287" s="239">
        <f t="shared" si="37"/>
        <v>19.15036344</v>
      </c>
      <c r="AW287" s="239">
        <f>(AS287*AK287/1000000)*(VLOOKUP(N287,FCST!D:I,6,FALSE))</f>
        <v>0</v>
      </c>
      <c r="AX287" s="239">
        <f t="shared" si="38"/>
        <v>0</v>
      </c>
      <c r="AY287" s="239">
        <f>IF($G287="CERVECERIA Y MALTERIA.",($AS287*$AK287/1000000)*(1-VLOOKUP($N287,FCST!D:I,6,FALSE)),0)</f>
        <v>0</v>
      </c>
      <c r="AZ287" s="239">
        <f t="shared" si="39"/>
        <v>0</v>
      </c>
    </row>
    <row r="288" spans="1:52" x14ac:dyDescent="0.25">
      <c r="A288" s="209">
        <v>1083379</v>
      </c>
      <c r="B288" s="209">
        <v>50</v>
      </c>
      <c r="C288" s="209">
        <v>89307218</v>
      </c>
      <c r="D288" s="209">
        <v>10</v>
      </c>
      <c r="E288" s="209">
        <v>10000002</v>
      </c>
      <c r="F288" s="209">
        <v>20000335</v>
      </c>
      <c r="G288" s="209" t="s">
        <v>105</v>
      </c>
      <c r="H288" s="209">
        <v>20000335</v>
      </c>
      <c r="I288" s="209">
        <v>2</v>
      </c>
      <c r="J288" s="209" t="s">
        <v>169</v>
      </c>
      <c r="K288" s="209" t="s">
        <v>620</v>
      </c>
      <c r="L288" s="209" t="s">
        <v>171</v>
      </c>
      <c r="M288" s="209" t="s">
        <v>172</v>
      </c>
      <c r="N288" s="209">
        <v>50032573</v>
      </c>
      <c r="O288" s="209" t="s">
        <v>173</v>
      </c>
      <c r="P288" s="209">
        <v>5121</v>
      </c>
      <c r="Q288" s="209" t="s">
        <v>174</v>
      </c>
      <c r="R288" s="209" t="s">
        <v>175</v>
      </c>
      <c r="S288" s="209" t="s">
        <v>176</v>
      </c>
      <c r="T288" s="209" t="s">
        <v>177</v>
      </c>
      <c r="U288" s="209" t="s">
        <v>178</v>
      </c>
      <c r="V288" s="209" t="s">
        <v>179</v>
      </c>
      <c r="W288" s="209" t="s">
        <v>179</v>
      </c>
      <c r="X288" s="209" t="s">
        <v>180</v>
      </c>
      <c r="Y288" s="209" t="s">
        <v>180</v>
      </c>
      <c r="Z288" s="209">
        <v>9521066881</v>
      </c>
      <c r="AA288" s="209" t="s">
        <v>548</v>
      </c>
      <c r="AB288" s="209" t="s">
        <v>180</v>
      </c>
      <c r="AC288" s="209" t="s">
        <v>182</v>
      </c>
      <c r="AD288" s="209">
        <v>11</v>
      </c>
      <c r="AE288" s="209">
        <v>2024</v>
      </c>
      <c r="AF288" s="227">
        <v>45597</v>
      </c>
      <c r="AG288" s="227">
        <v>45602</v>
      </c>
      <c r="AH288" s="227">
        <v>45602</v>
      </c>
      <c r="AI288" s="228">
        <v>531648</v>
      </c>
      <c r="AJ288" s="228">
        <v>52</v>
      </c>
      <c r="AK288" s="228">
        <v>531648</v>
      </c>
      <c r="AL288" s="228">
        <v>52</v>
      </c>
      <c r="AM288" s="228">
        <v>0</v>
      </c>
      <c r="AN288" s="228">
        <v>0</v>
      </c>
      <c r="AO288" s="229">
        <v>45</v>
      </c>
      <c r="AP288" s="231">
        <v>11</v>
      </c>
      <c r="AQ288" s="231">
        <v>2024</v>
      </c>
      <c r="AR288" s="231" t="str">
        <f t="shared" si="35"/>
        <v>11/2024</v>
      </c>
      <c r="AS288" s="231">
        <f t="shared" si="36"/>
        <v>37.200000000000003</v>
      </c>
      <c r="AT288" s="239">
        <f>IF(G288="CERVECERIA Y MALTERIA",(AS288*AK288/1000000)*(1-VLOOKUP(N288,FCST!D:I,6,FALSE)),0)</f>
        <v>19.777305600000002</v>
      </c>
      <c r="AU288" s="232">
        <v>5.0000000000000001E-3</v>
      </c>
      <c r="AV288" s="239">
        <f t="shared" si="37"/>
        <v>19.876192128</v>
      </c>
      <c r="AW288" s="239">
        <f>(AS288*AK288/1000000)*(VLOOKUP(N288,FCST!D:I,6,FALSE))</f>
        <v>0</v>
      </c>
      <c r="AX288" s="239">
        <f t="shared" si="38"/>
        <v>0</v>
      </c>
      <c r="AY288" s="239">
        <f>IF($G288="CERVECERIA Y MALTERIA.",($AS288*$AK288/1000000)*(1-VLOOKUP($N288,FCST!D:I,6,FALSE)),0)</f>
        <v>0</v>
      </c>
      <c r="AZ288" s="239">
        <f t="shared" si="39"/>
        <v>0</v>
      </c>
    </row>
    <row r="289" spans="1:52" x14ac:dyDescent="0.25">
      <c r="A289" s="209">
        <v>1083379</v>
      </c>
      <c r="B289" s="209">
        <v>30</v>
      </c>
      <c r="C289" s="209">
        <v>89306046</v>
      </c>
      <c r="D289" s="209">
        <v>10</v>
      </c>
      <c r="E289" s="209">
        <v>10000002</v>
      </c>
      <c r="F289" s="209">
        <v>20000335</v>
      </c>
      <c r="G289" s="209" t="s">
        <v>105</v>
      </c>
      <c r="H289" s="209">
        <v>20000335</v>
      </c>
      <c r="I289" s="209">
        <v>2</v>
      </c>
      <c r="J289" s="209" t="s">
        <v>169</v>
      </c>
      <c r="K289" s="209" t="s">
        <v>621</v>
      </c>
      <c r="L289" s="209" t="s">
        <v>171</v>
      </c>
      <c r="M289" s="209" t="s">
        <v>172</v>
      </c>
      <c r="N289" s="209">
        <v>50034574</v>
      </c>
      <c r="O289" s="209" t="s">
        <v>196</v>
      </c>
      <c r="P289" s="209">
        <v>5121</v>
      </c>
      <c r="Q289" s="209" t="s">
        <v>174</v>
      </c>
      <c r="R289" s="209" t="s">
        <v>175</v>
      </c>
      <c r="S289" s="209" t="s">
        <v>176</v>
      </c>
      <c r="T289" s="209" t="s">
        <v>177</v>
      </c>
      <c r="U289" s="209" t="s">
        <v>178</v>
      </c>
      <c r="V289" s="209" t="s">
        <v>179</v>
      </c>
      <c r="W289" s="209" t="s">
        <v>179</v>
      </c>
      <c r="X289" s="209" t="s">
        <v>180</v>
      </c>
      <c r="Y289" s="209" t="s">
        <v>180</v>
      </c>
      <c r="Z289" s="209">
        <v>9521066884</v>
      </c>
      <c r="AA289" s="209" t="s">
        <v>539</v>
      </c>
      <c r="AB289" s="209" t="s">
        <v>180</v>
      </c>
      <c r="AC289" s="209" t="s">
        <v>182</v>
      </c>
      <c r="AD289" s="209">
        <v>11</v>
      </c>
      <c r="AE289" s="209">
        <v>2024</v>
      </c>
      <c r="AF289" s="227">
        <v>45597</v>
      </c>
      <c r="AG289" s="227">
        <v>45601</v>
      </c>
      <c r="AH289" s="227">
        <v>45601</v>
      </c>
      <c r="AI289" s="228">
        <v>977184</v>
      </c>
      <c r="AJ289" s="228">
        <v>52</v>
      </c>
      <c r="AK289" s="228">
        <v>977184</v>
      </c>
      <c r="AL289" s="228">
        <v>52</v>
      </c>
      <c r="AM289" s="228">
        <v>0</v>
      </c>
      <c r="AN289" s="228">
        <v>0</v>
      </c>
      <c r="AO289" s="229">
        <v>45</v>
      </c>
      <c r="AP289" s="231">
        <v>11</v>
      </c>
      <c r="AQ289" s="231">
        <v>2024</v>
      </c>
      <c r="AR289" s="231" t="str">
        <f t="shared" si="35"/>
        <v>11/2024</v>
      </c>
      <c r="AS289" s="231">
        <f t="shared" si="36"/>
        <v>19.5</v>
      </c>
      <c r="AT289" s="239">
        <f>IF(G289="CERVECERIA Y MALTERIA",(AS289*AK289/1000000)*(1-VLOOKUP(N289,FCST!D:I,6,FALSE)),0)</f>
        <v>19.055088000000001</v>
      </c>
      <c r="AU289" s="232">
        <v>5.0000000000000001E-3</v>
      </c>
      <c r="AV289" s="239">
        <f t="shared" si="37"/>
        <v>19.15036344</v>
      </c>
      <c r="AW289" s="239">
        <f>(AS289*AK289/1000000)*(VLOOKUP(N289,FCST!D:I,6,FALSE))</f>
        <v>0</v>
      </c>
      <c r="AX289" s="239">
        <f t="shared" si="38"/>
        <v>0</v>
      </c>
      <c r="AY289" s="239">
        <f>IF($G289="CERVECERIA Y MALTERIA.",($AS289*$AK289/1000000)*(1-VLOOKUP($N289,FCST!D:I,6,FALSE)),0)</f>
        <v>0</v>
      </c>
      <c r="AZ289" s="239">
        <f t="shared" si="39"/>
        <v>0</v>
      </c>
    </row>
    <row r="290" spans="1:52" x14ac:dyDescent="0.25">
      <c r="A290" s="209">
        <v>1083623</v>
      </c>
      <c r="B290" s="209">
        <v>10</v>
      </c>
      <c r="C290" s="209">
        <v>89306450</v>
      </c>
      <c r="D290" s="209">
        <v>10</v>
      </c>
      <c r="E290" s="209">
        <v>10000002</v>
      </c>
      <c r="F290" s="209">
        <v>20000337</v>
      </c>
      <c r="G290" s="209" t="s">
        <v>105</v>
      </c>
      <c r="H290" s="209">
        <v>20000337</v>
      </c>
      <c r="I290" s="209">
        <v>2</v>
      </c>
      <c r="J290" s="209" t="s">
        <v>169</v>
      </c>
      <c r="K290" s="209" t="s">
        <v>622</v>
      </c>
      <c r="L290" s="209" t="s">
        <v>171</v>
      </c>
      <c r="M290" s="209" t="s">
        <v>172</v>
      </c>
      <c r="N290" s="209">
        <v>50034616</v>
      </c>
      <c r="O290" s="209" t="s">
        <v>191</v>
      </c>
      <c r="P290" s="209">
        <v>5121</v>
      </c>
      <c r="Q290" s="209" t="s">
        <v>174</v>
      </c>
      <c r="R290" s="209" t="s">
        <v>175</v>
      </c>
      <c r="S290" s="209" t="s">
        <v>176</v>
      </c>
      <c r="T290" s="209" t="s">
        <v>177</v>
      </c>
      <c r="U290" s="209" t="s">
        <v>178</v>
      </c>
      <c r="V290" s="209" t="s">
        <v>179</v>
      </c>
      <c r="W290" s="209" t="s">
        <v>179</v>
      </c>
      <c r="X290" s="209" t="s">
        <v>180</v>
      </c>
      <c r="Y290" s="209" t="s">
        <v>180</v>
      </c>
      <c r="Z290" s="209">
        <v>9521066891</v>
      </c>
      <c r="AA290" s="209" t="s">
        <v>623</v>
      </c>
      <c r="AB290" s="209" t="s">
        <v>180</v>
      </c>
      <c r="AC290" s="209" t="s">
        <v>182</v>
      </c>
      <c r="AD290" s="209">
        <v>11</v>
      </c>
      <c r="AE290" s="209">
        <v>2024</v>
      </c>
      <c r="AF290" s="227">
        <v>45600</v>
      </c>
      <c r="AG290" s="227">
        <v>45601</v>
      </c>
      <c r="AH290" s="227">
        <v>45601</v>
      </c>
      <c r="AI290" s="228">
        <v>426816</v>
      </c>
      <c r="AJ290" s="228">
        <v>52</v>
      </c>
      <c r="AK290" s="228">
        <v>426816</v>
      </c>
      <c r="AL290" s="228">
        <v>52</v>
      </c>
      <c r="AM290" s="228">
        <v>0</v>
      </c>
      <c r="AN290" s="228">
        <v>0</v>
      </c>
      <c r="AO290" s="229">
        <v>45</v>
      </c>
      <c r="AP290" s="231">
        <v>11</v>
      </c>
      <c r="AQ290" s="231">
        <v>2024</v>
      </c>
      <c r="AR290" s="231" t="str">
        <f t="shared" si="35"/>
        <v>11/2024</v>
      </c>
      <c r="AS290" s="231">
        <f t="shared" si="36"/>
        <v>46.6</v>
      </c>
      <c r="AT290" s="239">
        <f>IF(G290="CERVECERIA Y MALTERIA",(AS290*AK290/1000000)*(1-VLOOKUP(N290,FCST!D:I,6,FALSE)),0)</f>
        <v>19.889625600000002</v>
      </c>
      <c r="AU290" s="232">
        <v>5.0000000000000001E-3</v>
      </c>
      <c r="AV290" s="239">
        <f t="shared" si="37"/>
        <v>19.989073728000001</v>
      </c>
      <c r="AW290" s="239">
        <f>(AS290*AK290/1000000)*(VLOOKUP(N290,FCST!D:I,6,FALSE))</f>
        <v>0</v>
      </c>
      <c r="AX290" s="239">
        <f t="shared" si="38"/>
        <v>0</v>
      </c>
      <c r="AY290" s="239">
        <f>IF($G290="CERVECERIA Y MALTERIA.",($AS290*$AK290/1000000)*(1-VLOOKUP($N290,FCST!D:I,6,FALSE)),0)</f>
        <v>0</v>
      </c>
      <c r="AZ290" s="239">
        <f t="shared" si="39"/>
        <v>0</v>
      </c>
    </row>
    <row r="291" spans="1:52" x14ac:dyDescent="0.25">
      <c r="A291" s="209">
        <v>1083382</v>
      </c>
      <c r="B291" s="209">
        <v>30</v>
      </c>
      <c r="C291" s="209">
        <v>89306513</v>
      </c>
      <c r="D291" s="209">
        <v>10</v>
      </c>
      <c r="E291" s="209">
        <v>10000002</v>
      </c>
      <c r="F291" s="209">
        <v>20000340</v>
      </c>
      <c r="G291" s="209" t="s">
        <v>117</v>
      </c>
      <c r="H291" s="209">
        <v>20000340</v>
      </c>
      <c r="I291" s="209">
        <v>2</v>
      </c>
      <c r="J291" s="209" t="s">
        <v>169</v>
      </c>
      <c r="K291" s="209" t="s">
        <v>624</v>
      </c>
      <c r="L291" s="209" t="s">
        <v>171</v>
      </c>
      <c r="M291" s="209" t="s">
        <v>184</v>
      </c>
      <c r="N291" s="209">
        <v>50036718</v>
      </c>
      <c r="O291" s="209" t="s">
        <v>259</v>
      </c>
      <c r="P291" s="209">
        <v>5101</v>
      </c>
      <c r="Q291" s="209" t="s">
        <v>186</v>
      </c>
      <c r="R291" s="209" t="s">
        <v>175</v>
      </c>
      <c r="S291" s="209" t="s">
        <v>176</v>
      </c>
      <c r="T291" s="209" t="s">
        <v>187</v>
      </c>
      <c r="U291" s="209" t="s">
        <v>188</v>
      </c>
      <c r="V291" s="209" t="s">
        <v>179</v>
      </c>
      <c r="W291" s="209" t="s">
        <v>179</v>
      </c>
      <c r="X291" s="209" t="s">
        <v>180</v>
      </c>
      <c r="Y291" s="209" t="s">
        <v>180</v>
      </c>
      <c r="Z291" s="209">
        <v>9511047127</v>
      </c>
      <c r="AA291" s="209" t="s">
        <v>552</v>
      </c>
      <c r="AB291" s="209" t="s">
        <v>180</v>
      </c>
      <c r="AC291" s="209" t="s">
        <v>182</v>
      </c>
      <c r="AD291" s="209">
        <v>11</v>
      </c>
      <c r="AE291" s="209">
        <v>2024</v>
      </c>
      <c r="AF291" s="227">
        <v>45597</v>
      </c>
      <c r="AG291" s="227">
        <v>45601</v>
      </c>
      <c r="AH291" s="227">
        <v>45601</v>
      </c>
      <c r="AI291" s="228">
        <v>519168</v>
      </c>
      <c r="AJ291" s="228">
        <v>52</v>
      </c>
      <c r="AK291" s="228">
        <v>519168</v>
      </c>
      <c r="AL291" s="228">
        <v>52</v>
      </c>
      <c r="AM291" s="228">
        <v>0</v>
      </c>
      <c r="AN291" s="228">
        <v>0</v>
      </c>
      <c r="AO291" s="229">
        <v>45</v>
      </c>
      <c r="AP291" s="231">
        <v>11</v>
      </c>
      <c r="AQ291" s="231">
        <v>2024</v>
      </c>
      <c r="AR291" s="231" t="str">
        <f t="shared" si="35"/>
        <v>11/2024</v>
      </c>
      <c r="AS291" s="231">
        <f t="shared" si="36"/>
        <v>34</v>
      </c>
      <c r="AT291" s="239">
        <f>IF(G291="CERVECERIA Y MALTERIA",(AS291*AK291/1000000)*(1-VLOOKUP(N291,FCST!D:I,6,FALSE)),0)</f>
        <v>0</v>
      </c>
      <c r="AU291" s="232">
        <v>5.0000000000000001E-3</v>
      </c>
      <c r="AV291" s="239">
        <f t="shared" si="37"/>
        <v>0</v>
      </c>
      <c r="AW291" s="239">
        <f>(AS291*AK291/1000000)*(VLOOKUP(N291,FCST!D:I,6,FALSE))</f>
        <v>0</v>
      </c>
      <c r="AX291" s="239">
        <f t="shared" si="38"/>
        <v>0</v>
      </c>
      <c r="AY291" s="239">
        <f>IF($G291="CERVECERIA Y MALTERIA.",($AS291*$AK291/1000000)*(1-VLOOKUP($N291,FCST!D:I,6,FALSE)),0)</f>
        <v>17.651712</v>
      </c>
      <c r="AZ291" s="239">
        <f t="shared" si="39"/>
        <v>17.73997056</v>
      </c>
    </row>
    <row r="292" spans="1:52" x14ac:dyDescent="0.25">
      <c r="A292" s="209">
        <v>1083379</v>
      </c>
      <c r="B292" s="209">
        <v>40</v>
      </c>
      <c r="C292" s="209">
        <v>89306607</v>
      </c>
      <c r="D292" s="209">
        <v>10</v>
      </c>
      <c r="E292" s="209">
        <v>10000002</v>
      </c>
      <c r="F292" s="209">
        <v>20000335</v>
      </c>
      <c r="G292" s="209" t="s">
        <v>105</v>
      </c>
      <c r="H292" s="209">
        <v>20000335</v>
      </c>
      <c r="I292" s="209">
        <v>2</v>
      </c>
      <c r="J292" s="209" t="s">
        <v>169</v>
      </c>
      <c r="K292" s="209" t="s">
        <v>625</v>
      </c>
      <c r="L292" s="209" t="s">
        <v>171</v>
      </c>
      <c r="M292" s="209" t="s">
        <v>199</v>
      </c>
      <c r="N292" s="209">
        <v>50034616</v>
      </c>
      <c r="O292" s="209" t="s">
        <v>191</v>
      </c>
      <c r="P292" s="209">
        <v>5121</v>
      </c>
      <c r="Q292" s="209" t="s">
        <v>200</v>
      </c>
      <c r="R292" s="209" t="s">
        <v>201</v>
      </c>
      <c r="S292" s="209" t="s">
        <v>202</v>
      </c>
      <c r="T292" s="209" t="s">
        <v>203</v>
      </c>
      <c r="U292" s="209" t="s">
        <v>201</v>
      </c>
      <c r="V292" s="209" t="s">
        <v>179</v>
      </c>
      <c r="W292" s="209" t="s">
        <v>179</v>
      </c>
      <c r="X292" s="209" t="s">
        <v>180</v>
      </c>
      <c r="Y292" s="209" t="s">
        <v>180</v>
      </c>
      <c r="Z292" s="209">
        <v>9521066882</v>
      </c>
      <c r="AA292" s="209" t="s">
        <v>567</v>
      </c>
      <c r="AB292" s="209" t="s">
        <v>180</v>
      </c>
      <c r="AC292" s="209" t="s">
        <v>182</v>
      </c>
      <c r="AD292" s="209">
        <v>11</v>
      </c>
      <c r="AE292" s="209">
        <v>2024</v>
      </c>
      <c r="AF292" s="227">
        <v>45597</v>
      </c>
      <c r="AG292" s="227">
        <v>45601</v>
      </c>
      <c r="AH292" s="227">
        <v>45601</v>
      </c>
      <c r="AI292" s="228">
        <v>426816</v>
      </c>
      <c r="AJ292" s="228">
        <v>52</v>
      </c>
      <c r="AK292" s="228">
        <v>426816</v>
      </c>
      <c r="AL292" s="228">
        <v>52</v>
      </c>
      <c r="AM292" s="228">
        <v>0</v>
      </c>
      <c r="AN292" s="228">
        <v>0</v>
      </c>
      <c r="AO292" s="229">
        <v>45</v>
      </c>
      <c r="AP292" s="231">
        <v>11</v>
      </c>
      <c r="AQ292" s="231">
        <v>2024</v>
      </c>
      <c r="AR292" s="231" t="str">
        <f t="shared" si="35"/>
        <v>11/2024</v>
      </c>
      <c r="AS292" s="231">
        <f t="shared" si="36"/>
        <v>46.6</v>
      </c>
      <c r="AT292" s="239">
        <f>IF(G292="CERVECERIA Y MALTERIA",(AS292*AK292/1000000)*(1-VLOOKUP(N292,FCST!D:I,6,FALSE)),0)</f>
        <v>19.889625600000002</v>
      </c>
      <c r="AU292" s="232">
        <v>5.0000000000000001E-3</v>
      </c>
      <c r="AV292" s="239">
        <f t="shared" si="37"/>
        <v>19.989073728000001</v>
      </c>
      <c r="AW292" s="239">
        <f>(AS292*AK292/1000000)*(VLOOKUP(N292,FCST!D:I,6,FALSE))</f>
        <v>0</v>
      </c>
      <c r="AX292" s="239">
        <f t="shared" si="38"/>
        <v>0</v>
      </c>
      <c r="AY292" s="239">
        <f>IF($G292="CERVECERIA Y MALTERIA.",($AS292*$AK292/1000000)*(1-VLOOKUP($N292,FCST!D:I,6,FALSE)),0)</f>
        <v>0</v>
      </c>
      <c r="AZ292" s="239">
        <f t="shared" si="39"/>
        <v>0</v>
      </c>
    </row>
    <row r="293" spans="1:52" x14ac:dyDescent="0.25">
      <c r="A293" s="209">
        <v>1083379</v>
      </c>
      <c r="B293" s="209">
        <v>80</v>
      </c>
      <c r="C293" s="209">
        <v>89307952</v>
      </c>
      <c r="D293" s="209">
        <v>10</v>
      </c>
      <c r="E293" s="209">
        <v>10000002</v>
      </c>
      <c r="F293" s="209">
        <v>20000335</v>
      </c>
      <c r="G293" s="209" t="s">
        <v>105</v>
      </c>
      <c r="H293" s="209">
        <v>20000335</v>
      </c>
      <c r="I293" s="209">
        <v>2</v>
      </c>
      <c r="J293" s="209" t="s">
        <v>169</v>
      </c>
      <c r="K293" s="209" t="s">
        <v>626</v>
      </c>
      <c r="L293" s="209" t="s">
        <v>171</v>
      </c>
      <c r="M293" s="209" t="s">
        <v>172</v>
      </c>
      <c r="N293" s="209">
        <v>50032573</v>
      </c>
      <c r="O293" s="209" t="s">
        <v>173</v>
      </c>
      <c r="P293" s="209">
        <v>5121</v>
      </c>
      <c r="Q293" s="209" t="s">
        <v>174</v>
      </c>
      <c r="R293" s="209" t="s">
        <v>175</v>
      </c>
      <c r="S293" s="209" t="s">
        <v>176</v>
      </c>
      <c r="T293" s="209" t="s">
        <v>177</v>
      </c>
      <c r="U293" s="209" t="s">
        <v>178</v>
      </c>
      <c r="V293" s="209" t="s">
        <v>179</v>
      </c>
      <c r="W293" s="209" t="s">
        <v>179</v>
      </c>
      <c r="X293" s="209" t="s">
        <v>180</v>
      </c>
      <c r="Y293" s="209" t="s">
        <v>180</v>
      </c>
      <c r="Z293" s="209">
        <v>9521066881</v>
      </c>
      <c r="AA293" s="209" t="s">
        <v>548</v>
      </c>
      <c r="AB293" s="209" t="s">
        <v>180</v>
      </c>
      <c r="AC293" s="209" t="s">
        <v>182</v>
      </c>
      <c r="AD293" s="209">
        <v>11</v>
      </c>
      <c r="AE293" s="209">
        <v>2024</v>
      </c>
      <c r="AF293" s="227">
        <v>45597</v>
      </c>
      <c r="AG293" s="227">
        <v>45603</v>
      </c>
      <c r="AH293" s="227">
        <v>45603</v>
      </c>
      <c r="AI293" s="228">
        <v>531648</v>
      </c>
      <c r="AJ293" s="228">
        <v>52</v>
      </c>
      <c r="AK293" s="228">
        <v>531648</v>
      </c>
      <c r="AL293" s="228">
        <v>52</v>
      </c>
      <c r="AM293" s="228">
        <v>0</v>
      </c>
      <c r="AN293" s="228">
        <v>0</v>
      </c>
      <c r="AO293" s="229">
        <v>45</v>
      </c>
      <c r="AP293" s="231">
        <v>11</v>
      </c>
      <c r="AQ293" s="231">
        <v>2024</v>
      </c>
      <c r="AR293" s="231" t="str">
        <f t="shared" si="35"/>
        <v>11/2024</v>
      </c>
      <c r="AS293" s="231">
        <f t="shared" si="36"/>
        <v>37.200000000000003</v>
      </c>
      <c r="AT293" s="239">
        <f>IF(G293="CERVECERIA Y MALTERIA",(AS293*AK293/1000000)*(1-VLOOKUP(N293,FCST!D:I,6,FALSE)),0)</f>
        <v>19.777305600000002</v>
      </c>
      <c r="AU293" s="232">
        <v>5.0000000000000001E-3</v>
      </c>
      <c r="AV293" s="239">
        <f t="shared" si="37"/>
        <v>19.876192128</v>
      </c>
      <c r="AW293" s="239">
        <f>(AS293*AK293/1000000)*(VLOOKUP(N293,FCST!D:I,6,FALSE))</f>
        <v>0</v>
      </c>
      <c r="AX293" s="239">
        <f t="shared" si="38"/>
        <v>0</v>
      </c>
      <c r="AY293" s="239">
        <f>IF($G293="CERVECERIA Y MALTERIA.",($AS293*$AK293/1000000)*(1-VLOOKUP($N293,FCST!D:I,6,FALSE)),0)</f>
        <v>0</v>
      </c>
      <c r="AZ293" s="239">
        <f t="shared" si="39"/>
        <v>0</v>
      </c>
    </row>
    <row r="294" spans="1:52" x14ac:dyDescent="0.25">
      <c r="A294" s="209">
        <v>1083975</v>
      </c>
      <c r="B294" s="209">
        <v>10</v>
      </c>
      <c r="C294" s="209">
        <v>89308075</v>
      </c>
      <c r="D294" s="209">
        <v>10</v>
      </c>
      <c r="E294" s="209">
        <v>10000002</v>
      </c>
      <c r="F294" s="209">
        <v>20000339</v>
      </c>
      <c r="G294" s="209" t="s">
        <v>105</v>
      </c>
      <c r="H294" s="209">
        <v>20000339</v>
      </c>
      <c r="I294" s="209">
        <v>2</v>
      </c>
      <c r="J294" s="209" t="s">
        <v>169</v>
      </c>
      <c r="K294" s="209" t="s">
        <v>627</v>
      </c>
      <c r="L294" s="209" t="s">
        <v>265</v>
      </c>
      <c r="M294" s="209" t="s">
        <v>172</v>
      </c>
      <c r="N294" s="209">
        <v>50034245</v>
      </c>
      <c r="O294" s="209" t="s">
        <v>591</v>
      </c>
      <c r="P294" s="209">
        <v>5101</v>
      </c>
      <c r="Q294" s="209" t="s">
        <v>186</v>
      </c>
      <c r="R294" s="209" t="s">
        <v>175</v>
      </c>
      <c r="S294" s="209" t="s">
        <v>176</v>
      </c>
      <c r="T294" s="209" t="s">
        <v>187</v>
      </c>
      <c r="U294" s="209" t="s">
        <v>188</v>
      </c>
      <c r="V294" s="209" t="s">
        <v>179</v>
      </c>
      <c r="W294" s="209" t="s">
        <v>179</v>
      </c>
      <c r="X294" s="209" t="s">
        <v>180</v>
      </c>
      <c r="Y294" s="209" t="s">
        <v>180</v>
      </c>
      <c r="Z294" s="209">
        <v>9511047124</v>
      </c>
      <c r="AA294" s="209" t="s">
        <v>592</v>
      </c>
      <c r="AB294" s="209" t="s">
        <v>180</v>
      </c>
      <c r="AC294" s="209" t="s">
        <v>182</v>
      </c>
      <c r="AD294" s="209">
        <v>11</v>
      </c>
      <c r="AE294" s="209">
        <v>2024</v>
      </c>
      <c r="AF294" s="227">
        <v>45602</v>
      </c>
      <c r="AG294" s="227">
        <v>45603</v>
      </c>
      <c r="AH294" s="227">
        <v>45603</v>
      </c>
      <c r="AI294" s="228">
        <v>743808</v>
      </c>
      <c r="AJ294" s="228">
        <v>52</v>
      </c>
      <c r="AK294" s="228">
        <v>743808</v>
      </c>
      <c r="AL294" s="228">
        <v>52</v>
      </c>
      <c r="AM294" s="228">
        <v>0</v>
      </c>
      <c r="AN294" s="228">
        <v>0</v>
      </c>
      <c r="AO294" s="229">
        <v>45</v>
      </c>
      <c r="AP294" s="231">
        <v>11</v>
      </c>
      <c r="AQ294" s="231">
        <v>2024</v>
      </c>
      <c r="AR294" s="231" t="str">
        <f t="shared" ref="AR294:AR337" si="40">+IF(AP294&lt;10,"0"&amp;AP294&amp; "/"&amp;AQ294,AP294&amp; "/"&amp;AQ294)</f>
        <v>11/2024</v>
      </c>
      <c r="AS294" s="231">
        <f t="shared" ref="AS294:AS337" si="41">VALUE(MID(INDEX(_xlfn.TEXTSPLIT(O294, ","), 1, 3), 1,FIND("G", INDEX(_xlfn.TEXTSPLIT(O294, ","), 1, 3))-1))</f>
        <v>25</v>
      </c>
      <c r="AT294" s="239">
        <f>IF(G294="CERVECERIA Y MALTERIA",(AS294*AK294/1000000)*(1-VLOOKUP(N294,FCST!D:I,6,FALSE)),0)</f>
        <v>0</v>
      </c>
      <c r="AU294" s="232">
        <v>5.0000000000000001E-3</v>
      </c>
      <c r="AV294" s="239">
        <f t="shared" ref="AV294:AV337" si="42">+AT294*(1+AU294)</f>
        <v>0</v>
      </c>
      <c r="AW294" s="239">
        <f>(AS294*AK294/1000000)*(VLOOKUP(N294,FCST!D:I,6,FALSE))</f>
        <v>18.595199999999998</v>
      </c>
      <c r="AX294" s="239">
        <f t="shared" ref="AX294:AX337" si="43">+AW294*(1+AU294)</f>
        <v>18.688175999999995</v>
      </c>
      <c r="AY294" s="239">
        <f>IF($G294="CERVECERIA Y MALTERIA.",($AS294*$AK294/1000000)*(1-VLOOKUP($N294,FCST!D:I,6,FALSE)),0)</f>
        <v>0</v>
      </c>
      <c r="AZ294" s="239">
        <f t="shared" ref="AZ294:AZ337" si="44">+AY294*(1+AU294)</f>
        <v>0</v>
      </c>
    </row>
    <row r="295" spans="1:52" x14ac:dyDescent="0.25">
      <c r="A295" s="209">
        <v>1083379</v>
      </c>
      <c r="B295" s="209">
        <v>90</v>
      </c>
      <c r="C295" s="209">
        <v>89308299</v>
      </c>
      <c r="D295" s="209">
        <v>10</v>
      </c>
      <c r="E295" s="209">
        <v>10000002</v>
      </c>
      <c r="F295" s="209">
        <v>20000335</v>
      </c>
      <c r="G295" s="209" t="s">
        <v>105</v>
      </c>
      <c r="H295" s="209">
        <v>20000335</v>
      </c>
      <c r="I295" s="209">
        <v>2</v>
      </c>
      <c r="J295" s="209" t="s">
        <v>169</v>
      </c>
      <c r="K295" s="209" t="s">
        <v>628</v>
      </c>
      <c r="L295" s="209" t="s">
        <v>171</v>
      </c>
      <c r="M295" s="209" t="s">
        <v>199</v>
      </c>
      <c r="N295" s="209">
        <v>50034574</v>
      </c>
      <c r="O295" s="209" t="s">
        <v>196</v>
      </c>
      <c r="P295" s="209">
        <v>5121</v>
      </c>
      <c r="Q295" s="209" t="s">
        <v>200</v>
      </c>
      <c r="R295" s="209" t="s">
        <v>201</v>
      </c>
      <c r="S295" s="209" t="s">
        <v>202</v>
      </c>
      <c r="T295" s="209" t="s">
        <v>203</v>
      </c>
      <c r="U295" s="209" t="s">
        <v>201</v>
      </c>
      <c r="V295" s="209" t="s">
        <v>179</v>
      </c>
      <c r="W295" s="209" t="s">
        <v>179</v>
      </c>
      <c r="X295" s="209" t="s">
        <v>180</v>
      </c>
      <c r="Y295" s="209" t="s">
        <v>180</v>
      </c>
      <c r="Z295" s="209">
        <v>9521066884</v>
      </c>
      <c r="AA295" s="209" t="s">
        <v>539</v>
      </c>
      <c r="AB295" s="209" t="s">
        <v>180</v>
      </c>
      <c r="AC295" s="209" t="s">
        <v>182</v>
      </c>
      <c r="AD295" s="209">
        <v>11</v>
      </c>
      <c r="AE295" s="209">
        <v>2024</v>
      </c>
      <c r="AF295" s="227">
        <v>45597</v>
      </c>
      <c r="AG295" s="227">
        <v>45603</v>
      </c>
      <c r="AH295" s="227">
        <v>45603</v>
      </c>
      <c r="AI295" s="228">
        <v>977184</v>
      </c>
      <c r="AJ295" s="228">
        <v>52</v>
      </c>
      <c r="AK295" s="228">
        <v>977184</v>
      </c>
      <c r="AL295" s="228">
        <v>52</v>
      </c>
      <c r="AM295" s="228">
        <v>0</v>
      </c>
      <c r="AN295" s="228">
        <v>0</v>
      </c>
      <c r="AO295" s="229">
        <v>45</v>
      </c>
      <c r="AP295" s="231">
        <v>11</v>
      </c>
      <c r="AQ295" s="231">
        <v>2024</v>
      </c>
      <c r="AR295" s="231" t="str">
        <f t="shared" si="40"/>
        <v>11/2024</v>
      </c>
      <c r="AS295" s="231">
        <f t="shared" si="41"/>
        <v>19.5</v>
      </c>
      <c r="AT295" s="239">
        <f>IF(G295="CERVECERIA Y MALTERIA",(AS295*AK295/1000000)*(1-VLOOKUP(N295,FCST!D:I,6,FALSE)),0)</f>
        <v>19.055088000000001</v>
      </c>
      <c r="AU295" s="232">
        <v>5.0000000000000001E-3</v>
      </c>
      <c r="AV295" s="239">
        <f t="shared" si="42"/>
        <v>19.15036344</v>
      </c>
      <c r="AW295" s="239">
        <f>(AS295*AK295/1000000)*(VLOOKUP(N295,FCST!D:I,6,FALSE))</f>
        <v>0</v>
      </c>
      <c r="AX295" s="239">
        <f t="shared" si="43"/>
        <v>0</v>
      </c>
      <c r="AY295" s="239">
        <f>IF($G295="CERVECERIA Y MALTERIA.",($AS295*$AK295/1000000)*(1-VLOOKUP($N295,FCST!D:I,6,FALSE)),0)</f>
        <v>0</v>
      </c>
      <c r="AZ295" s="239">
        <f t="shared" si="44"/>
        <v>0</v>
      </c>
    </row>
    <row r="296" spans="1:52" x14ac:dyDescent="0.25">
      <c r="A296" s="209">
        <v>1084176</v>
      </c>
      <c r="B296" s="209">
        <v>10</v>
      </c>
      <c r="C296" s="209">
        <v>89308588</v>
      </c>
      <c r="D296" s="209">
        <v>10</v>
      </c>
      <c r="E296" s="209">
        <v>10000002</v>
      </c>
      <c r="F296" s="209">
        <v>20001057</v>
      </c>
      <c r="G296" s="209" t="s">
        <v>105</v>
      </c>
      <c r="H296" s="209">
        <v>20001057</v>
      </c>
      <c r="I296" s="209">
        <v>2</v>
      </c>
      <c r="J296" s="209" t="s">
        <v>169</v>
      </c>
      <c r="K296" s="209" t="s">
        <v>629</v>
      </c>
      <c r="L296" s="209" t="s">
        <v>171</v>
      </c>
      <c r="M296" s="209" t="s">
        <v>184</v>
      </c>
      <c r="N296" s="209">
        <v>50032578</v>
      </c>
      <c r="O296" s="209" t="s">
        <v>329</v>
      </c>
      <c r="P296" s="209">
        <v>5121</v>
      </c>
      <c r="Q296" s="209" t="s">
        <v>174</v>
      </c>
      <c r="R296" s="209" t="s">
        <v>175</v>
      </c>
      <c r="S296" s="209" t="s">
        <v>176</v>
      </c>
      <c r="T296" s="209" t="s">
        <v>177</v>
      </c>
      <c r="U296" s="209" t="s">
        <v>178</v>
      </c>
      <c r="V296" s="209" t="s">
        <v>179</v>
      </c>
      <c r="W296" s="209" t="s">
        <v>179</v>
      </c>
      <c r="X296" s="209" t="s">
        <v>180</v>
      </c>
      <c r="Y296" s="209" t="s">
        <v>180</v>
      </c>
      <c r="Z296" s="209">
        <v>9521066899</v>
      </c>
      <c r="AA296" s="209" t="s">
        <v>630</v>
      </c>
      <c r="AB296" s="209" t="s">
        <v>180</v>
      </c>
      <c r="AC296" s="209" t="s">
        <v>182</v>
      </c>
      <c r="AD296" s="209">
        <v>11</v>
      </c>
      <c r="AE296" s="209">
        <v>2024</v>
      </c>
      <c r="AF296" s="227">
        <v>45602</v>
      </c>
      <c r="AG296" s="227">
        <v>45603</v>
      </c>
      <c r="AH296" s="227">
        <v>45603</v>
      </c>
      <c r="AI296" s="228">
        <v>102240</v>
      </c>
      <c r="AJ296" s="228">
        <v>10</v>
      </c>
      <c r="AK296" s="228">
        <v>102240</v>
      </c>
      <c r="AL296" s="228">
        <v>10</v>
      </c>
      <c r="AM296" s="228">
        <v>0</v>
      </c>
      <c r="AN296" s="228">
        <v>0</v>
      </c>
      <c r="AO296" s="229">
        <v>45</v>
      </c>
      <c r="AP296" s="231">
        <v>11</v>
      </c>
      <c r="AQ296" s="231">
        <v>2024</v>
      </c>
      <c r="AR296" s="231" t="str">
        <f t="shared" si="40"/>
        <v>11/2024</v>
      </c>
      <c r="AS296" s="231">
        <f t="shared" si="41"/>
        <v>37.200000000000003</v>
      </c>
      <c r="AT296" s="239">
        <f>IF(G296="CERVECERIA Y MALTERIA",(AS296*AK296/1000000)*(1-VLOOKUP(N296,FCST!D:I,6,FALSE)),0)</f>
        <v>3.8033280000000005</v>
      </c>
      <c r="AU296" s="232">
        <v>5.0000000000000001E-3</v>
      </c>
      <c r="AV296" s="239">
        <f t="shared" si="42"/>
        <v>3.8223446400000003</v>
      </c>
      <c r="AW296" s="239">
        <f>(AS296*AK296/1000000)*(VLOOKUP(N296,FCST!D:I,6,FALSE))</f>
        <v>0</v>
      </c>
      <c r="AX296" s="239">
        <f t="shared" si="43"/>
        <v>0</v>
      </c>
      <c r="AY296" s="239">
        <f>IF($G296="CERVECERIA Y MALTERIA.",($AS296*$AK296/1000000)*(1-VLOOKUP($N296,FCST!D:I,6,FALSE)),0)</f>
        <v>0</v>
      </c>
      <c r="AZ296" s="239">
        <f t="shared" si="44"/>
        <v>0</v>
      </c>
    </row>
    <row r="297" spans="1:52" x14ac:dyDescent="0.25">
      <c r="A297" s="209">
        <v>1084176</v>
      </c>
      <c r="B297" s="209">
        <v>20</v>
      </c>
      <c r="C297" s="209">
        <v>89308588</v>
      </c>
      <c r="D297" s="209">
        <v>20</v>
      </c>
      <c r="E297" s="209">
        <v>10000002</v>
      </c>
      <c r="F297" s="209">
        <v>20001057</v>
      </c>
      <c r="G297" s="209" t="s">
        <v>105</v>
      </c>
      <c r="H297" s="209">
        <v>20001057</v>
      </c>
      <c r="I297" s="209">
        <v>2</v>
      </c>
      <c r="J297" s="209" t="s">
        <v>169</v>
      </c>
      <c r="K297" s="209" t="s">
        <v>629</v>
      </c>
      <c r="L297" s="209" t="s">
        <v>171</v>
      </c>
      <c r="M297" s="209" t="s">
        <v>184</v>
      </c>
      <c r="N297" s="209">
        <v>50035183</v>
      </c>
      <c r="O297" s="209" t="s">
        <v>215</v>
      </c>
      <c r="P297" s="209">
        <v>5121</v>
      </c>
      <c r="Q297" s="209" t="s">
        <v>174</v>
      </c>
      <c r="R297" s="209" t="s">
        <v>175</v>
      </c>
      <c r="S297" s="209" t="s">
        <v>176</v>
      </c>
      <c r="T297" s="209" t="s">
        <v>177</v>
      </c>
      <c r="U297" s="209" t="s">
        <v>178</v>
      </c>
      <c r="V297" s="209" t="s">
        <v>179</v>
      </c>
      <c r="W297" s="209" t="s">
        <v>179</v>
      </c>
      <c r="X297" s="209" t="s">
        <v>180</v>
      </c>
      <c r="Y297" s="209" t="s">
        <v>180</v>
      </c>
      <c r="Z297" s="209">
        <v>9521066899</v>
      </c>
      <c r="AA297" s="209" t="s">
        <v>630</v>
      </c>
      <c r="AB297" s="209" t="s">
        <v>180</v>
      </c>
      <c r="AC297" s="209" t="s">
        <v>182</v>
      </c>
      <c r="AD297" s="209">
        <v>11</v>
      </c>
      <c r="AE297" s="209">
        <v>2024</v>
      </c>
      <c r="AF297" s="227">
        <v>45602</v>
      </c>
      <c r="AG297" s="227">
        <v>45603</v>
      </c>
      <c r="AH297" s="227">
        <v>45603</v>
      </c>
      <c r="AI297" s="228">
        <v>98496</v>
      </c>
      <c r="AJ297" s="228">
        <v>12</v>
      </c>
      <c r="AK297" s="228">
        <v>98496</v>
      </c>
      <c r="AL297" s="228">
        <v>12</v>
      </c>
      <c r="AM297" s="228">
        <v>0</v>
      </c>
      <c r="AN297" s="228">
        <v>0</v>
      </c>
      <c r="AO297" s="229">
        <v>45</v>
      </c>
      <c r="AP297" s="231">
        <v>11</v>
      </c>
      <c r="AQ297" s="231">
        <v>2024</v>
      </c>
      <c r="AR297" s="231" t="str">
        <f t="shared" si="40"/>
        <v>11/2024</v>
      </c>
      <c r="AS297" s="231">
        <f t="shared" si="41"/>
        <v>46.6</v>
      </c>
      <c r="AT297" s="239">
        <f>IF(G297="CERVECERIA Y MALTERIA",(AS297*AK297/1000000)*(1-VLOOKUP(N297,FCST!D:I,6,FALSE)),0)</f>
        <v>4.5899136000000009</v>
      </c>
      <c r="AU297" s="232">
        <v>5.0000000000000001E-3</v>
      </c>
      <c r="AV297" s="239">
        <f t="shared" si="42"/>
        <v>4.6128631680000005</v>
      </c>
      <c r="AW297" s="239">
        <f>(AS297*AK297/1000000)*(VLOOKUP(N297,FCST!D:I,6,FALSE))</f>
        <v>0</v>
      </c>
      <c r="AX297" s="239">
        <f t="shared" si="43"/>
        <v>0</v>
      </c>
      <c r="AY297" s="239">
        <f>IF($G297="CERVECERIA Y MALTERIA.",($AS297*$AK297/1000000)*(1-VLOOKUP($N297,FCST!D:I,6,FALSE)),0)</f>
        <v>0</v>
      </c>
      <c r="AZ297" s="239">
        <f t="shared" si="44"/>
        <v>0</v>
      </c>
    </row>
    <row r="298" spans="1:52" x14ac:dyDescent="0.25">
      <c r="A298" s="209">
        <v>1084176</v>
      </c>
      <c r="B298" s="209">
        <v>30</v>
      </c>
      <c r="C298" s="209">
        <v>89308588</v>
      </c>
      <c r="D298" s="209">
        <v>30</v>
      </c>
      <c r="E298" s="209">
        <v>10000002</v>
      </c>
      <c r="F298" s="209">
        <v>20001057</v>
      </c>
      <c r="G298" s="209" t="s">
        <v>105</v>
      </c>
      <c r="H298" s="209">
        <v>20001057</v>
      </c>
      <c r="I298" s="209">
        <v>2</v>
      </c>
      <c r="J298" s="209" t="s">
        <v>169</v>
      </c>
      <c r="K298" s="209" t="s">
        <v>629</v>
      </c>
      <c r="L298" s="209" t="s">
        <v>171</v>
      </c>
      <c r="M298" s="209" t="s">
        <v>184</v>
      </c>
      <c r="N298" s="209">
        <v>50034574</v>
      </c>
      <c r="O298" s="209" t="s">
        <v>196</v>
      </c>
      <c r="P298" s="209">
        <v>5121</v>
      </c>
      <c r="Q298" s="209" t="s">
        <v>174</v>
      </c>
      <c r="R298" s="209" t="s">
        <v>175</v>
      </c>
      <c r="S298" s="209" t="s">
        <v>176</v>
      </c>
      <c r="T298" s="209" t="s">
        <v>177</v>
      </c>
      <c r="U298" s="209" t="s">
        <v>178</v>
      </c>
      <c r="V298" s="209" t="s">
        <v>179</v>
      </c>
      <c r="W298" s="209" t="s">
        <v>179</v>
      </c>
      <c r="X298" s="209" t="s">
        <v>180</v>
      </c>
      <c r="Y298" s="209" t="s">
        <v>180</v>
      </c>
      <c r="Z298" s="209">
        <v>9521066899</v>
      </c>
      <c r="AA298" s="209" t="s">
        <v>630</v>
      </c>
      <c r="AB298" s="209" t="s">
        <v>180</v>
      </c>
      <c r="AC298" s="209" t="s">
        <v>182</v>
      </c>
      <c r="AD298" s="209">
        <v>11</v>
      </c>
      <c r="AE298" s="209">
        <v>2024</v>
      </c>
      <c r="AF298" s="227">
        <v>45602</v>
      </c>
      <c r="AG298" s="227">
        <v>45603</v>
      </c>
      <c r="AH298" s="227">
        <v>45603</v>
      </c>
      <c r="AI298" s="228">
        <v>563760</v>
      </c>
      <c r="AJ298" s="228">
        <v>30</v>
      </c>
      <c r="AK298" s="228">
        <v>563760</v>
      </c>
      <c r="AL298" s="228">
        <v>30</v>
      </c>
      <c r="AM298" s="228">
        <v>0</v>
      </c>
      <c r="AN298" s="228">
        <v>0</v>
      </c>
      <c r="AO298" s="229">
        <v>45</v>
      </c>
      <c r="AP298" s="231">
        <v>11</v>
      </c>
      <c r="AQ298" s="231">
        <v>2024</v>
      </c>
      <c r="AR298" s="231" t="str">
        <f t="shared" si="40"/>
        <v>11/2024</v>
      </c>
      <c r="AS298" s="231">
        <f t="shared" si="41"/>
        <v>19.5</v>
      </c>
      <c r="AT298" s="239">
        <f>IF(G298="CERVECERIA Y MALTERIA",(AS298*AK298/1000000)*(1-VLOOKUP(N298,FCST!D:I,6,FALSE)),0)</f>
        <v>10.993320000000001</v>
      </c>
      <c r="AU298" s="232">
        <v>5.0000000000000001E-3</v>
      </c>
      <c r="AV298" s="239">
        <f t="shared" si="42"/>
        <v>11.048286599999999</v>
      </c>
      <c r="AW298" s="239">
        <f>(AS298*AK298/1000000)*(VLOOKUP(N298,FCST!D:I,6,FALSE))</f>
        <v>0</v>
      </c>
      <c r="AX298" s="239">
        <f t="shared" si="43"/>
        <v>0</v>
      </c>
      <c r="AY298" s="239">
        <f>IF($G298="CERVECERIA Y MALTERIA.",($AS298*$AK298/1000000)*(1-VLOOKUP($N298,FCST!D:I,6,FALSE)),0)</f>
        <v>0</v>
      </c>
      <c r="AZ298" s="239">
        <f t="shared" si="44"/>
        <v>0</v>
      </c>
    </row>
    <row r="299" spans="1:52" x14ac:dyDescent="0.25">
      <c r="A299" s="209">
        <v>1083623</v>
      </c>
      <c r="B299" s="209">
        <v>20</v>
      </c>
      <c r="C299" s="209">
        <v>89307368</v>
      </c>
      <c r="D299" s="209">
        <v>10</v>
      </c>
      <c r="E299" s="209">
        <v>10000002</v>
      </c>
      <c r="F299" s="209">
        <v>20000337</v>
      </c>
      <c r="G299" s="209" t="s">
        <v>105</v>
      </c>
      <c r="H299" s="209">
        <v>20000337</v>
      </c>
      <c r="I299" s="209">
        <v>2</v>
      </c>
      <c r="J299" s="209" t="s">
        <v>169</v>
      </c>
      <c r="K299" s="209" t="s">
        <v>631</v>
      </c>
      <c r="L299" s="209" t="s">
        <v>171</v>
      </c>
      <c r="M299" s="209" t="s">
        <v>199</v>
      </c>
      <c r="N299" s="209">
        <v>50034616</v>
      </c>
      <c r="O299" s="209" t="s">
        <v>191</v>
      </c>
      <c r="P299" s="209">
        <v>5121</v>
      </c>
      <c r="Q299" s="209" t="s">
        <v>200</v>
      </c>
      <c r="R299" s="209" t="s">
        <v>201</v>
      </c>
      <c r="S299" s="209" t="s">
        <v>202</v>
      </c>
      <c r="T299" s="209" t="s">
        <v>203</v>
      </c>
      <c r="U299" s="209" t="s">
        <v>201</v>
      </c>
      <c r="V299" s="209" t="s">
        <v>179</v>
      </c>
      <c r="W299" s="209" t="s">
        <v>179</v>
      </c>
      <c r="X299" s="209" t="s">
        <v>180</v>
      </c>
      <c r="Y299" s="209" t="s">
        <v>180</v>
      </c>
      <c r="Z299" s="209">
        <v>9521066891</v>
      </c>
      <c r="AA299" s="209" t="s">
        <v>623</v>
      </c>
      <c r="AB299" s="209" t="s">
        <v>180</v>
      </c>
      <c r="AC299" s="209" t="s">
        <v>182</v>
      </c>
      <c r="AD299" s="209">
        <v>11</v>
      </c>
      <c r="AE299" s="209">
        <v>2024</v>
      </c>
      <c r="AF299" s="227">
        <v>45600</v>
      </c>
      <c r="AG299" s="227">
        <v>45602</v>
      </c>
      <c r="AH299" s="227">
        <v>45602</v>
      </c>
      <c r="AI299" s="228">
        <v>426816</v>
      </c>
      <c r="AJ299" s="228">
        <v>52</v>
      </c>
      <c r="AK299" s="228">
        <v>426816</v>
      </c>
      <c r="AL299" s="228">
        <v>52</v>
      </c>
      <c r="AM299" s="228">
        <v>0</v>
      </c>
      <c r="AN299" s="228">
        <v>0</v>
      </c>
      <c r="AO299" s="229">
        <v>45</v>
      </c>
      <c r="AP299" s="231">
        <v>11</v>
      </c>
      <c r="AQ299" s="231">
        <v>2024</v>
      </c>
      <c r="AR299" s="231" t="str">
        <f t="shared" si="40"/>
        <v>11/2024</v>
      </c>
      <c r="AS299" s="231">
        <f t="shared" si="41"/>
        <v>46.6</v>
      </c>
      <c r="AT299" s="239">
        <f>IF(G299="CERVECERIA Y MALTERIA",(AS299*AK299/1000000)*(1-VLOOKUP(N299,FCST!D:I,6,FALSE)),0)</f>
        <v>19.889625600000002</v>
      </c>
      <c r="AU299" s="232">
        <v>5.0000000000000001E-3</v>
      </c>
      <c r="AV299" s="239">
        <f t="shared" si="42"/>
        <v>19.989073728000001</v>
      </c>
      <c r="AW299" s="239">
        <f>(AS299*AK299/1000000)*(VLOOKUP(N299,FCST!D:I,6,FALSE))</f>
        <v>0</v>
      </c>
      <c r="AX299" s="239">
        <f t="shared" si="43"/>
        <v>0</v>
      </c>
      <c r="AY299" s="239">
        <f>IF($G299="CERVECERIA Y MALTERIA.",($AS299*$AK299/1000000)*(1-VLOOKUP($N299,FCST!D:I,6,FALSE)),0)</f>
        <v>0</v>
      </c>
      <c r="AZ299" s="239">
        <f t="shared" si="44"/>
        <v>0</v>
      </c>
    </row>
    <row r="300" spans="1:52" x14ac:dyDescent="0.25">
      <c r="A300" s="209">
        <v>1083379</v>
      </c>
      <c r="B300" s="209">
        <v>60</v>
      </c>
      <c r="C300" s="209">
        <v>89307450</v>
      </c>
      <c r="D300" s="209">
        <v>10</v>
      </c>
      <c r="E300" s="209">
        <v>10000002</v>
      </c>
      <c r="F300" s="209">
        <v>20000335</v>
      </c>
      <c r="G300" s="209" t="s">
        <v>105</v>
      </c>
      <c r="H300" s="209">
        <v>20000335</v>
      </c>
      <c r="I300" s="209">
        <v>2</v>
      </c>
      <c r="J300" s="209" t="s">
        <v>169</v>
      </c>
      <c r="K300" s="209" t="s">
        <v>632</v>
      </c>
      <c r="L300" s="209" t="s">
        <v>171</v>
      </c>
      <c r="M300" s="209" t="s">
        <v>199</v>
      </c>
      <c r="N300" s="209">
        <v>50034616</v>
      </c>
      <c r="O300" s="209" t="s">
        <v>191</v>
      </c>
      <c r="P300" s="209">
        <v>5121</v>
      </c>
      <c r="Q300" s="209" t="s">
        <v>200</v>
      </c>
      <c r="R300" s="209" t="s">
        <v>201</v>
      </c>
      <c r="S300" s="209" t="s">
        <v>202</v>
      </c>
      <c r="T300" s="209" t="s">
        <v>203</v>
      </c>
      <c r="U300" s="209" t="s">
        <v>201</v>
      </c>
      <c r="V300" s="209" t="s">
        <v>179</v>
      </c>
      <c r="W300" s="209" t="s">
        <v>179</v>
      </c>
      <c r="X300" s="209" t="s">
        <v>180</v>
      </c>
      <c r="Y300" s="209" t="s">
        <v>180</v>
      </c>
      <c r="Z300" s="209">
        <v>9521066882</v>
      </c>
      <c r="AA300" s="209" t="s">
        <v>567</v>
      </c>
      <c r="AB300" s="209" t="s">
        <v>180</v>
      </c>
      <c r="AC300" s="209" t="s">
        <v>182</v>
      </c>
      <c r="AD300" s="209">
        <v>11</v>
      </c>
      <c r="AE300" s="209">
        <v>2024</v>
      </c>
      <c r="AF300" s="227">
        <v>45597</v>
      </c>
      <c r="AG300" s="227">
        <v>45602</v>
      </c>
      <c r="AH300" s="227">
        <v>45602</v>
      </c>
      <c r="AI300" s="228">
        <v>426816</v>
      </c>
      <c r="AJ300" s="228">
        <v>52</v>
      </c>
      <c r="AK300" s="228">
        <v>426816</v>
      </c>
      <c r="AL300" s="228">
        <v>52</v>
      </c>
      <c r="AM300" s="228">
        <v>0</v>
      </c>
      <c r="AN300" s="228">
        <v>0</v>
      </c>
      <c r="AO300" s="229">
        <v>45</v>
      </c>
      <c r="AP300" s="231">
        <v>11</v>
      </c>
      <c r="AQ300" s="231">
        <v>2024</v>
      </c>
      <c r="AR300" s="231" t="str">
        <f t="shared" si="40"/>
        <v>11/2024</v>
      </c>
      <c r="AS300" s="231">
        <f t="shared" si="41"/>
        <v>46.6</v>
      </c>
      <c r="AT300" s="239">
        <f>IF(G300="CERVECERIA Y MALTERIA",(AS300*AK300/1000000)*(1-VLOOKUP(N300,FCST!D:I,6,FALSE)),0)</f>
        <v>19.889625600000002</v>
      </c>
      <c r="AU300" s="232">
        <v>5.0000000000000001E-3</v>
      </c>
      <c r="AV300" s="239">
        <f t="shared" si="42"/>
        <v>19.989073728000001</v>
      </c>
      <c r="AW300" s="239">
        <f>(AS300*AK300/1000000)*(VLOOKUP(N300,FCST!D:I,6,FALSE))</f>
        <v>0</v>
      </c>
      <c r="AX300" s="239">
        <f t="shared" si="43"/>
        <v>0</v>
      </c>
      <c r="AY300" s="239">
        <f>IF($G300="CERVECERIA Y MALTERIA.",($AS300*$AK300/1000000)*(1-VLOOKUP($N300,FCST!D:I,6,FALSE)),0)</f>
        <v>0</v>
      </c>
      <c r="AZ300" s="239">
        <f t="shared" si="44"/>
        <v>0</v>
      </c>
    </row>
    <row r="301" spans="1:52" x14ac:dyDescent="0.25">
      <c r="A301" s="209">
        <v>1083622</v>
      </c>
      <c r="B301" s="209">
        <v>10</v>
      </c>
      <c r="C301" s="209">
        <v>89307523</v>
      </c>
      <c r="D301" s="209">
        <v>10</v>
      </c>
      <c r="E301" s="209">
        <v>10000002</v>
      </c>
      <c r="F301" s="209">
        <v>20000336</v>
      </c>
      <c r="G301" s="209" t="s">
        <v>105</v>
      </c>
      <c r="H301" s="209">
        <v>20000336</v>
      </c>
      <c r="I301" s="209">
        <v>2</v>
      </c>
      <c r="J301" s="209" t="s">
        <v>169</v>
      </c>
      <c r="K301" s="209" t="s">
        <v>633</v>
      </c>
      <c r="L301" s="209" t="s">
        <v>171</v>
      </c>
      <c r="M301" s="209" t="s">
        <v>184</v>
      </c>
      <c r="N301" s="209">
        <v>50033268</v>
      </c>
      <c r="O301" s="209" t="s">
        <v>253</v>
      </c>
      <c r="P301" s="209">
        <v>5121</v>
      </c>
      <c r="Q301" s="209" t="s">
        <v>174</v>
      </c>
      <c r="R301" s="209" t="s">
        <v>175</v>
      </c>
      <c r="S301" s="209" t="s">
        <v>176</v>
      </c>
      <c r="T301" s="209" t="s">
        <v>177</v>
      </c>
      <c r="U301" s="209" t="s">
        <v>178</v>
      </c>
      <c r="V301" s="209" t="s">
        <v>179</v>
      </c>
      <c r="W301" s="209" t="s">
        <v>179</v>
      </c>
      <c r="X301" s="209" t="s">
        <v>180</v>
      </c>
      <c r="Y301" s="209" t="s">
        <v>180</v>
      </c>
      <c r="Z301" s="209">
        <v>9521066895</v>
      </c>
      <c r="AA301" s="209" t="s">
        <v>634</v>
      </c>
      <c r="AB301" s="209" t="s">
        <v>180</v>
      </c>
      <c r="AC301" s="209" t="s">
        <v>182</v>
      </c>
      <c r="AD301" s="209">
        <v>11</v>
      </c>
      <c r="AE301" s="209">
        <v>2024</v>
      </c>
      <c r="AF301" s="227">
        <v>45600</v>
      </c>
      <c r="AG301" s="227">
        <v>45602</v>
      </c>
      <c r="AH301" s="227">
        <v>45602</v>
      </c>
      <c r="AI301" s="228">
        <v>195600</v>
      </c>
      <c r="AJ301" s="228">
        <v>25</v>
      </c>
      <c r="AK301" s="228">
        <v>195600</v>
      </c>
      <c r="AL301" s="228">
        <v>25</v>
      </c>
      <c r="AM301" s="228">
        <v>0</v>
      </c>
      <c r="AN301" s="228">
        <v>0</v>
      </c>
      <c r="AO301" s="229">
        <v>45</v>
      </c>
      <c r="AP301" s="231">
        <v>11</v>
      </c>
      <c r="AQ301" s="231">
        <v>2024</v>
      </c>
      <c r="AR301" s="231" t="str">
        <f t="shared" si="40"/>
        <v>11/2024</v>
      </c>
      <c r="AS301" s="231">
        <f t="shared" si="41"/>
        <v>44</v>
      </c>
      <c r="AT301" s="239">
        <f>IF(G301="CERVECERIA Y MALTERIA",(AS301*AK301/1000000)*(1-VLOOKUP(N301,FCST!D:I,6,FALSE)),0)</f>
        <v>8.6064000000000007</v>
      </c>
      <c r="AU301" s="232">
        <v>5.0000000000000001E-3</v>
      </c>
      <c r="AV301" s="239">
        <f t="shared" si="42"/>
        <v>8.6494319999999991</v>
      </c>
      <c r="AW301" s="239">
        <f>(AS301*AK301/1000000)*(VLOOKUP(N301,FCST!D:I,6,FALSE))</f>
        <v>0</v>
      </c>
      <c r="AX301" s="239">
        <f t="shared" si="43"/>
        <v>0</v>
      </c>
      <c r="AY301" s="239">
        <f>IF($G301="CERVECERIA Y MALTERIA.",($AS301*$AK301/1000000)*(1-VLOOKUP($N301,FCST!D:I,6,FALSE)),0)</f>
        <v>0</v>
      </c>
      <c r="AZ301" s="239">
        <f t="shared" si="44"/>
        <v>0</v>
      </c>
    </row>
    <row r="302" spans="1:52" x14ac:dyDescent="0.25">
      <c r="A302" s="209">
        <v>1083622</v>
      </c>
      <c r="B302" s="209">
        <v>20</v>
      </c>
      <c r="C302" s="209">
        <v>89307523</v>
      </c>
      <c r="D302" s="209">
        <v>20</v>
      </c>
      <c r="E302" s="209">
        <v>10000002</v>
      </c>
      <c r="F302" s="209">
        <v>20000336</v>
      </c>
      <c r="G302" s="209" t="s">
        <v>105</v>
      </c>
      <c r="H302" s="209">
        <v>20000336</v>
      </c>
      <c r="I302" s="209">
        <v>2</v>
      </c>
      <c r="J302" s="209" t="s">
        <v>169</v>
      </c>
      <c r="K302" s="209" t="s">
        <v>633</v>
      </c>
      <c r="L302" s="209" t="s">
        <v>171</v>
      </c>
      <c r="M302" s="209" t="s">
        <v>184</v>
      </c>
      <c r="N302" s="209">
        <v>50034194</v>
      </c>
      <c r="O302" s="209" t="s">
        <v>276</v>
      </c>
      <c r="P302" s="209">
        <v>5121</v>
      </c>
      <c r="Q302" s="209" t="s">
        <v>174</v>
      </c>
      <c r="R302" s="209" t="s">
        <v>175</v>
      </c>
      <c r="S302" s="209" t="s">
        <v>176</v>
      </c>
      <c r="T302" s="209" t="s">
        <v>177</v>
      </c>
      <c r="U302" s="209" t="s">
        <v>178</v>
      </c>
      <c r="V302" s="209" t="s">
        <v>179</v>
      </c>
      <c r="W302" s="209" t="s">
        <v>179</v>
      </c>
      <c r="X302" s="209" t="s">
        <v>180</v>
      </c>
      <c r="Y302" s="209" t="s">
        <v>180</v>
      </c>
      <c r="Z302" s="209">
        <v>9521066895</v>
      </c>
      <c r="AA302" s="209" t="s">
        <v>634</v>
      </c>
      <c r="AB302" s="209" t="s">
        <v>180</v>
      </c>
      <c r="AC302" s="209" t="s">
        <v>182</v>
      </c>
      <c r="AD302" s="209">
        <v>11</v>
      </c>
      <c r="AE302" s="209">
        <v>2024</v>
      </c>
      <c r="AF302" s="227">
        <v>45600</v>
      </c>
      <c r="AG302" s="227">
        <v>45602</v>
      </c>
      <c r="AH302" s="227">
        <v>45602</v>
      </c>
      <c r="AI302" s="228">
        <v>164592</v>
      </c>
      <c r="AJ302" s="228">
        <v>27</v>
      </c>
      <c r="AK302" s="228">
        <v>164592</v>
      </c>
      <c r="AL302" s="228">
        <v>27</v>
      </c>
      <c r="AM302" s="228">
        <v>0</v>
      </c>
      <c r="AN302" s="228">
        <v>0</v>
      </c>
      <c r="AO302" s="229">
        <v>45</v>
      </c>
      <c r="AP302" s="231">
        <v>11</v>
      </c>
      <c r="AQ302" s="231">
        <v>2024</v>
      </c>
      <c r="AR302" s="231" t="str">
        <f t="shared" si="40"/>
        <v>11/2024</v>
      </c>
      <c r="AS302" s="231">
        <f t="shared" si="41"/>
        <v>62</v>
      </c>
      <c r="AT302" s="239">
        <f>IF(G302="CERVECERIA Y MALTERIA",(AS302*AK302/1000000)*(1-VLOOKUP(N302,FCST!D:I,6,FALSE)),0)</f>
        <v>10.204704</v>
      </c>
      <c r="AU302" s="232">
        <v>5.0000000000000001E-3</v>
      </c>
      <c r="AV302" s="239">
        <f t="shared" si="42"/>
        <v>10.255727519999999</v>
      </c>
      <c r="AW302" s="239">
        <f>(AS302*AK302/1000000)*(VLOOKUP(N302,FCST!D:I,6,FALSE))</f>
        <v>0</v>
      </c>
      <c r="AX302" s="239">
        <f t="shared" si="43"/>
        <v>0</v>
      </c>
      <c r="AY302" s="239">
        <f>IF($G302="CERVECERIA Y MALTERIA.",($AS302*$AK302/1000000)*(1-VLOOKUP($N302,FCST!D:I,6,FALSE)),0)</f>
        <v>0</v>
      </c>
      <c r="AZ302" s="239">
        <f t="shared" si="44"/>
        <v>0</v>
      </c>
    </row>
    <row r="303" spans="1:52" x14ac:dyDescent="0.25">
      <c r="A303" s="209">
        <v>1083622</v>
      </c>
      <c r="B303" s="209">
        <v>30</v>
      </c>
      <c r="C303" s="209">
        <v>89307529</v>
      </c>
      <c r="D303" s="209">
        <v>10</v>
      </c>
      <c r="E303" s="209">
        <v>10000002</v>
      </c>
      <c r="F303" s="209">
        <v>20000336</v>
      </c>
      <c r="G303" s="209" t="s">
        <v>105</v>
      </c>
      <c r="H303" s="209">
        <v>20000336</v>
      </c>
      <c r="I303" s="209">
        <v>2</v>
      </c>
      <c r="J303" s="209" t="s">
        <v>169</v>
      </c>
      <c r="K303" s="209" t="s">
        <v>635</v>
      </c>
      <c r="L303" s="209" t="s">
        <v>171</v>
      </c>
      <c r="M303" s="209" t="s">
        <v>184</v>
      </c>
      <c r="N303" s="209">
        <v>50034194</v>
      </c>
      <c r="O303" s="209" t="s">
        <v>276</v>
      </c>
      <c r="P303" s="209">
        <v>5121</v>
      </c>
      <c r="Q303" s="209" t="s">
        <v>174</v>
      </c>
      <c r="R303" s="209" t="s">
        <v>175</v>
      </c>
      <c r="S303" s="209" t="s">
        <v>176</v>
      </c>
      <c r="T303" s="209" t="s">
        <v>177</v>
      </c>
      <c r="U303" s="209" t="s">
        <v>178</v>
      </c>
      <c r="V303" s="209" t="s">
        <v>179</v>
      </c>
      <c r="W303" s="209" t="s">
        <v>179</v>
      </c>
      <c r="X303" s="209" t="s">
        <v>180</v>
      </c>
      <c r="Y303" s="209" t="s">
        <v>180</v>
      </c>
      <c r="Z303" s="209">
        <v>9521066887</v>
      </c>
      <c r="AA303" s="209" t="s">
        <v>569</v>
      </c>
      <c r="AB303" s="209" t="s">
        <v>180</v>
      </c>
      <c r="AC303" s="209" t="s">
        <v>182</v>
      </c>
      <c r="AD303" s="209">
        <v>11</v>
      </c>
      <c r="AE303" s="209">
        <v>2024</v>
      </c>
      <c r="AF303" s="227">
        <v>45600</v>
      </c>
      <c r="AG303" s="227">
        <v>45602</v>
      </c>
      <c r="AH303" s="227">
        <v>45602</v>
      </c>
      <c r="AI303" s="228">
        <v>316992</v>
      </c>
      <c r="AJ303" s="228">
        <v>52</v>
      </c>
      <c r="AK303" s="228">
        <v>316992</v>
      </c>
      <c r="AL303" s="228">
        <v>52</v>
      </c>
      <c r="AM303" s="228">
        <v>0</v>
      </c>
      <c r="AN303" s="228">
        <v>0</v>
      </c>
      <c r="AO303" s="229">
        <v>45</v>
      </c>
      <c r="AP303" s="231">
        <v>11</v>
      </c>
      <c r="AQ303" s="231">
        <v>2024</v>
      </c>
      <c r="AR303" s="231" t="str">
        <f t="shared" si="40"/>
        <v>11/2024</v>
      </c>
      <c r="AS303" s="231">
        <f t="shared" si="41"/>
        <v>62</v>
      </c>
      <c r="AT303" s="239">
        <f>IF(G303="CERVECERIA Y MALTERIA",(AS303*AK303/1000000)*(1-VLOOKUP(N303,FCST!D:I,6,FALSE)),0)</f>
        <v>19.653504000000002</v>
      </c>
      <c r="AU303" s="232">
        <v>5.0000000000000001E-3</v>
      </c>
      <c r="AV303" s="239">
        <f t="shared" si="42"/>
        <v>19.751771519999998</v>
      </c>
      <c r="AW303" s="239">
        <f>(AS303*AK303/1000000)*(VLOOKUP(N303,FCST!D:I,6,FALSE))</f>
        <v>0</v>
      </c>
      <c r="AX303" s="239">
        <f t="shared" si="43"/>
        <v>0</v>
      </c>
      <c r="AY303" s="239">
        <f>IF($G303="CERVECERIA Y MALTERIA.",($AS303*$AK303/1000000)*(1-VLOOKUP($N303,FCST!D:I,6,FALSE)),0)</f>
        <v>0</v>
      </c>
      <c r="AZ303" s="239">
        <f t="shared" si="44"/>
        <v>0</v>
      </c>
    </row>
    <row r="304" spans="1:52" x14ac:dyDescent="0.25">
      <c r="A304" s="209">
        <v>1083382</v>
      </c>
      <c r="B304" s="209">
        <v>60</v>
      </c>
      <c r="C304" s="209">
        <v>89307938</v>
      </c>
      <c r="D304" s="209">
        <v>10</v>
      </c>
      <c r="E304" s="209">
        <v>10000002</v>
      </c>
      <c r="F304" s="209">
        <v>20000340</v>
      </c>
      <c r="G304" s="209" t="s">
        <v>117</v>
      </c>
      <c r="H304" s="209">
        <v>20000340</v>
      </c>
      <c r="I304" s="209">
        <v>2</v>
      </c>
      <c r="J304" s="209" t="s">
        <v>169</v>
      </c>
      <c r="K304" s="209" t="s">
        <v>636</v>
      </c>
      <c r="L304" s="209" t="s">
        <v>171</v>
      </c>
      <c r="M304" s="209" t="s">
        <v>172</v>
      </c>
      <c r="N304" s="209">
        <v>50029817</v>
      </c>
      <c r="O304" s="209" t="s">
        <v>396</v>
      </c>
      <c r="P304" s="209">
        <v>5101</v>
      </c>
      <c r="Q304" s="209" t="s">
        <v>186</v>
      </c>
      <c r="R304" s="209" t="s">
        <v>175</v>
      </c>
      <c r="S304" s="209" t="s">
        <v>176</v>
      </c>
      <c r="T304" s="209" t="s">
        <v>187</v>
      </c>
      <c r="U304" s="209" t="s">
        <v>188</v>
      </c>
      <c r="V304" s="209" t="s">
        <v>179</v>
      </c>
      <c r="W304" s="209" t="s">
        <v>179</v>
      </c>
      <c r="X304" s="209" t="s">
        <v>180</v>
      </c>
      <c r="Y304" s="209" t="s">
        <v>180</v>
      </c>
      <c r="Z304" s="209">
        <v>9511047126</v>
      </c>
      <c r="AA304" s="209" t="s">
        <v>583</v>
      </c>
      <c r="AB304" s="209" t="s">
        <v>180</v>
      </c>
      <c r="AC304" s="209" t="s">
        <v>182</v>
      </c>
      <c r="AD304" s="209">
        <v>11</v>
      </c>
      <c r="AE304" s="209">
        <v>2024</v>
      </c>
      <c r="AF304" s="227">
        <v>45597</v>
      </c>
      <c r="AG304" s="227">
        <v>45603</v>
      </c>
      <c r="AH304" s="227">
        <v>45603</v>
      </c>
      <c r="AI304" s="228">
        <v>606528</v>
      </c>
      <c r="AJ304" s="228">
        <v>52</v>
      </c>
      <c r="AK304" s="228">
        <v>606528</v>
      </c>
      <c r="AL304" s="228">
        <v>52</v>
      </c>
      <c r="AM304" s="228">
        <v>0</v>
      </c>
      <c r="AN304" s="228">
        <v>0</v>
      </c>
      <c r="AO304" s="229">
        <v>45</v>
      </c>
      <c r="AP304" s="231">
        <v>11</v>
      </c>
      <c r="AQ304" s="231">
        <v>2024</v>
      </c>
      <c r="AR304" s="231" t="str">
        <f t="shared" si="40"/>
        <v>11/2024</v>
      </c>
      <c r="AS304" s="231">
        <f t="shared" si="41"/>
        <v>30</v>
      </c>
      <c r="AT304" s="239">
        <f>IF(G304="CERVECERIA Y MALTERIA",(AS304*AK304/1000000)*(1-VLOOKUP(N304,FCST!D:I,6,FALSE)),0)</f>
        <v>0</v>
      </c>
      <c r="AU304" s="232">
        <v>5.0000000000000001E-3</v>
      </c>
      <c r="AV304" s="239">
        <f t="shared" si="42"/>
        <v>0</v>
      </c>
      <c r="AW304" s="239">
        <f>(AS304*AK304/1000000)*(VLOOKUP(N304,FCST!D:I,6,FALSE))</f>
        <v>5.4587519999999996</v>
      </c>
      <c r="AX304" s="239">
        <f t="shared" si="43"/>
        <v>5.4860457599999988</v>
      </c>
      <c r="AY304" s="239">
        <f>IF($G304="CERVECERIA Y MALTERIA.",($AS304*$AK304/1000000)*(1-VLOOKUP($N304,FCST!D:I,6,FALSE)),0)</f>
        <v>12.737088</v>
      </c>
      <c r="AZ304" s="239">
        <f t="shared" si="44"/>
        <v>12.800773439999999</v>
      </c>
    </row>
    <row r="305" spans="1:52" x14ac:dyDescent="0.25">
      <c r="A305" s="209">
        <v>1082591</v>
      </c>
      <c r="B305" s="209">
        <v>10</v>
      </c>
      <c r="C305" s="209">
        <v>89304655</v>
      </c>
      <c r="D305" s="209">
        <v>10</v>
      </c>
      <c r="E305" s="209">
        <v>10000002</v>
      </c>
      <c r="F305" s="209">
        <v>20001057</v>
      </c>
      <c r="G305" s="209" t="s">
        <v>105</v>
      </c>
      <c r="H305" s="209">
        <v>20001057</v>
      </c>
      <c r="I305" s="209">
        <v>2</v>
      </c>
      <c r="J305" s="209" t="s">
        <v>169</v>
      </c>
      <c r="K305" s="209" t="s">
        <v>637</v>
      </c>
      <c r="L305" s="209" t="s">
        <v>171</v>
      </c>
      <c r="M305" s="209" t="s">
        <v>184</v>
      </c>
      <c r="N305" s="209">
        <v>50034616</v>
      </c>
      <c r="O305" s="209" t="s">
        <v>191</v>
      </c>
      <c r="P305" s="209">
        <v>5121</v>
      </c>
      <c r="Q305" s="209" t="s">
        <v>174</v>
      </c>
      <c r="R305" s="209" t="s">
        <v>175</v>
      </c>
      <c r="S305" s="209" t="s">
        <v>176</v>
      </c>
      <c r="T305" s="209" t="s">
        <v>177</v>
      </c>
      <c r="U305" s="209" t="s">
        <v>178</v>
      </c>
      <c r="V305" s="209" t="s">
        <v>179</v>
      </c>
      <c r="W305" s="209" t="s">
        <v>179</v>
      </c>
      <c r="X305" s="209" t="s">
        <v>180</v>
      </c>
      <c r="Y305" s="209" t="s">
        <v>180</v>
      </c>
      <c r="Z305" s="209">
        <v>9521066903</v>
      </c>
      <c r="AA305" s="209" t="s">
        <v>602</v>
      </c>
      <c r="AB305" s="209" t="s">
        <v>180</v>
      </c>
      <c r="AC305" s="209" t="s">
        <v>182</v>
      </c>
      <c r="AD305" s="209">
        <v>10</v>
      </c>
      <c r="AE305" s="209">
        <v>2024</v>
      </c>
      <c r="AF305" s="227">
        <v>45594</v>
      </c>
      <c r="AG305" s="227">
        <v>45597</v>
      </c>
      <c r="AH305" s="227">
        <v>45598</v>
      </c>
      <c r="AI305" s="228">
        <v>426816</v>
      </c>
      <c r="AJ305" s="228">
        <v>52</v>
      </c>
      <c r="AK305" s="228">
        <v>426816</v>
      </c>
      <c r="AL305" s="228">
        <v>52</v>
      </c>
      <c r="AM305" s="228">
        <v>0</v>
      </c>
      <c r="AN305" s="228">
        <v>0</v>
      </c>
      <c r="AO305" s="229">
        <v>44</v>
      </c>
      <c r="AP305" s="231">
        <v>11</v>
      </c>
      <c r="AQ305" s="231">
        <v>2024</v>
      </c>
      <c r="AR305" s="231" t="str">
        <f t="shared" si="40"/>
        <v>11/2024</v>
      </c>
      <c r="AS305" s="231">
        <f t="shared" si="41"/>
        <v>46.6</v>
      </c>
      <c r="AT305" s="239">
        <f>IF(G305="CERVECERIA Y MALTERIA",(AS305*AK305/1000000)*(1-VLOOKUP(N305,FCST!D:I,6,FALSE)),0)</f>
        <v>19.889625600000002</v>
      </c>
      <c r="AU305" s="232">
        <v>5.0000000000000001E-3</v>
      </c>
      <c r="AV305" s="239">
        <f t="shared" si="42"/>
        <v>19.989073728000001</v>
      </c>
      <c r="AW305" s="239">
        <f>(AS305*AK305/1000000)*(VLOOKUP(N305,FCST!D:I,6,FALSE))</f>
        <v>0</v>
      </c>
      <c r="AX305" s="239">
        <f t="shared" si="43"/>
        <v>0</v>
      </c>
      <c r="AY305" s="239">
        <f>IF($G305="CERVECERIA Y MALTERIA.",($AS305*$AK305/1000000)*(1-VLOOKUP($N305,FCST!D:I,6,FALSE)),0)</f>
        <v>0</v>
      </c>
      <c r="AZ305" s="239">
        <f t="shared" si="44"/>
        <v>0</v>
      </c>
    </row>
    <row r="306" spans="1:52" x14ac:dyDescent="0.25">
      <c r="A306" s="209">
        <v>1083382</v>
      </c>
      <c r="B306" s="209">
        <v>20</v>
      </c>
      <c r="C306" s="209">
        <v>89304981</v>
      </c>
      <c r="D306" s="209">
        <v>10</v>
      </c>
      <c r="E306" s="209">
        <v>10000002</v>
      </c>
      <c r="F306" s="209">
        <v>20000340</v>
      </c>
      <c r="G306" s="209" t="s">
        <v>117</v>
      </c>
      <c r="H306" s="209">
        <v>20000340</v>
      </c>
      <c r="I306" s="209">
        <v>2</v>
      </c>
      <c r="J306" s="209" t="s">
        <v>169</v>
      </c>
      <c r="K306" s="209" t="s">
        <v>638</v>
      </c>
      <c r="L306" s="209" t="s">
        <v>171</v>
      </c>
      <c r="M306" s="209" t="s">
        <v>172</v>
      </c>
      <c r="N306" s="209">
        <v>50029817</v>
      </c>
      <c r="O306" s="209" t="s">
        <v>396</v>
      </c>
      <c r="P306" s="209">
        <v>5101</v>
      </c>
      <c r="Q306" s="209" t="s">
        <v>186</v>
      </c>
      <c r="R306" s="209" t="s">
        <v>175</v>
      </c>
      <c r="S306" s="209" t="s">
        <v>176</v>
      </c>
      <c r="T306" s="209" t="s">
        <v>187</v>
      </c>
      <c r="U306" s="209" t="s">
        <v>188</v>
      </c>
      <c r="V306" s="209" t="s">
        <v>179</v>
      </c>
      <c r="W306" s="209" t="s">
        <v>179</v>
      </c>
      <c r="X306" s="209" t="s">
        <v>180</v>
      </c>
      <c r="Y306" s="209" t="s">
        <v>180</v>
      </c>
      <c r="Z306" s="209">
        <v>9511047126</v>
      </c>
      <c r="AA306" s="209" t="s">
        <v>583</v>
      </c>
      <c r="AB306" s="209" t="s">
        <v>180</v>
      </c>
      <c r="AC306" s="209" t="s">
        <v>182</v>
      </c>
      <c r="AD306" s="209">
        <v>11</v>
      </c>
      <c r="AE306" s="209">
        <v>2024</v>
      </c>
      <c r="AF306" s="227">
        <v>45597</v>
      </c>
      <c r="AG306" s="227">
        <v>45600</v>
      </c>
      <c r="AH306" s="227">
        <v>45600</v>
      </c>
      <c r="AI306" s="228">
        <v>606528</v>
      </c>
      <c r="AJ306" s="228">
        <v>52</v>
      </c>
      <c r="AK306" s="228">
        <v>606528</v>
      </c>
      <c r="AL306" s="228">
        <v>52</v>
      </c>
      <c r="AM306" s="228">
        <v>0</v>
      </c>
      <c r="AN306" s="228">
        <v>0</v>
      </c>
      <c r="AO306" s="229">
        <v>45</v>
      </c>
      <c r="AP306" s="231">
        <v>11</v>
      </c>
      <c r="AQ306" s="231">
        <v>2024</v>
      </c>
      <c r="AR306" s="231" t="str">
        <f t="shared" si="40"/>
        <v>11/2024</v>
      </c>
      <c r="AS306" s="231">
        <f t="shared" si="41"/>
        <v>30</v>
      </c>
      <c r="AT306" s="239">
        <f>IF(G306="CERVECERIA Y MALTERIA",(AS306*AK306/1000000)*(1-VLOOKUP(N306,FCST!D:I,6,FALSE)),0)</f>
        <v>0</v>
      </c>
      <c r="AU306" s="232">
        <v>5.0000000000000001E-3</v>
      </c>
      <c r="AV306" s="239">
        <f t="shared" si="42"/>
        <v>0</v>
      </c>
      <c r="AW306" s="239">
        <f>(AS306*AK306/1000000)*(VLOOKUP(N306,FCST!D:I,6,FALSE))</f>
        <v>5.4587519999999996</v>
      </c>
      <c r="AX306" s="239">
        <f t="shared" si="43"/>
        <v>5.4860457599999988</v>
      </c>
      <c r="AY306" s="239">
        <f>IF($G306="CERVECERIA Y MALTERIA.",($AS306*$AK306/1000000)*(1-VLOOKUP($N306,FCST!D:I,6,FALSE)),0)</f>
        <v>12.737088</v>
      </c>
      <c r="AZ306" s="239">
        <f t="shared" si="44"/>
        <v>12.800773439999999</v>
      </c>
    </row>
    <row r="307" spans="1:52" x14ac:dyDescent="0.25">
      <c r="A307" s="209">
        <v>1083382</v>
      </c>
      <c r="B307" s="209">
        <v>10</v>
      </c>
      <c r="C307" s="209">
        <v>89304987</v>
      </c>
      <c r="D307" s="209">
        <v>10</v>
      </c>
      <c r="E307" s="209">
        <v>10000002</v>
      </c>
      <c r="F307" s="209">
        <v>20000340</v>
      </c>
      <c r="G307" s="209" t="s">
        <v>117</v>
      </c>
      <c r="H307" s="209">
        <v>20000340</v>
      </c>
      <c r="I307" s="209">
        <v>2</v>
      </c>
      <c r="J307" s="209" t="s">
        <v>169</v>
      </c>
      <c r="K307" s="209" t="s">
        <v>639</v>
      </c>
      <c r="L307" s="209" t="s">
        <v>171</v>
      </c>
      <c r="M307" s="209" t="s">
        <v>172</v>
      </c>
      <c r="N307" s="209">
        <v>50029817</v>
      </c>
      <c r="O307" s="209" t="s">
        <v>396</v>
      </c>
      <c r="P307" s="209">
        <v>5101</v>
      </c>
      <c r="Q307" s="209" t="s">
        <v>186</v>
      </c>
      <c r="R307" s="209" t="s">
        <v>175</v>
      </c>
      <c r="S307" s="209" t="s">
        <v>176</v>
      </c>
      <c r="T307" s="209" t="s">
        <v>187</v>
      </c>
      <c r="U307" s="209" t="s">
        <v>188</v>
      </c>
      <c r="V307" s="209" t="s">
        <v>179</v>
      </c>
      <c r="W307" s="209" t="s">
        <v>179</v>
      </c>
      <c r="X307" s="209" t="s">
        <v>180</v>
      </c>
      <c r="Y307" s="209" t="s">
        <v>180</v>
      </c>
      <c r="Z307" s="209">
        <v>9511047126</v>
      </c>
      <c r="AA307" s="209" t="s">
        <v>583</v>
      </c>
      <c r="AB307" s="209" t="s">
        <v>180</v>
      </c>
      <c r="AC307" s="209" t="s">
        <v>182</v>
      </c>
      <c r="AD307" s="209">
        <v>11</v>
      </c>
      <c r="AE307" s="209">
        <v>2024</v>
      </c>
      <c r="AF307" s="227">
        <v>45597</v>
      </c>
      <c r="AG307" s="227">
        <v>45600</v>
      </c>
      <c r="AH307" s="227">
        <v>45600</v>
      </c>
      <c r="AI307" s="228">
        <v>606528</v>
      </c>
      <c r="AJ307" s="228">
        <v>52</v>
      </c>
      <c r="AK307" s="228">
        <v>606528</v>
      </c>
      <c r="AL307" s="228">
        <v>52</v>
      </c>
      <c r="AM307" s="228">
        <v>0</v>
      </c>
      <c r="AN307" s="228">
        <v>0</v>
      </c>
      <c r="AO307" s="229">
        <v>45</v>
      </c>
      <c r="AP307" s="231">
        <v>11</v>
      </c>
      <c r="AQ307" s="231">
        <v>2024</v>
      </c>
      <c r="AR307" s="231" t="str">
        <f t="shared" si="40"/>
        <v>11/2024</v>
      </c>
      <c r="AS307" s="231">
        <f t="shared" si="41"/>
        <v>30</v>
      </c>
      <c r="AT307" s="239">
        <f>IF(G307="CERVECERIA Y MALTERIA",(AS307*AK307/1000000)*(1-VLOOKUP(N307,FCST!D:I,6,FALSE)),0)</f>
        <v>0</v>
      </c>
      <c r="AU307" s="232">
        <v>5.0000000000000001E-3</v>
      </c>
      <c r="AV307" s="239">
        <f t="shared" si="42"/>
        <v>0</v>
      </c>
      <c r="AW307" s="239">
        <f>(AS307*AK307/1000000)*(VLOOKUP(N307,FCST!D:I,6,FALSE))</f>
        <v>5.4587519999999996</v>
      </c>
      <c r="AX307" s="239">
        <f t="shared" si="43"/>
        <v>5.4860457599999988</v>
      </c>
      <c r="AY307" s="239">
        <f>IF($G307="CERVECERIA Y MALTERIA.",($AS307*$AK307/1000000)*(1-VLOOKUP($N307,FCST!D:I,6,FALSE)),0)</f>
        <v>12.737088</v>
      </c>
      <c r="AZ307" s="239">
        <f t="shared" si="44"/>
        <v>12.800773439999999</v>
      </c>
    </row>
    <row r="308" spans="1:52" x14ac:dyDescent="0.25">
      <c r="A308" s="209">
        <v>1083379</v>
      </c>
      <c r="B308" s="209">
        <v>10</v>
      </c>
      <c r="C308" s="209">
        <v>89305000</v>
      </c>
      <c r="D308" s="209">
        <v>10</v>
      </c>
      <c r="E308" s="209">
        <v>10000002</v>
      </c>
      <c r="F308" s="209">
        <v>20000335</v>
      </c>
      <c r="G308" s="209" t="s">
        <v>105</v>
      </c>
      <c r="H308" s="209">
        <v>20000335</v>
      </c>
      <c r="I308" s="209">
        <v>2</v>
      </c>
      <c r="J308" s="209" t="s">
        <v>169</v>
      </c>
      <c r="K308" s="209" t="s">
        <v>640</v>
      </c>
      <c r="L308" s="209" t="s">
        <v>171</v>
      </c>
      <c r="M308" s="209" t="s">
        <v>172</v>
      </c>
      <c r="N308" s="209">
        <v>50032573</v>
      </c>
      <c r="O308" s="209" t="s">
        <v>173</v>
      </c>
      <c r="P308" s="209">
        <v>5121</v>
      </c>
      <c r="Q308" s="209" t="s">
        <v>174</v>
      </c>
      <c r="R308" s="209" t="s">
        <v>175</v>
      </c>
      <c r="S308" s="209" t="s">
        <v>176</v>
      </c>
      <c r="T308" s="209" t="s">
        <v>177</v>
      </c>
      <c r="U308" s="209" t="s">
        <v>178</v>
      </c>
      <c r="V308" s="209" t="s">
        <v>179</v>
      </c>
      <c r="W308" s="209" t="s">
        <v>179</v>
      </c>
      <c r="X308" s="209" t="s">
        <v>180</v>
      </c>
      <c r="Y308" s="209" t="s">
        <v>180</v>
      </c>
      <c r="Z308" s="209">
        <v>9521066881</v>
      </c>
      <c r="AA308" s="209" t="s">
        <v>548</v>
      </c>
      <c r="AB308" s="209" t="s">
        <v>180</v>
      </c>
      <c r="AC308" s="209" t="s">
        <v>182</v>
      </c>
      <c r="AD308" s="209">
        <v>11</v>
      </c>
      <c r="AE308" s="209">
        <v>2024</v>
      </c>
      <c r="AF308" s="227">
        <v>45597</v>
      </c>
      <c r="AG308" s="227">
        <v>45600</v>
      </c>
      <c r="AH308" s="227">
        <v>45600</v>
      </c>
      <c r="AI308" s="228">
        <v>531648</v>
      </c>
      <c r="AJ308" s="228">
        <v>52</v>
      </c>
      <c r="AK308" s="228">
        <v>531648</v>
      </c>
      <c r="AL308" s="228">
        <v>52</v>
      </c>
      <c r="AM308" s="228">
        <v>0</v>
      </c>
      <c r="AN308" s="228">
        <v>0</v>
      </c>
      <c r="AO308" s="229">
        <v>45</v>
      </c>
      <c r="AP308" s="231">
        <v>11</v>
      </c>
      <c r="AQ308" s="231">
        <v>2024</v>
      </c>
      <c r="AR308" s="231" t="str">
        <f t="shared" si="40"/>
        <v>11/2024</v>
      </c>
      <c r="AS308" s="231">
        <f t="shared" si="41"/>
        <v>37.200000000000003</v>
      </c>
      <c r="AT308" s="239">
        <f>IF(G308="CERVECERIA Y MALTERIA",(AS308*AK308/1000000)*(1-VLOOKUP(N308,FCST!D:I,6,FALSE)),0)</f>
        <v>19.777305600000002</v>
      </c>
      <c r="AU308" s="232">
        <v>5.0000000000000001E-3</v>
      </c>
      <c r="AV308" s="239">
        <f t="shared" si="42"/>
        <v>19.876192128</v>
      </c>
      <c r="AW308" s="239">
        <f>(AS308*AK308/1000000)*(VLOOKUP(N308,FCST!D:I,6,FALSE))</f>
        <v>0</v>
      </c>
      <c r="AX308" s="239">
        <f t="shared" si="43"/>
        <v>0</v>
      </c>
      <c r="AY308" s="239">
        <f>IF($G308="CERVECERIA Y MALTERIA.",($AS308*$AK308/1000000)*(1-VLOOKUP($N308,FCST!D:I,6,FALSE)),0)</f>
        <v>0</v>
      </c>
      <c r="AZ308" s="239">
        <f t="shared" si="44"/>
        <v>0</v>
      </c>
    </row>
    <row r="309" spans="1:52" x14ac:dyDescent="0.25">
      <c r="A309" s="209">
        <v>1081829</v>
      </c>
      <c r="B309" s="209">
        <v>40</v>
      </c>
      <c r="C309" s="209">
        <v>89303910</v>
      </c>
      <c r="D309" s="209">
        <v>10</v>
      </c>
      <c r="E309" s="209">
        <v>10000002</v>
      </c>
      <c r="F309" s="209">
        <v>20000340</v>
      </c>
      <c r="G309" s="209" t="s">
        <v>117</v>
      </c>
      <c r="H309" s="209">
        <v>20000340</v>
      </c>
      <c r="I309" s="209">
        <v>2</v>
      </c>
      <c r="J309" s="209" t="s">
        <v>169</v>
      </c>
      <c r="K309" s="209" t="s">
        <v>641</v>
      </c>
      <c r="L309" s="209" t="s">
        <v>171</v>
      </c>
      <c r="M309" s="209" t="s">
        <v>184</v>
      </c>
      <c r="N309" s="209">
        <v>50036718</v>
      </c>
      <c r="O309" s="209" t="s">
        <v>259</v>
      </c>
      <c r="P309" s="209">
        <v>5101</v>
      </c>
      <c r="Q309" s="209" t="s">
        <v>186</v>
      </c>
      <c r="R309" s="209" t="s">
        <v>175</v>
      </c>
      <c r="S309" s="209" t="s">
        <v>176</v>
      </c>
      <c r="T309" s="209" t="s">
        <v>187</v>
      </c>
      <c r="U309" s="209" t="s">
        <v>188</v>
      </c>
      <c r="V309" s="209" t="s">
        <v>179</v>
      </c>
      <c r="W309" s="209" t="s">
        <v>179</v>
      </c>
      <c r="X309" s="209" t="s">
        <v>180</v>
      </c>
      <c r="Y309" s="209" t="s">
        <v>180</v>
      </c>
      <c r="Z309" s="209">
        <v>9511047127</v>
      </c>
      <c r="AA309" s="209" t="s">
        <v>552</v>
      </c>
      <c r="AB309" s="209" t="s">
        <v>180</v>
      </c>
      <c r="AC309" s="209" t="s">
        <v>182</v>
      </c>
      <c r="AD309" s="209">
        <v>10</v>
      </c>
      <c r="AE309" s="209">
        <v>2024</v>
      </c>
      <c r="AF309" s="227">
        <v>45590</v>
      </c>
      <c r="AG309" s="227">
        <v>45597</v>
      </c>
      <c r="AH309" s="227">
        <v>45597</v>
      </c>
      <c r="AI309" s="228">
        <v>519168</v>
      </c>
      <c r="AJ309" s="228">
        <v>52</v>
      </c>
      <c r="AK309" s="228">
        <v>519168</v>
      </c>
      <c r="AL309" s="228">
        <v>52</v>
      </c>
      <c r="AM309" s="228">
        <v>0</v>
      </c>
      <c r="AN309" s="228">
        <v>0</v>
      </c>
      <c r="AO309" s="229">
        <v>44</v>
      </c>
      <c r="AP309" s="231">
        <v>11</v>
      </c>
      <c r="AQ309" s="231">
        <v>2024</v>
      </c>
      <c r="AR309" s="231" t="str">
        <f t="shared" si="40"/>
        <v>11/2024</v>
      </c>
      <c r="AS309" s="231">
        <f t="shared" si="41"/>
        <v>34</v>
      </c>
      <c r="AT309" s="239">
        <f>IF(G309="CERVECERIA Y MALTERIA",(AS309*AK309/1000000)*(1-VLOOKUP(N309,FCST!D:I,6,FALSE)),0)</f>
        <v>0</v>
      </c>
      <c r="AU309" s="232">
        <v>5.0000000000000001E-3</v>
      </c>
      <c r="AV309" s="239">
        <f t="shared" si="42"/>
        <v>0</v>
      </c>
      <c r="AW309" s="239">
        <f>(AS309*AK309/1000000)*(VLOOKUP(N309,FCST!D:I,6,FALSE))</f>
        <v>0</v>
      </c>
      <c r="AX309" s="239">
        <f t="shared" si="43"/>
        <v>0</v>
      </c>
      <c r="AY309" s="239">
        <f>IF($G309="CERVECERIA Y MALTERIA.",($AS309*$AK309/1000000)*(1-VLOOKUP($N309,FCST!D:I,6,FALSE)),0)</f>
        <v>17.651712</v>
      </c>
      <c r="AZ309" s="239">
        <f t="shared" si="44"/>
        <v>17.73997056</v>
      </c>
    </row>
    <row r="310" spans="1:52" x14ac:dyDescent="0.25">
      <c r="A310" s="209">
        <v>1081827</v>
      </c>
      <c r="B310" s="209">
        <v>80</v>
      </c>
      <c r="C310" s="209">
        <v>89303914</v>
      </c>
      <c r="D310" s="209">
        <v>10</v>
      </c>
      <c r="E310" s="209">
        <v>10000002</v>
      </c>
      <c r="F310" s="209">
        <v>20000335</v>
      </c>
      <c r="G310" s="209" t="s">
        <v>105</v>
      </c>
      <c r="H310" s="209">
        <v>20000335</v>
      </c>
      <c r="I310" s="209">
        <v>2</v>
      </c>
      <c r="J310" s="209" t="s">
        <v>169</v>
      </c>
      <c r="K310" s="209" t="s">
        <v>642</v>
      </c>
      <c r="L310" s="209" t="s">
        <v>171</v>
      </c>
      <c r="M310" s="209" t="s">
        <v>184</v>
      </c>
      <c r="N310" s="209">
        <v>50035183</v>
      </c>
      <c r="O310" s="209" t="s">
        <v>215</v>
      </c>
      <c r="P310" s="209">
        <v>5121</v>
      </c>
      <c r="Q310" s="209" t="s">
        <v>174</v>
      </c>
      <c r="R310" s="209" t="s">
        <v>175</v>
      </c>
      <c r="S310" s="209" t="s">
        <v>176</v>
      </c>
      <c r="T310" s="209" t="s">
        <v>177</v>
      </c>
      <c r="U310" s="209" t="s">
        <v>178</v>
      </c>
      <c r="V310" s="209" t="s">
        <v>179</v>
      </c>
      <c r="W310" s="209" t="s">
        <v>179</v>
      </c>
      <c r="X310" s="209" t="s">
        <v>180</v>
      </c>
      <c r="Y310" s="209" t="s">
        <v>180</v>
      </c>
      <c r="Z310" s="209">
        <v>9521066886</v>
      </c>
      <c r="AA310" s="209" t="s">
        <v>643</v>
      </c>
      <c r="AB310" s="209" t="s">
        <v>180</v>
      </c>
      <c r="AC310" s="209" t="s">
        <v>182</v>
      </c>
      <c r="AD310" s="209">
        <v>10</v>
      </c>
      <c r="AE310" s="209">
        <v>2024</v>
      </c>
      <c r="AF310" s="227">
        <v>45590</v>
      </c>
      <c r="AG310" s="227">
        <v>45597</v>
      </c>
      <c r="AH310" s="227">
        <v>45597</v>
      </c>
      <c r="AI310" s="228">
        <v>426816</v>
      </c>
      <c r="AJ310" s="228">
        <v>52</v>
      </c>
      <c r="AK310" s="228">
        <v>426816</v>
      </c>
      <c r="AL310" s="228">
        <v>52</v>
      </c>
      <c r="AM310" s="228">
        <v>0</v>
      </c>
      <c r="AN310" s="228">
        <v>0</v>
      </c>
      <c r="AO310" s="229">
        <v>44</v>
      </c>
      <c r="AP310" s="231">
        <v>11</v>
      </c>
      <c r="AQ310" s="231">
        <v>2024</v>
      </c>
      <c r="AR310" s="231" t="str">
        <f t="shared" si="40"/>
        <v>11/2024</v>
      </c>
      <c r="AS310" s="231">
        <f t="shared" si="41"/>
        <v>46.6</v>
      </c>
      <c r="AT310" s="239">
        <f>IF(G310="CERVECERIA Y MALTERIA",(AS310*AK310/1000000)*(1-VLOOKUP(N310,FCST!D:I,6,FALSE)),0)</f>
        <v>19.889625600000002</v>
      </c>
      <c r="AU310" s="232">
        <v>5.0000000000000001E-3</v>
      </c>
      <c r="AV310" s="239">
        <f t="shared" si="42"/>
        <v>19.989073728000001</v>
      </c>
      <c r="AW310" s="239">
        <f>(AS310*AK310/1000000)*(VLOOKUP(N310,FCST!D:I,6,FALSE))</f>
        <v>0</v>
      </c>
      <c r="AX310" s="239">
        <f t="shared" si="43"/>
        <v>0</v>
      </c>
      <c r="AY310" s="239">
        <f>IF($G310="CERVECERIA Y MALTERIA.",($AS310*$AK310/1000000)*(1-VLOOKUP($N310,FCST!D:I,6,FALSE)),0)</f>
        <v>0</v>
      </c>
      <c r="AZ310" s="239">
        <f t="shared" si="44"/>
        <v>0</v>
      </c>
    </row>
    <row r="311" spans="1:52" x14ac:dyDescent="0.25">
      <c r="A311" s="209">
        <v>1081827</v>
      </c>
      <c r="B311" s="209">
        <v>90</v>
      </c>
      <c r="C311" s="209">
        <v>89303919</v>
      </c>
      <c r="D311" s="209">
        <v>10</v>
      </c>
      <c r="E311" s="209">
        <v>10000002</v>
      </c>
      <c r="F311" s="209">
        <v>20000335</v>
      </c>
      <c r="G311" s="209" t="s">
        <v>105</v>
      </c>
      <c r="H311" s="209">
        <v>20000335</v>
      </c>
      <c r="I311" s="209">
        <v>2</v>
      </c>
      <c r="J311" s="209" t="s">
        <v>169</v>
      </c>
      <c r="K311" s="209" t="s">
        <v>644</v>
      </c>
      <c r="L311" s="209" t="s">
        <v>171</v>
      </c>
      <c r="M311" s="209" t="s">
        <v>184</v>
      </c>
      <c r="N311" s="209">
        <v>50032573</v>
      </c>
      <c r="O311" s="209" t="s">
        <v>173</v>
      </c>
      <c r="P311" s="209">
        <v>5121</v>
      </c>
      <c r="Q311" s="209" t="s">
        <v>174</v>
      </c>
      <c r="R311" s="209" t="s">
        <v>175</v>
      </c>
      <c r="S311" s="209" t="s">
        <v>176</v>
      </c>
      <c r="T311" s="209" t="s">
        <v>177</v>
      </c>
      <c r="U311" s="209" t="s">
        <v>178</v>
      </c>
      <c r="V311" s="209" t="s">
        <v>179</v>
      </c>
      <c r="W311" s="209" t="s">
        <v>179</v>
      </c>
      <c r="X311" s="209" t="s">
        <v>180</v>
      </c>
      <c r="Y311" s="209" t="s">
        <v>180</v>
      </c>
      <c r="Z311" s="209">
        <v>9521066881</v>
      </c>
      <c r="AA311" s="209" t="s">
        <v>548</v>
      </c>
      <c r="AB311" s="209" t="s">
        <v>180</v>
      </c>
      <c r="AC311" s="209" t="s">
        <v>182</v>
      </c>
      <c r="AD311" s="209">
        <v>10</v>
      </c>
      <c r="AE311" s="209">
        <v>2024</v>
      </c>
      <c r="AF311" s="227">
        <v>45590</v>
      </c>
      <c r="AG311" s="227">
        <v>45597</v>
      </c>
      <c r="AH311" s="227">
        <v>45597</v>
      </c>
      <c r="AI311" s="228">
        <v>531648</v>
      </c>
      <c r="AJ311" s="228">
        <v>52</v>
      </c>
      <c r="AK311" s="228">
        <v>531648</v>
      </c>
      <c r="AL311" s="228">
        <v>52</v>
      </c>
      <c r="AM311" s="228">
        <v>0</v>
      </c>
      <c r="AN311" s="228">
        <v>0</v>
      </c>
      <c r="AO311" s="229">
        <v>44</v>
      </c>
      <c r="AP311" s="231">
        <v>11</v>
      </c>
      <c r="AQ311" s="231">
        <v>2024</v>
      </c>
      <c r="AR311" s="231" t="str">
        <f t="shared" si="40"/>
        <v>11/2024</v>
      </c>
      <c r="AS311" s="231">
        <f t="shared" si="41"/>
        <v>37.200000000000003</v>
      </c>
      <c r="AT311" s="239">
        <f>IF(G311="CERVECERIA Y MALTERIA",(AS311*AK311/1000000)*(1-VLOOKUP(N311,FCST!D:I,6,FALSE)),0)</f>
        <v>19.777305600000002</v>
      </c>
      <c r="AU311" s="232">
        <v>5.0000000000000001E-3</v>
      </c>
      <c r="AV311" s="239">
        <f t="shared" si="42"/>
        <v>19.876192128</v>
      </c>
      <c r="AW311" s="239">
        <f>(AS311*AK311/1000000)*(VLOOKUP(N311,FCST!D:I,6,FALSE))</f>
        <v>0</v>
      </c>
      <c r="AX311" s="239">
        <f t="shared" si="43"/>
        <v>0</v>
      </c>
      <c r="AY311" s="239">
        <f>IF($G311="CERVECERIA Y MALTERIA.",($AS311*$AK311/1000000)*(1-VLOOKUP($N311,FCST!D:I,6,FALSE)),0)</f>
        <v>0</v>
      </c>
      <c r="AZ311" s="239">
        <f t="shared" si="44"/>
        <v>0</v>
      </c>
    </row>
    <row r="312" spans="1:52" x14ac:dyDescent="0.25">
      <c r="A312" s="209">
        <v>1082947</v>
      </c>
      <c r="B312" s="209">
        <v>10</v>
      </c>
      <c r="C312" s="209">
        <v>89304163</v>
      </c>
      <c r="D312" s="209">
        <v>10</v>
      </c>
      <c r="E312" s="209">
        <v>10000002</v>
      </c>
      <c r="F312" s="209">
        <v>20000339</v>
      </c>
      <c r="G312" s="209" t="s">
        <v>105</v>
      </c>
      <c r="H312" s="209">
        <v>20000339</v>
      </c>
      <c r="I312" s="209">
        <v>2</v>
      </c>
      <c r="J312" s="209" t="s">
        <v>169</v>
      </c>
      <c r="K312" s="209" t="s">
        <v>645</v>
      </c>
      <c r="L312" s="209" t="s">
        <v>171</v>
      </c>
      <c r="M312" s="209" t="s">
        <v>227</v>
      </c>
      <c r="N312" s="209">
        <v>50034634</v>
      </c>
      <c r="O312" s="209" t="s">
        <v>219</v>
      </c>
      <c r="P312" s="209">
        <v>5121</v>
      </c>
      <c r="Q312" s="209" t="s">
        <v>228</v>
      </c>
      <c r="R312" s="209" t="s">
        <v>229</v>
      </c>
      <c r="S312" s="209" t="s">
        <v>230</v>
      </c>
      <c r="T312" s="209" t="s">
        <v>231</v>
      </c>
      <c r="U312" s="209" t="s">
        <v>232</v>
      </c>
      <c r="V312" s="209" t="s">
        <v>179</v>
      </c>
      <c r="W312" s="209" t="s">
        <v>179</v>
      </c>
      <c r="X312" s="209" t="s">
        <v>180</v>
      </c>
      <c r="Y312" s="209" t="s">
        <v>180</v>
      </c>
      <c r="Z312" s="209">
        <v>9521066896</v>
      </c>
      <c r="AA312" s="209" t="s">
        <v>613</v>
      </c>
      <c r="AB312" s="209" t="s">
        <v>180</v>
      </c>
      <c r="AC312" s="209" t="s">
        <v>182</v>
      </c>
      <c r="AD312" s="209">
        <v>11</v>
      </c>
      <c r="AE312" s="209">
        <v>2024</v>
      </c>
      <c r="AF312" s="227">
        <v>45596</v>
      </c>
      <c r="AG312" s="227">
        <v>45597</v>
      </c>
      <c r="AH312" s="227">
        <v>45597</v>
      </c>
      <c r="AI312" s="228">
        <v>364416</v>
      </c>
      <c r="AJ312" s="228">
        <v>52</v>
      </c>
      <c r="AK312" s="228">
        <v>364416</v>
      </c>
      <c r="AL312" s="228">
        <v>52</v>
      </c>
      <c r="AM312" s="228">
        <v>0</v>
      </c>
      <c r="AN312" s="228">
        <v>0</v>
      </c>
      <c r="AO312" s="229">
        <v>44</v>
      </c>
      <c r="AP312" s="231">
        <v>11</v>
      </c>
      <c r="AQ312" s="231">
        <v>2024</v>
      </c>
      <c r="AR312" s="231" t="str">
        <f t="shared" si="40"/>
        <v>11/2024</v>
      </c>
      <c r="AS312" s="231">
        <f t="shared" si="41"/>
        <v>52</v>
      </c>
      <c r="AT312" s="239">
        <f>IF(G312="CERVECERIA Y MALTERIA",(AS312*AK312/1000000)*(1-VLOOKUP(N312,FCST!D:I,6,FALSE)),0)</f>
        <v>18.949632000000001</v>
      </c>
      <c r="AU312" s="232">
        <v>5.0000000000000001E-3</v>
      </c>
      <c r="AV312" s="239">
        <f t="shared" si="42"/>
        <v>19.044380159999999</v>
      </c>
      <c r="AW312" s="239">
        <f>(AS312*AK312/1000000)*(VLOOKUP(N312,FCST!D:I,6,FALSE))</f>
        <v>0</v>
      </c>
      <c r="AX312" s="239">
        <f t="shared" si="43"/>
        <v>0</v>
      </c>
      <c r="AY312" s="239">
        <f>IF($G312="CERVECERIA Y MALTERIA.",($AS312*$AK312/1000000)*(1-VLOOKUP($N312,FCST!D:I,6,FALSE)),0)</f>
        <v>0</v>
      </c>
      <c r="AZ312" s="239">
        <f t="shared" si="44"/>
        <v>0</v>
      </c>
    </row>
    <row r="313" spans="1:52" x14ac:dyDescent="0.25">
      <c r="A313" s="209">
        <v>1083379</v>
      </c>
      <c r="B313" s="209">
        <v>20</v>
      </c>
      <c r="C313" s="209">
        <v>89305179</v>
      </c>
      <c r="D313" s="209">
        <v>10</v>
      </c>
      <c r="E313" s="209">
        <v>10000002</v>
      </c>
      <c r="F313" s="209">
        <v>20000335</v>
      </c>
      <c r="G313" s="209" t="s">
        <v>105</v>
      </c>
      <c r="H313" s="209">
        <v>20000335</v>
      </c>
      <c r="I313" s="209">
        <v>2</v>
      </c>
      <c r="J313" s="209" t="s">
        <v>169</v>
      </c>
      <c r="K313" s="209" t="s">
        <v>646</v>
      </c>
      <c r="L313" s="209" t="s">
        <v>171</v>
      </c>
      <c r="M313" s="209" t="s">
        <v>199</v>
      </c>
      <c r="N313" s="209">
        <v>50034616</v>
      </c>
      <c r="O313" s="209" t="s">
        <v>191</v>
      </c>
      <c r="P313" s="209">
        <v>5121</v>
      </c>
      <c r="Q313" s="209" t="s">
        <v>200</v>
      </c>
      <c r="R313" s="209" t="s">
        <v>201</v>
      </c>
      <c r="S313" s="209" t="s">
        <v>202</v>
      </c>
      <c r="T313" s="209" t="s">
        <v>203</v>
      </c>
      <c r="U313" s="209" t="s">
        <v>201</v>
      </c>
      <c r="V313" s="209" t="s">
        <v>179</v>
      </c>
      <c r="W313" s="209" t="s">
        <v>179</v>
      </c>
      <c r="X313" s="209" t="s">
        <v>180</v>
      </c>
      <c r="Y313" s="209" t="s">
        <v>180</v>
      </c>
      <c r="Z313" s="209">
        <v>9521066882</v>
      </c>
      <c r="AA313" s="209" t="s">
        <v>567</v>
      </c>
      <c r="AB313" s="209" t="s">
        <v>180</v>
      </c>
      <c r="AC313" s="209" t="s">
        <v>182</v>
      </c>
      <c r="AD313" s="209">
        <v>11</v>
      </c>
      <c r="AE313" s="209">
        <v>2024</v>
      </c>
      <c r="AF313" s="227">
        <v>45597</v>
      </c>
      <c r="AG313" s="227">
        <v>45600</v>
      </c>
      <c r="AH313" s="227">
        <v>45600</v>
      </c>
      <c r="AI313" s="228">
        <v>426816</v>
      </c>
      <c r="AJ313" s="228">
        <v>52</v>
      </c>
      <c r="AK313" s="228">
        <v>426816</v>
      </c>
      <c r="AL313" s="228">
        <v>52</v>
      </c>
      <c r="AM313" s="228">
        <v>0</v>
      </c>
      <c r="AN313" s="228">
        <v>0</v>
      </c>
      <c r="AO313" s="229">
        <v>45</v>
      </c>
      <c r="AP313" s="231">
        <v>11</v>
      </c>
      <c r="AQ313" s="231">
        <v>2024</v>
      </c>
      <c r="AR313" s="231" t="str">
        <f t="shared" si="40"/>
        <v>11/2024</v>
      </c>
      <c r="AS313" s="231">
        <f t="shared" si="41"/>
        <v>46.6</v>
      </c>
      <c r="AT313" s="239">
        <f>IF(G313="CERVECERIA Y MALTERIA",(AS313*AK313/1000000)*(1-VLOOKUP(N313,FCST!D:I,6,FALSE)),0)</f>
        <v>19.889625600000002</v>
      </c>
      <c r="AU313" s="232">
        <v>5.0000000000000001E-3</v>
      </c>
      <c r="AV313" s="239">
        <f t="shared" si="42"/>
        <v>19.989073728000001</v>
      </c>
      <c r="AW313" s="239">
        <f>(AS313*AK313/1000000)*(VLOOKUP(N313,FCST!D:I,6,FALSE))</f>
        <v>0</v>
      </c>
      <c r="AX313" s="239">
        <f t="shared" si="43"/>
        <v>0</v>
      </c>
      <c r="AY313" s="239">
        <f>IF($G313="CERVECERIA Y MALTERIA.",($AS313*$AK313/1000000)*(1-VLOOKUP($N313,FCST!D:I,6,FALSE)),0)</f>
        <v>0</v>
      </c>
      <c r="AZ313" s="239">
        <f t="shared" si="44"/>
        <v>0</v>
      </c>
    </row>
    <row r="314" spans="1:52" x14ac:dyDescent="0.25">
      <c r="A314" s="209">
        <v>1084400</v>
      </c>
      <c r="B314" s="209">
        <v>40</v>
      </c>
      <c r="C314" s="209">
        <v>89313170</v>
      </c>
      <c r="D314" s="209">
        <v>10</v>
      </c>
      <c r="E314" s="209">
        <v>10000002</v>
      </c>
      <c r="F314" s="209">
        <v>20000340</v>
      </c>
      <c r="G314" s="209" t="s">
        <v>117</v>
      </c>
      <c r="H314" s="209">
        <v>20000340</v>
      </c>
      <c r="I314" s="209">
        <v>2</v>
      </c>
      <c r="J314" s="209" t="s">
        <v>169</v>
      </c>
      <c r="K314" s="209" t="s">
        <v>647</v>
      </c>
      <c r="L314" s="209" t="s">
        <v>171</v>
      </c>
      <c r="M314" s="209" t="s">
        <v>184</v>
      </c>
      <c r="N314" s="209">
        <v>50036718</v>
      </c>
      <c r="O314" s="209" t="s">
        <v>259</v>
      </c>
      <c r="P314" s="209">
        <v>5101</v>
      </c>
      <c r="Q314" s="209" t="s">
        <v>186</v>
      </c>
      <c r="R314" s="209" t="s">
        <v>175</v>
      </c>
      <c r="S314" s="209" t="s">
        <v>176</v>
      </c>
      <c r="T314" s="209" t="s">
        <v>187</v>
      </c>
      <c r="U314" s="209" t="s">
        <v>188</v>
      </c>
      <c r="V314" s="209" t="s">
        <v>179</v>
      </c>
      <c r="W314" s="209" t="s">
        <v>179</v>
      </c>
      <c r="X314" s="209" t="s">
        <v>180</v>
      </c>
      <c r="Y314" s="209" t="s">
        <v>180</v>
      </c>
      <c r="Z314" s="209">
        <v>9511047127</v>
      </c>
      <c r="AA314" s="209" t="s">
        <v>552</v>
      </c>
      <c r="AB314" s="209" t="s">
        <v>180</v>
      </c>
      <c r="AC314" s="209" t="s">
        <v>182</v>
      </c>
      <c r="AD314" s="209">
        <v>11</v>
      </c>
      <c r="AE314" s="209">
        <v>2024</v>
      </c>
      <c r="AF314" s="227">
        <v>45603</v>
      </c>
      <c r="AG314" s="227">
        <v>45610</v>
      </c>
      <c r="AH314" s="227">
        <v>45610</v>
      </c>
      <c r="AI314" s="228">
        <v>519168</v>
      </c>
      <c r="AJ314" s="228">
        <v>52</v>
      </c>
      <c r="AK314" s="228">
        <v>519168</v>
      </c>
      <c r="AL314" s="228">
        <v>52</v>
      </c>
      <c r="AM314" s="228">
        <v>0</v>
      </c>
      <c r="AN314" s="228">
        <v>0</v>
      </c>
      <c r="AO314" s="229">
        <v>46</v>
      </c>
      <c r="AP314" s="231">
        <v>11</v>
      </c>
      <c r="AQ314" s="231">
        <v>2024</v>
      </c>
      <c r="AR314" s="231" t="str">
        <f t="shared" si="40"/>
        <v>11/2024</v>
      </c>
      <c r="AS314" s="231">
        <f t="shared" si="41"/>
        <v>34</v>
      </c>
      <c r="AT314" s="239">
        <f>IF(G314="CERVECERIA Y MALTERIA",(AS314*AK314/1000000)*(1-VLOOKUP(N314,FCST!D:I,6,FALSE)),0)</f>
        <v>0</v>
      </c>
      <c r="AU314" s="232">
        <v>5.0000000000000001E-3</v>
      </c>
      <c r="AV314" s="239">
        <f t="shared" si="42"/>
        <v>0</v>
      </c>
      <c r="AW314" s="239">
        <f>(AS314*AK314/1000000)*(VLOOKUP(N314,FCST!D:I,6,FALSE))</f>
        <v>0</v>
      </c>
      <c r="AX314" s="239">
        <f t="shared" si="43"/>
        <v>0</v>
      </c>
      <c r="AY314" s="239">
        <f>IF($G314="CERVECERIA Y MALTERIA.",($AS314*$AK314/1000000)*(1-VLOOKUP($N314,FCST!D:I,6,FALSE)),0)</f>
        <v>17.651712</v>
      </c>
      <c r="AZ314" s="239">
        <f t="shared" si="44"/>
        <v>17.73997056</v>
      </c>
    </row>
    <row r="315" spans="1:52" x14ac:dyDescent="0.25">
      <c r="A315" s="209">
        <v>1084401</v>
      </c>
      <c r="B315" s="209">
        <v>70</v>
      </c>
      <c r="C315" s="209">
        <v>89313172</v>
      </c>
      <c r="D315" s="209">
        <v>10</v>
      </c>
      <c r="E315" s="209">
        <v>10000002</v>
      </c>
      <c r="F315" s="209">
        <v>20000335</v>
      </c>
      <c r="G315" s="209" t="s">
        <v>105</v>
      </c>
      <c r="H315" s="209">
        <v>20000335</v>
      </c>
      <c r="I315" s="209">
        <v>2</v>
      </c>
      <c r="J315" s="209" t="s">
        <v>169</v>
      </c>
      <c r="K315" s="209" t="s">
        <v>648</v>
      </c>
      <c r="L315" s="209" t="s">
        <v>171</v>
      </c>
      <c r="M315" s="209" t="s">
        <v>184</v>
      </c>
      <c r="N315" s="209">
        <v>50034574</v>
      </c>
      <c r="O315" s="209" t="s">
        <v>196</v>
      </c>
      <c r="P315" s="209">
        <v>5121</v>
      </c>
      <c r="Q315" s="209" t="s">
        <v>174</v>
      </c>
      <c r="R315" s="209" t="s">
        <v>175</v>
      </c>
      <c r="S315" s="209" t="s">
        <v>176</v>
      </c>
      <c r="T315" s="209" t="s">
        <v>177</v>
      </c>
      <c r="U315" s="209" t="s">
        <v>178</v>
      </c>
      <c r="V315" s="209" t="s">
        <v>179</v>
      </c>
      <c r="W315" s="209" t="s">
        <v>179</v>
      </c>
      <c r="X315" s="209" t="s">
        <v>180</v>
      </c>
      <c r="Y315" s="209" t="s">
        <v>180</v>
      </c>
      <c r="Z315" s="209">
        <v>9521066884</v>
      </c>
      <c r="AA315" s="209" t="s">
        <v>539</v>
      </c>
      <c r="AB315" s="209" t="s">
        <v>180</v>
      </c>
      <c r="AC315" s="209" t="s">
        <v>182</v>
      </c>
      <c r="AD315" s="209">
        <v>11</v>
      </c>
      <c r="AE315" s="209">
        <v>2024</v>
      </c>
      <c r="AF315" s="227">
        <v>45603</v>
      </c>
      <c r="AG315" s="227">
        <v>45610</v>
      </c>
      <c r="AH315" s="227">
        <v>45610</v>
      </c>
      <c r="AI315" s="228">
        <v>977184</v>
      </c>
      <c r="AJ315" s="228">
        <v>52</v>
      </c>
      <c r="AK315" s="228">
        <v>977184</v>
      </c>
      <c r="AL315" s="228">
        <v>52</v>
      </c>
      <c r="AM315" s="228">
        <v>0</v>
      </c>
      <c r="AN315" s="228">
        <v>0</v>
      </c>
      <c r="AO315" s="229">
        <v>46</v>
      </c>
      <c r="AP315" s="231">
        <v>11</v>
      </c>
      <c r="AQ315" s="231">
        <v>2024</v>
      </c>
      <c r="AR315" s="231" t="str">
        <f t="shared" si="40"/>
        <v>11/2024</v>
      </c>
      <c r="AS315" s="231">
        <f t="shared" si="41"/>
        <v>19.5</v>
      </c>
      <c r="AT315" s="239">
        <f>IF(G315="CERVECERIA Y MALTERIA",(AS315*AK315/1000000)*(1-VLOOKUP(N315,FCST!D:I,6,FALSE)),0)</f>
        <v>19.055088000000001</v>
      </c>
      <c r="AU315" s="232">
        <v>5.0000000000000001E-3</v>
      </c>
      <c r="AV315" s="239">
        <f t="shared" si="42"/>
        <v>19.15036344</v>
      </c>
      <c r="AW315" s="239">
        <f>(AS315*AK315/1000000)*(VLOOKUP(N315,FCST!D:I,6,FALSE))</f>
        <v>0</v>
      </c>
      <c r="AX315" s="239">
        <f t="shared" si="43"/>
        <v>0</v>
      </c>
      <c r="AY315" s="239">
        <f>IF($G315="CERVECERIA Y MALTERIA.",($AS315*$AK315/1000000)*(1-VLOOKUP($N315,FCST!D:I,6,FALSE)),0)</f>
        <v>0</v>
      </c>
      <c r="AZ315" s="239">
        <f t="shared" si="44"/>
        <v>0</v>
      </c>
    </row>
    <row r="316" spans="1:52" x14ac:dyDescent="0.25">
      <c r="A316" s="209">
        <v>1084714</v>
      </c>
      <c r="B316" s="209">
        <v>30</v>
      </c>
      <c r="C316" s="209">
        <v>89313289</v>
      </c>
      <c r="D316" s="209">
        <v>10</v>
      </c>
      <c r="E316" s="209">
        <v>10000002</v>
      </c>
      <c r="F316" s="209">
        <v>20000336</v>
      </c>
      <c r="G316" s="209" t="s">
        <v>105</v>
      </c>
      <c r="H316" s="209">
        <v>20000336</v>
      </c>
      <c r="I316" s="209">
        <v>2</v>
      </c>
      <c r="J316" s="209" t="s">
        <v>169</v>
      </c>
      <c r="K316" s="209" t="s">
        <v>649</v>
      </c>
      <c r="L316" s="209" t="s">
        <v>171</v>
      </c>
      <c r="M316" s="209" t="s">
        <v>227</v>
      </c>
      <c r="N316" s="209">
        <v>50034634</v>
      </c>
      <c r="O316" s="209" t="s">
        <v>219</v>
      </c>
      <c r="P316" s="209">
        <v>5121</v>
      </c>
      <c r="Q316" s="209" t="s">
        <v>228</v>
      </c>
      <c r="R316" s="209" t="s">
        <v>229</v>
      </c>
      <c r="S316" s="209" t="s">
        <v>230</v>
      </c>
      <c r="T316" s="209" t="s">
        <v>231</v>
      </c>
      <c r="U316" s="209" t="s">
        <v>232</v>
      </c>
      <c r="V316" s="209" t="s">
        <v>179</v>
      </c>
      <c r="W316" s="209" t="s">
        <v>179</v>
      </c>
      <c r="X316" s="209" t="s">
        <v>180</v>
      </c>
      <c r="Y316" s="209" t="s">
        <v>180</v>
      </c>
      <c r="Z316" s="209">
        <v>9521066888</v>
      </c>
      <c r="AA316" s="209" t="s">
        <v>557</v>
      </c>
      <c r="AB316" s="209" t="s">
        <v>180</v>
      </c>
      <c r="AC316" s="209" t="s">
        <v>182</v>
      </c>
      <c r="AD316" s="209">
        <v>11</v>
      </c>
      <c r="AE316" s="209">
        <v>2024</v>
      </c>
      <c r="AF316" s="227">
        <v>45607</v>
      </c>
      <c r="AG316" s="227">
        <v>45610</v>
      </c>
      <c r="AH316" s="227">
        <v>45610</v>
      </c>
      <c r="AI316" s="228">
        <v>364416</v>
      </c>
      <c r="AJ316" s="228">
        <v>52</v>
      </c>
      <c r="AK316" s="228">
        <v>364416</v>
      </c>
      <c r="AL316" s="228">
        <v>52</v>
      </c>
      <c r="AM316" s="228">
        <v>0</v>
      </c>
      <c r="AN316" s="228">
        <v>0</v>
      </c>
      <c r="AO316" s="229">
        <v>46</v>
      </c>
      <c r="AP316" s="231">
        <v>11</v>
      </c>
      <c r="AQ316" s="231">
        <v>2024</v>
      </c>
      <c r="AR316" s="231" t="str">
        <f t="shared" si="40"/>
        <v>11/2024</v>
      </c>
      <c r="AS316" s="231">
        <f t="shared" si="41"/>
        <v>52</v>
      </c>
      <c r="AT316" s="239">
        <f>IF(G316="CERVECERIA Y MALTERIA",(AS316*AK316/1000000)*(1-VLOOKUP(N316,FCST!D:I,6,FALSE)),0)</f>
        <v>18.949632000000001</v>
      </c>
      <c r="AU316" s="232">
        <v>5.0000000000000001E-3</v>
      </c>
      <c r="AV316" s="239">
        <f t="shared" si="42"/>
        <v>19.044380159999999</v>
      </c>
      <c r="AW316" s="239">
        <f>(AS316*AK316/1000000)*(VLOOKUP(N316,FCST!D:I,6,FALSE))</f>
        <v>0</v>
      </c>
      <c r="AX316" s="239">
        <f t="shared" si="43"/>
        <v>0</v>
      </c>
      <c r="AY316" s="239">
        <f>IF($G316="CERVECERIA Y MALTERIA.",($AS316*$AK316/1000000)*(1-VLOOKUP($N316,FCST!D:I,6,FALSE)),0)</f>
        <v>0</v>
      </c>
      <c r="AZ316" s="239">
        <f t="shared" si="44"/>
        <v>0</v>
      </c>
    </row>
    <row r="317" spans="1:52" x14ac:dyDescent="0.25">
      <c r="A317" s="209">
        <v>1084714</v>
      </c>
      <c r="B317" s="209">
        <v>40</v>
      </c>
      <c r="C317" s="209">
        <v>89313290</v>
      </c>
      <c r="D317" s="209">
        <v>10</v>
      </c>
      <c r="E317" s="209">
        <v>10000002</v>
      </c>
      <c r="F317" s="209">
        <v>20000336</v>
      </c>
      <c r="G317" s="209" t="s">
        <v>105</v>
      </c>
      <c r="H317" s="209">
        <v>20000336</v>
      </c>
      <c r="I317" s="209">
        <v>2</v>
      </c>
      <c r="J317" s="209" t="s">
        <v>169</v>
      </c>
      <c r="K317" s="209" t="s">
        <v>650</v>
      </c>
      <c r="L317" s="209" t="s">
        <v>171</v>
      </c>
      <c r="M317" s="209" t="s">
        <v>227</v>
      </c>
      <c r="N317" s="209">
        <v>50034634</v>
      </c>
      <c r="O317" s="209" t="s">
        <v>219</v>
      </c>
      <c r="P317" s="209">
        <v>5121</v>
      </c>
      <c r="Q317" s="209" t="s">
        <v>228</v>
      </c>
      <c r="R317" s="209" t="s">
        <v>229</v>
      </c>
      <c r="S317" s="209" t="s">
        <v>230</v>
      </c>
      <c r="T317" s="209" t="s">
        <v>231</v>
      </c>
      <c r="U317" s="209" t="s">
        <v>232</v>
      </c>
      <c r="V317" s="209" t="s">
        <v>179</v>
      </c>
      <c r="W317" s="209" t="s">
        <v>179</v>
      </c>
      <c r="X317" s="209" t="s">
        <v>180</v>
      </c>
      <c r="Y317" s="209" t="s">
        <v>180</v>
      </c>
      <c r="Z317" s="209">
        <v>9521066888</v>
      </c>
      <c r="AA317" s="209" t="s">
        <v>557</v>
      </c>
      <c r="AB317" s="209" t="s">
        <v>180</v>
      </c>
      <c r="AC317" s="209" t="s">
        <v>182</v>
      </c>
      <c r="AD317" s="209">
        <v>11</v>
      </c>
      <c r="AE317" s="209">
        <v>2024</v>
      </c>
      <c r="AF317" s="227">
        <v>45607</v>
      </c>
      <c r="AG317" s="227">
        <v>45610</v>
      </c>
      <c r="AH317" s="227">
        <v>45610</v>
      </c>
      <c r="AI317" s="228">
        <v>364416</v>
      </c>
      <c r="AJ317" s="228">
        <v>52</v>
      </c>
      <c r="AK317" s="228">
        <v>364416</v>
      </c>
      <c r="AL317" s="228">
        <v>52</v>
      </c>
      <c r="AM317" s="228">
        <v>0</v>
      </c>
      <c r="AN317" s="228">
        <v>0</v>
      </c>
      <c r="AO317" s="229">
        <v>46</v>
      </c>
      <c r="AP317" s="231">
        <v>11</v>
      </c>
      <c r="AQ317" s="231">
        <v>2024</v>
      </c>
      <c r="AR317" s="231" t="str">
        <f t="shared" si="40"/>
        <v>11/2024</v>
      </c>
      <c r="AS317" s="231">
        <f t="shared" si="41"/>
        <v>52</v>
      </c>
      <c r="AT317" s="239">
        <f>IF(G317="CERVECERIA Y MALTERIA",(AS317*AK317/1000000)*(1-VLOOKUP(N317,FCST!D:I,6,FALSE)),0)</f>
        <v>18.949632000000001</v>
      </c>
      <c r="AU317" s="232">
        <v>5.0000000000000001E-3</v>
      </c>
      <c r="AV317" s="239">
        <f t="shared" si="42"/>
        <v>19.044380159999999</v>
      </c>
      <c r="AW317" s="239">
        <f>(AS317*AK317/1000000)*(VLOOKUP(N317,FCST!D:I,6,FALSE))</f>
        <v>0</v>
      </c>
      <c r="AX317" s="239">
        <f t="shared" si="43"/>
        <v>0</v>
      </c>
      <c r="AY317" s="239">
        <f>IF($G317="CERVECERIA Y MALTERIA.",($AS317*$AK317/1000000)*(1-VLOOKUP($N317,FCST!D:I,6,FALSE)),0)</f>
        <v>0</v>
      </c>
      <c r="AZ317" s="239">
        <f t="shared" si="44"/>
        <v>0</v>
      </c>
    </row>
    <row r="318" spans="1:52" x14ac:dyDescent="0.25">
      <c r="A318" s="209">
        <v>1084401</v>
      </c>
      <c r="B318" s="209">
        <v>80</v>
      </c>
      <c r="C318" s="209">
        <v>89313725</v>
      </c>
      <c r="D318" s="209">
        <v>10</v>
      </c>
      <c r="E318" s="209">
        <v>10000002</v>
      </c>
      <c r="F318" s="209">
        <v>20000335</v>
      </c>
      <c r="G318" s="209" t="s">
        <v>105</v>
      </c>
      <c r="H318" s="209">
        <v>20000335</v>
      </c>
      <c r="I318" s="209">
        <v>2</v>
      </c>
      <c r="J318" s="209" t="s">
        <v>169</v>
      </c>
      <c r="K318" s="209" t="s">
        <v>651</v>
      </c>
      <c r="L318" s="209" t="s">
        <v>171</v>
      </c>
      <c r="M318" s="209" t="s">
        <v>199</v>
      </c>
      <c r="N318" s="209">
        <v>50034616</v>
      </c>
      <c r="O318" s="209" t="s">
        <v>191</v>
      </c>
      <c r="P318" s="209">
        <v>5121</v>
      </c>
      <c r="Q318" s="209" t="s">
        <v>200</v>
      </c>
      <c r="R318" s="209" t="s">
        <v>201</v>
      </c>
      <c r="S318" s="209" t="s">
        <v>202</v>
      </c>
      <c r="T318" s="209" t="s">
        <v>203</v>
      </c>
      <c r="U318" s="209" t="s">
        <v>201</v>
      </c>
      <c r="V318" s="209" t="s">
        <v>179</v>
      </c>
      <c r="W318" s="209" t="s">
        <v>179</v>
      </c>
      <c r="X318" s="209" t="s">
        <v>180</v>
      </c>
      <c r="Y318" s="209" t="s">
        <v>180</v>
      </c>
      <c r="Z318" s="209">
        <v>9521066882</v>
      </c>
      <c r="AA318" s="209" t="s">
        <v>567</v>
      </c>
      <c r="AB318" s="209" t="s">
        <v>180</v>
      </c>
      <c r="AC318" s="209" t="s">
        <v>182</v>
      </c>
      <c r="AD318" s="209">
        <v>11</v>
      </c>
      <c r="AE318" s="209">
        <v>2024</v>
      </c>
      <c r="AF318" s="227">
        <v>45603</v>
      </c>
      <c r="AG318" s="227">
        <v>45610</v>
      </c>
      <c r="AH318" s="227">
        <v>45610</v>
      </c>
      <c r="AI318" s="228">
        <v>426816</v>
      </c>
      <c r="AJ318" s="228">
        <v>52</v>
      </c>
      <c r="AK318" s="228">
        <v>426816</v>
      </c>
      <c r="AL318" s="228">
        <v>52</v>
      </c>
      <c r="AM318" s="228">
        <v>0</v>
      </c>
      <c r="AN318" s="228">
        <v>0</v>
      </c>
      <c r="AO318" s="229">
        <v>46</v>
      </c>
      <c r="AP318" s="231">
        <v>11</v>
      </c>
      <c r="AQ318" s="231">
        <v>2024</v>
      </c>
      <c r="AR318" s="231" t="str">
        <f t="shared" si="40"/>
        <v>11/2024</v>
      </c>
      <c r="AS318" s="231">
        <f t="shared" si="41"/>
        <v>46.6</v>
      </c>
      <c r="AT318" s="239">
        <f>IF(G318="CERVECERIA Y MALTERIA",(AS318*AK318/1000000)*(1-VLOOKUP(N318,FCST!D:I,6,FALSE)),0)</f>
        <v>19.889625600000002</v>
      </c>
      <c r="AU318" s="232">
        <v>5.0000000000000001E-3</v>
      </c>
      <c r="AV318" s="239">
        <f t="shared" si="42"/>
        <v>19.989073728000001</v>
      </c>
      <c r="AW318" s="239">
        <f>(AS318*AK318/1000000)*(VLOOKUP(N318,FCST!D:I,6,FALSE))</f>
        <v>0</v>
      </c>
      <c r="AX318" s="239">
        <f t="shared" si="43"/>
        <v>0</v>
      </c>
      <c r="AY318" s="239">
        <f>IF($G318="CERVECERIA Y MALTERIA.",($AS318*$AK318/1000000)*(1-VLOOKUP($N318,FCST!D:I,6,FALSE)),0)</f>
        <v>0</v>
      </c>
      <c r="AZ318" s="239">
        <f t="shared" si="44"/>
        <v>0</v>
      </c>
    </row>
    <row r="319" spans="1:52" x14ac:dyDescent="0.25">
      <c r="A319" s="209">
        <v>1085139</v>
      </c>
      <c r="B319" s="209">
        <v>10</v>
      </c>
      <c r="C319" s="209">
        <v>89312170</v>
      </c>
      <c r="D319" s="209">
        <v>10</v>
      </c>
      <c r="E319" s="209">
        <v>10000002</v>
      </c>
      <c r="F319" s="209">
        <v>20000339</v>
      </c>
      <c r="G319" s="209" t="s">
        <v>105</v>
      </c>
      <c r="H319" s="209">
        <v>20000339</v>
      </c>
      <c r="I319" s="209">
        <v>2</v>
      </c>
      <c r="J319" s="209" t="s">
        <v>169</v>
      </c>
      <c r="K319" s="209" t="s">
        <v>652</v>
      </c>
      <c r="L319" s="209" t="s">
        <v>171</v>
      </c>
      <c r="M319" s="209" t="s">
        <v>184</v>
      </c>
      <c r="N319" s="209">
        <v>50034577</v>
      </c>
      <c r="O319" s="209" t="s">
        <v>237</v>
      </c>
      <c r="P319" s="209">
        <v>5101</v>
      </c>
      <c r="Q319" s="209" t="s">
        <v>186</v>
      </c>
      <c r="R319" s="209" t="s">
        <v>175</v>
      </c>
      <c r="S319" s="209" t="s">
        <v>176</v>
      </c>
      <c r="T319" s="209" t="s">
        <v>187</v>
      </c>
      <c r="U319" s="209" t="s">
        <v>188</v>
      </c>
      <c r="V319" s="209" t="s">
        <v>179</v>
      </c>
      <c r="W319" s="209" t="s">
        <v>179</v>
      </c>
      <c r="X319" s="209" t="s">
        <v>180</v>
      </c>
      <c r="Y319" s="209" t="s">
        <v>180</v>
      </c>
      <c r="Z319" s="209">
        <v>9511047133</v>
      </c>
      <c r="AA319" s="209" t="s">
        <v>574</v>
      </c>
      <c r="AB319" s="209" t="s">
        <v>180</v>
      </c>
      <c r="AC319" s="209" t="s">
        <v>182</v>
      </c>
      <c r="AD319" s="209">
        <v>11</v>
      </c>
      <c r="AE319" s="209">
        <v>2024</v>
      </c>
      <c r="AF319" s="227">
        <v>45609</v>
      </c>
      <c r="AG319" s="227">
        <v>45609</v>
      </c>
      <c r="AH319" s="227">
        <v>45609</v>
      </c>
      <c r="AI319" s="228">
        <v>686592</v>
      </c>
      <c r="AJ319" s="228">
        <v>48</v>
      </c>
      <c r="AK319" s="228">
        <v>743808</v>
      </c>
      <c r="AL319" s="228">
        <v>52</v>
      </c>
      <c r="AM319" s="228">
        <v>0</v>
      </c>
      <c r="AN319" s="228">
        <v>-57216</v>
      </c>
      <c r="AO319" s="229">
        <v>46</v>
      </c>
      <c r="AP319" s="231">
        <v>11</v>
      </c>
      <c r="AQ319" s="231">
        <v>2024</v>
      </c>
      <c r="AR319" s="231" t="str">
        <f t="shared" si="40"/>
        <v>11/2024</v>
      </c>
      <c r="AS319" s="231">
        <f t="shared" si="41"/>
        <v>25</v>
      </c>
      <c r="AT319" s="239">
        <f>IF(G319="CERVECERIA Y MALTERIA",(AS319*AK319/1000000)*(1-VLOOKUP(N319,FCST!D:I,6,FALSE)),0)</f>
        <v>18.595199999999998</v>
      </c>
      <c r="AU319" s="232">
        <v>5.0000000000000001E-3</v>
      </c>
      <c r="AV319" s="239">
        <f t="shared" si="42"/>
        <v>18.688175999999995</v>
      </c>
      <c r="AW319" s="239">
        <f>(AS319*AK319/1000000)*(VLOOKUP(N319,FCST!D:I,6,FALSE))</f>
        <v>0</v>
      </c>
      <c r="AX319" s="239">
        <f t="shared" si="43"/>
        <v>0</v>
      </c>
      <c r="AY319" s="239">
        <f>IF($G319="CERVECERIA Y MALTERIA.",($AS319*$AK319/1000000)*(1-VLOOKUP($N319,FCST!D:I,6,FALSE)),0)</f>
        <v>0</v>
      </c>
      <c r="AZ319" s="239">
        <f t="shared" si="44"/>
        <v>0</v>
      </c>
    </row>
    <row r="320" spans="1:52" x14ac:dyDescent="0.25">
      <c r="A320" s="209">
        <v>1084401</v>
      </c>
      <c r="B320" s="209">
        <v>60</v>
      </c>
      <c r="C320" s="209">
        <v>89312652</v>
      </c>
      <c r="D320" s="209">
        <v>10</v>
      </c>
      <c r="E320" s="209">
        <v>10000002</v>
      </c>
      <c r="F320" s="209">
        <v>20000335</v>
      </c>
      <c r="G320" s="209" t="s">
        <v>105</v>
      </c>
      <c r="H320" s="209">
        <v>20000335</v>
      </c>
      <c r="I320" s="209">
        <v>2</v>
      </c>
      <c r="J320" s="209" t="s">
        <v>169</v>
      </c>
      <c r="K320" s="209" t="s">
        <v>653</v>
      </c>
      <c r="L320" s="209" t="s">
        <v>171</v>
      </c>
      <c r="M320" s="209" t="s">
        <v>199</v>
      </c>
      <c r="N320" s="209">
        <v>50032573</v>
      </c>
      <c r="O320" s="209" t="s">
        <v>173</v>
      </c>
      <c r="P320" s="209">
        <v>5121</v>
      </c>
      <c r="Q320" s="209" t="s">
        <v>200</v>
      </c>
      <c r="R320" s="209" t="s">
        <v>201</v>
      </c>
      <c r="S320" s="209" t="s">
        <v>202</v>
      </c>
      <c r="T320" s="209" t="s">
        <v>203</v>
      </c>
      <c r="U320" s="209" t="s">
        <v>201</v>
      </c>
      <c r="V320" s="209" t="s">
        <v>179</v>
      </c>
      <c r="W320" s="209" t="s">
        <v>179</v>
      </c>
      <c r="X320" s="209" t="s">
        <v>180</v>
      </c>
      <c r="Y320" s="209" t="s">
        <v>180</v>
      </c>
      <c r="Z320" s="209">
        <v>9521066881</v>
      </c>
      <c r="AA320" s="209" t="s">
        <v>548</v>
      </c>
      <c r="AB320" s="209" t="s">
        <v>180</v>
      </c>
      <c r="AC320" s="209" t="s">
        <v>182</v>
      </c>
      <c r="AD320" s="209">
        <v>11</v>
      </c>
      <c r="AE320" s="209">
        <v>2024</v>
      </c>
      <c r="AF320" s="227">
        <v>45603</v>
      </c>
      <c r="AG320" s="227">
        <v>45609</v>
      </c>
      <c r="AH320" s="227">
        <v>45609</v>
      </c>
      <c r="AI320" s="228">
        <v>531648</v>
      </c>
      <c r="AJ320" s="228">
        <v>52</v>
      </c>
      <c r="AK320" s="228">
        <v>531648</v>
      </c>
      <c r="AL320" s="228">
        <v>52</v>
      </c>
      <c r="AM320" s="228">
        <v>0</v>
      </c>
      <c r="AN320" s="228">
        <v>0</v>
      </c>
      <c r="AO320" s="229">
        <v>46</v>
      </c>
      <c r="AP320" s="231">
        <v>11</v>
      </c>
      <c r="AQ320" s="231">
        <v>2024</v>
      </c>
      <c r="AR320" s="231" t="str">
        <f t="shared" si="40"/>
        <v>11/2024</v>
      </c>
      <c r="AS320" s="231">
        <f t="shared" si="41"/>
        <v>37.200000000000003</v>
      </c>
      <c r="AT320" s="239">
        <f>IF(G320="CERVECERIA Y MALTERIA",(AS320*AK320/1000000)*(1-VLOOKUP(N320,FCST!D:I,6,FALSE)),0)</f>
        <v>19.777305600000002</v>
      </c>
      <c r="AU320" s="232">
        <v>5.0000000000000001E-3</v>
      </c>
      <c r="AV320" s="239">
        <f t="shared" si="42"/>
        <v>19.876192128</v>
      </c>
      <c r="AW320" s="239">
        <f>(AS320*AK320/1000000)*(VLOOKUP(N320,FCST!D:I,6,FALSE))</f>
        <v>0</v>
      </c>
      <c r="AX320" s="239">
        <f t="shared" si="43"/>
        <v>0</v>
      </c>
      <c r="AY320" s="239">
        <f>IF($G320="CERVECERIA Y MALTERIA.",($AS320*$AK320/1000000)*(1-VLOOKUP($N320,FCST!D:I,6,FALSE)),0)</f>
        <v>0</v>
      </c>
      <c r="AZ320" s="239">
        <f t="shared" si="44"/>
        <v>0</v>
      </c>
    </row>
    <row r="321" spans="1:52" x14ac:dyDescent="0.25">
      <c r="A321" s="209">
        <v>1085749</v>
      </c>
      <c r="B321" s="209">
        <v>50</v>
      </c>
      <c r="C321" s="209">
        <v>89316378</v>
      </c>
      <c r="D321" s="209">
        <v>10</v>
      </c>
      <c r="E321" s="209">
        <v>10000002</v>
      </c>
      <c r="F321" s="209">
        <v>20000340</v>
      </c>
      <c r="G321" s="209" t="s">
        <v>117</v>
      </c>
      <c r="H321" s="209">
        <v>20000340</v>
      </c>
      <c r="I321" s="209">
        <v>2</v>
      </c>
      <c r="J321" s="209" t="s">
        <v>169</v>
      </c>
      <c r="K321" s="209" t="s">
        <v>654</v>
      </c>
      <c r="L321" s="209" t="s">
        <v>171</v>
      </c>
      <c r="M321" s="209" t="s">
        <v>172</v>
      </c>
      <c r="N321" s="209">
        <v>50036718</v>
      </c>
      <c r="O321" s="209" t="s">
        <v>259</v>
      </c>
      <c r="P321" s="209">
        <v>5101</v>
      </c>
      <c r="Q321" s="209" t="s">
        <v>186</v>
      </c>
      <c r="R321" s="209" t="s">
        <v>175</v>
      </c>
      <c r="S321" s="209" t="s">
        <v>176</v>
      </c>
      <c r="T321" s="209" t="s">
        <v>187</v>
      </c>
      <c r="U321" s="209" t="s">
        <v>188</v>
      </c>
      <c r="V321" s="209" t="s">
        <v>179</v>
      </c>
      <c r="W321" s="209" t="s">
        <v>179</v>
      </c>
      <c r="X321" s="209" t="s">
        <v>180</v>
      </c>
      <c r="Y321" s="209" t="s">
        <v>180</v>
      </c>
      <c r="Z321" s="209">
        <v>9511047127</v>
      </c>
      <c r="AA321" s="209" t="s">
        <v>552</v>
      </c>
      <c r="AB321" s="209" t="s">
        <v>180</v>
      </c>
      <c r="AC321" s="209" t="s">
        <v>182</v>
      </c>
      <c r="AD321" s="209">
        <v>11</v>
      </c>
      <c r="AE321" s="209">
        <v>2024</v>
      </c>
      <c r="AF321" s="227">
        <v>45611</v>
      </c>
      <c r="AG321" s="227">
        <v>45615</v>
      </c>
      <c r="AH321" s="227">
        <v>45615</v>
      </c>
      <c r="AI321" s="228">
        <v>519168</v>
      </c>
      <c r="AJ321" s="228">
        <v>52</v>
      </c>
      <c r="AK321" s="228">
        <v>519168</v>
      </c>
      <c r="AL321" s="228">
        <v>52</v>
      </c>
      <c r="AM321" s="228">
        <v>0</v>
      </c>
      <c r="AN321" s="228">
        <v>0</v>
      </c>
      <c r="AO321" s="229">
        <v>47</v>
      </c>
      <c r="AP321" s="231">
        <v>11</v>
      </c>
      <c r="AQ321" s="231">
        <v>2024</v>
      </c>
      <c r="AR321" s="231" t="str">
        <f t="shared" si="40"/>
        <v>11/2024</v>
      </c>
      <c r="AS321" s="231">
        <f t="shared" si="41"/>
        <v>34</v>
      </c>
      <c r="AT321" s="239">
        <f>IF(G321="CERVECERIA Y MALTERIA",(AS321*AK321/1000000)*(1-VLOOKUP(N321,FCST!D:I,6,FALSE)),0)</f>
        <v>0</v>
      </c>
      <c r="AU321" s="232">
        <v>5.0000000000000001E-3</v>
      </c>
      <c r="AV321" s="239">
        <f t="shared" si="42"/>
        <v>0</v>
      </c>
      <c r="AW321" s="239">
        <f>(AS321*AK321/1000000)*(VLOOKUP(N321,FCST!D:I,6,FALSE))</f>
        <v>0</v>
      </c>
      <c r="AX321" s="239">
        <f t="shared" si="43"/>
        <v>0</v>
      </c>
      <c r="AY321" s="239">
        <f>IF($G321="CERVECERIA Y MALTERIA.",($AS321*$AK321/1000000)*(1-VLOOKUP($N321,FCST!D:I,6,FALSE)),0)</f>
        <v>17.651712</v>
      </c>
      <c r="AZ321" s="239">
        <f t="shared" si="44"/>
        <v>17.73997056</v>
      </c>
    </row>
    <row r="322" spans="1:52" x14ac:dyDescent="0.25">
      <c r="A322" s="209">
        <v>1084401</v>
      </c>
      <c r="B322" s="209">
        <v>100</v>
      </c>
      <c r="C322" s="209">
        <v>89314293</v>
      </c>
      <c r="D322" s="209">
        <v>10</v>
      </c>
      <c r="E322" s="209">
        <v>10000002</v>
      </c>
      <c r="F322" s="209">
        <v>20000335</v>
      </c>
      <c r="G322" s="209" t="s">
        <v>105</v>
      </c>
      <c r="H322" s="209">
        <v>20000335</v>
      </c>
      <c r="I322" s="209">
        <v>2</v>
      </c>
      <c r="J322" s="209" t="s">
        <v>169</v>
      </c>
      <c r="K322" s="209" t="s">
        <v>655</v>
      </c>
      <c r="L322" s="209" t="s">
        <v>171</v>
      </c>
      <c r="M322" s="209" t="s">
        <v>199</v>
      </c>
      <c r="N322" s="209">
        <v>50034616</v>
      </c>
      <c r="O322" s="209" t="s">
        <v>191</v>
      </c>
      <c r="P322" s="209">
        <v>5121</v>
      </c>
      <c r="Q322" s="209" t="s">
        <v>200</v>
      </c>
      <c r="R322" s="209" t="s">
        <v>201</v>
      </c>
      <c r="S322" s="209" t="s">
        <v>202</v>
      </c>
      <c r="T322" s="209" t="s">
        <v>203</v>
      </c>
      <c r="U322" s="209" t="s">
        <v>201</v>
      </c>
      <c r="V322" s="209" t="s">
        <v>179</v>
      </c>
      <c r="W322" s="209" t="s">
        <v>179</v>
      </c>
      <c r="X322" s="209" t="s">
        <v>180</v>
      </c>
      <c r="Y322" s="209" t="s">
        <v>180</v>
      </c>
      <c r="Z322" s="209">
        <v>9521066882</v>
      </c>
      <c r="AA322" s="209" t="s">
        <v>567</v>
      </c>
      <c r="AB322" s="209" t="s">
        <v>180</v>
      </c>
      <c r="AC322" s="209" t="s">
        <v>182</v>
      </c>
      <c r="AD322" s="209">
        <v>11</v>
      </c>
      <c r="AE322" s="209">
        <v>2024</v>
      </c>
      <c r="AF322" s="227">
        <v>45603</v>
      </c>
      <c r="AG322" s="227">
        <v>45611</v>
      </c>
      <c r="AH322" s="227">
        <v>45611</v>
      </c>
      <c r="AI322" s="228">
        <v>426816</v>
      </c>
      <c r="AJ322" s="228">
        <v>52</v>
      </c>
      <c r="AK322" s="228">
        <v>426816</v>
      </c>
      <c r="AL322" s="228">
        <v>52</v>
      </c>
      <c r="AM322" s="228">
        <v>0</v>
      </c>
      <c r="AN322" s="228">
        <v>0</v>
      </c>
      <c r="AO322" s="229">
        <v>46</v>
      </c>
      <c r="AP322" s="231">
        <v>11</v>
      </c>
      <c r="AQ322" s="231">
        <v>2024</v>
      </c>
      <c r="AR322" s="231" t="str">
        <f t="shared" si="40"/>
        <v>11/2024</v>
      </c>
      <c r="AS322" s="231">
        <f t="shared" si="41"/>
        <v>46.6</v>
      </c>
      <c r="AT322" s="239">
        <f>IF(G322="CERVECERIA Y MALTERIA",(AS322*AK322/1000000)*(1-VLOOKUP(N322,FCST!D:I,6,FALSE)),0)</f>
        <v>19.889625600000002</v>
      </c>
      <c r="AU322" s="232">
        <v>5.0000000000000001E-3</v>
      </c>
      <c r="AV322" s="239">
        <f t="shared" si="42"/>
        <v>19.989073728000001</v>
      </c>
      <c r="AW322" s="239">
        <f>(AS322*AK322/1000000)*(VLOOKUP(N322,FCST!D:I,6,FALSE))</f>
        <v>0</v>
      </c>
      <c r="AX322" s="239">
        <f t="shared" si="43"/>
        <v>0</v>
      </c>
      <c r="AY322" s="239">
        <f>IF($G322="CERVECERIA Y MALTERIA.",($AS322*$AK322/1000000)*(1-VLOOKUP($N322,FCST!D:I,6,FALSE)),0)</f>
        <v>0</v>
      </c>
      <c r="AZ322" s="239">
        <f t="shared" si="44"/>
        <v>0</v>
      </c>
    </row>
    <row r="323" spans="1:52" x14ac:dyDescent="0.25">
      <c r="A323" s="209">
        <v>1084401</v>
      </c>
      <c r="B323" s="209">
        <v>90</v>
      </c>
      <c r="C323" s="209">
        <v>89314337</v>
      </c>
      <c r="D323" s="209">
        <v>10</v>
      </c>
      <c r="E323" s="209">
        <v>10000002</v>
      </c>
      <c r="F323" s="209">
        <v>20000335</v>
      </c>
      <c r="G323" s="209" t="s">
        <v>105</v>
      </c>
      <c r="H323" s="209">
        <v>20000335</v>
      </c>
      <c r="I323" s="209">
        <v>2</v>
      </c>
      <c r="J323" s="209" t="s">
        <v>169</v>
      </c>
      <c r="K323" s="209" t="s">
        <v>656</v>
      </c>
      <c r="L323" s="209" t="s">
        <v>171</v>
      </c>
      <c r="M323" s="209" t="s">
        <v>199</v>
      </c>
      <c r="N323" s="209">
        <v>50034574</v>
      </c>
      <c r="O323" s="209" t="s">
        <v>196</v>
      </c>
      <c r="P323" s="209">
        <v>5121</v>
      </c>
      <c r="Q323" s="209" t="s">
        <v>200</v>
      </c>
      <c r="R323" s="209" t="s">
        <v>201</v>
      </c>
      <c r="S323" s="209" t="s">
        <v>202</v>
      </c>
      <c r="T323" s="209" t="s">
        <v>203</v>
      </c>
      <c r="U323" s="209" t="s">
        <v>201</v>
      </c>
      <c r="V323" s="209" t="s">
        <v>179</v>
      </c>
      <c r="W323" s="209" t="s">
        <v>179</v>
      </c>
      <c r="X323" s="209" t="s">
        <v>180</v>
      </c>
      <c r="Y323" s="209" t="s">
        <v>180</v>
      </c>
      <c r="Z323" s="209">
        <v>9521066884</v>
      </c>
      <c r="AA323" s="209" t="s">
        <v>539</v>
      </c>
      <c r="AB323" s="209" t="s">
        <v>180</v>
      </c>
      <c r="AC323" s="209" t="s">
        <v>182</v>
      </c>
      <c r="AD323" s="209">
        <v>11</v>
      </c>
      <c r="AE323" s="209">
        <v>2024</v>
      </c>
      <c r="AF323" s="227">
        <v>45603</v>
      </c>
      <c r="AG323" s="227">
        <v>45611</v>
      </c>
      <c r="AH323" s="227">
        <v>45611</v>
      </c>
      <c r="AI323" s="228">
        <v>977184</v>
      </c>
      <c r="AJ323" s="228">
        <v>52</v>
      </c>
      <c r="AK323" s="228">
        <v>977184</v>
      </c>
      <c r="AL323" s="228">
        <v>52</v>
      </c>
      <c r="AM323" s="228">
        <v>0</v>
      </c>
      <c r="AN323" s="228">
        <v>0</v>
      </c>
      <c r="AO323" s="229">
        <v>46</v>
      </c>
      <c r="AP323" s="231">
        <v>11</v>
      </c>
      <c r="AQ323" s="231">
        <v>2024</v>
      </c>
      <c r="AR323" s="231" t="str">
        <f t="shared" si="40"/>
        <v>11/2024</v>
      </c>
      <c r="AS323" s="231">
        <f t="shared" si="41"/>
        <v>19.5</v>
      </c>
      <c r="AT323" s="239">
        <f>IF(G323="CERVECERIA Y MALTERIA",(AS323*AK323/1000000)*(1-VLOOKUP(N323,FCST!D:I,6,FALSE)),0)</f>
        <v>19.055088000000001</v>
      </c>
      <c r="AU323" s="232">
        <v>5.0000000000000001E-3</v>
      </c>
      <c r="AV323" s="239">
        <f t="shared" si="42"/>
        <v>19.15036344</v>
      </c>
      <c r="AW323" s="239">
        <f>(AS323*AK323/1000000)*(VLOOKUP(N323,FCST!D:I,6,FALSE))</f>
        <v>0</v>
      </c>
      <c r="AX323" s="239">
        <f t="shared" si="43"/>
        <v>0</v>
      </c>
      <c r="AY323" s="239">
        <f>IF($G323="CERVECERIA Y MALTERIA.",($AS323*$AK323/1000000)*(1-VLOOKUP($N323,FCST!D:I,6,FALSE)),0)</f>
        <v>0</v>
      </c>
      <c r="AZ323" s="239">
        <f t="shared" si="44"/>
        <v>0</v>
      </c>
    </row>
    <row r="324" spans="1:52" x14ac:dyDescent="0.25">
      <c r="A324" s="209">
        <v>1084400</v>
      </c>
      <c r="B324" s="209">
        <v>50</v>
      </c>
      <c r="C324" s="209">
        <v>89314636</v>
      </c>
      <c r="D324" s="209">
        <v>10</v>
      </c>
      <c r="E324" s="209">
        <v>10000002</v>
      </c>
      <c r="F324" s="209">
        <v>20000340</v>
      </c>
      <c r="G324" s="209" t="s">
        <v>117</v>
      </c>
      <c r="H324" s="209">
        <v>20000340</v>
      </c>
      <c r="I324" s="209">
        <v>2</v>
      </c>
      <c r="J324" s="209" t="s">
        <v>169</v>
      </c>
      <c r="K324" s="209" t="s">
        <v>657</v>
      </c>
      <c r="L324" s="209" t="s">
        <v>171</v>
      </c>
      <c r="M324" s="209" t="s">
        <v>172</v>
      </c>
      <c r="N324" s="209">
        <v>50036718</v>
      </c>
      <c r="O324" s="209" t="s">
        <v>259</v>
      </c>
      <c r="P324" s="209">
        <v>5101</v>
      </c>
      <c r="Q324" s="209" t="s">
        <v>186</v>
      </c>
      <c r="R324" s="209" t="s">
        <v>175</v>
      </c>
      <c r="S324" s="209" t="s">
        <v>176</v>
      </c>
      <c r="T324" s="209" t="s">
        <v>187</v>
      </c>
      <c r="U324" s="209" t="s">
        <v>188</v>
      </c>
      <c r="V324" s="209" t="s">
        <v>179</v>
      </c>
      <c r="W324" s="209" t="s">
        <v>179</v>
      </c>
      <c r="X324" s="209" t="s">
        <v>180</v>
      </c>
      <c r="Y324" s="209" t="s">
        <v>180</v>
      </c>
      <c r="Z324" s="209">
        <v>9511047127</v>
      </c>
      <c r="AA324" s="209" t="s">
        <v>552</v>
      </c>
      <c r="AB324" s="209" t="s">
        <v>180</v>
      </c>
      <c r="AC324" s="209" t="s">
        <v>182</v>
      </c>
      <c r="AD324" s="209">
        <v>11</v>
      </c>
      <c r="AE324" s="209">
        <v>2024</v>
      </c>
      <c r="AF324" s="227">
        <v>45603</v>
      </c>
      <c r="AG324" s="227">
        <v>45611</v>
      </c>
      <c r="AH324" s="227">
        <v>45611</v>
      </c>
      <c r="AI324" s="228">
        <v>519168</v>
      </c>
      <c r="AJ324" s="228">
        <v>52</v>
      </c>
      <c r="AK324" s="228">
        <v>519168</v>
      </c>
      <c r="AL324" s="228">
        <v>52</v>
      </c>
      <c r="AM324" s="228">
        <v>0</v>
      </c>
      <c r="AN324" s="228">
        <v>0</v>
      </c>
      <c r="AO324" s="229">
        <v>46</v>
      </c>
      <c r="AP324" s="231">
        <v>11</v>
      </c>
      <c r="AQ324" s="231">
        <v>2024</v>
      </c>
      <c r="AR324" s="231" t="str">
        <f t="shared" si="40"/>
        <v>11/2024</v>
      </c>
      <c r="AS324" s="231">
        <f t="shared" si="41"/>
        <v>34</v>
      </c>
      <c r="AT324" s="239">
        <f>IF(G324="CERVECERIA Y MALTERIA",(AS324*AK324/1000000)*(1-VLOOKUP(N324,FCST!D:I,6,FALSE)),0)</f>
        <v>0</v>
      </c>
      <c r="AU324" s="232">
        <v>5.0000000000000001E-3</v>
      </c>
      <c r="AV324" s="239">
        <f t="shared" si="42"/>
        <v>0</v>
      </c>
      <c r="AW324" s="239">
        <f>(AS324*AK324/1000000)*(VLOOKUP(N324,FCST!D:I,6,FALSE))</f>
        <v>0</v>
      </c>
      <c r="AX324" s="239">
        <f t="shared" si="43"/>
        <v>0</v>
      </c>
      <c r="AY324" s="239">
        <f>IF($G324="CERVECERIA Y MALTERIA.",($AS324*$AK324/1000000)*(1-VLOOKUP($N324,FCST!D:I,6,FALSE)),0)</f>
        <v>17.651712</v>
      </c>
      <c r="AZ324" s="239">
        <f t="shared" si="44"/>
        <v>17.73997056</v>
      </c>
    </row>
    <row r="325" spans="1:52" x14ac:dyDescent="0.25">
      <c r="A325" s="209">
        <v>1084400</v>
      </c>
      <c r="B325" s="209">
        <v>60</v>
      </c>
      <c r="C325" s="209">
        <v>89314659</v>
      </c>
      <c r="D325" s="209">
        <v>10</v>
      </c>
      <c r="E325" s="209">
        <v>10000002</v>
      </c>
      <c r="F325" s="209">
        <v>20000340</v>
      </c>
      <c r="G325" s="209" t="s">
        <v>117</v>
      </c>
      <c r="H325" s="209">
        <v>20000340</v>
      </c>
      <c r="I325" s="209">
        <v>2</v>
      </c>
      <c r="J325" s="209" t="s">
        <v>169</v>
      </c>
      <c r="K325" s="209" t="s">
        <v>658</v>
      </c>
      <c r="L325" s="209" t="s">
        <v>171</v>
      </c>
      <c r="M325" s="209" t="s">
        <v>172</v>
      </c>
      <c r="N325" s="209">
        <v>50036718</v>
      </c>
      <c r="O325" s="209" t="s">
        <v>259</v>
      </c>
      <c r="P325" s="209">
        <v>5101</v>
      </c>
      <c r="Q325" s="209" t="s">
        <v>186</v>
      </c>
      <c r="R325" s="209" t="s">
        <v>175</v>
      </c>
      <c r="S325" s="209" t="s">
        <v>176</v>
      </c>
      <c r="T325" s="209" t="s">
        <v>187</v>
      </c>
      <c r="U325" s="209" t="s">
        <v>188</v>
      </c>
      <c r="V325" s="209" t="s">
        <v>179</v>
      </c>
      <c r="W325" s="209" t="s">
        <v>179</v>
      </c>
      <c r="X325" s="209" t="s">
        <v>180</v>
      </c>
      <c r="Y325" s="209" t="s">
        <v>180</v>
      </c>
      <c r="Z325" s="209">
        <v>9511047127</v>
      </c>
      <c r="AA325" s="209" t="s">
        <v>552</v>
      </c>
      <c r="AB325" s="209" t="s">
        <v>180</v>
      </c>
      <c r="AC325" s="209" t="s">
        <v>182</v>
      </c>
      <c r="AD325" s="209">
        <v>11</v>
      </c>
      <c r="AE325" s="209">
        <v>2024</v>
      </c>
      <c r="AF325" s="227">
        <v>45603</v>
      </c>
      <c r="AG325" s="227">
        <v>45611</v>
      </c>
      <c r="AH325" s="227">
        <v>45611</v>
      </c>
      <c r="AI325" s="228">
        <v>519168</v>
      </c>
      <c r="AJ325" s="228">
        <v>52</v>
      </c>
      <c r="AK325" s="228">
        <v>519168</v>
      </c>
      <c r="AL325" s="228">
        <v>52</v>
      </c>
      <c r="AM325" s="228">
        <v>0</v>
      </c>
      <c r="AN325" s="228">
        <v>0</v>
      </c>
      <c r="AO325" s="229">
        <v>46</v>
      </c>
      <c r="AP325" s="231">
        <v>11</v>
      </c>
      <c r="AQ325" s="231">
        <v>2024</v>
      </c>
      <c r="AR325" s="231" t="str">
        <f t="shared" si="40"/>
        <v>11/2024</v>
      </c>
      <c r="AS325" s="231">
        <f t="shared" si="41"/>
        <v>34</v>
      </c>
      <c r="AT325" s="239">
        <f>IF(G325="CERVECERIA Y MALTERIA",(AS325*AK325/1000000)*(1-VLOOKUP(N325,FCST!D:I,6,FALSE)),0)</f>
        <v>0</v>
      </c>
      <c r="AU325" s="232">
        <v>5.0000000000000001E-3</v>
      </c>
      <c r="AV325" s="239">
        <f t="shared" si="42"/>
        <v>0</v>
      </c>
      <c r="AW325" s="239">
        <f>(AS325*AK325/1000000)*(VLOOKUP(N325,FCST!D:I,6,FALSE))</f>
        <v>0</v>
      </c>
      <c r="AX325" s="239">
        <f t="shared" si="43"/>
        <v>0</v>
      </c>
      <c r="AY325" s="239">
        <f>IF($G325="CERVECERIA Y MALTERIA.",($AS325*$AK325/1000000)*(1-VLOOKUP($N325,FCST!D:I,6,FALSE)),0)</f>
        <v>17.651712</v>
      </c>
      <c r="AZ325" s="239">
        <f t="shared" si="44"/>
        <v>17.73997056</v>
      </c>
    </row>
    <row r="326" spans="1:52" x14ac:dyDescent="0.25">
      <c r="A326" s="209">
        <v>1084401</v>
      </c>
      <c r="B326" s="209">
        <v>20</v>
      </c>
      <c r="C326" s="209">
        <v>89310077</v>
      </c>
      <c r="D326" s="209">
        <v>10</v>
      </c>
      <c r="E326" s="209">
        <v>10000002</v>
      </c>
      <c r="F326" s="209">
        <v>20000335</v>
      </c>
      <c r="G326" s="209" t="s">
        <v>105</v>
      </c>
      <c r="H326" s="209">
        <v>20000335</v>
      </c>
      <c r="I326" s="209">
        <v>2</v>
      </c>
      <c r="J326" s="209" t="s">
        <v>169</v>
      </c>
      <c r="K326" s="209" t="s">
        <v>659</v>
      </c>
      <c r="L326" s="209" t="s">
        <v>171</v>
      </c>
      <c r="M326" s="209" t="s">
        <v>184</v>
      </c>
      <c r="N326" s="209">
        <v>50034616</v>
      </c>
      <c r="O326" s="209" t="s">
        <v>191</v>
      </c>
      <c r="P326" s="209">
        <v>5121</v>
      </c>
      <c r="Q326" s="209" t="s">
        <v>174</v>
      </c>
      <c r="R326" s="209" t="s">
        <v>175</v>
      </c>
      <c r="S326" s="209" t="s">
        <v>176</v>
      </c>
      <c r="T326" s="209" t="s">
        <v>177</v>
      </c>
      <c r="U326" s="209" t="s">
        <v>178</v>
      </c>
      <c r="V326" s="209" t="s">
        <v>179</v>
      </c>
      <c r="W326" s="209" t="s">
        <v>179</v>
      </c>
      <c r="X326" s="209" t="s">
        <v>180</v>
      </c>
      <c r="Y326" s="209" t="s">
        <v>180</v>
      </c>
      <c r="Z326" s="209">
        <v>9521066882</v>
      </c>
      <c r="AA326" s="209" t="s">
        <v>567</v>
      </c>
      <c r="AB326" s="209" t="s">
        <v>180</v>
      </c>
      <c r="AC326" s="209" t="s">
        <v>182</v>
      </c>
      <c r="AD326" s="209">
        <v>11</v>
      </c>
      <c r="AE326" s="209">
        <v>2024</v>
      </c>
      <c r="AF326" s="227">
        <v>45603</v>
      </c>
      <c r="AG326" s="227">
        <v>45607</v>
      </c>
      <c r="AH326" s="227">
        <v>45607</v>
      </c>
      <c r="AI326" s="228">
        <v>426816</v>
      </c>
      <c r="AJ326" s="228">
        <v>52</v>
      </c>
      <c r="AK326" s="228">
        <v>426816</v>
      </c>
      <c r="AL326" s="228">
        <v>52</v>
      </c>
      <c r="AM326" s="228">
        <v>0</v>
      </c>
      <c r="AN326" s="228">
        <v>0</v>
      </c>
      <c r="AO326" s="229">
        <v>46</v>
      </c>
      <c r="AP326" s="231">
        <v>11</v>
      </c>
      <c r="AQ326" s="231">
        <v>2024</v>
      </c>
      <c r="AR326" s="231" t="str">
        <f t="shared" si="40"/>
        <v>11/2024</v>
      </c>
      <c r="AS326" s="231">
        <f t="shared" si="41"/>
        <v>46.6</v>
      </c>
      <c r="AT326" s="239">
        <f>IF(G326="CERVECERIA Y MALTERIA",(AS326*AK326/1000000)*(1-VLOOKUP(N326,FCST!D:I,6,FALSE)),0)</f>
        <v>19.889625600000002</v>
      </c>
      <c r="AU326" s="232">
        <v>5.0000000000000001E-3</v>
      </c>
      <c r="AV326" s="239">
        <f t="shared" si="42"/>
        <v>19.989073728000001</v>
      </c>
      <c r="AW326" s="239">
        <f>(AS326*AK326/1000000)*(VLOOKUP(N326,FCST!D:I,6,FALSE))</f>
        <v>0</v>
      </c>
      <c r="AX326" s="239">
        <f t="shared" si="43"/>
        <v>0</v>
      </c>
      <c r="AY326" s="239">
        <f>IF($G326="CERVECERIA Y MALTERIA.",($AS326*$AK326/1000000)*(1-VLOOKUP($N326,FCST!D:I,6,FALSE)),0)</f>
        <v>0</v>
      </c>
      <c r="AZ326" s="239">
        <f t="shared" si="44"/>
        <v>0</v>
      </c>
    </row>
    <row r="327" spans="1:52" x14ac:dyDescent="0.25">
      <c r="A327" s="209">
        <v>1084399</v>
      </c>
      <c r="B327" s="209">
        <v>10</v>
      </c>
      <c r="C327" s="209">
        <v>89309042</v>
      </c>
      <c r="D327" s="209">
        <v>10</v>
      </c>
      <c r="E327" s="209">
        <v>10000002</v>
      </c>
      <c r="F327" s="209">
        <v>20000339</v>
      </c>
      <c r="G327" s="209" t="s">
        <v>105</v>
      </c>
      <c r="H327" s="209">
        <v>20000339</v>
      </c>
      <c r="I327" s="209">
        <v>2</v>
      </c>
      <c r="J327" s="209" t="s">
        <v>169</v>
      </c>
      <c r="K327" s="209" t="s">
        <v>660</v>
      </c>
      <c r="L327" s="209" t="s">
        <v>171</v>
      </c>
      <c r="M327" s="209" t="s">
        <v>172</v>
      </c>
      <c r="N327" s="209">
        <v>50034245</v>
      </c>
      <c r="O327" s="209" t="s">
        <v>591</v>
      </c>
      <c r="P327" s="209">
        <v>5101</v>
      </c>
      <c r="Q327" s="209" t="s">
        <v>186</v>
      </c>
      <c r="R327" s="209" t="s">
        <v>175</v>
      </c>
      <c r="S327" s="209" t="s">
        <v>176</v>
      </c>
      <c r="T327" s="209" t="s">
        <v>187</v>
      </c>
      <c r="U327" s="209" t="s">
        <v>188</v>
      </c>
      <c r="V327" s="209" t="s">
        <v>179</v>
      </c>
      <c r="W327" s="209" t="s">
        <v>179</v>
      </c>
      <c r="X327" s="209" t="s">
        <v>180</v>
      </c>
      <c r="Y327" s="209" t="s">
        <v>180</v>
      </c>
      <c r="Z327" s="209">
        <v>9511047124</v>
      </c>
      <c r="AA327" s="209" t="s">
        <v>592</v>
      </c>
      <c r="AB327" s="209" t="s">
        <v>180</v>
      </c>
      <c r="AC327" s="209" t="s">
        <v>182</v>
      </c>
      <c r="AD327" s="209">
        <v>11</v>
      </c>
      <c r="AE327" s="209">
        <v>2024</v>
      </c>
      <c r="AF327" s="227">
        <v>45603</v>
      </c>
      <c r="AG327" s="227">
        <v>45604</v>
      </c>
      <c r="AH327" s="227">
        <v>45604</v>
      </c>
      <c r="AI327" s="228">
        <v>743808</v>
      </c>
      <c r="AJ327" s="228">
        <v>52</v>
      </c>
      <c r="AK327" s="228">
        <v>743808</v>
      </c>
      <c r="AL327" s="228">
        <v>52</v>
      </c>
      <c r="AM327" s="228">
        <v>0</v>
      </c>
      <c r="AN327" s="228">
        <v>0</v>
      </c>
      <c r="AO327" s="229">
        <v>45</v>
      </c>
      <c r="AP327" s="231">
        <v>11</v>
      </c>
      <c r="AQ327" s="231">
        <v>2024</v>
      </c>
      <c r="AR327" s="231" t="str">
        <f t="shared" si="40"/>
        <v>11/2024</v>
      </c>
      <c r="AS327" s="231">
        <f t="shared" si="41"/>
        <v>25</v>
      </c>
      <c r="AT327" s="239">
        <f>IF(G327="CERVECERIA Y MALTERIA",(AS327*AK327/1000000)*(1-VLOOKUP(N327,FCST!D:I,6,FALSE)),0)</f>
        <v>0</v>
      </c>
      <c r="AU327" s="232">
        <v>5.0000000000000001E-3</v>
      </c>
      <c r="AV327" s="239">
        <f t="shared" si="42"/>
        <v>0</v>
      </c>
      <c r="AW327" s="239">
        <f>(AS327*AK327/1000000)*(VLOOKUP(N327,FCST!D:I,6,FALSE))</f>
        <v>18.595199999999998</v>
      </c>
      <c r="AX327" s="239">
        <f t="shared" si="43"/>
        <v>18.688175999999995</v>
      </c>
      <c r="AY327" s="239">
        <f>IF($G327="CERVECERIA Y MALTERIA.",($AS327*$AK327/1000000)*(1-VLOOKUP($N327,FCST!D:I,6,FALSE)),0)</f>
        <v>0</v>
      </c>
      <c r="AZ327" s="239">
        <f t="shared" si="44"/>
        <v>0</v>
      </c>
    </row>
    <row r="328" spans="1:52" x14ac:dyDescent="0.25">
      <c r="A328" s="209">
        <v>1083382</v>
      </c>
      <c r="B328" s="209">
        <v>70</v>
      </c>
      <c r="C328" s="209">
        <v>89309064</v>
      </c>
      <c r="D328" s="209">
        <v>10</v>
      </c>
      <c r="E328" s="209">
        <v>10000002</v>
      </c>
      <c r="F328" s="209">
        <v>20000340</v>
      </c>
      <c r="G328" s="209" t="s">
        <v>117</v>
      </c>
      <c r="H328" s="209">
        <v>20000340</v>
      </c>
      <c r="I328" s="209">
        <v>2</v>
      </c>
      <c r="J328" s="209" t="s">
        <v>169</v>
      </c>
      <c r="K328" s="209" t="s">
        <v>661</v>
      </c>
      <c r="L328" s="209" t="s">
        <v>171</v>
      </c>
      <c r="M328" s="209" t="s">
        <v>172</v>
      </c>
      <c r="N328" s="209">
        <v>50036718</v>
      </c>
      <c r="O328" s="209" t="s">
        <v>259</v>
      </c>
      <c r="P328" s="209">
        <v>5101</v>
      </c>
      <c r="Q328" s="209" t="s">
        <v>186</v>
      </c>
      <c r="R328" s="209" t="s">
        <v>175</v>
      </c>
      <c r="S328" s="209" t="s">
        <v>176</v>
      </c>
      <c r="T328" s="209" t="s">
        <v>187</v>
      </c>
      <c r="U328" s="209" t="s">
        <v>188</v>
      </c>
      <c r="V328" s="209" t="s">
        <v>179</v>
      </c>
      <c r="W328" s="209" t="s">
        <v>179</v>
      </c>
      <c r="X328" s="209" t="s">
        <v>180</v>
      </c>
      <c r="Y328" s="209" t="s">
        <v>180</v>
      </c>
      <c r="Z328" s="209">
        <v>9511047127</v>
      </c>
      <c r="AA328" s="209" t="s">
        <v>552</v>
      </c>
      <c r="AB328" s="209" t="s">
        <v>180</v>
      </c>
      <c r="AC328" s="209" t="s">
        <v>182</v>
      </c>
      <c r="AD328" s="209">
        <v>11</v>
      </c>
      <c r="AE328" s="209">
        <v>2024</v>
      </c>
      <c r="AF328" s="227">
        <v>45597</v>
      </c>
      <c r="AG328" s="227">
        <v>45604</v>
      </c>
      <c r="AH328" s="227">
        <v>45604</v>
      </c>
      <c r="AI328" s="228">
        <v>519168</v>
      </c>
      <c r="AJ328" s="228">
        <v>52</v>
      </c>
      <c r="AK328" s="228">
        <v>519168</v>
      </c>
      <c r="AL328" s="228">
        <v>52</v>
      </c>
      <c r="AM328" s="228">
        <v>0</v>
      </c>
      <c r="AN328" s="228">
        <v>0</v>
      </c>
      <c r="AO328" s="229">
        <v>45</v>
      </c>
      <c r="AP328" s="231">
        <v>11</v>
      </c>
      <c r="AQ328" s="231">
        <v>2024</v>
      </c>
      <c r="AR328" s="231" t="str">
        <f t="shared" si="40"/>
        <v>11/2024</v>
      </c>
      <c r="AS328" s="231">
        <f t="shared" si="41"/>
        <v>34</v>
      </c>
      <c r="AT328" s="239">
        <f>IF(G328="CERVECERIA Y MALTERIA",(AS328*AK328/1000000)*(1-VLOOKUP(N328,FCST!D:I,6,FALSE)),0)</f>
        <v>0</v>
      </c>
      <c r="AU328" s="232">
        <v>5.0000000000000001E-3</v>
      </c>
      <c r="AV328" s="239">
        <f t="shared" si="42"/>
        <v>0</v>
      </c>
      <c r="AW328" s="239">
        <f>(AS328*AK328/1000000)*(VLOOKUP(N328,FCST!D:I,6,FALSE))</f>
        <v>0</v>
      </c>
      <c r="AX328" s="239">
        <f t="shared" si="43"/>
        <v>0</v>
      </c>
      <c r="AY328" s="239">
        <f>IF($G328="CERVECERIA Y MALTERIA.",($AS328*$AK328/1000000)*(1-VLOOKUP($N328,FCST!D:I,6,FALSE)),0)</f>
        <v>17.651712</v>
      </c>
      <c r="AZ328" s="239">
        <f t="shared" si="44"/>
        <v>17.73997056</v>
      </c>
    </row>
    <row r="329" spans="1:52" x14ac:dyDescent="0.25">
      <c r="A329" s="209">
        <v>1083382</v>
      </c>
      <c r="B329" s="209">
        <v>50</v>
      </c>
      <c r="C329" s="209">
        <v>89309094</v>
      </c>
      <c r="D329" s="209">
        <v>10</v>
      </c>
      <c r="E329" s="209">
        <v>10000002</v>
      </c>
      <c r="F329" s="209">
        <v>20000340</v>
      </c>
      <c r="G329" s="209" t="s">
        <v>117</v>
      </c>
      <c r="H329" s="209">
        <v>20000340</v>
      </c>
      <c r="I329" s="209">
        <v>2</v>
      </c>
      <c r="J329" s="209" t="s">
        <v>169</v>
      </c>
      <c r="K329" s="209" t="s">
        <v>662</v>
      </c>
      <c r="L329" s="209" t="s">
        <v>171</v>
      </c>
      <c r="M329" s="209" t="s">
        <v>172</v>
      </c>
      <c r="N329" s="209">
        <v>50036718</v>
      </c>
      <c r="O329" s="209" t="s">
        <v>259</v>
      </c>
      <c r="P329" s="209">
        <v>5101</v>
      </c>
      <c r="Q329" s="209" t="s">
        <v>186</v>
      </c>
      <c r="R329" s="209" t="s">
        <v>175</v>
      </c>
      <c r="S329" s="209" t="s">
        <v>176</v>
      </c>
      <c r="T329" s="209" t="s">
        <v>187</v>
      </c>
      <c r="U329" s="209" t="s">
        <v>188</v>
      </c>
      <c r="V329" s="209" t="s">
        <v>179</v>
      </c>
      <c r="W329" s="209" t="s">
        <v>179</v>
      </c>
      <c r="X329" s="209" t="s">
        <v>180</v>
      </c>
      <c r="Y329" s="209" t="s">
        <v>180</v>
      </c>
      <c r="Z329" s="209">
        <v>9511047127</v>
      </c>
      <c r="AA329" s="209" t="s">
        <v>552</v>
      </c>
      <c r="AB329" s="209" t="s">
        <v>180</v>
      </c>
      <c r="AC329" s="209" t="s">
        <v>182</v>
      </c>
      <c r="AD329" s="209">
        <v>11</v>
      </c>
      <c r="AE329" s="209">
        <v>2024</v>
      </c>
      <c r="AF329" s="227">
        <v>45597</v>
      </c>
      <c r="AG329" s="227">
        <v>45604</v>
      </c>
      <c r="AH329" s="227">
        <v>45604</v>
      </c>
      <c r="AI329" s="228">
        <v>519168</v>
      </c>
      <c r="AJ329" s="228">
        <v>52</v>
      </c>
      <c r="AK329" s="228">
        <v>519168</v>
      </c>
      <c r="AL329" s="228">
        <v>52</v>
      </c>
      <c r="AM329" s="228">
        <v>0</v>
      </c>
      <c r="AN329" s="228">
        <v>0</v>
      </c>
      <c r="AO329" s="229">
        <v>45</v>
      </c>
      <c r="AP329" s="231">
        <v>11</v>
      </c>
      <c r="AQ329" s="231">
        <v>2024</v>
      </c>
      <c r="AR329" s="231" t="str">
        <f t="shared" si="40"/>
        <v>11/2024</v>
      </c>
      <c r="AS329" s="231">
        <f t="shared" si="41"/>
        <v>34</v>
      </c>
      <c r="AT329" s="239">
        <f>IF(G329="CERVECERIA Y MALTERIA",(AS329*AK329/1000000)*(1-VLOOKUP(N329,FCST!D:I,6,FALSE)),0)</f>
        <v>0</v>
      </c>
      <c r="AU329" s="232">
        <v>5.0000000000000001E-3</v>
      </c>
      <c r="AV329" s="239">
        <f t="shared" si="42"/>
        <v>0</v>
      </c>
      <c r="AW329" s="239">
        <f>(AS329*AK329/1000000)*(VLOOKUP(N329,FCST!D:I,6,FALSE))</f>
        <v>0</v>
      </c>
      <c r="AX329" s="239">
        <f t="shared" si="43"/>
        <v>0</v>
      </c>
      <c r="AY329" s="239">
        <f>IF($G329="CERVECERIA Y MALTERIA.",($AS329*$AK329/1000000)*(1-VLOOKUP($N329,FCST!D:I,6,FALSE)),0)</f>
        <v>17.651712</v>
      </c>
      <c r="AZ329" s="239">
        <f t="shared" si="44"/>
        <v>17.73997056</v>
      </c>
    </row>
    <row r="330" spans="1:52" x14ac:dyDescent="0.25">
      <c r="A330" s="209">
        <v>1084714</v>
      </c>
      <c r="B330" s="209">
        <v>10</v>
      </c>
      <c r="C330" s="209">
        <v>89310726</v>
      </c>
      <c r="D330" s="209">
        <v>10</v>
      </c>
      <c r="E330" s="209">
        <v>10000002</v>
      </c>
      <c r="F330" s="209">
        <v>20000336</v>
      </c>
      <c r="G330" s="209" t="s">
        <v>105</v>
      </c>
      <c r="H330" s="209">
        <v>20000336</v>
      </c>
      <c r="I330" s="209">
        <v>2</v>
      </c>
      <c r="J330" s="209" t="s">
        <v>169</v>
      </c>
      <c r="K330" s="209" t="s">
        <v>663</v>
      </c>
      <c r="L330" s="209" t="s">
        <v>171</v>
      </c>
      <c r="M330" s="209" t="s">
        <v>227</v>
      </c>
      <c r="N330" s="209">
        <v>50034634</v>
      </c>
      <c r="O330" s="209" t="s">
        <v>219</v>
      </c>
      <c r="P330" s="209">
        <v>5121</v>
      </c>
      <c r="Q330" s="209" t="s">
        <v>228</v>
      </c>
      <c r="R330" s="209" t="s">
        <v>229</v>
      </c>
      <c r="S330" s="209" t="s">
        <v>230</v>
      </c>
      <c r="T330" s="209" t="s">
        <v>231</v>
      </c>
      <c r="U330" s="209" t="s">
        <v>232</v>
      </c>
      <c r="V330" s="209" t="s">
        <v>179</v>
      </c>
      <c r="W330" s="209" t="s">
        <v>179</v>
      </c>
      <c r="X330" s="209" t="s">
        <v>180</v>
      </c>
      <c r="Y330" s="209" t="s">
        <v>180</v>
      </c>
      <c r="Z330" s="209">
        <v>9521066889</v>
      </c>
      <c r="AA330" s="209" t="s">
        <v>664</v>
      </c>
      <c r="AB330" s="209" t="s">
        <v>180</v>
      </c>
      <c r="AC330" s="209" t="s">
        <v>182</v>
      </c>
      <c r="AD330" s="209">
        <v>11</v>
      </c>
      <c r="AE330" s="209">
        <v>2024</v>
      </c>
      <c r="AF330" s="227">
        <v>45607</v>
      </c>
      <c r="AG330" s="227">
        <v>45607</v>
      </c>
      <c r="AH330" s="227">
        <v>45607</v>
      </c>
      <c r="AI330" s="228">
        <v>189216</v>
      </c>
      <c r="AJ330" s="228">
        <v>27</v>
      </c>
      <c r="AK330" s="228">
        <v>189216</v>
      </c>
      <c r="AL330" s="228">
        <v>27</v>
      </c>
      <c r="AM330" s="228">
        <v>0</v>
      </c>
      <c r="AN330" s="228">
        <v>0</v>
      </c>
      <c r="AO330" s="229">
        <v>46</v>
      </c>
      <c r="AP330" s="231">
        <v>11</v>
      </c>
      <c r="AQ330" s="231">
        <v>2024</v>
      </c>
      <c r="AR330" s="231" t="str">
        <f t="shared" si="40"/>
        <v>11/2024</v>
      </c>
      <c r="AS330" s="231">
        <f t="shared" si="41"/>
        <v>52</v>
      </c>
      <c r="AT330" s="239">
        <f>IF(G330="CERVECERIA Y MALTERIA",(AS330*AK330/1000000)*(1-VLOOKUP(N330,FCST!D:I,6,FALSE)),0)</f>
        <v>9.8392320000000009</v>
      </c>
      <c r="AU330" s="232">
        <v>5.0000000000000001E-3</v>
      </c>
      <c r="AV330" s="239">
        <f t="shared" si="42"/>
        <v>9.8884281600000001</v>
      </c>
      <c r="AW330" s="239">
        <f>(AS330*AK330/1000000)*(VLOOKUP(N330,FCST!D:I,6,FALSE))</f>
        <v>0</v>
      </c>
      <c r="AX330" s="239">
        <f t="shared" si="43"/>
        <v>0</v>
      </c>
      <c r="AY330" s="239">
        <f>IF($G330="CERVECERIA Y MALTERIA.",($AS330*$AK330/1000000)*(1-VLOOKUP($N330,FCST!D:I,6,FALSE)),0)</f>
        <v>0</v>
      </c>
      <c r="AZ330" s="239">
        <f t="shared" si="44"/>
        <v>0</v>
      </c>
    </row>
    <row r="331" spans="1:52" x14ac:dyDescent="0.25">
      <c r="A331" s="209">
        <v>1084714</v>
      </c>
      <c r="B331" s="209">
        <v>20</v>
      </c>
      <c r="C331" s="209">
        <v>89310726</v>
      </c>
      <c r="D331" s="209">
        <v>20</v>
      </c>
      <c r="E331" s="209">
        <v>10000002</v>
      </c>
      <c r="F331" s="209">
        <v>20000336</v>
      </c>
      <c r="G331" s="209" t="s">
        <v>105</v>
      </c>
      <c r="H331" s="209">
        <v>20000336</v>
      </c>
      <c r="I331" s="209">
        <v>2</v>
      </c>
      <c r="J331" s="209" t="s">
        <v>169</v>
      </c>
      <c r="K331" s="209" t="s">
        <v>663</v>
      </c>
      <c r="L331" s="209" t="s">
        <v>171</v>
      </c>
      <c r="M331" s="209" t="s">
        <v>227</v>
      </c>
      <c r="N331" s="209">
        <v>50033268</v>
      </c>
      <c r="O331" s="209" t="s">
        <v>253</v>
      </c>
      <c r="P331" s="209">
        <v>5121</v>
      </c>
      <c r="Q331" s="209" t="s">
        <v>228</v>
      </c>
      <c r="R331" s="209" t="s">
        <v>229</v>
      </c>
      <c r="S331" s="209" t="s">
        <v>230</v>
      </c>
      <c r="T331" s="209" t="s">
        <v>231</v>
      </c>
      <c r="U331" s="209" t="s">
        <v>232</v>
      </c>
      <c r="V331" s="209" t="s">
        <v>179</v>
      </c>
      <c r="W331" s="209" t="s">
        <v>179</v>
      </c>
      <c r="X331" s="209" t="s">
        <v>180</v>
      </c>
      <c r="Y331" s="209" t="s">
        <v>180</v>
      </c>
      <c r="Z331" s="209">
        <v>9521066889</v>
      </c>
      <c r="AA331" s="209" t="s">
        <v>664</v>
      </c>
      <c r="AB331" s="209" t="s">
        <v>180</v>
      </c>
      <c r="AC331" s="209" t="s">
        <v>182</v>
      </c>
      <c r="AD331" s="209">
        <v>11</v>
      </c>
      <c r="AE331" s="209">
        <v>2024</v>
      </c>
      <c r="AF331" s="227">
        <v>45607</v>
      </c>
      <c r="AG331" s="227">
        <v>45607</v>
      </c>
      <c r="AH331" s="227">
        <v>45607</v>
      </c>
      <c r="AI331" s="228">
        <v>195600</v>
      </c>
      <c r="AJ331" s="228">
        <v>25</v>
      </c>
      <c r="AK331" s="228">
        <v>195600</v>
      </c>
      <c r="AL331" s="228">
        <v>25</v>
      </c>
      <c r="AM331" s="228">
        <v>0</v>
      </c>
      <c r="AN331" s="228">
        <v>0</v>
      </c>
      <c r="AO331" s="229">
        <v>46</v>
      </c>
      <c r="AP331" s="231">
        <v>11</v>
      </c>
      <c r="AQ331" s="231">
        <v>2024</v>
      </c>
      <c r="AR331" s="231" t="str">
        <f t="shared" si="40"/>
        <v>11/2024</v>
      </c>
      <c r="AS331" s="231">
        <f t="shared" si="41"/>
        <v>44</v>
      </c>
      <c r="AT331" s="239">
        <f>IF(G331="CERVECERIA Y MALTERIA",(AS331*AK331/1000000)*(1-VLOOKUP(N331,FCST!D:I,6,FALSE)),0)</f>
        <v>8.6064000000000007</v>
      </c>
      <c r="AU331" s="232">
        <v>5.0000000000000001E-3</v>
      </c>
      <c r="AV331" s="239">
        <f t="shared" si="42"/>
        <v>8.6494319999999991</v>
      </c>
      <c r="AW331" s="239">
        <f>(AS331*AK331/1000000)*(VLOOKUP(N331,FCST!D:I,6,FALSE))</f>
        <v>0</v>
      </c>
      <c r="AX331" s="239">
        <f t="shared" si="43"/>
        <v>0</v>
      </c>
      <c r="AY331" s="239">
        <f>IF($G331="CERVECERIA Y MALTERIA.",($AS331*$AK331/1000000)*(1-VLOOKUP($N331,FCST!D:I,6,FALSE)),0)</f>
        <v>0</v>
      </c>
      <c r="AZ331" s="239">
        <f t="shared" si="44"/>
        <v>0</v>
      </c>
    </row>
    <row r="332" spans="1:52" x14ac:dyDescent="0.25">
      <c r="A332" s="209">
        <v>1084401</v>
      </c>
      <c r="B332" s="209">
        <v>50</v>
      </c>
      <c r="C332" s="209">
        <v>89312037</v>
      </c>
      <c r="D332" s="209">
        <v>10</v>
      </c>
      <c r="E332" s="209">
        <v>10000002</v>
      </c>
      <c r="F332" s="209">
        <v>20000335</v>
      </c>
      <c r="G332" s="209" t="s">
        <v>105</v>
      </c>
      <c r="H332" s="209">
        <v>20000335</v>
      </c>
      <c r="I332" s="209">
        <v>2</v>
      </c>
      <c r="J332" s="209" t="s">
        <v>169</v>
      </c>
      <c r="K332" s="209" t="s">
        <v>665</v>
      </c>
      <c r="L332" s="209" t="s">
        <v>171</v>
      </c>
      <c r="M332" s="209" t="s">
        <v>184</v>
      </c>
      <c r="N332" s="209">
        <v>50034574</v>
      </c>
      <c r="O332" s="209" t="s">
        <v>196</v>
      </c>
      <c r="P332" s="209">
        <v>5121</v>
      </c>
      <c r="Q332" s="209" t="s">
        <v>174</v>
      </c>
      <c r="R332" s="209" t="s">
        <v>175</v>
      </c>
      <c r="S332" s="209" t="s">
        <v>176</v>
      </c>
      <c r="T332" s="209" t="s">
        <v>177</v>
      </c>
      <c r="U332" s="209" t="s">
        <v>178</v>
      </c>
      <c r="V332" s="209" t="s">
        <v>179</v>
      </c>
      <c r="W332" s="209" t="s">
        <v>179</v>
      </c>
      <c r="X332" s="209" t="s">
        <v>180</v>
      </c>
      <c r="Y332" s="209" t="s">
        <v>180</v>
      </c>
      <c r="Z332" s="209">
        <v>9521066884</v>
      </c>
      <c r="AA332" s="209" t="s">
        <v>539</v>
      </c>
      <c r="AB332" s="209" t="s">
        <v>180</v>
      </c>
      <c r="AC332" s="209" t="s">
        <v>182</v>
      </c>
      <c r="AD332" s="209">
        <v>11</v>
      </c>
      <c r="AE332" s="209">
        <v>2024</v>
      </c>
      <c r="AF332" s="227">
        <v>45603</v>
      </c>
      <c r="AG332" s="227">
        <v>45609</v>
      </c>
      <c r="AH332" s="227">
        <v>45609</v>
      </c>
      <c r="AI332" s="228">
        <v>977184</v>
      </c>
      <c r="AJ332" s="228">
        <v>52</v>
      </c>
      <c r="AK332" s="228">
        <v>977184</v>
      </c>
      <c r="AL332" s="228">
        <v>52</v>
      </c>
      <c r="AM332" s="228">
        <v>0</v>
      </c>
      <c r="AN332" s="228">
        <v>0</v>
      </c>
      <c r="AO332" s="229">
        <v>46</v>
      </c>
      <c r="AP332" s="231">
        <v>11</v>
      </c>
      <c r="AQ332" s="231">
        <v>2024</v>
      </c>
      <c r="AR332" s="231" t="str">
        <f t="shared" si="40"/>
        <v>11/2024</v>
      </c>
      <c r="AS332" s="231">
        <f t="shared" si="41"/>
        <v>19.5</v>
      </c>
      <c r="AT332" s="239">
        <f>IF(G332="CERVECERIA Y MALTERIA",(AS332*AK332/1000000)*(1-VLOOKUP(N332,FCST!D:I,6,FALSE)),0)</f>
        <v>19.055088000000001</v>
      </c>
      <c r="AU332" s="232">
        <v>5.0000000000000001E-3</v>
      </c>
      <c r="AV332" s="239">
        <f t="shared" si="42"/>
        <v>19.15036344</v>
      </c>
      <c r="AW332" s="239">
        <f>(AS332*AK332/1000000)*(VLOOKUP(N332,FCST!D:I,6,FALSE))</f>
        <v>0</v>
      </c>
      <c r="AX332" s="239">
        <f t="shared" si="43"/>
        <v>0</v>
      </c>
      <c r="AY332" s="239">
        <f>IF($G332="CERVECERIA Y MALTERIA.",($AS332*$AK332/1000000)*(1-VLOOKUP($N332,FCST!D:I,6,FALSE)),0)</f>
        <v>0</v>
      </c>
      <c r="AZ332" s="239">
        <f t="shared" si="44"/>
        <v>0</v>
      </c>
    </row>
    <row r="333" spans="1:52" x14ac:dyDescent="0.25">
      <c r="A333" s="209">
        <v>1084400</v>
      </c>
      <c r="B333" s="209">
        <v>30</v>
      </c>
      <c r="C333" s="209">
        <v>89312085</v>
      </c>
      <c r="D333" s="209">
        <v>10</v>
      </c>
      <c r="E333" s="209">
        <v>10000002</v>
      </c>
      <c r="F333" s="209">
        <v>20000340</v>
      </c>
      <c r="G333" s="209" t="s">
        <v>117</v>
      </c>
      <c r="H333" s="209">
        <v>20000340</v>
      </c>
      <c r="I333" s="209">
        <v>2</v>
      </c>
      <c r="J333" s="209" t="s">
        <v>169</v>
      </c>
      <c r="K333" s="209" t="s">
        <v>666</v>
      </c>
      <c r="L333" s="209" t="s">
        <v>171</v>
      </c>
      <c r="M333" s="209" t="s">
        <v>184</v>
      </c>
      <c r="N333" s="209">
        <v>50036718</v>
      </c>
      <c r="O333" s="209" t="s">
        <v>259</v>
      </c>
      <c r="P333" s="209">
        <v>5101</v>
      </c>
      <c r="Q333" s="209" t="s">
        <v>186</v>
      </c>
      <c r="R333" s="209" t="s">
        <v>175</v>
      </c>
      <c r="S333" s="209" t="s">
        <v>176</v>
      </c>
      <c r="T333" s="209" t="s">
        <v>187</v>
      </c>
      <c r="U333" s="209" t="s">
        <v>188</v>
      </c>
      <c r="V333" s="209" t="s">
        <v>179</v>
      </c>
      <c r="W333" s="209" t="s">
        <v>179</v>
      </c>
      <c r="X333" s="209" t="s">
        <v>180</v>
      </c>
      <c r="Y333" s="209" t="s">
        <v>180</v>
      </c>
      <c r="Z333" s="209">
        <v>9511047127</v>
      </c>
      <c r="AA333" s="209" t="s">
        <v>552</v>
      </c>
      <c r="AB333" s="209" t="s">
        <v>180</v>
      </c>
      <c r="AC333" s="209" t="s">
        <v>182</v>
      </c>
      <c r="AD333" s="209">
        <v>11</v>
      </c>
      <c r="AE333" s="209">
        <v>2024</v>
      </c>
      <c r="AF333" s="227">
        <v>45603</v>
      </c>
      <c r="AG333" s="227">
        <v>45609</v>
      </c>
      <c r="AH333" s="227">
        <v>45609</v>
      </c>
      <c r="AI333" s="228">
        <v>519168</v>
      </c>
      <c r="AJ333" s="228">
        <v>52</v>
      </c>
      <c r="AK333" s="228">
        <v>519168</v>
      </c>
      <c r="AL333" s="228">
        <v>52</v>
      </c>
      <c r="AM333" s="228">
        <v>0</v>
      </c>
      <c r="AN333" s="228">
        <v>0</v>
      </c>
      <c r="AO333" s="229">
        <v>46</v>
      </c>
      <c r="AP333" s="231">
        <v>11</v>
      </c>
      <c r="AQ333" s="231">
        <v>2024</v>
      </c>
      <c r="AR333" s="231" t="str">
        <f t="shared" si="40"/>
        <v>11/2024</v>
      </c>
      <c r="AS333" s="231">
        <f t="shared" si="41"/>
        <v>34</v>
      </c>
      <c r="AT333" s="239">
        <f>IF(G333="CERVECERIA Y MALTERIA",(AS333*AK333/1000000)*(1-VLOOKUP(N333,FCST!D:I,6,FALSE)),0)</f>
        <v>0</v>
      </c>
      <c r="AU333" s="232">
        <v>5.0000000000000001E-3</v>
      </c>
      <c r="AV333" s="239">
        <f t="shared" si="42"/>
        <v>0</v>
      </c>
      <c r="AW333" s="239">
        <f>(AS333*AK333/1000000)*(VLOOKUP(N333,FCST!D:I,6,FALSE))</f>
        <v>0</v>
      </c>
      <c r="AX333" s="239">
        <f t="shared" si="43"/>
        <v>0</v>
      </c>
      <c r="AY333" s="239">
        <f>IF($G333="CERVECERIA Y MALTERIA.",($AS333*$AK333/1000000)*(1-VLOOKUP($N333,FCST!D:I,6,FALSE)),0)</f>
        <v>17.651712</v>
      </c>
      <c r="AZ333" s="239">
        <f t="shared" si="44"/>
        <v>17.73997056</v>
      </c>
    </row>
    <row r="334" spans="1:52" x14ac:dyDescent="0.25">
      <c r="A334" s="209">
        <v>1084401</v>
      </c>
      <c r="B334" s="209">
        <v>10</v>
      </c>
      <c r="C334" s="209">
        <v>89310396</v>
      </c>
      <c r="D334" s="209">
        <v>10</v>
      </c>
      <c r="E334" s="209">
        <v>10000002</v>
      </c>
      <c r="F334" s="209">
        <v>20000335</v>
      </c>
      <c r="G334" s="209" t="s">
        <v>105</v>
      </c>
      <c r="H334" s="209">
        <v>20000335</v>
      </c>
      <c r="I334" s="209">
        <v>2</v>
      </c>
      <c r="J334" s="209" t="s">
        <v>169</v>
      </c>
      <c r="K334" s="209" t="s">
        <v>667</v>
      </c>
      <c r="L334" s="209" t="s">
        <v>171</v>
      </c>
      <c r="M334" s="209" t="s">
        <v>184</v>
      </c>
      <c r="N334" s="209">
        <v>50032573</v>
      </c>
      <c r="O334" s="209" t="s">
        <v>173</v>
      </c>
      <c r="P334" s="209">
        <v>5121</v>
      </c>
      <c r="Q334" s="209" t="s">
        <v>174</v>
      </c>
      <c r="R334" s="209" t="s">
        <v>175</v>
      </c>
      <c r="S334" s="209" t="s">
        <v>176</v>
      </c>
      <c r="T334" s="209" t="s">
        <v>177</v>
      </c>
      <c r="U334" s="209" t="s">
        <v>178</v>
      </c>
      <c r="V334" s="209" t="s">
        <v>179</v>
      </c>
      <c r="W334" s="209" t="s">
        <v>179</v>
      </c>
      <c r="X334" s="209" t="s">
        <v>180</v>
      </c>
      <c r="Y334" s="209" t="s">
        <v>180</v>
      </c>
      <c r="Z334" s="209">
        <v>9521066881</v>
      </c>
      <c r="AA334" s="209" t="s">
        <v>548</v>
      </c>
      <c r="AB334" s="209" t="s">
        <v>180</v>
      </c>
      <c r="AC334" s="209" t="s">
        <v>182</v>
      </c>
      <c r="AD334" s="209">
        <v>11</v>
      </c>
      <c r="AE334" s="209">
        <v>2024</v>
      </c>
      <c r="AF334" s="227">
        <v>45603</v>
      </c>
      <c r="AG334" s="227">
        <v>45607</v>
      </c>
      <c r="AH334" s="227">
        <v>45607</v>
      </c>
      <c r="AI334" s="228">
        <v>531648</v>
      </c>
      <c r="AJ334" s="228">
        <v>52</v>
      </c>
      <c r="AK334" s="228">
        <v>531648</v>
      </c>
      <c r="AL334" s="228">
        <v>52</v>
      </c>
      <c r="AM334" s="228">
        <v>0</v>
      </c>
      <c r="AN334" s="228">
        <v>0</v>
      </c>
      <c r="AO334" s="229">
        <v>46</v>
      </c>
      <c r="AP334" s="231">
        <v>11</v>
      </c>
      <c r="AQ334" s="231">
        <v>2024</v>
      </c>
      <c r="AR334" s="231" t="str">
        <f t="shared" si="40"/>
        <v>11/2024</v>
      </c>
      <c r="AS334" s="231">
        <f t="shared" si="41"/>
        <v>37.200000000000003</v>
      </c>
      <c r="AT334" s="239">
        <f>IF(G334="CERVECERIA Y MALTERIA",(AS334*AK334/1000000)*(1-VLOOKUP(N334,FCST!D:I,6,FALSE)),0)</f>
        <v>19.777305600000002</v>
      </c>
      <c r="AU334" s="232">
        <v>5.0000000000000001E-3</v>
      </c>
      <c r="AV334" s="239">
        <f t="shared" si="42"/>
        <v>19.876192128</v>
      </c>
      <c r="AW334" s="239">
        <f>(AS334*AK334/1000000)*(VLOOKUP(N334,FCST!D:I,6,FALSE))</f>
        <v>0</v>
      </c>
      <c r="AX334" s="239">
        <f t="shared" si="43"/>
        <v>0</v>
      </c>
      <c r="AY334" s="239">
        <f>IF($G334="CERVECERIA Y MALTERIA.",($AS334*$AK334/1000000)*(1-VLOOKUP($N334,FCST!D:I,6,FALSE)),0)</f>
        <v>0</v>
      </c>
      <c r="AZ334" s="239">
        <f t="shared" si="44"/>
        <v>0</v>
      </c>
    </row>
    <row r="335" spans="1:52" x14ac:dyDescent="0.25">
      <c r="A335" s="209">
        <v>1084401</v>
      </c>
      <c r="B335" s="209">
        <v>30</v>
      </c>
      <c r="C335" s="209">
        <v>89311013</v>
      </c>
      <c r="D335" s="209">
        <v>10</v>
      </c>
      <c r="E335" s="209">
        <v>10000002</v>
      </c>
      <c r="F335" s="209">
        <v>20000335</v>
      </c>
      <c r="G335" s="209" t="s">
        <v>105</v>
      </c>
      <c r="H335" s="209">
        <v>20000335</v>
      </c>
      <c r="I335" s="209">
        <v>2</v>
      </c>
      <c r="J335" s="209" t="s">
        <v>169</v>
      </c>
      <c r="K335" s="209" t="s">
        <v>668</v>
      </c>
      <c r="L335" s="209" t="s">
        <v>171</v>
      </c>
      <c r="M335" s="209" t="s">
        <v>184</v>
      </c>
      <c r="N335" s="209">
        <v>50032573</v>
      </c>
      <c r="O335" s="209" t="s">
        <v>173</v>
      </c>
      <c r="P335" s="209">
        <v>5121</v>
      </c>
      <c r="Q335" s="209" t="s">
        <v>174</v>
      </c>
      <c r="R335" s="209" t="s">
        <v>175</v>
      </c>
      <c r="S335" s="209" t="s">
        <v>176</v>
      </c>
      <c r="T335" s="209" t="s">
        <v>177</v>
      </c>
      <c r="U335" s="209" t="s">
        <v>178</v>
      </c>
      <c r="V335" s="209" t="s">
        <v>179</v>
      </c>
      <c r="W335" s="209" t="s">
        <v>179</v>
      </c>
      <c r="X335" s="209" t="s">
        <v>180</v>
      </c>
      <c r="Y335" s="209" t="s">
        <v>180</v>
      </c>
      <c r="Z335" s="209">
        <v>9521066881</v>
      </c>
      <c r="AA335" s="209" t="s">
        <v>548</v>
      </c>
      <c r="AB335" s="209" t="s">
        <v>180</v>
      </c>
      <c r="AC335" s="209" t="s">
        <v>182</v>
      </c>
      <c r="AD335" s="209">
        <v>11</v>
      </c>
      <c r="AE335" s="209">
        <v>2024</v>
      </c>
      <c r="AF335" s="227">
        <v>45603</v>
      </c>
      <c r="AG335" s="227">
        <v>45608</v>
      </c>
      <c r="AH335" s="227">
        <v>45608</v>
      </c>
      <c r="AI335" s="228">
        <v>531648</v>
      </c>
      <c r="AJ335" s="228">
        <v>52</v>
      </c>
      <c r="AK335" s="228">
        <v>531648</v>
      </c>
      <c r="AL335" s="228">
        <v>52</v>
      </c>
      <c r="AM335" s="228">
        <v>0</v>
      </c>
      <c r="AN335" s="228">
        <v>0</v>
      </c>
      <c r="AO335" s="229">
        <v>46</v>
      </c>
      <c r="AP335" s="231">
        <v>11</v>
      </c>
      <c r="AQ335" s="231">
        <v>2024</v>
      </c>
      <c r="AR335" s="231" t="str">
        <f t="shared" si="40"/>
        <v>11/2024</v>
      </c>
      <c r="AS335" s="231">
        <f t="shared" si="41"/>
        <v>37.200000000000003</v>
      </c>
      <c r="AT335" s="239">
        <f>IF(G335="CERVECERIA Y MALTERIA",(AS335*AK335/1000000)*(1-VLOOKUP(N335,FCST!D:I,6,FALSE)),0)</f>
        <v>19.777305600000002</v>
      </c>
      <c r="AU335" s="232">
        <v>5.0000000000000001E-3</v>
      </c>
      <c r="AV335" s="239">
        <f t="shared" si="42"/>
        <v>19.876192128</v>
      </c>
      <c r="AW335" s="239">
        <f>(AS335*AK335/1000000)*(VLOOKUP(N335,FCST!D:I,6,FALSE))</f>
        <v>0</v>
      </c>
      <c r="AX335" s="239">
        <f t="shared" si="43"/>
        <v>0</v>
      </c>
      <c r="AY335" s="239">
        <f>IF($G335="CERVECERIA Y MALTERIA.",($AS335*$AK335/1000000)*(1-VLOOKUP($N335,FCST!D:I,6,FALSE)),0)</f>
        <v>0</v>
      </c>
      <c r="AZ335" s="239">
        <f t="shared" si="44"/>
        <v>0</v>
      </c>
    </row>
    <row r="336" spans="1:52" x14ac:dyDescent="0.25">
      <c r="A336" s="209">
        <v>1084400</v>
      </c>
      <c r="B336" s="209">
        <v>20</v>
      </c>
      <c r="C336" s="209">
        <v>89311016</v>
      </c>
      <c r="D336" s="209">
        <v>10</v>
      </c>
      <c r="E336" s="209">
        <v>10000002</v>
      </c>
      <c r="F336" s="209">
        <v>20000340</v>
      </c>
      <c r="G336" s="209" t="s">
        <v>117</v>
      </c>
      <c r="H336" s="209">
        <v>20000340</v>
      </c>
      <c r="I336" s="209">
        <v>2</v>
      </c>
      <c r="J336" s="209" t="s">
        <v>169</v>
      </c>
      <c r="K336" s="209" t="s">
        <v>669</v>
      </c>
      <c r="L336" s="209" t="s">
        <v>171</v>
      </c>
      <c r="M336" s="209" t="s">
        <v>184</v>
      </c>
      <c r="N336" s="209">
        <v>50036718</v>
      </c>
      <c r="O336" s="209" t="s">
        <v>259</v>
      </c>
      <c r="P336" s="209">
        <v>5101</v>
      </c>
      <c r="Q336" s="209" t="s">
        <v>186</v>
      </c>
      <c r="R336" s="209" t="s">
        <v>175</v>
      </c>
      <c r="S336" s="209" t="s">
        <v>176</v>
      </c>
      <c r="T336" s="209" t="s">
        <v>187</v>
      </c>
      <c r="U336" s="209" t="s">
        <v>188</v>
      </c>
      <c r="V336" s="209" t="s">
        <v>179</v>
      </c>
      <c r="W336" s="209" t="s">
        <v>179</v>
      </c>
      <c r="X336" s="209" t="s">
        <v>180</v>
      </c>
      <c r="Y336" s="209" t="s">
        <v>180</v>
      </c>
      <c r="Z336" s="209">
        <v>9511047127</v>
      </c>
      <c r="AA336" s="209" t="s">
        <v>552</v>
      </c>
      <c r="AB336" s="209" t="s">
        <v>180</v>
      </c>
      <c r="AC336" s="209" t="s">
        <v>182</v>
      </c>
      <c r="AD336" s="209">
        <v>11</v>
      </c>
      <c r="AE336" s="209">
        <v>2024</v>
      </c>
      <c r="AF336" s="227">
        <v>45603</v>
      </c>
      <c r="AG336" s="227">
        <v>45608</v>
      </c>
      <c r="AH336" s="227">
        <v>45608</v>
      </c>
      <c r="AI336" s="228">
        <v>519168</v>
      </c>
      <c r="AJ336" s="228">
        <v>52</v>
      </c>
      <c r="AK336" s="228">
        <v>519168</v>
      </c>
      <c r="AL336" s="228">
        <v>52</v>
      </c>
      <c r="AM336" s="228">
        <v>0</v>
      </c>
      <c r="AN336" s="228">
        <v>0</v>
      </c>
      <c r="AO336" s="229">
        <v>46</v>
      </c>
      <c r="AP336" s="231">
        <v>11</v>
      </c>
      <c r="AQ336" s="231">
        <v>2024</v>
      </c>
      <c r="AR336" s="231" t="str">
        <f t="shared" si="40"/>
        <v>11/2024</v>
      </c>
      <c r="AS336" s="231">
        <f t="shared" si="41"/>
        <v>34</v>
      </c>
      <c r="AT336" s="239">
        <f>IF(G336="CERVECERIA Y MALTERIA",(AS336*AK336/1000000)*(1-VLOOKUP(N336,FCST!D:I,6,FALSE)),0)</f>
        <v>0</v>
      </c>
      <c r="AU336" s="232">
        <v>5.0000000000000001E-3</v>
      </c>
      <c r="AV336" s="239">
        <f t="shared" si="42"/>
        <v>0</v>
      </c>
      <c r="AW336" s="239">
        <f>(AS336*AK336/1000000)*(VLOOKUP(N336,FCST!D:I,6,FALSE))</f>
        <v>0</v>
      </c>
      <c r="AX336" s="239">
        <f t="shared" si="43"/>
        <v>0</v>
      </c>
      <c r="AY336" s="239">
        <f>IF($G336="CERVECERIA Y MALTERIA.",($AS336*$AK336/1000000)*(1-VLOOKUP($N336,FCST!D:I,6,FALSE)),0)</f>
        <v>17.651712</v>
      </c>
      <c r="AZ336" s="239">
        <f t="shared" si="44"/>
        <v>17.73997056</v>
      </c>
    </row>
    <row r="337" spans="1:52" x14ac:dyDescent="0.25">
      <c r="A337" s="209">
        <v>1084401</v>
      </c>
      <c r="B337" s="209">
        <v>40</v>
      </c>
      <c r="C337" s="209">
        <v>89311027</v>
      </c>
      <c r="D337" s="209">
        <v>10</v>
      </c>
      <c r="E337" s="209">
        <v>10000002</v>
      </c>
      <c r="F337" s="209">
        <v>20000335</v>
      </c>
      <c r="G337" s="209" t="s">
        <v>105</v>
      </c>
      <c r="H337" s="209">
        <v>20000335</v>
      </c>
      <c r="I337" s="209">
        <v>2</v>
      </c>
      <c r="J337" s="209" t="s">
        <v>169</v>
      </c>
      <c r="K337" s="209" t="s">
        <v>670</v>
      </c>
      <c r="L337" s="209" t="s">
        <v>171</v>
      </c>
      <c r="M337" s="209" t="s">
        <v>199</v>
      </c>
      <c r="N337" s="209">
        <v>50034616</v>
      </c>
      <c r="O337" s="209" t="s">
        <v>191</v>
      </c>
      <c r="P337" s="209">
        <v>5121</v>
      </c>
      <c r="Q337" s="209" t="s">
        <v>200</v>
      </c>
      <c r="R337" s="209" t="s">
        <v>201</v>
      </c>
      <c r="S337" s="209" t="s">
        <v>202</v>
      </c>
      <c r="T337" s="209" t="s">
        <v>203</v>
      </c>
      <c r="U337" s="209" t="s">
        <v>201</v>
      </c>
      <c r="V337" s="209" t="s">
        <v>179</v>
      </c>
      <c r="W337" s="209" t="s">
        <v>179</v>
      </c>
      <c r="X337" s="209" t="s">
        <v>180</v>
      </c>
      <c r="Y337" s="209" t="s">
        <v>180</v>
      </c>
      <c r="Z337" s="209">
        <v>9521066882</v>
      </c>
      <c r="AA337" s="209" t="s">
        <v>567</v>
      </c>
      <c r="AB337" s="209" t="s">
        <v>180</v>
      </c>
      <c r="AC337" s="209" t="s">
        <v>182</v>
      </c>
      <c r="AD337" s="209">
        <v>11</v>
      </c>
      <c r="AE337" s="209">
        <v>2024</v>
      </c>
      <c r="AF337" s="227">
        <v>45603</v>
      </c>
      <c r="AG337" s="227">
        <v>45608</v>
      </c>
      <c r="AH337" s="227">
        <v>45608</v>
      </c>
      <c r="AI337" s="228">
        <v>426816</v>
      </c>
      <c r="AJ337" s="228">
        <v>52</v>
      </c>
      <c r="AK337" s="228">
        <v>426816</v>
      </c>
      <c r="AL337" s="228">
        <v>52</v>
      </c>
      <c r="AM337" s="228">
        <v>0</v>
      </c>
      <c r="AN337" s="228">
        <v>0</v>
      </c>
      <c r="AO337" s="229">
        <v>46</v>
      </c>
      <c r="AP337" s="231">
        <v>11</v>
      </c>
      <c r="AQ337" s="231">
        <v>2024</v>
      </c>
      <c r="AR337" s="231" t="str">
        <f t="shared" si="40"/>
        <v>11/2024</v>
      </c>
      <c r="AS337" s="231">
        <f t="shared" si="41"/>
        <v>46.6</v>
      </c>
      <c r="AT337" s="239">
        <f>IF(G337="CERVECERIA Y MALTERIA",(AS337*AK337/1000000)*(1-VLOOKUP(N337,FCST!D:I,6,FALSE)),0)</f>
        <v>19.889625600000002</v>
      </c>
      <c r="AU337" s="232">
        <v>5.0000000000000001E-3</v>
      </c>
      <c r="AV337" s="239">
        <f t="shared" si="42"/>
        <v>19.989073728000001</v>
      </c>
      <c r="AW337" s="239">
        <f>(AS337*AK337/1000000)*(VLOOKUP(N337,FCST!D:I,6,FALSE))</f>
        <v>0</v>
      </c>
      <c r="AX337" s="239">
        <f t="shared" si="43"/>
        <v>0</v>
      </c>
      <c r="AY337" s="239">
        <f>IF($G337="CERVECERIA Y MALTERIA.",($AS337*$AK337/1000000)*(1-VLOOKUP($N337,FCST!D:I,6,FALSE)),0)</f>
        <v>0</v>
      </c>
      <c r="AZ337" s="239">
        <f t="shared" si="44"/>
        <v>0</v>
      </c>
    </row>
    <row r="339" spans="1:52" x14ac:dyDescent="0.25">
      <c r="A339" s="209">
        <v>1090945</v>
      </c>
      <c r="B339" s="209">
        <v>50</v>
      </c>
      <c r="C339" s="209">
        <v>89340703</v>
      </c>
      <c r="D339" s="209">
        <v>10</v>
      </c>
      <c r="E339" s="209">
        <v>10000002</v>
      </c>
      <c r="F339" s="209">
        <v>20001057</v>
      </c>
      <c r="G339" s="209" t="s">
        <v>105</v>
      </c>
      <c r="H339" s="209">
        <v>20001057</v>
      </c>
      <c r="I339" s="209">
        <v>2</v>
      </c>
      <c r="J339" s="209" t="s">
        <v>169</v>
      </c>
      <c r="K339" s="209" t="s">
        <v>671</v>
      </c>
      <c r="L339" s="209" t="s">
        <v>171</v>
      </c>
      <c r="M339" s="209" t="s">
        <v>199</v>
      </c>
      <c r="N339" s="209">
        <v>50035184</v>
      </c>
      <c r="O339" s="209" t="s">
        <v>672</v>
      </c>
      <c r="P339" s="209">
        <v>5121</v>
      </c>
      <c r="Q339" s="209" t="s">
        <v>200</v>
      </c>
      <c r="R339" s="209" t="s">
        <v>201</v>
      </c>
      <c r="S339" s="209" t="s">
        <v>202</v>
      </c>
      <c r="T339" s="209" t="s">
        <v>203</v>
      </c>
      <c r="U339" s="209" t="s">
        <v>201</v>
      </c>
      <c r="V339" s="209" t="s">
        <v>179</v>
      </c>
      <c r="W339" s="209" t="s">
        <v>179</v>
      </c>
      <c r="X339" s="209" t="s">
        <v>180</v>
      </c>
      <c r="Y339" s="209" t="s">
        <v>180</v>
      </c>
      <c r="Z339" s="209">
        <v>9521067101</v>
      </c>
      <c r="AA339" s="209" t="s">
        <v>673</v>
      </c>
      <c r="AB339" s="209" t="s">
        <v>180</v>
      </c>
      <c r="AC339" s="209" t="s">
        <v>182</v>
      </c>
      <c r="AD339" s="209">
        <v>12</v>
      </c>
      <c r="AE339" s="209">
        <v>2024</v>
      </c>
      <c r="AF339" s="227">
        <v>45639</v>
      </c>
      <c r="AG339" s="227">
        <v>45646</v>
      </c>
      <c r="AH339" s="227">
        <v>45646</v>
      </c>
      <c r="AI339" s="228">
        <v>977184</v>
      </c>
      <c r="AJ339" s="228">
        <v>52</v>
      </c>
      <c r="AK339" s="228">
        <v>977184</v>
      </c>
      <c r="AL339" s="228">
        <v>52</v>
      </c>
      <c r="AM339" s="228">
        <v>0</v>
      </c>
      <c r="AN339" s="228">
        <v>0</v>
      </c>
      <c r="AO339" s="229">
        <v>50</v>
      </c>
      <c r="AP339" s="231">
        <v>12</v>
      </c>
      <c r="AQ339" s="231">
        <v>2024</v>
      </c>
      <c r="AR339" s="231" t="str">
        <f t="shared" ref="AR339" si="45">+IF(AP339&lt;10,"0"&amp;AP339&amp; "/"&amp;AQ339,AP339&amp; "/"&amp;AQ339)</f>
        <v>12/2024</v>
      </c>
      <c r="AS339" s="231">
        <f t="shared" ref="AS339" si="46">VALUE(MID(INDEX(_xlfn.TEXTSPLIT(O339, ","), 1, 3), 1,FIND("G", INDEX(_xlfn.TEXTSPLIT(O339, ","), 1, 3))-1))</f>
        <v>19.5</v>
      </c>
      <c r="AT339" s="239">
        <f>IF(G339="CERVECERIA Y MALTERIA",(AS339*AK339/1000000)*(1-VLOOKUP(N339,FCST!D:I,6,FALSE)),0)</f>
        <v>19.055088000000001</v>
      </c>
      <c r="AU339" s="232">
        <v>5.0000000000000001E-3</v>
      </c>
      <c r="AV339" s="239">
        <f t="shared" ref="AV339" si="47">+AT339*(1+AU339)</f>
        <v>19.15036344</v>
      </c>
      <c r="AW339" s="239">
        <f>(AS339*AK339/1000000)*(VLOOKUP(N339,FCST!D:I,6,FALSE))</f>
        <v>0</v>
      </c>
      <c r="AX339" s="239">
        <f t="shared" ref="AX339" si="48">+AW339*(1+AU339)</f>
        <v>0</v>
      </c>
      <c r="AY339" s="239">
        <f>IF($G339="CERVECERIA Y MALTERIA.",($AS339*$AK339/1000000)*(1-VLOOKUP($N339,FCST!D:I,6,FALSE)),0)</f>
        <v>0</v>
      </c>
      <c r="AZ339" s="239">
        <f t="shared" ref="AZ339" si="49">+AY339*(1+AU339)</f>
        <v>0</v>
      </c>
    </row>
    <row r="340" spans="1:52" x14ac:dyDescent="0.25">
      <c r="A340" s="209">
        <v>1090647</v>
      </c>
      <c r="B340" s="209">
        <v>60</v>
      </c>
      <c r="C340" s="209">
        <v>89340738</v>
      </c>
      <c r="D340" s="209">
        <v>10</v>
      </c>
      <c r="E340" s="209">
        <v>10000002</v>
      </c>
      <c r="F340" s="209">
        <v>20000340</v>
      </c>
      <c r="G340" s="209" t="s">
        <v>117</v>
      </c>
      <c r="H340" s="209">
        <v>20000340</v>
      </c>
      <c r="I340" s="209">
        <v>2</v>
      </c>
      <c r="J340" s="209" t="s">
        <v>169</v>
      </c>
      <c r="K340" s="209" t="s">
        <v>674</v>
      </c>
      <c r="L340" s="209" t="s">
        <v>171</v>
      </c>
      <c r="M340" s="209" t="s">
        <v>172</v>
      </c>
      <c r="N340" s="209">
        <v>50029817</v>
      </c>
      <c r="O340" s="209" t="s">
        <v>396</v>
      </c>
      <c r="P340" s="209">
        <v>5101</v>
      </c>
      <c r="Q340" s="209" t="s">
        <v>186</v>
      </c>
      <c r="R340" s="209" t="s">
        <v>175</v>
      </c>
      <c r="S340" s="209" t="s">
        <v>176</v>
      </c>
      <c r="T340" s="209" t="s">
        <v>187</v>
      </c>
      <c r="U340" s="209" t="s">
        <v>188</v>
      </c>
      <c r="V340" s="209" t="s">
        <v>179</v>
      </c>
      <c r="W340" s="209" t="s">
        <v>179</v>
      </c>
      <c r="X340" s="209" t="s">
        <v>180</v>
      </c>
      <c r="Y340" s="209" t="s">
        <v>180</v>
      </c>
      <c r="Z340" s="209">
        <v>9511047240</v>
      </c>
      <c r="AA340" s="209" t="s">
        <v>675</v>
      </c>
      <c r="AB340" s="209" t="s">
        <v>180</v>
      </c>
      <c r="AC340" s="209" t="s">
        <v>182</v>
      </c>
      <c r="AD340" s="209">
        <v>12</v>
      </c>
      <c r="AE340" s="209">
        <v>2024</v>
      </c>
      <c r="AF340" s="227">
        <v>45638</v>
      </c>
      <c r="AG340" s="227">
        <v>45646</v>
      </c>
      <c r="AH340" s="227">
        <v>45646</v>
      </c>
      <c r="AI340" s="228">
        <v>606528</v>
      </c>
      <c r="AJ340" s="228">
        <v>52</v>
      </c>
      <c r="AK340" s="228">
        <v>606528</v>
      </c>
      <c r="AL340" s="228">
        <v>52</v>
      </c>
      <c r="AM340" s="228">
        <v>0</v>
      </c>
      <c r="AN340" s="228">
        <v>0</v>
      </c>
      <c r="AO340" s="229">
        <v>51</v>
      </c>
      <c r="AP340" s="231">
        <v>12</v>
      </c>
      <c r="AQ340" s="231">
        <v>2024</v>
      </c>
      <c r="AR340" s="231" t="str">
        <f t="shared" ref="AR340:AR403" si="50">+IF(AP340&lt;10,"0"&amp;AP340&amp; "/"&amp;AQ340,AP340&amp; "/"&amp;AQ340)</f>
        <v>12/2024</v>
      </c>
      <c r="AS340" s="231">
        <f t="shared" ref="AS340:AS403" si="51">VALUE(MID(INDEX(_xlfn.TEXTSPLIT(O340, ","), 1, 3), 1,FIND("G", INDEX(_xlfn.TEXTSPLIT(O340, ","), 1, 3))-1))</f>
        <v>30</v>
      </c>
      <c r="AT340" s="239">
        <f>IF(G340="CERVECERIA Y MALTERIA",(AS340*AK340/1000000)*(1-VLOOKUP(N340,FCST!D:I,6,FALSE)),0)</f>
        <v>0</v>
      </c>
      <c r="AU340" s="232">
        <v>5.0000000000000001E-3</v>
      </c>
      <c r="AV340" s="239">
        <f t="shared" ref="AV340:AV403" si="52">+AT340*(1+AU340)</f>
        <v>0</v>
      </c>
      <c r="AW340" s="239">
        <f>(AS340*AK340/1000000)*(VLOOKUP(N340,FCST!D:I,6,FALSE))</f>
        <v>5.4587519999999996</v>
      </c>
      <c r="AX340" s="239">
        <f t="shared" ref="AX340:AX403" si="53">+AW340*(1+AU340)</f>
        <v>5.4860457599999988</v>
      </c>
      <c r="AY340" s="239">
        <f>IF($G340="CERVECERIA Y MALTERIA.",($AS340*$AK340/1000000)*(1-VLOOKUP($N340,FCST!D:I,6,FALSE)),0)</f>
        <v>12.737088</v>
      </c>
      <c r="AZ340" s="239">
        <f t="shared" ref="AZ340:AZ403" si="54">+AY340*(1+AU340)</f>
        <v>12.800773439999999</v>
      </c>
    </row>
    <row r="341" spans="1:52" x14ac:dyDescent="0.25">
      <c r="A341" s="209">
        <v>1091033</v>
      </c>
      <c r="B341" s="209">
        <v>30</v>
      </c>
      <c r="C341" s="209">
        <v>89340606</v>
      </c>
      <c r="D341" s="209">
        <v>10</v>
      </c>
      <c r="E341" s="209">
        <v>10000002</v>
      </c>
      <c r="F341" s="209">
        <v>20000337</v>
      </c>
      <c r="G341" s="209" t="s">
        <v>105</v>
      </c>
      <c r="H341" s="209">
        <v>20000337</v>
      </c>
      <c r="I341" s="209">
        <v>2</v>
      </c>
      <c r="J341" s="209" t="s">
        <v>169</v>
      </c>
      <c r="K341" s="209" t="s">
        <v>676</v>
      </c>
      <c r="L341" s="209" t="s">
        <v>265</v>
      </c>
      <c r="M341" s="209" t="s">
        <v>199</v>
      </c>
      <c r="N341" s="209">
        <v>50034616</v>
      </c>
      <c r="O341" s="209" t="s">
        <v>191</v>
      </c>
      <c r="P341" s="209">
        <v>5121</v>
      </c>
      <c r="Q341" s="209" t="s">
        <v>200</v>
      </c>
      <c r="R341" s="209" t="s">
        <v>201</v>
      </c>
      <c r="S341" s="209" t="s">
        <v>202</v>
      </c>
      <c r="T341" s="209" t="s">
        <v>203</v>
      </c>
      <c r="U341" s="209" t="s">
        <v>201</v>
      </c>
      <c r="V341" s="209" t="s">
        <v>179</v>
      </c>
      <c r="W341" s="209" t="s">
        <v>179</v>
      </c>
      <c r="X341" s="209" t="s">
        <v>180</v>
      </c>
      <c r="Y341" s="209" t="s">
        <v>180</v>
      </c>
      <c r="Z341" s="209">
        <v>9521067083</v>
      </c>
      <c r="AA341" s="209" t="s">
        <v>677</v>
      </c>
      <c r="AB341" s="209" t="s">
        <v>180</v>
      </c>
      <c r="AC341" s="209" t="s">
        <v>182</v>
      </c>
      <c r="AD341" s="209">
        <v>12</v>
      </c>
      <c r="AE341" s="209">
        <v>2024</v>
      </c>
      <c r="AF341" s="227">
        <v>45642</v>
      </c>
      <c r="AG341" s="227">
        <v>45646</v>
      </c>
      <c r="AH341" s="227">
        <v>45646</v>
      </c>
      <c r="AI341" s="228">
        <v>426816</v>
      </c>
      <c r="AJ341" s="228">
        <v>52</v>
      </c>
      <c r="AK341" s="228">
        <v>426816</v>
      </c>
      <c r="AL341" s="228">
        <v>52</v>
      </c>
      <c r="AM341" s="228">
        <v>0</v>
      </c>
      <c r="AN341" s="228">
        <v>0</v>
      </c>
      <c r="AO341" s="229">
        <v>51</v>
      </c>
      <c r="AP341" s="231">
        <v>12</v>
      </c>
      <c r="AQ341" s="231">
        <v>2024</v>
      </c>
      <c r="AR341" s="231" t="str">
        <f t="shared" si="50"/>
        <v>12/2024</v>
      </c>
      <c r="AS341" s="231">
        <f t="shared" si="51"/>
        <v>46.6</v>
      </c>
      <c r="AT341" s="239">
        <f>IF(G341="CERVECERIA Y MALTERIA",(AS341*AK341/1000000)*(1-VLOOKUP(N341,FCST!D:I,6,FALSE)),0)</f>
        <v>19.889625600000002</v>
      </c>
      <c r="AU341" s="232">
        <v>5.0000000000000001E-3</v>
      </c>
      <c r="AV341" s="239">
        <f t="shared" si="52"/>
        <v>19.989073728000001</v>
      </c>
      <c r="AW341" s="239">
        <f>(AS341*AK341/1000000)*(VLOOKUP(N341,FCST!D:I,6,FALSE))</f>
        <v>0</v>
      </c>
      <c r="AX341" s="239">
        <f t="shared" si="53"/>
        <v>0</v>
      </c>
      <c r="AY341" s="239">
        <f>IF($G341="CERVECERIA Y MALTERIA.",($AS341*$AK341/1000000)*(1-VLOOKUP($N341,FCST!D:I,6,FALSE)),0)</f>
        <v>0</v>
      </c>
      <c r="AZ341" s="239">
        <f t="shared" si="54"/>
        <v>0</v>
      </c>
    </row>
    <row r="342" spans="1:52" x14ac:dyDescent="0.25">
      <c r="A342" s="209">
        <v>1090643</v>
      </c>
      <c r="B342" s="209">
        <v>100</v>
      </c>
      <c r="C342" s="209">
        <v>89340932</v>
      </c>
      <c r="D342" s="209">
        <v>10</v>
      </c>
      <c r="E342" s="209">
        <v>10000002</v>
      </c>
      <c r="F342" s="209">
        <v>20000335</v>
      </c>
      <c r="G342" s="209" t="s">
        <v>105</v>
      </c>
      <c r="H342" s="209">
        <v>20000335</v>
      </c>
      <c r="I342" s="209">
        <v>2</v>
      </c>
      <c r="J342" s="209" t="s">
        <v>169</v>
      </c>
      <c r="K342" s="209" t="s">
        <v>678</v>
      </c>
      <c r="L342" s="209" t="s">
        <v>171</v>
      </c>
      <c r="M342" s="209" t="s">
        <v>199</v>
      </c>
      <c r="N342" s="209">
        <v>50037887</v>
      </c>
      <c r="O342" s="209" t="s">
        <v>679</v>
      </c>
      <c r="P342" s="209">
        <v>5121</v>
      </c>
      <c r="Q342" s="209" t="s">
        <v>200</v>
      </c>
      <c r="R342" s="209" t="s">
        <v>201</v>
      </c>
      <c r="S342" s="209" t="s">
        <v>202</v>
      </c>
      <c r="T342" s="209" t="s">
        <v>203</v>
      </c>
      <c r="U342" s="209" t="s">
        <v>201</v>
      </c>
      <c r="V342" s="209" t="s">
        <v>179</v>
      </c>
      <c r="W342" s="209" t="s">
        <v>179</v>
      </c>
      <c r="X342" s="209" t="s">
        <v>180</v>
      </c>
      <c r="Y342" s="209" t="s">
        <v>180</v>
      </c>
      <c r="Z342" s="209">
        <v>9521067115</v>
      </c>
      <c r="AA342" s="209" t="s">
        <v>680</v>
      </c>
      <c r="AB342" s="209" t="s">
        <v>180</v>
      </c>
      <c r="AC342" s="209" t="s">
        <v>182</v>
      </c>
      <c r="AD342" s="209">
        <v>12</v>
      </c>
      <c r="AE342" s="209">
        <v>2024</v>
      </c>
      <c r="AF342" s="227">
        <v>45638</v>
      </c>
      <c r="AG342" s="227">
        <v>45646</v>
      </c>
      <c r="AH342" s="227">
        <v>45646</v>
      </c>
      <c r="AI342" s="228">
        <v>531648</v>
      </c>
      <c r="AJ342" s="228">
        <v>52</v>
      </c>
      <c r="AK342" s="228">
        <v>531648</v>
      </c>
      <c r="AL342" s="228">
        <v>52</v>
      </c>
      <c r="AM342" s="228">
        <v>0</v>
      </c>
      <c r="AN342" s="228">
        <v>0</v>
      </c>
      <c r="AO342" s="229">
        <v>51</v>
      </c>
      <c r="AP342" s="231">
        <v>12</v>
      </c>
      <c r="AQ342" s="231">
        <v>2024</v>
      </c>
      <c r="AR342" s="231" t="str">
        <f t="shared" si="50"/>
        <v>12/2024</v>
      </c>
      <c r="AS342" s="231">
        <f t="shared" si="51"/>
        <v>37.200000000000003</v>
      </c>
      <c r="AT342" s="239">
        <f>IF(G342="CERVECERIA Y MALTERIA",(AS342*AK342/1000000)*(1-VLOOKUP(N342,FCST!D:I,6,FALSE)),0)</f>
        <v>19.777305600000002</v>
      </c>
      <c r="AU342" s="232">
        <v>5.0000000000000001E-3</v>
      </c>
      <c r="AV342" s="239">
        <f t="shared" si="52"/>
        <v>19.876192128</v>
      </c>
      <c r="AW342" s="239">
        <f>(AS342*AK342/1000000)*(VLOOKUP(N342,FCST!D:I,6,FALSE))</f>
        <v>0</v>
      </c>
      <c r="AX342" s="239">
        <f t="shared" si="53"/>
        <v>0</v>
      </c>
      <c r="AY342" s="239">
        <f>IF($G342="CERVECERIA Y MALTERIA.",($AS342*$AK342/1000000)*(1-VLOOKUP($N342,FCST!D:I,6,FALSE)),0)</f>
        <v>0</v>
      </c>
      <c r="AZ342" s="239">
        <f t="shared" si="54"/>
        <v>0</v>
      </c>
    </row>
    <row r="343" spans="1:52" x14ac:dyDescent="0.25">
      <c r="A343" s="209">
        <v>1090945</v>
      </c>
      <c r="B343" s="209">
        <v>60</v>
      </c>
      <c r="C343" s="209">
        <v>89341168</v>
      </c>
      <c r="D343" s="209">
        <v>10</v>
      </c>
      <c r="E343" s="209">
        <v>10000002</v>
      </c>
      <c r="F343" s="209">
        <v>20001057</v>
      </c>
      <c r="G343" s="209" t="s">
        <v>105</v>
      </c>
      <c r="H343" s="209">
        <v>20001057</v>
      </c>
      <c r="I343" s="209">
        <v>2</v>
      </c>
      <c r="J343" s="209" t="s">
        <v>169</v>
      </c>
      <c r="K343" s="209" t="s">
        <v>681</v>
      </c>
      <c r="L343" s="209" t="s">
        <v>171</v>
      </c>
      <c r="M343" s="209" t="s">
        <v>172</v>
      </c>
      <c r="N343" s="209">
        <v>50037042</v>
      </c>
      <c r="O343" s="209" t="s">
        <v>543</v>
      </c>
      <c r="P343" s="209">
        <v>5121</v>
      </c>
      <c r="Q343" s="209" t="s">
        <v>174</v>
      </c>
      <c r="R343" s="209" t="s">
        <v>175</v>
      </c>
      <c r="S343" s="209" t="s">
        <v>176</v>
      </c>
      <c r="T343" s="209" t="s">
        <v>177</v>
      </c>
      <c r="U343" s="209" t="s">
        <v>178</v>
      </c>
      <c r="V343" s="209" t="s">
        <v>179</v>
      </c>
      <c r="W343" s="209" t="s">
        <v>179</v>
      </c>
      <c r="X343" s="209" t="s">
        <v>180</v>
      </c>
      <c r="Y343" s="209" t="s">
        <v>180</v>
      </c>
      <c r="Z343" s="209">
        <v>9521067114</v>
      </c>
      <c r="AA343" s="209" t="s">
        <v>682</v>
      </c>
      <c r="AB343" s="209" t="s">
        <v>180</v>
      </c>
      <c r="AC343" s="209" t="s">
        <v>182</v>
      </c>
      <c r="AD343" s="209">
        <v>12</v>
      </c>
      <c r="AE343" s="209">
        <v>2024</v>
      </c>
      <c r="AF343" s="227">
        <v>45639</v>
      </c>
      <c r="AG343" s="227">
        <v>45646</v>
      </c>
      <c r="AH343" s="227">
        <v>45646</v>
      </c>
      <c r="AI343" s="228">
        <v>352944</v>
      </c>
      <c r="AJ343" s="228">
        <v>43</v>
      </c>
      <c r="AK343" s="228">
        <v>352944</v>
      </c>
      <c r="AL343" s="228">
        <v>43</v>
      </c>
      <c r="AM343" s="228">
        <v>0</v>
      </c>
      <c r="AN343" s="228">
        <v>0</v>
      </c>
      <c r="AO343" s="229">
        <v>50</v>
      </c>
      <c r="AP343" s="231">
        <v>12</v>
      </c>
      <c r="AQ343" s="231">
        <v>2024</v>
      </c>
      <c r="AR343" s="231" t="str">
        <f t="shared" si="50"/>
        <v>12/2024</v>
      </c>
      <c r="AS343" s="231">
        <f t="shared" si="51"/>
        <v>46.6</v>
      </c>
      <c r="AT343" s="239">
        <f>IF(G343="CERVECERIA Y MALTERIA",(AS343*AK343/1000000)*(1-VLOOKUP(N343,FCST!D:I,6,FALSE)),0)</f>
        <v>13.15775232</v>
      </c>
      <c r="AU343" s="232">
        <v>5.0000000000000001E-3</v>
      </c>
      <c r="AV343" s="239">
        <f t="shared" si="52"/>
        <v>13.223541081599999</v>
      </c>
      <c r="AW343" s="239">
        <f>(AS343*AK343/1000000)*(VLOOKUP(N343,FCST!D:I,6,FALSE))</f>
        <v>3.28943808</v>
      </c>
      <c r="AX343" s="239">
        <f t="shared" si="53"/>
        <v>3.3058852703999997</v>
      </c>
      <c r="AY343" s="239">
        <f>IF($G343="CERVECERIA Y MALTERIA.",($AS343*$AK343/1000000)*(1-VLOOKUP($N343,FCST!D:I,6,FALSE)),0)</f>
        <v>0</v>
      </c>
      <c r="AZ343" s="239">
        <f t="shared" si="54"/>
        <v>0</v>
      </c>
    </row>
    <row r="344" spans="1:52" x14ac:dyDescent="0.25">
      <c r="A344" s="209">
        <v>1090945</v>
      </c>
      <c r="B344" s="209">
        <v>70</v>
      </c>
      <c r="C344" s="209">
        <v>89341168</v>
      </c>
      <c r="D344" s="209">
        <v>20</v>
      </c>
      <c r="E344" s="209">
        <v>10000002</v>
      </c>
      <c r="F344" s="209">
        <v>20001057</v>
      </c>
      <c r="G344" s="209" t="s">
        <v>105</v>
      </c>
      <c r="H344" s="209">
        <v>20001057</v>
      </c>
      <c r="I344" s="209">
        <v>2</v>
      </c>
      <c r="J344" s="209" t="s">
        <v>169</v>
      </c>
      <c r="K344" s="209" t="s">
        <v>681</v>
      </c>
      <c r="L344" s="209" t="s">
        <v>171</v>
      </c>
      <c r="M344" s="209" t="s">
        <v>172</v>
      </c>
      <c r="N344" s="209">
        <v>50037887</v>
      </c>
      <c r="O344" s="209" t="s">
        <v>679</v>
      </c>
      <c r="P344" s="209">
        <v>5121</v>
      </c>
      <c r="Q344" s="209" t="s">
        <v>174</v>
      </c>
      <c r="R344" s="209" t="s">
        <v>175</v>
      </c>
      <c r="S344" s="209" t="s">
        <v>176</v>
      </c>
      <c r="T344" s="209" t="s">
        <v>177</v>
      </c>
      <c r="U344" s="209" t="s">
        <v>178</v>
      </c>
      <c r="V344" s="209" t="s">
        <v>179</v>
      </c>
      <c r="W344" s="209" t="s">
        <v>179</v>
      </c>
      <c r="X344" s="209" t="s">
        <v>180</v>
      </c>
      <c r="Y344" s="209" t="s">
        <v>180</v>
      </c>
      <c r="Z344" s="209">
        <v>9521067114</v>
      </c>
      <c r="AA344" s="209" t="s">
        <v>682</v>
      </c>
      <c r="AB344" s="209" t="s">
        <v>180</v>
      </c>
      <c r="AC344" s="209" t="s">
        <v>182</v>
      </c>
      <c r="AD344" s="209">
        <v>12</v>
      </c>
      <c r="AE344" s="209">
        <v>2024</v>
      </c>
      <c r="AF344" s="227">
        <v>45639</v>
      </c>
      <c r="AG344" s="227">
        <v>45646</v>
      </c>
      <c r="AH344" s="227">
        <v>45646</v>
      </c>
      <c r="AI344" s="228">
        <v>92016</v>
      </c>
      <c r="AJ344" s="228">
        <v>9</v>
      </c>
      <c r="AK344" s="228">
        <v>92016</v>
      </c>
      <c r="AL344" s="228">
        <v>9</v>
      </c>
      <c r="AM344" s="228">
        <v>0</v>
      </c>
      <c r="AN344" s="228">
        <v>0</v>
      </c>
      <c r="AO344" s="229">
        <v>50</v>
      </c>
      <c r="AP344" s="231">
        <v>12</v>
      </c>
      <c r="AQ344" s="231">
        <v>2024</v>
      </c>
      <c r="AR344" s="231" t="str">
        <f t="shared" si="50"/>
        <v>12/2024</v>
      </c>
      <c r="AS344" s="231">
        <f t="shared" si="51"/>
        <v>37.200000000000003</v>
      </c>
      <c r="AT344" s="239">
        <f>IF(G344="CERVECERIA Y MALTERIA",(AS344*AK344/1000000)*(1-VLOOKUP(N344,FCST!D:I,6,FALSE)),0)</f>
        <v>3.4229952000000003</v>
      </c>
      <c r="AU344" s="232">
        <v>5.0000000000000001E-3</v>
      </c>
      <c r="AV344" s="239">
        <f t="shared" si="52"/>
        <v>3.4401101760000001</v>
      </c>
      <c r="AW344" s="239">
        <f>(AS344*AK344/1000000)*(VLOOKUP(N344,FCST!D:I,6,FALSE))</f>
        <v>0</v>
      </c>
      <c r="AX344" s="239">
        <f t="shared" si="53"/>
        <v>0</v>
      </c>
      <c r="AY344" s="239">
        <f>IF($G344="CERVECERIA Y MALTERIA.",($AS344*$AK344/1000000)*(1-VLOOKUP($N344,FCST!D:I,6,FALSE)),0)</f>
        <v>0</v>
      </c>
      <c r="AZ344" s="239">
        <f t="shared" si="54"/>
        <v>0</v>
      </c>
    </row>
    <row r="345" spans="1:52" x14ac:dyDescent="0.25">
      <c r="A345" s="209">
        <v>1091041</v>
      </c>
      <c r="B345" s="209">
        <v>40</v>
      </c>
      <c r="C345" s="209">
        <v>89339906</v>
      </c>
      <c r="D345" s="209">
        <v>20</v>
      </c>
      <c r="E345" s="209">
        <v>10000002</v>
      </c>
      <c r="F345" s="209">
        <v>20000336</v>
      </c>
      <c r="G345" s="209" t="s">
        <v>105</v>
      </c>
      <c r="H345" s="209">
        <v>20000336</v>
      </c>
      <c r="I345" s="209">
        <v>2</v>
      </c>
      <c r="J345" s="209" t="s">
        <v>169</v>
      </c>
      <c r="K345" s="209" t="s">
        <v>683</v>
      </c>
      <c r="L345" s="209" t="s">
        <v>265</v>
      </c>
      <c r="M345" s="209" t="s">
        <v>172</v>
      </c>
      <c r="N345" s="209">
        <v>50034634</v>
      </c>
      <c r="O345" s="209" t="s">
        <v>219</v>
      </c>
      <c r="P345" s="209">
        <v>5121</v>
      </c>
      <c r="Q345" s="209" t="s">
        <v>174</v>
      </c>
      <c r="R345" s="209" t="s">
        <v>175</v>
      </c>
      <c r="S345" s="209" t="s">
        <v>176</v>
      </c>
      <c r="T345" s="209" t="s">
        <v>177</v>
      </c>
      <c r="U345" s="209" t="s">
        <v>178</v>
      </c>
      <c r="V345" s="209" t="s">
        <v>179</v>
      </c>
      <c r="W345" s="209" t="s">
        <v>179</v>
      </c>
      <c r="X345" s="209" t="s">
        <v>180</v>
      </c>
      <c r="Y345" s="209" t="s">
        <v>180</v>
      </c>
      <c r="Z345" s="209">
        <v>9521067079</v>
      </c>
      <c r="AA345" s="209" t="s">
        <v>684</v>
      </c>
      <c r="AB345" s="209" t="s">
        <v>180</v>
      </c>
      <c r="AC345" s="209" t="s">
        <v>182</v>
      </c>
      <c r="AD345" s="209">
        <v>12</v>
      </c>
      <c r="AE345" s="209">
        <v>2024</v>
      </c>
      <c r="AF345" s="227">
        <v>45642</v>
      </c>
      <c r="AG345" s="227">
        <v>45645</v>
      </c>
      <c r="AH345" s="227">
        <v>45645</v>
      </c>
      <c r="AI345" s="228">
        <v>245280</v>
      </c>
      <c r="AJ345" s="228">
        <v>35</v>
      </c>
      <c r="AK345" s="228">
        <v>245280</v>
      </c>
      <c r="AL345" s="228">
        <v>35</v>
      </c>
      <c r="AM345" s="228">
        <v>0</v>
      </c>
      <c r="AN345" s="228">
        <v>0</v>
      </c>
      <c r="AO345" s="229">
        <v>51</v>
      </c>
      <c r="AP345" s="231">
        <v>12</v>
      </c>
      <c r="AQ345" s="231">
        <v>2024</v>
      </c>
      <c r="AR345" s="231" t="str">
        <f t="shared" si="50"/>
        <v>12/2024</v>
      </c>
      <c r="AS345" s="231">
        <f t="shared" si="51"/>
        <v>52</v>
      </c>
      <c r="AT345" s="239">
        <f>IF(G345="CERVECERIA Y MALTERIA",(AS345*AK345/1000000)*(1-VLOOKUP(N345,FCST!D:I,6,FALSE)),0)</f>
        <v>12.75456</v>
      </c>
      <c r="AU345" s="232">
        <v>5.0000000000000001E-3</v>
      </c>
      <c r="AV345" s="239">
        <f t="shared" si="52"/>
        <v>12.818332799999999</v>
      </c>
      <c r="AW345" s="239">
        <f>(AS345*AK345/1000000)*(VLOOKUP(N345,FCST!D:I,6,FALSE))</f>
        <v>0</v>
      </c>
      <c r="AX345" s="239">
        <f t="shared" si="53"/>
        <v>0</v>
      </c>
      <c r="AY345" s="239">
        <f>IF($G345="CERVECERIA Y MALTERIA.",($AS345*$AK345/1000000)*(1-VLOOKUP($N345,FCST!D:I,6,FALSE)),0)</f>
        <v>0</v>
      </c>
      <c r="AZ345" s="239">
        <f t="shared" si="54"/>
        <v>0</v>
      </c>
    </row>
    <row r="346" spans="1:52" x14ac:dyDescent="0.25">
      <c r="A346" s="209">
        <v>1090643</v>
      </c>
      <c r="B346" s="209">
        <v>130</v>
      </c>
      <c r="C346" s="209">
        <v>89339966</v>
      </c>
      <c r="D346" s="209">
        <v>10</v>
      </c>
      <c r="E346" s="209">
        <v>10000002</v>
      </c>
      <c r="F346" s="209">
        <v>20000335</v>
      </c>
      <c r="G346" s="209" t="s">
        <v>105</v>
      </c>
      <c r="H346" s="209">
        <v>20000335</v>
      </c>
      <c r="I346" s="209">
        <v>2</v>
      </c>
      <c r="J346" s="209" t="s">
        <v>169</v>
      </c>
      <c r="K346" s="209" t="s">
        <v>685</v>
      </c>
      <c r="L346" s="209" t="s">
        <v>171</v>
      </c>
      <c r="M346" s="209" t="s">
        <v>199</v>
      </c>
      <c r="N346" s="209">
        <v>50032583</v>
      </c>
      <c r="O346" s="209" t="s">
        <v>205</v>
      </c>
      <c r="P346" s="209">
        <v>5121</v>
      </c>
      <c r="Q346" s="209" t="s">
        <v>200</v>
      </c>
      <c r="R346" s="209" t="s">
        <v>201</v>
      </c>
      <c r="S346" s="209" t="s">
        <v>202</v>
      </c>
      <c r="T346" s="209" t="s">
        <v>203</v>
      </c>
      <c r="U346" s="209" t="s">
        <v>201</v>
      </c>
      <c r="V346" s="209" t="s">
        <v>179</v>
      </c>
      <c r="W346" s="209" t="s">
        <v>179</v>
      </c>
      <c r="X346" s="209" t="s">
        <v>180</v>
      </c>
      <c r="Y346" s="209" t="s">
        <v>180</v>
      </c>
      <c r="Z346" s="209">
        <v>9521067076</v>
      </c>
      <c r="AA346" s="209" t="s">
        <v>686</v>
      </c>
      <c r="AB346" s="209" t="s">
        <v>180</v>
      </c>
      <c r="AC346" s="209" t="s">
        <v>182</v>
      </c>
      <c r="AD346" s="209">
        <v>12</v>
      </c>
      <c r="AE346" s="209">
        <v>2024</v>
      </c>
      <c r="AF346" s="227">
        <v>45638</v>
      </c>
      <c r="AG346" s="227">
        <v>45645</v>
      </c>
      <c r="AH346" s="227">
        <v>45645</v>
      </c>
      <c r="AI346" s="228">
        <v>351936</v>
      </c>
      <c r="AJ346" s="228">
        <v>52</v>
      </c>
      <c r="AK346" s="228">
        <v>351936</v>
      </c>
      <c r="AL346" s="228">
        <v>52</v>
      </c>
      <c r="AM346" s="228">
        <v>0</v>
      </c>
      <c r="AN346" s="228">
        <v>0</v>
      </c>
      <c r="AO346" s="229">
        <v>51</v>
      </c>
      <c r="AP346" s="231">
        <v>12</v>
      </c>
      <c r="AQ346" s="231">
        <v>2024</v>
      </c>
      <c r="AR346" s="231" t="str">
        <f t="shared" si="50"/>
        <v>12/2024</v>
      </c>
      <c r="AS346" s="231">
        <f t="shared" si="51"/>
        <v>54.7</v>
      </c>
      <c r="AT346" s="239">
        <f>IF(G346="CERVECERIA Y MALTERIA",(AS346*AK346/1000000)*(1-VLOOKUP(N346,FCST!D:I,6,FALSE)),0)</f>
        <v>19.250899199999999</v>
      </c>
      <c r="AU346" s="232">
        <v>5.0000000000000001E-3</v>
      </c>
      <c r="AV346" s="239">
        <f t="shared" si="52"/>
        <v>19.347153695999996</v>
      </c>
      <c r="AW346" s="239">
        <f>(AS346*AK346/1000000)*(VLOOKUP(N346,FCST!D:I,6,FALSE))</f>
        <v>0</v>
      </c>
      <c r="AX346" s="239">
        <f t="shared" si="53"/>
        <v>0</v>
      </c>
      <c r="AY346" s="239">
        <f>IF($G346="CERVECERIA Y MALTERIA.",($AS346*$AK346/1000000)*(1-VLOOKUP($N346,FCST!D:I,6,FALSE)),0)</f>
        <v>0</v>
      </c>
      <c r="AZ346" s="239">
        <f t="shared" si="54"/>
        <v>0</v>
      </c>
    </row>
    <row r="347" spans="1:52" x14ac:dyDescent="0.25">
      <c r="A347" s="209">
        <v>1091005</v>
      </c>
      <c r="B347" s="209">
        <v>20</v>
      </c>
      <c r="C347" s="209">
        <v>89340088</v>
      </c>
      <c r="D347" s="209">
        <v>10</v>
      </c>
      <c r="E347" s="209">
        <v>10000002</v>
      </c>
      <c r="F347" s="209">
        <v>20000339</v>
      </c>
      <c r="G347" s="209" t="s">
        <v>105</v>
      </c>
      <c r="H347" s="209">
        <v>20000339</v>
      </c>
      <c r="I347" s="209">
        <v>2</v>
      </c>
      <c r="J347" s="209" t="s">
        <v>169</v>
      </c>
      <c r="K347" s="209" t="s">
        <v>687</v>
      </c>
      <c r="L347" s="209" t="s">
        <v>265</v>
      </c>
      <c r="M347" s="209" t="s">
        <v>172</v>
      </c>
      <c r="N347" s="209">
        <v>50034634</v>
      </c>
      <c r="O347" s="209" t="s">
        <v>219</v>
      </c>
      <c r="P347" s="209">
        <v>5121</v>
      </c>
      <c r="Q347" s="209" t="s">
        <v>174</v>
      </c>
      <c r="R347" s="209" t="s">
        <v>175</v>
      </c>
      <c r="S347" s="209" t="s">
        <v>176</v>
      </c>
      <c r="T347" s="209" t="s">
        <v>177</v>
      </c>
      <c r="U347" s="209" t="s">
        <v>178</v>
      </c>
      <c r="V347" s="209" t="s">
        <v>179</v>
      </c>
      <c r="W347" s="209" t="s">
        <v>179</v>
      </c>
      <c r="X347" s="209" t="s">
        <v>180</v>
      </c>
      <c r="Y347" s="209" t="s">
        <v>180</v>
      </c>
      <c r="Z347" s="209">
        <v>9521067088</v>
      </c>
      <c r="AA347" s="209" t="s">
        <v>688</v>
      </c>
      <c r="AB347" s="209" t="s">
        <v>180</v>
      </c>
      <c r="AC347" s="209" t="s">
        <v>182</v>
      </c>
      <c r="AD347" s="209">
        <v>12</v>
      </c>
      <c r="AE347" s="209">
        <v>2024</v>
      </c>
      <c r="AF347" s="227">
        <v>45639</v>
      </c>
      <c r="AG347" s="227">
        <v>45645</v>
      </c>
      <c r="AH347" s="227">
        <v>45645</v>
      </c>
      <c r="AI347" s="228">
        <v>364416</v>
      </c>
      <c r="AJ347" s="228">
        <v>52</v>
      </c>
      <c r="AK347" s="228">
        <v>364416</v>
      </c>
      <c r="AL347" s="228">
        <v>52</v>
      </c>
      <c r="AM347" s="228">
        <v>0</v>
      </c>
      <c r="AN347" s="228">
        <v>0</v>
      </c>
      <c r="AO347" s="229">
        <v>50</v>
      </c>
      <c r="AP347" s="231">
        <v>12</v>
      </c>
      <c r="AQ347" s="231">
        <v>2024</v>
      </c>
      <c r="AR347" s="231" t="str">
        <f t="shared" si="50"/>
        <v>12/2024</v>
      </c>
      <c r="AS347" s="231">
        <f t="shared" si="51"/>
        <v>52</v>
      </c>
      <c r="AT347" s="239">
        <f>IF(G347="CERVECERIA Y MALTERIA",(AS347*AK347/1000000)*(1-VLOOKUP(N347,FCST!D:I,6,FALSE)),0)</f>
        <v>18.949632000000001</v>
      </c>
      <c r="AU347" s="232">
        <v>5.0000000000000001E-3</v>
      </c>
      <c r="AV347" s="239">
        <f t="shared" si="52"/>
        <v>19.044380159999999</v>
      </c>
      <c r="AW347" s="239">
        <f>(AS347*AK347/1000000)*(VLOOKUP(N347,FCST!D:I,6,FALSE))</f>
        <v>0</v>
      </c>
      <c r="AX347" s="239">
        <f t="shared" si="53"/>
        <v>0</v>
      </c>
      <c r="AY347" s="239">
        <f>IF($G347="CERVECERIA Y MALTERIA.",($AS347*$AK347/1000000)*(1-VLOOKUP($N347,FCST!D:I,6,FALSE)),0)</f>
        <v>0</v>
      </c>
      <c r="AZ347" s="239">
        <f t="shared" si="54"/>
        <v>0</v>
      </c>
    </row>
    <row r="348" spans="1:52" x14ac:dyDescent="0.25">
      <c r="A348" s="209">
        <v>1090643</v>
      </c>
      <c r="B348" s="209">
        <v>110</v>
      </c>
      <c r="C348" s="209">
        <v>89340098</v>
      </c>
      <c r="D348" s="209">
        <v>10</v>
      </c>
      <c r="E348" s="209">
        <v>10000002</v>
      </c>
      <c r="F348" s="209">
        <v>20000335</v>
      </c>
      <c r="G348" s="209" t="s">
        <v>105</v>
      </c>
      <c r="H348" s="209">
        <v>20000335</v>
      </c>
      <c r="I348" s="209">
        <v>2</v>
      </c>
      <c r="J348" s="209" t="s">
        <v>169</v>
      </c>
      <c r="K348" s="209" t="s">
        <v>689</v>
      </c>
      <c r="L348" s="209" t="s">
        <v>171</v>
      </c>
      <c r="M348" s="209" t="s">
        <v>199</v>
      </c>
      <c r="N348" s="209">
        <v>50032573</v>
      </c>
      <c r="O348" s="209" t="s">
        <v>173</v>
      </c>
      <c r="P348" s="209">
        <v>5121</v>
      </c>
      <c r="Q348" s="209" t="s">
        <v>200</v>
      </c>
      <c r="R348" s="209" t="s">
        <v>201</v>
      </c>
      <c r="S348" s="209" t="s">
        <v>202</v>
      </c>
      <c r="T348" s="209" t="s">
        <v>203</v>
      </c>
      <c r="U348" s="209" t="s">
        <v>201</v>
      </c>
      <c r="V348" s="209" t="s">
        <v>179</v>
      </c>
      <c r="W348" s="209" t="s">
        <v>179</v>
      </c>
      <c r="X348" s="209" t="s">
        <v>180</v>
      </c>
      <c r="Y348" s="209" t="s">
        <v>180</v>
      </c>
      <c r="Z348" s="209">
        <v>9521067074</v>
      </c>
      <c r="AA348" s="209" t="s">
        <v>690</v>
      </c>
      <c r="AB348" s="209" t="s">
        <v>180</v>
      </c>
      <c r="AC348" s="209" t="s">
        <v>182</v>
      </c>
      <c r="AD348" s="209">
        <v>12</v>
      </c>
      <c r="AE348" s="209">
        <v>2024</v>
      </c>
      <c r="AF348" s="227">
        <v>45638</v>
      </c>
      <c r="AG348" s="227">
        <v>45645</v>
      </c>
      <c r="AH348" s="227">
        <v>45645</v>
      </c>
      <c r="AI348" s="228">
        <v>204480</v>
      </c>
      <c r="AJ348" s="228">
        <v>20</v>
      </c>
      <c r="AK348" s="228">
        <v>204480</v>
      </c>
      <c r="AL348" s="228">
        <v>20</v>
      </c>
      <c r="AM348" s="228">
        <v>0</v>
      </c>
      <c r="AN348" s="228">
        <v>0</v>
      </c>
      <c r="AO348" s="229">
        <v>51</v>
      </c>
      <c r="AP348" s="231">
        <v>12</v>
      </c>
      <c r="AQ348" s="231">
        <v>2024</v>
      </c>
      <c r="AR348" s="231" t="str">
        <f t="shared" si="50"/>
        <v>12/2024</v>
      </c>
      <c r="AS348" s="231">
        <f t="shared" si="51"/>
        <v>37.200000000000003</v>
      </c>
      <c r="AT348" s="239">
        <f>IF(G348="CERVECERIA Y MALTERIA",(AS348*AK348/1000000)*(1-VLOOKUP(N348,FCST!D:I,6,FALSE)),0)</f>
        <v>7.606656000000001</v>
      </c>
      <c r="AU348" s="232">
        <v>5.0000000000000001E-3</v>
      </c>
      <c r="AV348" s="239">
        <f t="shared" si="52"/>
        <v>7.6446892800000006</v>
      </c>
      <c r="AW348" s="239">
        <f>(AS348*AK348/1000000)*(VLOOKUP(N348,FCST!D:I,6,FALSE))</f>
        <v>0</v>
      </c>
      <c r="AX348" s="239">
        <f t="shared" si="53"/>
        <v>0</v>
      </c>
      <c r="AY348" s="239">
        <f>IF($G348="CERVECERIA Y MALTERIA.",($AS348*$AK348/1000000)*(1-VLOOKUP($N348,FCST!D:I,6,FALSE)),0)</f>
        <v>0</v>
      </c>
      <c r="AZ348" s="239">
        <f t="shared" si="54"/>
        <v>0</v>
      </c>
    </row>
    <row r="349" spans="1:52" x14ac:dyDescent="0.25">
      <c r="A349" s="209">
        <v>1090643</v>
      </c>
      <c r="B349" s="209">
        <v>150</v>
      </c>
      <c r="C349" s="209">
        <v>89340098</v>
      </c>
      <c r="D349" s="209">
        <v>20</v>
      </c>
      <c r="E349" s="209">
        <v>10000002</v>
      </c>
      <c r="F349" s="209">
        <v>20000335</v>
      </c>
      <c r="G349" s="209" t="s">
        <v>105</v>
      </c>
      <c r="H349" s="209">
        <v>20000335</v>
      </c>
      <c r="I349" s="209">
        <v>2</v>
      </c>
      <c r="J349" s="209" t="s">
        <v>169</v>
      </c>
      <c r="K349" s="209" t="s">
        <v>689</v>
      </c>
      <c r="L349" s="209" t="s">
        <v>171</v>
      </c>
      <c r="M349" s="209" t="s">
        <v>199</v>
      </c>
      <c r="N349" s="209">
        <v>50034616</v>
      </c>
      <c r="O349" s="209" t="s">
        <v>191</v>
      </c>
      <c r="P349" s="209">
        <v>5121</v>
      </c>
      <c r="Q349" s="209" t="s">
        <v>200</v>
      </c>
      <c r="R349" s="209" t="s">
        <v>201</v>
      </c>
      <c r="S349" s="209" t="s">
        <v>202</v>
      </c>
      <c r="T349" s="209" t="s">
        <v>203</v>
      </c>
      <c r="U349" s="209" t="s">
        <v>201</v>
      </c>
      <c r="V349" s="209" t="s">
        <v>179</v>
      </c>
      <c r="W349" s="209" t="s">
        <v>179</v>
      </c>
      <c r="X349" s="209" t="s">
        <v>180</v>
      </c>
      <c r="Y349" s="209" t="s">
        <v>180</v>
      </c>
      <c r="Z349" s="209">
        <v>9521067074</v>
      </c>
      <c r="AA349" s="209" t="s">
        <v>690</v>
      </c>
      <c r="AB349" s="209" t="s">
        <v>180</v>
      </c>
      <c r="AC349" s="209" t="s">
        <v>182</v>
      </c>
      <c r="AD349" s="209">
        <v>12</v>
      </c>
      <c r="AE349" s="209">
        <v>2024</v>
      </c>
      <c r="AF349" s="227">
        <v>45638</v>
      </c>
      <c r="AG349" s="227">
        <v>45645</v>
      </c>
      <c r="AH349" s="227">
        <v>45645</v>
      </c>
      <c r="AI349" s="228">
        <v>262656</v>
      </c>
      <c r="AJ349" s="228">
        <v>32</v>
      </c>
      <c r="AK349" s="228">
        <v>262656</v>
      </c>
      <c r="AL349" s="228">
        <v>32</v>
      </c>
      <c r="AM349" s="228">
        <v>0</v>
      </c>
      <c r="AN349" s="228">
        <v>0</v>
      </c>
      <c r="AO349" s="229">
        <v>51</v>
      </c>
      <c r="AP349" s="231">
        <v>12</v>
      </c>
      <c r="AQ349" s="231">
        <v>2024</v>
      </c>
      <c r="AR349" s="231" t="str">
        <f t="shared" si="50"/>
        <v>12/2024</v>
      </c>
      <c r="AS349" s="231">
        <f t="shared" si="51"/>
        <v>46.6</v>
      </c>
      <c r="AT349" s="239">
        <f>IF(G349="CERVECERIA Y MALTERIA",(AS349*AK349/1000000)*(1-VLOOKUP(N349,FCST!D:I,6,FALSE)),0)</f>
        <v>12.239769599999999</v>
      </c>
      <c r="AU349" s="232">
        <v>5.0000000000000001E-3</v>
      </c>
      <c r="AV349" s="239">
        <f t="shared" si="52"/>
        <v>12.300968447999997</v>
      </c>
      <c r="AW349" s="239">
        <f>(AS349*AK349/1000000)*(VLOOKUP(N349,FCST!D:I,6,FALSE))</f>
        <v>0</v>
      </c>
      <c r="AX349" s="239">
        <f t="shared" si="53"/>
        <v>0</v>
      </c>
      <c r="AY349" s="239">
        <f>IF($G349="CERVECERIA Y MALTERIA.",($AS349*$AK349/1000000)*(1-VLOOKUP($N349,FCST!D:I,6,FALSE)),0)</f>
        <v>0</v>
      </c>
      <c r="AZ349" s="239">
        <f t="shared" si="54"/>
        <v>0</v>
      </c>
    </row>
    <row r="350" spans="1:52" x14ac:dyDescent="0.25">
      <c r="A350" s="209">
        <v>1090643</v>
      </c>
      <c r="B350" s="209">
        <v>80</v>
      </c>
      <c r="C350" s="209">
        <v>89340559</v>
      </c>
      <c r="D350" s="209">
        <v>10</v>
      </c>
      <c r="E350" s="209">
        <v>10000002</v>
      </c>
      <c r="F350" s="209">
        <v>20000335</v>
      </c>
      <c r="G350" s="209" t="s">
        <v>105</v>
      </c>
      <c r="H350" s="209">
        <v>20000335</v>
      </c>
      <c r="I350" s="209">
        <v>2</v>
      </c>
      <c r="J350" s="209" t="s">
        <v>169</v>
      </c>
      <c r="K350" s="209" t="s">
        <v>691</v>
      </c>
      <c r="L350" s="209" t="s">
        <v>171</v>
      </c>
      <c r="M350" s="209" t="s">
        <v>172</v>
      </c>
      <c r="N350" s="209">
        <v>50037042</v>
      </c>
      <c r="O350" s="209" t="s">
        <v>543</v>
      </c>
      <c r="P350" s="209">
        <v>5121</v>
      </c>
      <c r="Q350" s="209" t="s">
        <v>174</v>
      </c>
      <c r="R350" s="209" t="s">
        <v>175</v>
      </c>
      <c r="S350" s="209" t="s">
        <v>176</v>
      </c>
      <c r="T350" s="209" t="s">
        <v>177</v>
      </c>
      <c r="U350" s="209" t="s">
        <v>178</v>
      </c>
      <c r="V350" s="209" t="s">
        <v>179</v>
      </c>
      <c r="W350" s="209" t="s">
        <v>179</v>
      </c>
      <c r="X350" s="209" t="s">
        <v>180</v>
      </c>
      <c r="Y350" s="209" t="s">
        <v>180</v>
      </c>
      <c r="Z350" s="209">
        <v>9521067081</v>
      </c>
      <c r="AA350" s="209" t="s">
        <v>692</v>
      </c>
      <c r="AB350" s="209" t="s">
        <v>180</v>
      </c>
      <c r="AC350" s="209" t="s">
        <v>182</v>
      </c>
      <c r="AD350" s="209">
        <v>12</v>
      </c>
      <c r="AE350" s="209">
        <v>2024</v>
      </c>
      <c r="AF350" s="227">
        <v>45638</v>
      </c>
      <c r="AG350" s="227">
        <v>45646</v>
      </c>
      <c r="AH350" s="227">
        <v>45646</v>
      </c>
      <c r="AI350" s="228">
        <v>426816</v>
      </c>
      <c r="AJ350" s="228">
        <v>52</v>
      </c>
      <c r="AK350" s="228">
        <v>426816</v>
      </c>
      <c r="AL350" s="228">
        <v>52</v>
      </c>
      <c r="AM350" s="228">
        <v>0</v>
      </c>
      <c r="AN350" s="228">
        <v>0</v>
      </c>
      <c r="AO350" s="229">
        <v>51</v>
      </c>
      <c r="AP350" s="231">
        <v>12</v>
      </c>
      <c r="AQ350" s="231">
        <v>2024</v>
      </c>
      <c r="AR350" s="231" t="str">
        <f t="shared" si="50"/>
        <v>12/2024</v>
      </c>
      <c r="AS350" s="231">
        <f t="shared" si="51"/>
        <v>46.6</v>
      </c>
      <c r="AT350" s="239">
        <f>IF(G350="CERVECERIA Y MALTERIA",(AS350*AK350/1000000)*(1-VLOOKUP(N350,FCST!D:I,6,FALSE)),0)</f>
        <v>15.911700480000002</v>
      </c>
      <c r="AU350" s="232">
        <v>5.0000000000000001E-3</v>
      </c>
      <c r="AV350" s="239">
        <f t="shared" si="52"/>
        <v>15.9912589824</v>
      </c>
      <c r="AW350" s="239">
        <f>(AS350*AK350/1000000)*(VLOOKUP(N350,FCST!D:I,6,FALSE))</f>
        <v>3.9779251200000005</v>
      </c>
      <c r="AX350" s="239">
        <f t="shared" si="53"/>
        <v>3.9978147455999999</v>
      </c>
      <c r="AY350" s="239">
        <f>IF($G350="CERVECERIA Y MALTERIA.",($AS350*$AK350/1000000)*(1-VLOOKUP($N350,FCST!D:I,6,FALSE)),0)</f>
        <v>0</v>
      </c>
      <c r="AZ350" s="239">
        <f t="shared" si="54"/>
        <v>0</v>
      </c>
    </row>
    <row r="351" spans="1:52" x14ac:dyDescent="0.25">
      <c r="A351" s="209">
        <v>1091916</v>
      </c>
      <c r="B351" s="209">
        <v>40</v>
      </c>
      <c r="C351" s="209">
        <v>89341925</v>
      </c>
      <c r="D351" s="209">
        <v>10</v>
      </c>
      <c r="E351" s="209">
        <v>10000002</v>
      </c>
      <c r="F351" s="209">
        <v>20000340</v>
      </c>
      <c r="G351" s="209" t="s">
        <v>117</v>
      </c>
      <c r="H351" s="209">
        <v>20000340</v>
      </c>
      <c r="I351" s="209">
        <v>2</v>
      </c>
      <c r="J351" s="209" t="s">
        <v>169</v>
      </c>
      <c r="K351" s="209" t="s">
        <v>693</v>
      </c>
      <c r="L351" s="209" t="s">
        <v>171</v>
      </c>
      <c r="M351" s="209" t="s">
        <v>172</v>
      </c>
      <c r="N351" s="209">
        <v>50029817</v>
      </c>
      <c r="O351" s="209" t="s">
        <v>396</v>
      </c>
      <c r="P351" s="209">
        <v>5101</v>
      </c>
      <c r="Q351" s="209" t="s">
        <v>186</v>
      </c>
      <c r="R351" s="209" t="s">
        <v>175</v>
      </c>
      <c r="S351" s="209" t="s">
        <v>176</v>
      </c>
      <c r="T351" s="209" t="s">
        <v>187</v>
      </c>
      <c r="U351" s="209" t="s">
        <v>188</v>
      </c>
      <c r="V351" s="209" t="s">
        <v>179</v>
      </c>
      <c r="W351" s="209" t="s">
        <v>179</v>
      </c>
      <c r="X351" s="209" t="s">
        <v>180</v>
      </c>
      <c r="Y351" s="209" t="s">
        <v>180</v>
      </c>
      <c r="Z351" s="209">
        <v>9511047240</v>
      </c>
      <c r="AA351" s="209" t="s">
        <v>675</v>
      </c>
      <c r="AB351" s="209" t="s">
        <v>180</v>
      </c>
      <c r="AC351" s="209" t="s">
        <v>182</v>
      </c>
      <c r="AD351" s="209">
        <v>12</v>
      </c>
      <c r="AE351" s="209">
        <v>2024</v>
      </c>
      <c r="AF351" s="227">
        <v>45645</v>
      </c>
      <c r="AG351" s="227">
        <v>45649</v>
      </c>
      <c r="AH351" s="227">
        <v>45649</v>
      </c>
      <c r="AI351" s="228">
        <v>606528</v>
      </c>
      <c r="AJ351" s="228">
        <v>52</v>
      </c>
      <c r="AK351" s="228">
        <v>606528</v>
      </c>
      <c r="AL351" s="228">
        <v>52</v>
      </c>
      <c r="AM351" s="228">
        <v>0</v>
      </c>
      <c r="AN351" s="228">
        <v>0</v>
      </c>
      <c r="AO351" s="229">
        <v>52</v>
      </c>
      <c r="AP351" s="231">
        <v>12</v>
      </c>
      <c r="AQ351" s="231">
        <v>2024</v>
      </c>
      <c r="AR351" s="231" t="str">
        <f t="shared" si="50"/>
        <v>12/2024</v>
      </c>
      <c r="AS351" s="231">
        <f t="shared" si="51"/>
        <v>30</v>
      </c>
      <c r="AT351" s="239">
        <f>IF(G351="CERVECERIA Y MALTERIA",(AS351*AK351/1000000)*(1-VLOOKUP(N351,FCST!D:I,6,FALSE)),0)</f>
        <v>0</v>
      </c>
      <c r="AU351" s="232">
        <v>5.0000000000000001E-3</v>
      </c>
      <c r="AV351" s="239">
        <f t="shared" si="52"/>
        <v>0</v>
      </c>
      <c r="AW351" s="239">
        <f>(AS351*AK351/1000000)*(VLOOKUP(N351,FCST!D:I,6,FALSE))</f>
        <v>5.4587519999999996</v>
      </c>
      <c r="AX351" s="239">
        <f t="shared" si="53"/>
        <v>5.4860457599999988</v>
      </c>
      <c r="AY351" s="239">
        <f>IF($G351="CERVECERIA Y MALTERIA.",($AS351*$AK351/1000000)*(1-VLOOKUP($N351,FCST!D:I,6,FALSE)),0)</f>
        <v>12.737088</v>
      </c>
      <c r="AZ351" s="239">
        <f t="shared" si="54"/>
        <v>12.800773439999999</v>
      </c>
    </row>
    <row r="352" spans="1:52" x14ac:dyDescent="0.25">
      <c r="A352" s="209">
        <v>1091908</v>
      </c>
      <c r="B352" s="209">
        <v>10</v>
      </c>
      <c r="C352" s="209">
        <v>89341927</v>
      </c>
      <c r="D352" s="209">
        <v>10</v>
      </c>
      <c r="E352" s="209">
        <v>10000002</v>
      </c>
      <c r="F352" s="209">
        <v>20000335</v>
      </c>
      <c r="G352" s="209" t="s">
        <v>105</v>
      </c>
      <c r="H352" s="209">
        <v>20000335</v>
      </c>
      <c r="I352" s="209">
        <v>2</v>
      </c>
      <c r="J352" s="209" t="s">
        <v>169</v>
      </c>
      <c r="K352" s="209" t="s">
        <v>694</v>
      </c>
      <c r="L352" s="209" t="s">
        <v>171</v>
      </c>
      <c r="M352" s="209" t="s">
        <v>172</v>
      </c>
      <c r="N352" s="209">
        <v>50037887</v>
      </c>
      <c r="O352" s="209" t="s">
        <v>679</v>
      </c>
      <c r="P352" s="209">
        <v>5121</v>
      </c>
      <c r="Q352" s="209" t="s">
        <v>174</v>
      </c>
      <c r="R352" s="209" t="s">
        <v>175</v>
      </c>
      <c r="S352" s="209" t="s">
        <v>176</v>
      </c>
      <c r="T352" s="209" t="s">
        <v>177</v>
      </c>
      <c r="U352" s="209" t="s">
        <v>178</v>
      </c>
      <c r="V352" s="209" t="s">
        <v>179</v>
      </c>
      <c r="W352" s="209" t="s">
        <v>179</v>
      </c>
      <c r="X352" s="209" t="s">
        <v>180</v>
      </c>
      <c r="Y352" s="209" t="s">
        <v>180</v>
      </c>
      <c r="Z352" s="209">
        <v>9521067115</v>
      </c>
      <c r="AA352" s="209" t="s">
        <v>680</v>
      </c>
      <c r="AB352" s="209" t="s">
        <v>180</v>
      </c>
      <c r="AC352" s="209" t="s">
        <v>182</v>
      </c>
      <c r="AD352" s="209">
        <v>12</v>
      </c>
      <c r="AE352" s="209">
        <v>2024</v>
      </c>
      <c r="AF352" s="227">
        <v>45645</v>
      </c>
      <c r="AG352" s="227">
        <v>45649</v>
      </c>
      <c r="AH352" s="227">
        <v>45649</v>
      </c>
      <c r="AI352" s="228">
        <v>531648</v>
      </c>
      <c r="AJ352" s="228">
        <v>52</v>
      </c>
      <c r="AK352" s="228">
        <v>531648</v>
      </c>
      <c r="AL352" s="228">
        <v>52</v>
      </c>
      <c r="AM352" s="228">
        <v>0</v>
      </c>
      <c r="AN352" s="228">
        <v>0</v>
      </c>
      <c r="AO352" s="229">
        <v>51</v>
      </c>
      <c r="AP352" s="231">
        <v>12</v>
      </c>
      <c r="AQ352" s="231">
        <v>2024</v>
      </c>
      <c r="AR352" s="231" t="str">
        <f t="shared" si="50"/>
        <v>12/2024</v>
      </c>
      <c r="AS352" s="231">
        <f t="shared" si="51"/>
        <v>37.200000000000003</v>
      </c>
      <c r="AT352" s="239">
        <f>IF(G352="CERVECERIA Y MALTERIA",(AS352*AK352/1000000)*(1-VLOOKUP(N352,FCST!D:I,6,FALSE)),0)</f>
        <v>19.777305600000002</v>
      </c>
      <c r="AU352" s="232">
        <v>5.0000000000000001E-3</v>
      </c>
      <c r="AV352" s="239">
        <f t="shared" si="52"/>
        <v>19.876192128</v>
      </c>
      <c r="AW352" s="239">
        <f>(AS352*AK352/1000000)*(VLOOKUP(N352,FCST!D:I,6,FALSE))</f>
        <v>0</v>
      </c>
      <c r="AX352" s="239">
        <f t="shared" si="53"/>
        <v>0</v>
      </c>
      <c r="AY352" s="239">
        <f>IF($G352="CERVECERIA Y MALTERIA.",($AS352*$AK352/1000000)*(1-VLOOKUP($N352,FCST!D:I,6,FALSE)),0)</f>
        <v>0</v>
      </c>
      <c r="AZ352" s="239">
        <f t="shared" si="54"/>
        <v>0</v>
      </c>
    </row>
    <row r="353" spans="1:52" x14ac:dyDescent="0.25">
      <c r="A353" s="209">
        <v>1091908</v>
      </c>
      <c r="B353" s="209">
        <v>90</v>
      </c>
      <c r="C353" s="209">
        <v>89342024</v>
      </c>
      <c r="D353" s="209">
        <v>10</v>
      </c>
      <c r="E353" s="209">
        <v>10000002</v>
      </c>
      <c r="F353" s="209">
        <v>20000335</v>
      </c>
      <c r="G353" s="209" t="s">
        <v>105</v>
      </c>
      <c r="H353" s="209">
        <v>20000335</v>
      </c>
      <c r="I353" s="209">
        <v>2</v>
      </c>
      <c r="J353" s="209" t="s">
        <v>169</v>
      </c>
      <c r="K353" s="209" t="s">
        <v>695</v>
      </c>
      <c r="L353" s="209" t="s">
        <v>171</v>
      </c>
      <c r="M353" s="209" t="s">
        <v>199</v>
      </c>
      <c r="N353" s="209">
        <v>50035184</v>
      </c>
      <c r="O353" s="209" t="s">
        <v>672</v>
      </c>
      <c r="P353" s="209">
        <v>5121</v>
      </c>
      <c r="Q353" s="209" t="s">
        <v>200</v>
      </c>
      <c r="R353" s="209" t="s">
        <v>201</v>
      </c>
      <c r="S353" s="209" t="s">
        <v>202</v>
      </c>
      <c r="T353" s="209" t="s">
        <v>203</v>
      </c>
      <c r="U353" s="209" t="s">
        <v>201</v>
      </c>
      <c r="V353" s="209" t="s">
        <v>179</v>
      </c>
      <c r="W353" s="209" t="s">
        <v>179</v>
      </c>
      <c r="X353" s="209" t="s">
        <v>180</v>
      </c>
      <c r="Y353" s="209" t="s">
        <v>180</v>
      </c>
      <c r="Z353" s="209">
        <v>9521067142</v>
      </c>
      <c r="AA353" s="209" t="s">
        <v>696</v>
      </c>
      <c r="AB353" s="209" t="s">
        <v>180</v>
      </c>
      <c r="AC353" s="209" t="s">
        <v>182</v>
      </c>
      <c r="AD353" s="209">
        <v>12</v>
      </c>
      <c r="AE353" s="209">
        <v>2024</v>
      </c>
      <c r="AF353" s="227">
        <v>45645</v>
      </c>
      <c r="AG353" s="227">
        <v>45649</v>
      </c>
      <c r="AH353" s="227">
        <v>45649</v>
      </c>
      <c r="AI353" s="228">
        <v>977184</v>
      </c>
      <c r="AJ353" s="228">
        <v>52</v>
      </c>
      <c r="AK353" s="228">
        <v>977184</v>
      </c>
      <c r="AL353" s="228">
        <v>52</v>
      </c>
      <c r="AM353" s="228">
        <v>0</v>
      </c>
      <c r="AN353" s="228">
        <v>0</v>
      </c>
      <c r="AO353" s="229">
        <v>51</v>
      </c>
      <c r="AP353" s="231">
        <v>12</v>
      </c>
      <c r="AQ353" s="231">
        <v>2024</v>
      </c>
      <c r="AR353" s="231" t="str">
        <f t="shared" si="50"/>
        <v>12/2024</v>
      </c>
      <c r="AS353" s="231">
        <f t="shared" si="51"/>
        <v>19.5</v>
      </c>
      <c r="AT353" s="239">
        <f>IF(G353="CERVECERIA Y MALTERIA",(AS353*AK353/1000000)*(1-VLOOKUP(N353,FCST!D:I,6,FALSE)),0)</f>
        <v>19.055088000000001</v>
      </c>
      <c r="AU353" s="232">
        <v>5.0000000000000001E-3</v>
      </c>
      <c r="AV353" s="239">
        <f t="shared" si="52"/>
        <v>19.15036344</v>
      </c>
      <c r="AW353" s="239">
        <f>(AS353*AK353/1000000)*(VLOOKUP(N353,FCST!D:I,6,FALSE))</f>
        <v>0</v>
      </c>
      <c r="AX353" s="239">
        <f t="shared" si="53"/>
        <v>0</v>
      </c>
      <c r="AY353" s="239">
        <f>IF($G353="CERVECERIA Y MALTERIA.",($AS353*$AK353/1000000)*(1-VLOOKUP($N353,FCST!D:I,6,FALSE)),0)</f>
        <v>0</v>
      </c>
      <c r="AZ353" s="239">
        <f t="shared" si="54"/>
        <v>0</v>
      </c>
    </row>
    <row r="354" spans="1:52" x14ac:dyDescent="0.25">
      <c r="A354" s="209">
        <v>1091033</v>
      </c>
      <c r="B354" s="209">
        <v>40</v>
      </c>
      <c r="C354" s="209">
        <v>89342204</v>
      </c>
      <c r="D354" s="209">
        <v>10</v>
      </c>
      <c r="E354" s="209">
        <v>10000002</v>
      </c>
      <c r="F354" s="209">
        <v>20000337</v>
      </c>
      <c r="G354" s="209" t="s">
        <v>105</v>
      </c>
      <c r="H354" s="209">
        <v>20000337</v>
      </c>
      <c r="I354" s="209">
        <v>2</v>
      </c>
      <c r="J354" s="209" t="s">
        <v>169</v>
      </c>
      <c r="K354" s="209" t="s">
        <v>697</v>
      </c>
      <c r="L354" s="209" t="s">
        <v>265</v>
      </c>
      <c r="M354" s="209" t="s">
        <v>199</v>
      </c>
      <c r="N354" s="209">
        <v>50037042</v>
      </c>
      <c r="O354" s="209" t="s">
        <v>543</v>
      </c>
      <c r="P354" s="209">
        <v>5121</v>
      </c>
      <c r="Q354" s="209" t="s">
        <v>200</v>
      </c>
      <c r="R354" s="209" t="s">
        <v>201</v>
      </c>
      <c r="S354" s="209" t="s">
        <v>202</v>
      </c>
      <c r="T354" s="209" t="s">
        <v>203</v>
      </c>
      <c r="U354" s="209" t="s">
        <v>201</v>
      </c>
      <c r="V354" s="209" t="s">
        <v>179</v>
      </c>
      <c r="W354" s="209" t="s">
        <v>179</v>
      </c>
      <c r="X354" s="209" t="s">
        <v>180</v>
      </c>
      <c r="Y354" s="209" t="s">
        <v>180</v>
      </c>
      <c r="Z354" s="209">
        <v>9521067089</v>
      </c>
      <c r="AA354" s="209" t="s">
        <v>698</v>
      </c>
      <c r="AB354" s="209" t="s">
        <v>180</v>
      </c>
      <c r="AC354" s="209" t="s">
        <v>182</v>
      </c>
      <c r="AD354" s="209">
        <v>12</v>
      </c>
      <c r="AE354" s="209">
        <v>2024</v>
      </c>
      <c r="AF354" s="227">
        <v>45642</v>
      </c>
      <c r="AG354" s="227">
        <v>45649</v>
      </c>
      <c r="AH354" s="227">
        <v>45649</v>
      </c>
      <c r="AI354" s="228">
        <v>426816</v>
      </c>
      <c r="AJ354" s="228">
        <v>52</v>
      </c>
      <c r="AK354" s="228">
        <v>426816</v>
      </c>
      <c r="AL354" s="228">
        <v>52</v>
      </c>
      <c r="AM354" s="228">
        <v>0</v>
      </c>
      <c r="AN354" s="228">
        <v>0</v>
      </c>
      <c r="AO354" s="229">
        <v>51</v>
      </c>
      <c r="AP354" s="231">
        <v>12</v>
      </c>
      <c r="AQ354" s="231">
        <v>2024</v>
      </c>
      <c r="AR354" s="231" t="str">
        <f t="shared" si="50"/>
        <v>12/2024</v>
      </c>
      <c r="AS354" s="231">
        <f t="shared" si="51"/>
        <v>46.6</v>
      </c>
      <c r="AT354" s="239">
        <f>IF(G354="CERVECERIA Y MALTERIA",(AS354*AK354/1000000)*(1-VLOOKUP(N354,FCST!D:I,6,FALSE)),0)</f>
        <v>15.911700480000002</v>
      </c>
      <c r="AU354" s="232">
        <v>5.0000000000000001E-3</v>
      </c>
      <c r="AV354" s="239">
        <f t="shared" si="52"/>
        <v>15.9912589824</v>
      </c>
      <c r="AW354" s="239">
        <f>(AS354*AK354/1000000)*(VLOOKUP(N354,FCST!D:I,6,FALSE))</f>
        <v>3.9779251200000005</v>
      </c>
      <c r="AX354" s="239">
        <f t="shared" si="53"/>
        <v>3.9978147455999999</v>
      </c>
      <c r="AY354" s="239">
        <f>IF($G354="CERVECERIA Y MALTERIA.",($AS354*$AK354/1000000)*(1-VLOOKUP($N354,FCST!D:I,6,FALSE)),0)</f>
        <v>0</v>
      </c>
      <c r="AZ354" s="239">
        <f t="shared" si="54"/>
        <v>0</v>
      </c>
    </row>
    <row r="355" spans="1:52" x14ac:dyDescent="0.25">
      <c r="A355" s="209">
        <v>1091005</v>
      </c>
      <c r="B355" s="209">
        <v>30</v>
      </c>
      <c r="C355" s="209">
        <v>89341319</v>
      </c>
      <c r="D355" s="209">
        <v>10</v>
      </c>
      <c r="E355" s="209">
        <v>10000002</v>
      </c>
      <c r="F355" s="209">
        <v>20000339</v>
      </c>
      <c r="G355" s="209" t="s">
        <v>105</v>
      </c>
      <c r="H355" s="209">
        <v>20000339</v>
      </c>
      <c r="I355" s="209">
        <v>2</v>
      </c>
      <c r="J355" s="209" t="s">
        <v>169</v>
      </c>
      <c r="K355" s="209" t="s">
        <v>699</v>
      </c>
      <c r="L355" s="209" t="s">
        <v>265</v>
      </c>
      <c r="M355" s="209" t="s">
        <v>172</v>
      </c>
      <c r="N355" s="209">
        <v>50033268</v>
      </c>
      <c r="O355" s="209" t="s">
        <v>253</v>
      </c>
      <c r="P355" s="209">
        <v>5121</v>
      </c>
      <c r="Q355" s="209" t="s">
        <v>174</v>
      </c>
      <c r="R355" s="209" t="s">
        <v>175</v>
      </c>
      <c r="S355" s="209" t="s">
        <v>176</v>
      </c>
      <c r="T355" s="209" t="s">
        <v>177</v>
      </c>
      <c r="U355" s="209" t="s">
        <v>178</v>
      </c>
      <c r="V355" s="209" t="s">
        <v>179</v>
      </c>
      <c r="W355" s="209" t="s">
        <v>179</v>
      </c>
      <c r="X355" s="209" t="s">
        <v>180</v>
      </c>
      <c r="Y355" s="209" t="s">
        <v>180</v>
      </c>
      <c r="Z355" s="209">
        <v>9521067085</v>
      </c>
      <c r="AA355" s="209" t="s">
        <v>700</v>
      </c>
      <c r="AB355" s="209" t="s">
        <v>180</v>
      </c>
      <c r="AC355" s="209" t="s">
        <v>182</v>
      </c>
      <c r="AD355" s="209">
        <v>12</v>
      </c>
      <c r="AE355" s="209">
        <v>2024</v>
      </c>
      <c r="AF355" s="227">
        <v>45639</v>
      </c>
      <c r="AG355" s="227">
        <v>45646</v>
      </c>
      <c r="AH355" s="227">
        <v>45647</v>
      </c>
      <c r="AI355" s="228">
        <v>406848</v>
      </c>
      <c r="AJ355" s="228">
        <v>52</v>
      </c>
      <c r="AK355" s="228">
        <v>406848</v>
      </c>
      <c r="AL355" s="228">
        <v>52</v>
      </c>
      <c r="AM355" s="228">
        <v>0</v>
      </c>
      <c r="AN355" s="228">
        <v>0</v>
      </c>
      <c r="AO355" s="229">
        <v>50</v>
      </c>
      <c r="AP355" s="231">
        <v>12</v>
      </c>
      <c r="AQ355" s="231">
        <v>2024</v>
      </c>
      <c r="AR355" s="231" t="str">
        <f t="shared" si="50"/>
        <v>12/2024</v>
      </c>
      <c r="AS355" s="231">
        <f t="shared" si="51"/>
        <v>44</v>
      </c>
      <c r="AT355" s="239">
        <f>IF(G355="CERVECERIA Y MALTERIA",(AS355*AK355/1000000)*(1-VLOOKUP(N355,FCST!D:I,6,FALSE)),0)</f>
        <v>17.901312000000001</v>
      </c>
      <c r="AU355" s="232">
        <v>5.0000000000000001E-3</v>
      </c>
      <c r="AV355" s="239">
        <f t="shared" si="52"/>
        <v>17.990818559999997</v>
      </c>
      <c r="AW355" s="239">
        <f>(AS355*AK355/1000000)*(VLOOKUP(N355,FCST!D:I,6,FALSE))</f>
        <v>0</v>
      </c>
      <c r="AX355" s="239">
        <f t="shared" si="53"/>
        <v>0</v>
      </c>
      <c r="AY355" s="239">
        <f>IF($G355="CERVECERIA Y MALTERIA.",($AS355*$AK355/1000000)*(1-VLOOKUP($N355,FCST!D:I,6,FALSE)),0)</f>
        <v>0</v>
      </c>
      <c r="AZ355" s="239">
        <f t="shared" si="54"/>
        <v>0</v>
      </c>
    </row>
    <row r="356" spans="1:52" x14ac:dyDescent="0.25">
      <c r="A356" s="209">
        <v>1091916</v>
      </c>
      <c r="B356" s="209">
        <v>10</v>
      </c>
      <c r="C356" s="209">
        <v>89341692</v>
      </c>
      <c r="D356" s="209">
        <v>10</v>
      </c>
      <c r="E356" s="209">
        <v>10000002</v>
      </c>
      <c r="F356" s="209">
        <v>20000340</v>
      </c>
      <c r="G356" s="209" t="s">
        <v>117</v>
      </c>
      <c r="H356" s="209">
        <v>20000340</v>
      </c>
      <c r="I356" s="209">
        <v>2</v>
      </c>
      <c r="J356" s="209" t="s">
        <v>169</v>
      </c>
      <c r="K356" s="209" t="s">
        <v>701</v>
      </c>
      <c r="L356" s="209" t="s">
        <v>171</v>
      </c>
      <c r="M356" s="209" t="s">
        <v>172</v>
      </c>
      <c r="N356" s="209">
        <v>50029817</v>
      </c>
      <c r="O356" s="209" t="s">
        <v>396</v>
      </c>
      <c r="P356" s="209">
        <v>5101</v>
      </c>
      <c r="Q356" s="209" t="s">
        <v>186</v>
      </c>
      <c r="R356" s="209" t="s">
        <v>175</v>
      </c>
      <c r="S356" s="209" t="s">
        <v>176</v>
      </c>
      <c r="T356" s="209" t="s">
        <v>187</v>
      </c>
      <c r="U356" s="209" t="s">
        <v>188</v>
      </c>
      <c r="V356" s="209" t="s">
        <v>179</v>
      </c>
      <c r="W356" s="209" t="s">
        <v>179</v>
      </c>
      <c r="X356" s="209" t="s">
        <v>180</v>
      </c>
      <c r="Y356" s="209" t="s">
        <v>180</v>
      </c>
      <c r="Z356" s="209">
        <v>9511047240</v>
      </c>
      <c r="AA356" s="209" t="s">
        <v>675</v>
      </c>
      <c r="AB356" s="209" t="s">
        <v>180</v>
      </c>
      <c r="AC356" s="209" t="s">
        <v>182</v>
      </c>
      <c r="AD356" s="209">
        <v>12</v>
      </c>
      <c r="AE356" s="209">
        <v>2024</v>
      </c>
      <c r="AF356" s="227">
        <v>45645</v>
      </c>
      <c r="AG356" s="227">
        <v>45649</v>
      </c>
      <c r="AH356" s="227">
        <v>45649</v>
      </c>
      <c r="AI356" s="228">
        <v>606528</v>
      </c>
      <c r="AJ356" s="228">
        <v>52</v>
      </c>
      <c r="AK356" s="228">
        <v>606528</v>
      </c>
      <c r="AL356" s="228">
        <v>52</v>
      </c>
      <c r="AM356" s="228">
        <v>0</v>
      </c>
      <c r="AN356" s="228">
        <v>0</v>
      </c>
      <c r="AO356" s="229">
        <v>52</v>
      </c>
      <c r="AP356" s="231">
        <v>12</v>
      </c>
      <c r="AQ356" s="231">
        <v>2024</v>
      </c>
      <c r="AR356" s="231" t="str">
        <f t="shared" si="50"/>
        <v>12/2024</v>
      </c>
      <c r="AS356" s="231">
        <f t="shared" si="51"/>
        <v>30</v>
      </c>
      <c r="AT356" s="239">
        <f>IF(G356="CERVECERIA Y MALTERIA",(AS356*AK356/1000000)*(1-VLOOKUP(N356,FCST!D:I,6,FALSE)),0)</f>
        <v>0</v>
      </c>
      <c r="AU356" s="232">
        <v>5.0000000000000001E-3</v>
      </c>
      <c r="AV356" s="239">
        <f t="shared" si="52"/>
        <v>0</v>
      </c>
      <c r="AW356" s="239">
        <f>(AS356*AK356/1000000)*(VLOOKUP(N356,FCST!D:I,6,FALSE))</f>
        <v>5.4587519999999996</v>
      </c>
      <c r="AX356" s="239">
        <f t="shared" si="53"/>
        <v>5.4860457599999988</v>
      </c>
      <c r="AY356" s="239">
        <f>IF($G356="CERVECERIA Y MALTERIA.",($AS356*$AK356/1000000)*(1-VLOOKUP($N356,FCST!D:I,6,FALSE)),0)</f>
        <v>12.737088</v>
      </c>
      <c r="AZ356" s="239">
        <f t="shared" si="54"/>
        <v>12.800773439999999</v>
      </c>
    </row>
    <row r="357" spans="1:52" x14ac:dyDescent="0.25">
      <c r="A357" s="209">
        <v>1090643</v>
      </c>
      <c r="B357" s="209">
        <v>30</v>
      </c>
      <c r="C357" s="209">
        <v>89337790</v>
      </c>
      <c r="D357" s="209">
        <v>10</v>
      </c>
      <c r="E357" s="209">
        <v>10000002</v>
      </c>
      <c r="F357" s="209">
        <v>20000335</v>
      </c>
      <c r="G357" s="209" t="s">
        <v>105</v>
      </c>
      <c r="H357" s="209">
        <v>20000335</v>
      </c>
      <c r="I357" s="209">
        <v>2</v>
      </c>
      <c r="J357" s="209" t="s">
        <v>169</v>
      </c>
      <c r="K357" s="209" t="s">
        <v>702</v>
      </c>
      <c r="L357" s="209" t="s">
        <v>171</v>
      </c>
      <c r="M357" s="209" t="s">
        <v>199</v>
      </c>
      <c r="N357" s="209">
        <v>50034616</v>
      </c>
      <c r="O357" s="209" t="s">
        <v>191</v>
      </c>
      <c r="P357" s="209">
        <v>5121</v>
      </c>
      <c r="Q357" s="209" t="s">
        <v>200</v>
      </c>
      <c r="R357" s="209" t="s">
        <v>201</v>
      </c>
      <c r="S357" s="209" t="s">
        <v>202</v>
      </c>
      <c r="T357" s="209" t="s">
        <v>203</v>
      </c>
      <c r="U357" s="209" t="s">
        <v>201</v>
      </c>
      <c r="V357" s="209" t="s">
        <v>179</v>
      </c>
      <c r="W357" s="209" t="s">
        <v>179</v>
      </c>
      <c r="X357" s="209" t="s">
        <v>180</v>
      </c>
      <c r="Y357" s="209" t="s">
        <v>180</v>
      </c>
      <c r="Z357" s="209">
        <v>9521067078</v>
      </c>
      <c r="AA357" s="209" t="s">
        <v>703</v>
      </c>
      <c r="AB357" s="209" t="s">
        <v>180</v>
      </c>
      <c r="AC357" s="209" t="s">
        <v>182</v>
      </c>
      <c r="AD357" s="209">
        <v>12</v>
      </c>
      <c r="AE357" s="209">
        <v>2024</v>
      </c>
      <c r="AF357" s="227">
        <v>45638</v>
      </c>
      <c r="AG357" s="227">
        <v>45643</v>
      </c>
      <c r="AH357" s="227">
        <v>45643</v>
      </c>
      <c r="AI357" s="228">
        <v>426816</v>
      </c>
      <c r="AJ357" s="228">
        <v>52</v>
      </c>
      <c r="AK357" s="228">
        <v>426816</v>
      </c>
      <c r="AL357" s="228">
        <v>52</v>
      </c>
      <c r="AM357" s="228">
        <v>0</v>
      </c>
      <c r="AN357" s="228">
        <v>0</v>
      </c>
      <c r="AO357" s="229">
        <v>51</v>
      </c>
      <c r="AP357" s="231">
        <v>12</v>
      </c>
      <c r="AQ357" s="231">
        <v>2024</v>
      </c>
      <c r="AR357" s="231" t="str">
        <f t="shared" si="50"/>
        <v>12/2024</v>
      </c>
      <c r="AS357" s="231">
        <f t="shared" si="51"/>
        <v>46.6</v>
      </c>
      <c r="AT357" s="239">
        <f>IF(G357="CERVECERIA Y MALTERIA",(AS357*AK357/1000000)*(1-VLOOKUP(N357,FCST!D:I,6,FALSE)),0)</f>
        <v>19.889625600000002</v>
      </c>
      <c r="AU357" s="232">
        <v>5.0000000000000001E-3</v>
      </c>
      <c r="AV357" s="239">
        <f t="shared" si="52"/>
        <v>19.989073728000001</v>
      </c>
      <c r="AW357" s="239">
        <f>(AS357*AK357/1000000)*(VLOOKUP(N357,FCST!D:I,6,FALSE))</f>
        <v>0</v>
      </c>
      <c r="AX357" s="239">
        <f t="shared" si="53"/>
        <v>0</v>
      </c>
      <c r="AY357" s="239">
        <f>IF($G357="CERVECERIA Y MALTERIA.",($AS357*$AK357/1000000)*(1-VLOOKUP($N357,FCST!D:I,6,FALSE)),0)</f>
        <v>0</v>
      </c>
      <c r="AZ357" s="239">
        <f t="shared" si="54"/>
        <v>0</v>
      </c>
    </row>
    <row r="358" spans="1:52" x14ac:dyDescent="0.25">
      <c r="A358" s="209">
        <v>1090643</v>
      </c>
      <c r="B358" s="209">
        <v>60</v>
      </c>
      <c r="C358" s="209">
        <v>89338144</v>
      </c>
      <c r="D358" s="209">
        <v>10</v>
      </c>
      <c r="E358" s="209">
        <v>10000002</v>
      </c>
      <c r="F358" s="209">
        <v>20000335</v>
      </c>
      <c r="G358" s="209" t="s">
        <v>105</v>
      </c>
      <c r="H358" s="209">
        <v>20000335</v>
      </c>
      <c r="I358" s="209">
        <v>2</v>
      </c>
      <c r="J358" s="209" t="s">
        <v>169</v>
      </c>
      <c r="K358" s="209" t="s">
        <v>704</v>
      </c>
      <c r="L358" s="209" t="s">
        <v>171</v>
      </c>
      <c r="M358" s="209" t="s">
        <v>199</v>
      </c>
      <c r="N358" s="209">
        <v>50032583</v>
      </c>
      <c r="O358" s="209" t="s">
        <v>205</v>
      </c>
      <c r="P358" s="209">
        <v>5121</v>
      </c>
      <c r="Q358" s="209" t="s">
        <v>200</v>
      </c>
      <c r="R358" s="209" t="s">
        <v>201</v>
      </c>
      <c r="S358" s="209" t="s">
        <v>202</v>
      </c>
      <c r="T358" s="209" t="s">
        <v>203</v>
      </c>
      <c r="U358" s="209" t="s">
        <v>201</v>
      </c>
      <c r="V358" s="209" t="s">
        <v>179</v>
      </c>
      <c r="W358" s="209" t="s">
        <v>179</v>
      </c>
      <c r="X358" s="209" t="s">
        <v>180</v>
      </c>
      <c r="Y358" s="209" t="s">
        <v>180</v>
      </c>
      <c r="Z358" s="209">
        <v>9521067076</v>
      </c>
      <c r="AA358" s="209" t="s">
        <v>686</v>
      </c>
      <c r="AB358" s="209" t="s">
        <v>180</v>
      </c>
      <c r="AC358" s="209" t="s">
        <v>182</v>
      </c>
      <c r="AD358" s="209">
        <v>12</v>
      </c>
      <c r="AE358" s="209">
        <v>2024</v>
      </c>
      <c r="AF358" s="227">
        <v>45638</v>
      </c>
      <c r="AG358" s="227">
        <v>45643</v>
      </c>
      <c r="AH358" s="227">
        <v>45643</v>
      </c>
      <c r="AI358" s="228">
        <v>351936</v>
      </c>
      <c r="AJ358" s="228">
        <v>52</v>
      </c>
      <c r="AK358" s="228">
        <v>351936</v>
      </c>
      <c r="AL358" s="228">
        <v>52</v>
      </c>
      <c r="AM358" s="228">
        <v>0</v>
      </c>
      <c r="AN358" s="228">
        <v>0</v>
      </c>
      <c r="AO358" s="229">
        <v>51</v>
      </c>
      <c r="AP358" s="231">
        <v>12</v>
      </c>
      <c r="AQ358" s="231">
        <v>2024</v>
      </c>
      <c r="AR358" s="231" t="str">
        <f t="shared" si="50"/>
        <v>12/2024</v>
      </c>
      <c r="AS358" s="231">
        <f t="shared" si="51"/>
        <v>54.7</v>
      </c>
      <c r="AT358" s="239">
        <f>IF(G358="CERVECERIA Y MALTERIA",(AS358*AK358/1000000)*(1-VLOOKUP(N358,FCST!D:I,6,FALSE)),0)</f>
        <v>19.250899199999999</v>
      </c>
      <c r="AU358" s="232">
        <v>5.0000000000000001E-3</v>
      </c>
      <c r="AV358" s="239">
        <f t="shared" si="52"/>
        <v>19.347153695999996</v>
      </c>
      <c r="AW358" s="239">
        <f>(AS358*AK358/1000000)*(VLOOKUP(N358,FCST!D:I,6,FALSE))</f>
        <v>0</v>
      </c>
      <c r="AX358" s="239">
        <f t="shared" si="53"/>
        <v>0</v>
      </c>
      <c r="AY358" s="239">
        <f>IF($G358="CERVECERIA Y MALTERIA.",($AS358*$AK358/1000000)*(1-VLOOKUP($N358,FCST!D:I,6,FALSE)),0)</f>
        <v>0</v>
      </c>
      <c r="AZ358" s="239">
        <f t="shared" si="54"/>
        <v>0</v>
      </c>
    </row>
    <row r="359" spans="1:52" x14ac:dyDescent="0.25">
      <c r="A359" s="209">
        <v>1090647</v>
      </c>
      <c r="B359" s="209">
        <v>30</v>
      </c>
      <c r="C359" s="209">
        <v>89338232</v>
      </c>
      <c r="D359" s="209">
        <v>10</v>
      </c>
      <c r="E359" s="209">
        <v>10000002</v>
      </c>
      <c r="F359" s="209">
        <v>20000340</v>
      </c>
      <c r="G359" s="209" t="s">
        <v>117</v>
      </c>
      <c r="H359" s="209">
        <v>20000340</v>
      </c>
      <c r="I359" s="209">
        <v>2</v>
      </c>
      <c r="J359" s="209" t="s">
        <v>169</v>
      </c>
      <c r="K359" s="209" t="s">
        <v>705</v>
      </c>
      <c r="L359" s="209" t="s">
        <v>171</v>
      </c>
      <c r="M359" s="209" t="s">
        <v>172</v>
      </c>
      <c r="N359" s="209">
        <v>50029817</v>
      </c>
      <c r="O359" s="209" t="s">
        <v>396</v>
      </c>
      <c r="P359" s="209">
        <v>5101</v>
      </c>
      <c r="Q359" s="209" t="s">
        <v>186</v>
      </c>
      <c r="R359" s="209" t="s">
        <v>175</v>
      </c>
      <c r="S359" s="209" t="s">
        <v>176</v>
      </c>
      <c r="T359" s="209" t="s">
        <v>187</v>
      </c>
      <c r="U359" s="209" t="s">
        <v>188</v>
      </c>
      <c r="V359" s="209" t="s">
        <v>179</v>
      </c>
      <c r="W359" s="209" t="s">
        <v>179</v>
      </c>
      <c r="X359" s="209" t="s">
        <v>180</v>
      </c>
      <c r="Y359" s="209" t="s">
        <v>180</v>
      </c>
      <c r="Z359" s="209">
        <v>9511047240</v>
      </c>
      <c r="AA359" s="209" t="s">
        <v>675</v>
      </c>
      <c r="AB359" s="209" t="s">
        <v>180</v>
      </c>
      <c r="AC359" s="209" t="s">
        <v>182</v>
      </c>
      <c r="AD359" s="209">
        <v>12</v>
      </c>
      <c r="AE359" s="209">
        <v>2024</v>
      </c>
      <c r="AF359" s="227">
        <v>45638</v>
      </c>
      <c r="AG359" s="227">
        <v>45643</v>
      </c>
      <c r="AH359" s="227">
        <v>45643</v>
      </c>
      <c r="AI359" s="228">
        <v>606528</v>
      </c>
      <c r="AJ359" s="228">
        <v>52</v>
      </c>
      <c r="AK359" s="228">
        <v>606528</v>
      </c>
      <c r="AL359" s="228">
        <v>52</v>
      </c>
      <c r="AM359" s="228">
        <v>0</v>
      </c>
      <c r="AN359" s="228">
        <v>0</v>
      </c>
      <c r="AO359" s="229">
        <v>51</v>
      </c>
      <c r="AP359" s="231">
        <v>12</v>
      </c>
      <c r="AQ359" s="231">
        <v>2024</v>
      </c>
      <c r="AR359" s="231" t="str">
        <f t="shared" si="50"/>
        <v>12/2024</v>
      </c>
      <c r="AS359" s="231">
        <f t="shared" si="51"/>
        <v>30</v>
      </c>
      <c r="AT359" s="239">
        <f>IF(G359="CERVECERIA Y MALTERIA",(AS359*AK359/1000000)*(1-VLOOKUP(N359,FCST!D:I,6,FALSE)),0)</f>
        <v>0</v>
      </c>
      <c r="AU359" s="232">
        <v>5.0000000000000001E-3</v>
      </c>
      <c r="AV359" s="239">
        <f t="shared" si="52"/>
        <v>0</v>
      </c>
      <c r="AW359" s="239">
        <f>(AS359*AK359/1000000)*(VLOOKUP(N359,FCST!D:I,6,FALSE))</f>
        <v>5.4587519999999996</v>
      </c>
      <c r="AX359" s="239">
        <f t="shared" si="53"/>
        <v>5.4860457599999988</v>
      </c>
      <c r="AY359" s="239">
        <f>IF($G359="CERVECERIA Y MALTERIA.",($AS359*$AK359/1000000)*(1-VLOOKUP($N359,FCST!D:I,6,FALSE)),0)</f>
        <v>12.737088</v>
      </c>
      <c r="AZ359" s="239">
        <f t="shared" si="54"/>
        <v>12.800773439999999</v>
      </c>
    </row>
    <row r="360" spans="1:52" x14ac:dyDescent="0.25">
      <c r="A360" s="209">
        <v>1091041</v>
      </c>
      <c r="B360" s="209">
        <v>10</v>
      </c>
      <c r="C360" s="209">
        <v>89338235</v>
      </c>
      <c r="D360" s="209">
        <v>10</v>
      </c>
      <c r="E360" s="209">
        <v>10000002</v>
      </c>
      <c r="F360" s="209">
        <v>20000336</v>
      </c>
      <c r="G360" s="209" t="s">
        <v>105</v>
      </c>
      <c r="H360" s="209">
        <v>20000336</v>
      </c>
      <c r="I360" s="209">
        <v>2</v>
      </c>
      <c r="J360" s="209" t="s">
        <v>169</v>
      </c>
      <c r="K360" s="209" t="s">
        <v>706</v>
      </c>
      <c r="L360" s="209" t="s">
        <v>265</v>
      </c>
      <c r="M360" s="209" t="s">
        <v>172</v>
      </c>
      <c r="N360" s="209">
        <v>50034194</v>
      </c>
      <c r="O360" s="209" t="s">
        <v>276</v>
      </c>
      <c r="P360" s="209">
        <v>5121</v>
      </c>
      <c r="Q360" s="209" t="s">
        <v>174</v>
      </c>
      <c r="R360" s="209" t="s">
        <v>175</v>
      </c>
      <c r="S360" s="209" t="s">
        <v>176</v>
      </c>
      <c r="T360" s="209" t="s">
        <v>177</v>
      </c>
      <c r="U360" s="209" t="s">
        <v>178</v>
      </c>
      <c r="V360" s="209" t="s">
        <v>179</v>
      </c>
      <c r="W360" s="209" t="s">
        <v>179</v>
      </c>
      <c r="X360" s="209" t="s">
        <v>180</v>
      </c>
      <c r="Y360" s="209" t="s">
        <v>180</v>
      </c>
      <c r="Z360" s="209">
        <v>9521067080</v>
      </c>
      <c r="AA360" s="209" t="s">
        <v>707</v>
      </c>
      <c r="AB360" s="209" t="s">
        <v>180</v>
      </c>
      <c r="AC360" s="209" t="s">
        <v>182</v>
      </c>
      <c r="AD360" s="209">
        <v>12</v>
      </c>
      <c r="AE360" s="209">
        <v>2024</v>
      </c>
      <c r="AF360" s="227">
        <v>45642</v>
      </c>
      <c r="AG360" s="227">
        <v>45643</v>
      </c>
      <c r="AH360" s="227">
        <v>45643</v>
      </c>
      <c r="AI360" s="228">
        <v>316992</v>
      </c>
      <c r="AJ360" s="228">
        <v>52</v>
      </c>
      <c r="AK360" s="228">
        <v>316992</v>
      </c>
      <c r="AL360" s="228">
        <v>52</v>
      </c>
      <c r="AM360" s="228">
        <v>0</v>
      </c>
      <c r="AN360" s="228">
        <v>0</v>
      </c>
      <c r="AO360" s="229">
        <v>51</v>
      </c>
      <c r="AP360" s="231">
        <v>12</v>
      </c>
      <c r="AQ360" s="231">
        <v>2024</v>
      </c>
      <c r="AR360" s="231" t="str">
        <f t="shared" si="50"/>
        <v>12/2024</v>
      </c>
      <c r="AS360" s="231">
        <f t="shared" si="51"/>
        <v>62</v>
      </c>
      <c r="AT360" s="239">
        <f>IF(G360="CERVECERIA Y MALTERIA",(AS360*AK360/1000000)*(1-VLOOKUP(N360,FCST!D:I,6,FALSE)),0)</f>
        <v>19.653504000000002</v>
      </c>
      <c r="AU360" s="232">
        <v>5.0000000000000001E-3</v>
      </c>
      <c r="AV360" s="239">
        <f t="shared" si="52"/>
        <v>19.751771519999998</v>
      </c>
      <c r="AW360" s="239">
        <f>(AS360*AK360/1000000)*(VLOOKUP(N360,FCST!D:I,6,FALSE))</f>
        <v>0</v>
      </c>
      <c r="AX360" s="239">
        <f t="shared" si="53"/>
        <v>0</v>
      </c>
      <c r="AY360" s="239">
        <f>IF($G360="CERVECERIA Y MALTERIA.",($AS360*$AK360/1000000)*(1-VLOOKUP($N360,FCST!D:I,6,FALSE)),0)</f>
        <v>0</v>
      </c>
      <c r="AZ360" s="239">
        <f t="shared" si="54"/>
        <v>0</v>
      </c>
    </row>
    <row r="361" spans="1:52" x14ac:dyDescent="0.25">
      <c r="A361" s="209">
        <v>1090643</v>
      </c>
      <c r="B361" s="209">
        <v>70</v>
      </c>
      <c r="C361" s="209">
        <v>89338733</v>
      </c>
      <c r="D361" s="209">
        <v>10</v>
      </c>
      <c r="E361" s="209">
        <v>10000002</v>
      </c>
      <c r="F361" s="209">
        <v>20000335</v>
      </c>
      <c r="G361" s="209" t="s">
        <v>105</v>
      </c>
      <c r="H361" s="209">
        <v>20000335</v>
      </c>
      <c r="I361" s="209">
        <v>2</v>
      </c>
      <c r="J361" s="209" t="s">
        <v>169</v>
      </c>
      <c r="K361" s="209" t="s">
        <v>708</v>
      </c>
      <c r="L361" s="209" t="s">
        <v>171</v>
      </c>
      <c r="M361" s="209" t="s">
        <v>172</v>
      </c>
      <c r="N361" s="209">
        <v>50035184</v>
      </c>
      <c r="O361" s="209" t="s">
        <v>672</v>
      </c>
      <c r="P361" s="209">
        <v>5121</v>
      </c>
      <c r="Q361" s="209" t="s">
        <v>174</v>
      </c>
      <c r="R361" s="209" t="s">
        <v>175</v>
      </c>
      <c r="S361" s="209" t="s">
        <v>176</v>
      </c>
      <c r="T361" s="209" t="s">
        <v>177</v>
      </c>
      <c r="U361" s="209" t="s">
        <v>178</v>
      </c>
      <c r="V361" s="209" t="s">
        <v>179</v>
      </c>
      <c r="W361" s="209" t="s">
        <v>179</v>
      </c>
      <c r="X361" s="209" t="s">
        <v>180</v>
      </c>
      <c r="Y361" s="209" t="s">
        <v>180</v>
      </c>
      <c r="Z361" s="209">
        <v>9521067145</v>
      </c>
      <c r="AA361" s="209" t="s">
        <v>709</v>
      </c>
      <c r="AB361" s="209" t="s">
        <v>180</v>
      </c>
      <c r="AC361" s="209" t="s">
        <v>182</v>
      </c>
      <c r="AD361" s="209">
        <v>12</v>
      </c>
      <c r="AE361" s="209">
        <v>2024</v>
      </c>
      <c r="AF361" s="227">
        <v>45638</v>
      </c>
      <c r="AG361" s="227">
        <v>45644</v>
      </c>
      <c r="AH361" s="227">
        <v>45644</v>
      </c>
      <c r="AI361" s="228">
        <v>977184</v>
      </c>
      <c r="AJ361" s="228">
        <v>52</v>
      </c>
      <c r="AK361" s="228">
        <v>977184</v>
      </c>
      <c r="AL361" s="228">
        <v>52</v>
      </c>
      <c r="AM361" s="228">
        <v>0</v>
      </c>
      <c r="AN361" s="228">
        <v>0</v>
      </c>
      <c r="AO361" s="229">
        <v>51</v>
      </c>
      <c r="AP361" s="231">
        <v>12</v>
      </c>
      <c r="AQ361" s="231">
        <v>2024</v>
      </c>
      <c r="AR361" s="231" t="str">
        <f t="shared" si="50"/>
        <v>12/2024</v>
      </c>
      <c r="AS361" s="231">
        <f t="shared" si="51"/>
        <v>19.5</v>
      </c>
      <c r="AT361" s="239">
        <f>IF(G361="CERVECERIA Y MALTERIA",(AS361*AK361/1000000)*(1-VLOOKUP(N361,FCST!D:I,6,FALSE)),0)</f>
        <v>19.055088000000001</v>
      </c>
      <c r="AU361" s="232">
        <v>5.0000000000000001E-3</v>
      </c>
      <c r="AV361" s="239">
        <f t="shared" si="52"/>
        <v>19.15036344</v>
      </c>
      <c r="AW361" s="239">
        <f>(AS361*AK361/1000000)*(VLOOKUP(N361,FCST!D:I,6,FALSE))</f>
        <v>0</v>
      </c>
      <c r="AX361" s="239">
        <f t="shared" si="53"/>
        <v>0</v>
      </c>
      <c r="AY361" s="239">
        <f>IF($G361="CERVECERIA Y MALTERIA.",($AS361*$AK361/1000000)*(1-VLOOKUP($N361,FCST!D:I,6,FALSE)),0)</f>
        <v>0</v>
      </c>
      <c r="AZ361" s="239">
        <f t="shared" si="54"/>
        <v>0</v>
      </c>
    </row>
    <row r="362" spans="1:52" x14ac:dyDescent="0.25">
      <c r="A362" s="209">
        <v>1091033</v>
      </c>
      <c r="B362" s="209">
        <v>20</v>
      </c>
      <c r="C362" s="209">
        <v>89338790</v>
      </c>
      <c r="D362" s="209">
        <v>10</v>
      </c>
      <c r="E362" s="209">
        <v>10000002</v>
      </c>
      <c r="F362" s="209">
        <v>20000337</v>
      </c>
      <c r="G362" s="209" t="s">
        <v>105</v>
      </c>
      <c r="H362" s="209">
        <v>20000337</v>
      </c>
      <c r="I362" s="209">
        <v>2</v>
      </c>
      <c r="J362" s="209" t="s">
        <v>169</v>
      </c>
      <c r="K362" s="209" t="s">
        <v>710</v>
      </c>
      <c r="L362" s="209" t="s">
        <v>265</v>
      </c>
      <c r="M362" s="209" t="s">
        <v>199</v>
      </c>
      <c r="N362" s="209">
        <v>50034616</v>
      </c>
      <c r="O362" s="209" t="s">
        <v>191</v>
      </c>
      <c r="P362" s="209">
        <v>5121</v>
      </c>
      <c r="Q362" s="209" t="s">
        <v>200</v>
      </c>
      <c r="R362" s="209" t="s">
        <v>201</v>
      </c>
      <c r="S362" s="209" t="s">
        <v>202</v>
      </c>
      <c r="T362" s="209" t="s">
        <v>203</v>
      </c>
      <c r="U362" s="209" t="s">
        <v>201</v>
      </c>
      <c r="V362" s="209" t="s">
        <v>179</v>
      </c>
      <c r="W362" s="209" t="s">
        <v>179</v>
      </c>
      <c r="X362" s="209" t="s">
        <v>180</v>
      </c>
      <c r="Y362" s="209" t="s">
        <v>180</v>
      </c>
      <c r="Z362" s="209">
        <v>9521067083</v>
      </c>
      <c r="AA362" s="209" t="s">
        <v>677</v>
      </c>
      <c r="AB362" s="209" t="s">
        <v>180</v>
      </c>
      <c r="AC362" s="209" t="s">
        <v>182</v>
      </c>
      <c r="AD362" s="209">
        <v>12</v>
      </c>
      <c r="AE362" s="209">
        <v>2024</v>
      </c>
      <c r="AF362" s="227">
        <v>45642</v>
      </c>
      <c r="AG362" s="227">
        <v>45644</v>
      </c>
      <c r="AH362" s="227">
        <v>45644</v>
      </c>
      <c r="AI362" s="228">
        <v>426816</v>
      </c>
      <c r="AJ362" s="228">
        <v>52</v>
      </c>
      <c r="AK362" s="228">
        <v>426816</v>
      </c>
      <c r="AL362" s="228">
        <v>52</v>
      </c>
      <c r="AM362" s="228">
        <v>0</v>
      </c>
      <c r="AN362" s="228">
        <v>0</v>
      </c>
      <c r="AO362" s="229">
        <v>51</v>
      </c>
      <c r="AP362" s="231">
        <v>12</v>
      </c>
      <c r="AQ362" s="231">
        <v>2024</v>
      </c>
      <c r="AR362" s="231" t="str">
        <f t="shared" si="50"/>
        <v>12/2024</v>
      </c>
      <c r="AS362" s="231">
        <f t="shared" si="51"/>
        <v>46.6</v>
      </c>
      <c r="AT362" s="239">
        <f>IF(G362="CERVECERIA Y MALTERIA",(AS362*AK362/1000000)*(1-VLOOKUP(N362,FCST!D:I,6,FALSE)),0)</f>
        <v>19.889625600000002</v>
      </c>
      <c r="AU362" s="232">
        <v>5.0000000000000001E-3</v>
      </c>
      <c r="AV362" s="239">
        <f t="shared" si="52"/>
        <v>19.989073728000001</v>
      </c>
      <c r="AW362" s="239">
        <f>(AS362*AK362/1000000)*(VLOOKUP(N362,FCST!D:I,6,FALSE))</f>
        <v>0</v>
      </c>
      <c r="AX362" s="239">
        <f t="shared" si="53"/>
        <v>0</v>
      </c>
      <c r="AY362" s="239">
        <f>IF($G362="CERVECERIA Y MALTERIA.",($AS362*$AK362/1000000)*(1-VLOOKUP($N362,FCST!D:I,6,FALSE)),0)</f>
        <v>0</v>
      </c>
      <c r="AZ362" s="239">
        <f t="shared" si="54"/>
        <v>0</v>
      </c>
    </row>
    <row r="363" spans="1:52" x14ac:dyDescent="0.25">
      <c r="A363" s="209">
        <v>1090647</v>
      </c>
      <c r="B363" s="209">
        <v>10</v>
      </c>
      <c r="C363" s="209">
        <v>89336926</v>
      </c>
      <c r="D363" s="209">
        <v>10</v>
      </c>
      <c r="E363" s="209">
        <v>10000002</v>
      </c>
      <c r="F363" s="209">
        <v>20000340</v>
      </c>
      <c r="G363" s="209" t="s">
        <v>117</v>
      </c>
      <c r="H363" s="209">
        <v>20000340</v>
      </c>
      <c r="I363" s="209">
        <v>2</v>
      </c>
      <c r="J363" s="209" t="s">
        <v>169</v>
      </c>
      <c r="K363" s="209" t="s">
        <v>711</v>
      </c>
      <c r="L363" s="209" t="s">
        <v>171</v>
      </c>
      <c r="M363" s="209" t="s">
        <v>172</v>
      </c>
      <c r="N363" s="209">
        <v>50029817</v>
      </c>
      <c r="O363" s="209" t="s">
        <v>396</v>
      </c>
      <c r="P363" s="209">
        <v>5101</v>
      </c>
      <c r="Q363" s="209" t="s">
        <v>186</v>
      </c>
      <c r="R363" s="209" t="s">
        <v>175</v>
      </c>
      <c r="S363" s="209" t="s">
        <v>176</v>
      </c>
      <c r="T363" s="209" t="s">
        <v>187</v>
      </c>
      <c r="U363" s="209" t="s">
        <v>188</v>
      </c>
      <c r="V363" s="209" t="s">
        <v>179</v>
      </c>
      <c r="W363" s="209" t="s">
        <v>179</v>
      </c>
      <c r="X363" s="209" t="s">
        <v>180</v>
      </c>
      <c r="Y363" s="209" t="s">
        <v>180</v>
      </c>
      <c r="Z363" s="209">
        <v>9511047240</v>
      </c>
      <c r="AA363" s="209" t="s">
        <v>675</v>
      </c>
      <c r="AB363" s="209" t="s">
        <v>180</v>
      </c>
      <c r="AC363" s="209" t="s">
        <v>182</v>
      </c>
      <c r="AD363" s="209">
        <v>12</v>
      </c>
      <c r="AE363" s="209">
        <v>2024</v>
      </c>
      <c r="AF363" s="227">
        <v>45638</v>
      </c>
      <c r="AG363" s="227">
        <v>45642</v>
      </c>
      <c r="AH363" s="227">
        <v>45642</v>
      </c>
      <c r="AI363" s="228">
        <v>606528</v>
      </c>
      <c r="AJ363" s="228">
        <v>52</v>
      </c>
      <c r="AK363" s="228">
        <v>606528</v>
      </c>
      <c r="AL363" s="228">
        <v>52</v>
      </c>
      <c r="AM363" s="228">
        <v>0</v>
      </c>
      <c r="AN363" s="228">
        <v>0</v>
      </c>
      <c r="AO363" s="229">
        <v>51</v>
      </c>
      <c r="AP363" s="231">
        <v>12</v>
      </c>
      <c r="AQ363" s="231">
        <v>2024</v>
      </c>
      <c r="AR363" s="231" t="str">
        <f t="shared" si="50"/>
        <v>12/2024</v>
      </c>
      <c r="AS363" s="231">
        <f t="shared" si="51"/>
        <v>30</v>
      </c>
      <c r="AT363" s="239">
        <f>IF(G363="CERVECERIA Y MALTERIA",(AS363*AK363/1000000)*(1-VLOOKUP(N363,FCST!D:I,6,FALSE)),0)</f>
        <v>0</v>
      </c>
      <c r="AU363" s="232">
        <v>5.0000000000000001E-3</v>
      </c>
      <c r="AV363" s="239">
        <f t="shared" si="52"/>
        <v>0</v>
      </c>
      <c r="AW363" s="239">
        <f>(AS363*AK363/1000000)*(VLOOKUP(N363,FCST!D:I,6,FALSE))</f>
        <v>5.4587519999999996</v>
      </c>
      <c r="AX363" s="239">
        <f t="shared" si="53"/>
        <v>5.4860457599999988</v>
      </c>
      <c r="AY363" s="239">
        <f>IF($G363="CERVECERIA Y MALTERIA.",($AS363*$AK363/1000000)*(1-VLOOKUP($N363,FCST!D:I,6,FALSE)),0)</f>
        <v>12.737088</v>
      </c>
      <c r="AZ363" s="239">
        <f t="shared" si="54"/>
        <v>12.800773439999999</v>
      </c>
    </row>
    <row r="364" spans="1:52" x14ac:dyDescent="0.25">
      <c r="A364" s="209">
        <v>1090643</v>
      </c>
      <c r="B364" s="209">
        <v>10</v>
      </c>
      <c r="C364" s="209">
        <v>89336935</v>
      </c>
      <c r="D364" s="209">
        <v>10</v>
      </c>
      <c r="E364" s="209">
        <v>10000002</v>
      </c>
      <c r="F364" s="209">
        <v>20000335</v>
      </c>
      <c r="G364" s="209" t="s">
        <v>105</v>
      </c>
      <c r="H364" s="209">
        <v>20000335</v>
      </c>
      <c r="I364" s="209">
        <v>2</v>
      </c>
      <c r="J364" s="209" t="s">
        <v>169</v>
      </c>
      <c r="K364" s="209" t="s">
        <v>712</v>
      </c>
      <c r="L364" s="209" t="s">
        <v>171</v>
      </c>
      <c r="M364" s="209" t="s">
        <v>199</v>
      </c>
      <c r="N364" s="209">
        <v>50037042</v>
      </c>
      <c r="O364" s="209" t="s">
        <v>543</v>
      </c>
      <c r="P364" s="209">
        <v>5121</v>
      </c>
      <c r="Q364" s="209" t="s">
        <v>200</v>
      </c>
      <c r="R364" s="209" t="s">
        <v>201</v>
      </c>
      <c r="S364" s="209" t="s">
        <v>202</v>
      </c>
      <c r="T364" s="209" t="s">
        <v>203</v>
      </c>
      <c r="U364" s="209" t="s">
        <v>201</v>
      </c>
      <c r="V364" s="209" t="s">
        <v>179</v>
      </c>
      <c r="W364" s="209" t="s">
        <v>179</v>
      </c>
      <c r="X364" s="209" t="s">
        <v>180</v>
      </c>
      <c r="Y364" s="209" t="s">
        <v>180</v>
      </c>
      <c r="Z364" s="209">
        <v>9521067081</v>
      </c>
      <c r="AA364" s="209" t="s">
        <v>692</v>
      </c>
      <c r="AB364" s="209" t="s">
        <v>180</v>
      </c>
      <c r="AC364" s="209" t="s">
        <v>182</v>
      </c>
      <c r="AD364" s="209">
        <v>12</v>
      </c>
      <c r="AE364" s="209">
        <v>2024</v>
      </c>
      <c r="AF364" s="227">
        <v>45638</v>
      </c>
      <c r="AG364" s="227">
        <v>45642</v>
      </c>
      <c r="AH364" s="227">
        <v>45642</v>
      </c>
      <c r="AI364" s="228">
        <v>426816</v>
      </c>
      <c r="AJ364" s="228">
        <v>52</v>
      </c>
      <c r="AK364" s="228">
        <v>426816</v>
      </c>
      <c r="AL364" s="228">
        <v>52</v>
      </c>
      <c r="AM364" s="228">
        <v>0</v>
      </c>
      <c r="AN364" s="228">
        <v>0</v>
      </c>
      <c r="AO364" s="229">
        <v>51</v>
      </c>
      <c r="AP364" s="231">
        <v>12</v>
      </c>
      <c r="AQ364" s="231">
        <v>2024</v>
      </c>
      <c r="AR364" s="231" t="str">
        <f t="shared" si="50"/>
        <v>12/2024</v>
      </c>
      <c r="AS364" s="231">
        <f t="shared" si="51"/>
        <v>46.6</v>
      </c>
      <c r="AT364" s="239">
        <f>IF(G364="CERVECERIA Y MALTERIA",(AS364*AK364/1000000)*(1-VLOOKUP(N364,FCST!D:I,6,FALSE)),0)</f>
        <v>15.911700480000002</v>
      </c>
      <c r="AU364" s="232">
        <v>5.0000000000000001E-3</v>
      </c>
      <c r="AV364" s="239">
        <f t="shared" si="52"/>
        <v>15.9912589824</v>
      </c>
      <c r="AW364" s="239">
        <f>(AS364*AK364/1000000)*(VLOOKUP(N364,FCST!D:I,6,FALSE))</f>
        <v>3.9779251200000005</v>
      </c>
      <c r="AX364" s="239">
        <f t="shared" si="53"/>
        <v>3.9978147455999999</v>
      </c>
      <c r="AY364" s="239">
        <f>IF($G364="CERVECERIA Y MALTERIA.",($AS364*$AK364/1000000)*(1-VLOOKUP($N364,FCST!D:I,6,FALSE)),0)</f>
        <v>0</v>
      </c>
      <c r="AZ364" s="239">
        <f t="shared" si="54"/>
        <v>0</v>
      </c>
    </row>
    <row r="365" spans="1:52" x14ac:dyDescent="0.25">
      <c r="A365" s="209">
        <v>1088822</v>
      </c>
      <c r="B365" s="209">
        <v>60</v>
      </c>
      <c r="C365" s="209">
        <v>89337162</v>
      </c>
      <c r="D365" s="209">
        <v>10</v>
      </c>
      <c r="E365" s="209">
        <v>10000002</v>
      </c>
      <c r="F365" s="209">
        <v>20000336</v>
      </c>
      <c r="G365" s="209" t="s">
        <v>105</v>
      </c>
      <c r="H365" s="209">
        <v>20000336</v>
      </c>
      <c r="I365" s="209">
        <v>2</v>
      </c>
      <c r="J365" s="209" t="s">
        <v>169</v>
      </c>
      <c r="K365" s="209" t="s">
        <v>713</v>
      </c>
      <c r="L365" s="209" t="s">
        <v>171</v>
      </c>
      <c r="M365" s="209" t="s">
        <v>172</v>
      </c>
      <c r="N365" s="209">
        <v>50034634</v>
      </c>
      <c r="O365" s="209" t="s">
        <v>219</v>
      </c>
      <c r="P365" s="209">
        <v>5121</v>
      </c>
      <c r="Q365" s="209" t="s">
        <v>174</v>
      </c>
      <c r="R365" s="209" t="s">
        <v>175</v>
      </c>
      <c r="S365" s="209" t="s">
        <v>176</v>
      </c>
      <c r="T365" s="209" t="s">
        <v>177</v>
      </c>
      <c r="U365" s="209" t="s">
        <v>178</v>
      </c>
      <c r="V365" s="209" t="s">
        <v>179</v>
      </c>
      <c r="W365" s="209" t="s">
        <v>179</v>
      </c>
      <c r="X365" s="209" t="s">
        <v>180</v>
      </c>
      <c r="Y365" s="209" t="s">
        <v>180</v>
      </c>
      <c r="Z365" s="209">
        <v>9521067084</v>
      </c>
      <c r="AA365" s="209" t="s">
        <v>714</v>
      </c>
      <c r="AB365" s="209" t="s">
        <v>180</v>
      </c>
      <c r="AC365" s="209" t="s">
        <v>182</v>
      </c>
      <c r="AD365" s="209">
        <v>12</v>
      </c>
      <c r="AE365" s="209">
        <v>2024</v>
      </c>
      <c r="AF365" s="227">
        <v>45629</v>
      </c>
      <c r="AG365" s="227">
        <v>45642</v>
      </c>
      <c r="AH365" s="227">
        <v>45642</v>
      </c>
      <c r="AI365" s="228">
        <v>364416</v>
      </c>
      <c r="AJ365" s="228">
        <v>52</v>
      </c>
      <c r="AK365" s="228">
        <v>364416</v>
      </c>
      <c r="AL365" s="228">
        <v>52</v>
      </c>
      <c r="AM365" s="228">
        <v>0</v>
      </c>
      <c r="AN365" s="228">
        <v>0</v>
      </c>
      <c r="AO365" s="229">
        <v>49</v>
      </c>
      <c r="AP365" s="231">
        <v>12</v>
      </c>
      <c r="AQ365" s="231">
        <v>2024</v>
      </c>
      <c r="AR365" s="231" t="str">
        <f t="shared" si="50"/>
        <v>12/2024</v>
      </c>
      <c r="AS365" s="231">
        <f t="shared" si="51"/>
        <v>52</v>
      </c>
      <c r="AT365" s="239">
        <f>IF(G365="CERVECERIA Y MALTERIA",(AS365*AK365/1000000)*(1-VLOOKUP(N365,FCST!D:I,6,FALSE)),0)</f>
        <v>18.949632000000001</v>
      </c>
      <c r="AU365" s="232">
        <v>5.0000000000000001E-3</v>
      </c>
      <c r="AV365" s="239">
        <f t="shared" si="52"/>
        <v>19.044380159999999</v>
      </c>
      <c r="AW365" s="239">
        <f>(AS365*AK365/1000000)*(VLOOKUP(N365,FCST!D:I,6,FALSE))</f>
        <v>0</v>
      </c>
      <c r="AX365" s="239">
        <f t="shared" si="53"/>
        <v>0</v>
      </c>
      <c r="AY365" s="239">
        <f>IF($G365="CERVECERIA Y MALTERIA.",($AS365*$AK365/1000000)*(1-VLOOKUP($N365,FCST!D:I,6,FALSE)),0)</f>
        <v>0</v>
      </c>
      <c r="AZ365" s="239">
        <f t="shared" si="54"/>
        <v>0</v>
      </c>
    </row>
    <row r="366" spans="1:52" x14ac:dyDescent="0.25">
      <c r="A366" s="209">
        <v>1091033</v>
      </c>
      <c r="B366" s="209">
        <v>10</v>
      </c>
      <c r="C366" s="209">
        <v>89337282</v>
      </c>
      <c r="D366" s="209">
        <v>10</v>
      </c>
      <c r="E366" s="209">
        <v>10000002</v>
      </c>
      <c r="F366" s="209">
        <v>20000337</v>
      </c>
      <c r="G366" s="209" t="s">
        <v>105</v>
      </c>
      <c r="H366" s="209">
        <v>20000337</v>
      </c>
      <c r="I366" s="209">
        <v>2</v>
      </c>
      <c r="J366" s="209" t="s">
        <v>169</v>
      </c>
      <c r="K366" s="209" t="s">
        <v>715</v>
      </c>
      <c r="L366" s="209" t="s">
        <v>265</v>
      </c>
      <c r="M366" s="209" t="s">
        <v>172</v>
      </c>
      <c r="N366" s="209">
        <v>50034616</v>
      </c>
      <c r="O366" s="209" t="s">
        <v>191</v>
      </c>
      <c r="P366" s="209">
        <v>5121</v>
      </c>
      <c r="Q366" s="209" t="s">
        <v>174</v>
      </c>
      <c r="R366" s="209" t="s">
        <v>175</v>
      </c>
      <c r="S366" s="209" t="s">
        <v>176</v>
      </c>
      <c r="T366" s="209" t="s">
        <v>177</v>
      </c>
      <c r="U366" s="209" t="s">
        <v>178</v>
      </c>
      <c r="V366" s="209" t="s">
        <v>179</v>
      </c>
      <c r="W366" s="209" t="s">
        <v>179</v>
      </c>
      <c r="X366" s="209" t="s">
        <v>180</v>
      </c>
      <c r="Y366" s="209" t="s">
        <v>180</v>
      </c>
      <c r="Z366" s="209">
        <v>9521067083</v>
      </c>
      <c r="AA366" s="209" t="s">
        <v>677</v>
      </c>
      <c r="AB366" s="209" t="s">
        <v>180</v>
      </c>
      <c r="AC366" s="209" t="s">
        <v>182</v>
      </c>
      <c r="AD366" s="209">
        <v>12</v>
      </c>
      <c r="AE366" s="209">
        <v>2024</v>
      </c>
      <c r="AF366" s="227">
        <v>45642</v>
      </c>
      <c r="AG366" s="227">
        <v>45642</v>
      </c>
      <c r="AH366" s="227">
        <v>45642</v>
      </c>
      <c r="AI366" s="228">
        <v>426816</v>
      </c>
      <c r="AJ366" s="228">
        <v>52</v>
      </c>
      <c r="AK366" s="228">
        <v>426816</v>
      </c>
      <c r="AL366" s="228">
        <v>52</v>
      </c>
      <c r="AM366" s="228">
        <v>0</v>
      </c>
      <c r="AN366" s="228">
        <v>0</v>
      </c>
      <c r="AO366" s="229">
        <v>51</v>
      </c>
      <c r="AP366" s="231">
        <v>12</v>
      </c>
      <c r="AQ366" s="231">
        <v>2024</v>
      </c>
      <c r="AR366" s="231" t="str">
        <f t="shared" si="50"/>
        <v>12/2024</v>
      </c>
      <c r="AS366" s="231">
        <f t="shared" si="51"/>
        <v>46.6</v>
      </c>
      <c r="AT366" s="239">
        <f>IF(G366="CERVECERIA Y MALTERIA",(AS366*AK366/1000000)*(1-VLOOKUP(N366,FCST!D:I,6,FALSE)),0)</f>
        <v>19.889625600000002</v>
      </c>
      <c r="AU366" s="232">
        <v>5.0000000000000001E-3</v>
      </c>
      <c r="AV366" s="239">
        <f t="shared" si="52"/>
        <v>19.989073728000001</v>
      </c>
      <c r="AW366" s="239">
        <f>(AS366*AK366/1000000)*(VLOOKUP(N366,FCST!D:I,6,FALSE))</f>
        <v>0</v>
      </c>
      <c r="AX366" s="239">
        <f t="shared" si="53"/>
        <v>0</v>
      </c>
      <c r="AY366" s="239">
        <f>IF($G366="CERVECERIA Y MALTERIA.",($AS366*$AK366/1000000)*(1-VLOOKUP($N366,FCST!D:I,6,FALSE)),0)</f>
        <v>0</v>
      </c>
      <c r="AZ366" s="239">
        <f t="shared" si="54"/>
        <v>0</v>
      </c>
    </row>
    <row r="367" spans="1:52" x14ac:dyDescent="0.25">
      <c r="A367" s="209">
        <v>1090643</v>
      </c>
      <c r="B367" s="209">
        <v>20</v>
      </c>
      <c r="C367" s="209">
        <v>89337653</v>
      </c>
      <c r="D367" s="209">
        <v>10</v>
      </c>
      <c r="E367" s="209">
        <v>10000002</v>
      </c>
      <c r="F367" s="209">
        <v>20000335</v>
      </c>
      <c r="G367" s="209" t="s">
        <v>105</v>
      </c>
      <c r="H367" s="209">
        <v>20000335</v>
      </c>
      <c r="I367" s="209">
        <v>2</v>
      </c>
      <c r="J367" s="209" t="s">
        <v>169</v>
      </c>
      <c r="K367" s="209" t="s">
        <v>716</v>
      </c>
      <c r="L367" s="209" t="s">
        <v>171</v>
      </c>
      <c r="M367" s="209" t="s">
        <v>199</v>
      </c>
      <c r="N367" s="209">
        <v>50034616</v>
      </c>
      <c r="O367" s="209" t="s">
        <v>191</v>
      </c>
      <c r="P367" s="209">
        <v>5121</v>
      </c>
      <c r="Q367" s="209" t="s">
        <v>200</v>
      </c>
      <c r="R367" s="209" t="s">
        <v>201</v>
      </c>
      <c r="S367" s="209" t="s">
        <v>202</v>
      </c>
      <c r="T367" s="209" t="s">
        <v>203</v>
      </c>
      <c r="U367" s="209" t="s">
        <v>201</v>
      </c>
      <c r="V367" s="209" t="s">
        <v>179</v>
      </c>
      <c r="W367" s="209" t="s">
        <v>179</v>
      </c>
      <c r="X367" s="209" t="s">
        <v>180</v>
      </c>
      <c r="Y367" s="209" t="s">
        <v>180</v>
      </c>
      <c r="Z367" s="209">
        <v>9521067078</v>
      </c>
      <c r="AA367" s="209" t="s">
        <v>703</v>
      </c>
      <c r="AB367" s="209" t="s">
        <v>180</v>
      </c>
      <c r="AC367" s="209" t="s">
        <v>182</v>
      </c>
      <c r="AD367" s="209">
        <v>12</v>
      </c>
      <c r="AE367" s="209">
        <v>2024</v>
      </c>
      <c r="AF367" s="227">
        <v>45638</v>
      </c>
      <c r="AG367" s="227">
        <v>45643</v>
      </c>
      <c r="AH367" s="227">
        <v>45643</v>
      </c>
      <c r="AI367" s="228">
        <v>426816</v>
      </c>
      <c r="AJ367" s="228">
        <v>52</v>
      </c>
      <c r="AK367" s="228">
        <v>426816</v>
      </c>
      <c r="AL367" s="228">
        <v>52</v>
      </c>
      <c r="AM367" s="228">
        <v>0</v>
      </c>
      <c r="AN367" s="228">
        <v>0</v>
      </c>
      <c r="AO367" s="229">
        <v>51</v>
      </c>
      <c r="AP367" s="231">
        <v>12</v>
      </c>
      <c r="AQ367" s="231">
        <v>2024</v>
      </c>
      <c r="AR367" s="231" t="str">
        <f t="shared" si="50"/>
        <v>12/2024</v>
      </c>
      <c r="AS367" s="231">
        <f t="shared" si="51"/>
        <v>46.6</v>
      </c>
      <c r="AT367" s="239">
        <f>IF(G367="CERVECERIA Y MALTERIA",(AS367*AK367/1000000)*(1-VLOOKUP(N367,FCST!D:I,6,FALSE)),0)</f>
        <v>19.889625600000002</v>
      </c>
      <c r="AU367" s="232">
        <v>5.0000000000000001E-3</v>
      </c>
      <c r="AV367" s="239">
        <f t="shared" si="52"/>
        <v>19.989073728000001</v>
      </c>
      <c r="AW367" s="239">
        <f>(AS367*AK367/1000000)*(VLOOKUP(N367,FCST!D:I,6,FALSE))</f>
        <v>0</v>
      </c>
      <c r="AX367" s="239">
        <f t="shared" si="53"/>
        <v>0</v>
      </c>
      <c r="AY367" s="239">
        <f>IF($G367="CERVECERIA Y MALTERIA.",($AS367*$AK367/1000000)*(1-VLOOKUP($N367,FCST!D:I,6,FALSE)),0)</f>
        <v>0</v>
      </c>
      <c r="AZ367" s="239">
        <f t="shared" si="54"/>
        <v>0</v>
      </c>
    </row>
    <row r="368" spans="1:52" x14ac:dyDescent="0.25">
      <c r="A368" s="209">
        <v>1090647</v>
      </c>
      <c r="B368" s="209">
        <v>40</v>
      </c>
      <c r="C368" s="209">
        <v>89339470</v>
      </c>
      <c r="D368" s="209">
        <v>10</v>
      </c>
      <c r="E368" s="209">
        <v>10000002</v>
      </c>
      <c r="F368" s="209">
        <v>20000340</v>
      </c>
      <c r="G368" s="209" t="s">
        <v>117</v>
      </c>
      <c r="H368" s="209">
        <v>20000340</v>
      </c>
      <c r="I368" s="209">
        <v>2</v>
      </c>
      <c r="J368" s="209" t="s">
        <v>169</v>
      </c>
      <c r="K368" s="209" t="s">
        <v>717</v>
      </c>
      <c r="L368" s="209" t="s">
        <v>171</v>
      </c>
      <c r="M368" s="209" t="s">
        <v>172</v>
      </c>
      <c r="N368" s="209">
        <v>50029817</v>
      </c>
      <c r="O368" s="209" t="s">
        <v>396</v>
      </c>
      <c r="P368" s="209">
        <v>5101</v>
      </c>
      <c r="Q368" s="209" t="s">
        <v>186</v>
      </c>
      <c r="R368" s="209" t="s">
        <v>175</v>
      </c>
      <c r="S368" s="209" t="s">
        <v>176</v>
      </c>
      <c r="T368" s="209" t="s">
        <v>187</v>
      </c>
      <c r="U368" s="209" t="s">
        <v>188</v>
      </c>
      <c r="V368" s="209" t="s">
        <v>179</v>
      </c>
      <c r="W368" s="209" t="s">
        <v>179</v>
      </c>
      <c r="X368" s="209" t="s">
        <v>180</v>
      </c>
      <c r="Y368" s="209" t="s">
        <v>180</v>
      </c>
      <c r="Z368" s="209">
        <v>9511047240</v>
      </c>
      <c r="AA368" s="209" t="s">
        <v>675</v>
      </c>
      <c r="AB368" s="209" t="s">
        <v>180</v>
      </c>
      <c r="AC368" s="209" t="s">
        <v>182</v>
      </c>
      <c r="AD368" s="209">
        <v>12</v>
      </c>
      <c r="AE368" s="209">
        <v>2024</v>
      </c>
      <c r="AF368" s="227">
        <v>45638</v>
      </c>
      <c r="AG368" s="227">
        <v>45644</v>
      </c>
      <c r="AH368" s="227">
        <v>45645</v>
      </c>
      <c r="AI368" s="228">
        <v>606528</v>
      </c>
      <c r="AJ368" s="228">
        <v>52</v>
      </c>
      <c r="AK368" s="228">
        <v>606528</v>
      </c>
      <c r="AL368" s="228">
        <v>52</v>
      </c>
      <c r="AM368" s="228">
        <v>0</v>
      </c>
      <c r="AN368" s="228">
        <v>0</v>
      </c>
      <c r="AO368" s="229">
        <v>51</v>
      </c>
      <c r="AP368" s="231">
        <v>12</v>
      </c>
      <c r="AQ368" s="231">
        <v>2024</v>
      </c>
      <c r="AR368" s="231" t="str">
        <f t="shared" si="50"/>
        <v>12/2024</v>
      </c>
      <c r="AS368" s="231">
        <f t="shared" si="51"/>
        <v>30</v>
      </c>
      <c r="AT368" s="239">
        <f>IF(G368="CERVECERIA Y MALTERIA",(AS368*AK368/1000000)*(1-VLOOKUP(N368,FCST!D:I,6,FALSE)),0)</f>
        <v>0</v>
      </c>
      <c r="AU368" s="232">
        <v>5.0000000000000001E-3</v>
      </c>
      <c r="AV368" s="239">
        <f t="shared" si="52"/>
        <v>0</v>
      </c>
      <c r="AW368" s="239">
        <f>(AS368*AK368/1000000)*(VLOOKUP(N368,FCST!D:I,6,FALSE))</f>
        <v>5.4587519999999996</v>
      </c>
      <c r="AX368" s="239">
        <f t="shared" si="53"/>
        <v>5.4860457599999988</v>
      </c>
      <c r="AY368" s="239">
        <f>IF($G368="CERVECERIA Y MALTERIA.",($AS368*$AK368/1000000)*(1-VLOOKUP($N368,FCST!D:I,6,FALSE)),0)</f>
        <v>12.737088</v>
      </c>
      <c r="AZ368" s="239">
        <f t="shared" si="54"/>
        <v>12.800773439999999</v>
      </c>
    </row>
    <row r="369" spans="1:52" x14ac:dyDescent="0.25">
      <c r="A369" s="209">
        <v>1090643</v>
      </c>
      <c r="B369" s="209">
        <v>90</v>
      </c>
      <c r="C369" s="209">
        <v>89339736</v>
      </c>
      <c r="D369" s="209">
        <v>10</v>
      </c>
      <c r="E369" s="209">
        <v>10000002</v>
      </c>
      <c r="F369" s="209">
        <v>20000335</v>
      </c>
      <c r="G369" s="209" t="s">
        <v>105</v>
      </c>
      <c r="H369" s="209">
        <v>20000335</v>
      </c>
      <c r="I369" s="209">
        <v>2</v>
      </c>
      <c r="J369" s="209" t="s">
        <v>169</v>
      </c>
      <c r="K369" s="209" t="s">
        <v>718</v>
      </c>
      <c r="L369" s="209" t="s">
        <v>171</v>
      </c>
      <c r="M369" s="209" t="s">
        <v>199</v>
      </c>
      <c r="N369" s="209">
        <v>50032573</v>
      </c>
      <c r="O369" s="209" t="s">
        <v>173</v>
      </c>
      <c r="P369" s="209">
        <v>5121</v>
      </c>
      <c r="Q369" s="209" t="s">
        <v>200</v>
      </c>
      <c r="R369" s="209" t="s">
        <v>201</v>
      </c>
      <c r="S369" s="209" t="s">
        <v>202</v>
      </c>
      <c r="T369" s="209" t="s">
        <v>203</v>
      </c>
      <c r="U369" s="209" t="s">
        <v>201</v>
      </c>
      <c r="V369" s="209" t="s">
        <v>179</v>
      </c>
      <c r="W369" s="209" t="s">
        <v>179</v>
      </c>
      <c r="X369" s="209" t="s">
        <v>180</v>
      </c>
      <c r="Y369" s="209" t="s">
        <v>180</v>
      </c>
      <c r="Z369" s="209">
        <v>9521067075</v>
      </c>
      <c r="AA369" s="209" t="s">
        <v>719</v>
      </c>
      <c r="AB369" s="209" t="s">
        <v>180</v>
      </c>
      <c r="AC369" s="209" t="s">
        <v>182</v>
      </c>
      <c r="AD369" s="209">
        <v>12</v>
      </c>
      <c r="AE369" s="209">
        <v>2024</v>
      </c>
      <c r="AF369" s="227">
        <v>45638</v>
      </c>
      <c r="AG369" s="227">
        <v>45645</v>
      </c>
      <c r="AH369" s="227">
        <v>45645</v>
      </c>
      <c r="AI369" s="228">
        <v>531648</v>
      </c>
      <c r="AJ369" s="228">
        <v>52</v>
      </c>
      <c r="AK369" s="228">
        <v>531648</v>
      </c>
      <c r="AL369" s="228">
        <v>52</v>
      </c>
      <c r="AM369" s="228">
        <v>0</v>
      </c>
      <c r="AN369" s="228">
        <v>0</v>
      </c>
      <c r="AO369" s="229">
        <v>51</v>
      </c>
      <c r="AP369" s="231">
        <v>12</v>
      </c>
      <c r="AQ369" s="231">
        <v>2024</v>
      </c>
      <c r="AR369" s="231" t="str">
        <f t="shared" si="50"/>
        <v>12/2024</v>
      </c>
      <c r="AS369" s="231">
        <f t="shared" si="51"/>
        <v>37.200000000000003</v>
      </c>
      <c r="AT369" s="239">
        <f>IF(G369="CERVECERIA Y MALTERIA",(AS369*AK369/1000000)*(1-VLOOKUP(N369,FCST!D:I,6,FALSE)),0)</f>
        <v>19.777305600000002</v>
      </c>
      <c r="AU369" s="232">
        <v>5.0000000000000001E-3</v>
      </c>
      <c r="AV369" s="239">
        <f t="shared" si="52"/>
        <v>19.876192128</v>
      </c>
      <c r="AW369" s="239">
        <f>(AS369*AK369/1000000)*(VLOOKUP(N369,FCST!D:I,6,FALSE))</f>
        <v>0</v>
      </c>
      <c r="AX369" s="239">
        <f t="shared" si="53"/>
        <v>0</v>
      </c>
      <c r="AY369" s="239">
        <f>IF($G369="CERVECERIA Y MALTERIA.",($AS369*$AK369/1000000)*(1-VLOOKUP($N369,FCST!D:I,6,FALSE)),0)</f>
        <v>0</v>
      </c>
      <c r="AZ369" s="239">
        <f t="shared" si="54"/>
        <v>0</v>
      </c>
    </row>
    <row r="370" spans="1:52" x14ac:dyDescent="0.25">
      <c r="A370" s="209">
        <v>1090647</v>
      </c>
      <c r="B370" s="209">
        <v>50</v>
      </c>
      <c r="C370" s="209">
        <v>89339881</v>
      </c>
      <c r="D370" s="209">
        <v>10</v>
      </c>
      <c r="E370" s="209">
        <v>10000002</v>
      </c>
      <c r="F370" s="209">
        <v>20000340</v>
      </c>
      <c r="G370" s="209" t="s">
        <v>117</v>
      </c>
      <c r="H370" s="209">
        <v>20000340</v>
      </c>
      <c r="I370" s="209">
        <v>2</v>
      </c>
      <c r="J370" s="209" t="s">
        <v>169</v>
      </c>
      <c r="K370" s="209" t="s">
        <v>720</v>
      </c>
      <c r="L370" s="209" t="s">
        <v>171</v>
      </c>
      <c r="M370" s="209" t="s">
        <v>172</v>
      </c>
      <c r="N370" s="209">
        <v>50029817</v>
      </c>
      <c r="O370" s="209" t="s">
        <v>396</v>
      </c>
      <c r="P370" s="209">
        <v>5101</v>
      </c>
      <c r="Q370" s="209" t="s">
        <v>186</v>
      </c>
      <c r="R370" s="209" t="s">
        <v>175</v>
      </c>
      <c r="S370" s="209" t="s">
        <v>176</v>
      </c>
      <c r="T370" s="209" t="s">
        <v>187</v>
      </c>
      <c r="U370" s="209" t="s">
        <v>188</v>
      </c>
      <c r="V370" s="209" t="s">
        <v>179</v>
      </c>
      <c r="W370" s="209" t="s">
        <v>179</v>
      </c>
      <c r="X370" s="209" t="s">
        <v>180</v>
      </c>
      <c r="Y370" s="209" t="s">
        <v>180</v>
      </c>
      <c r="Z370" s="209">
        <v>9511047240</v>
      </c>
      <c r="AA370" s="209" t="s">
        <v>675</v>
      </c>
      <c r="AB370" s="209" t="s">
        <v>180</v>
      </c>
      <c r="AC370" s="209" t="s">
        <v>182</v>
      </c>
      <c r="AD370" s="209">
        <v>12</v>
      </c>
      <c r="AE370" s="209">
        <v>2024</v>
      </c>
      <c r="AF370" s="227">
        <v>45638</v>
      </c>
      <c r="AG370" s="227">
        <v>45645</v>
      </c>
      <c r="AH370" s="227">
        <v>45645</v>
      </c>
      <c r="AI370" s="228">
        <v>606528</v>
      </c>
      <c r="AJ370" s="228">
        <v>52</v>
      </c>
      <c r="AK370" s="228">
        <v>606528</v>
      </c>
      <c r="AL370" s="228">
        <v>52</v>
      </c>
      <c r="AM370" s="228">
        <v>0</v>
      </c>
      <c r="AN370" s="228">
        <v>0</v>
      </c>
      <c r="AO370" s="229">
        <v>51</v>
      </c>
      <c r="AP370" s="231">
        <v>12</v>
      </c>
      <c r="AQ370" s="231">
        <v>2024</v>
      </c>
      <c r="AR370" s="231" t="str">
        <f t="shared" si="50"/>
        <v>12/2024</v>
      </c>
      <c r="AS370" s="231">
        <f t="shared" si="51"/>
        <v>30</v>
      </c>
      <c r="AT370" s="239">
        <f>IF(G370="CERVECERIA Y MALTERIA",(AS370*AK370/1000000)*(1-VLOOKUP(N370,FCST!D:I,6,FALSE)),0)</f>
        <v>0</v>
      </c>
      <c r="AU370" s="232">
        <v>5.0000000000000001E-3</v>
      </c>
      <c r="AV370" s="239">
        <f t="shared" si="52"/>
        <v>0</v>
      </c>
      <c r="AW370" s="239">
        <f>(AS370*AK370/1000000)*(VLOOKUP(N370,FCST!D:I,6,FALSE))</f>
        <v>5.4587519999999996</v>
      </c>
      <c r="AX370" s="239">
        <f t="shared" si="53"/>
        <v>5.4860457599999988</v>
      </c>
      <c r="AY370" s="239">
        <f>IF($G370="CERVECERIA Y MALTERIA.",($AS370*$AK370/1000000)*(1-VLOOKUP($N370,FCST!D:I,6,FALSE)),0)</f>
        <v>12.737088</v>
      </c>
      <c r="AZ370" s="239">
        <f t="shared" si="54"/>
        <v>12.800773439999999</v>
      </c>
    </row>
    <row r="371" spans="1:52" x14ac:dyDescent="0.25">
      <c r="A371" s="209">
        <v>1091041</v>
      </c>
      <c r="B371" s="209">
        <v>30</v>
      </c>
      <c r="C371" s="209">
        <v>89339906</v>
      </c>
      <c r="D371" s="209">
        <v>10</v>
      </c>
      <c r="E371" s="209">
        <v>10000002</v>
      </c>
      <c r="F371" s="209">
        <v>20000336</v>
      </c>
      <c r="G371" s="209" t="s">
        <v>105</v>
      </c>
      <c r="H371" s="209">
        <v>20000336</v>
      </c>
      <c r="I371" s="209">
        <v>2</v>
      </c>
      <c r="J371" s="209" t="s">
        <v>169</v>
      </c>
      <c r="K371" s="209" t="s">
        <v>683</v>
      </c>
      <c r="L371" s="209" t="s">
        <v>265</v>
      </c>
      <c r="M371" s="209" t="s">
        <v>172</v>
      </c>
      <c r="N371" s="209">
        <v>50033268</v>
      </c>
      <c r="O371" s="209" t="s">
        <v>253</v>
      </c>
      <c r="P371" s="209">
        <v>5121</v>
      </c>
      <c r="Q371" s="209" t="s">
        <v>174</v>
      </c>
      <c r="R371" s="209" t="s">
        <v>175</v>
      </c>
      <c r="S371" s="209" t="s">
        <v>176</v>
      </c>
      <c r="T371" s="209" t="s">
        <v>177</v>
      </c>
      <c r="U371" s="209" t="s">
        <v>178</v>
      </c>
      <c r="V371" s="209" t="s">
        <v>179</v>
      </c>
      <c r="W371" s="209" t="s">
        <v>179</v>
      </c>
      <c r="X371" s="209" t="s">
        <v>180</v>
      </c>
      <c r="Y371" s="209" t="s">
        <v>180</v>
      </c>
      <c r="Z371" s="209">
        <v>9521067079</v>
      </c>
      <c r="AA371" s="209" t="s">
        <v>684</v>
      </c>
      <c r="AB371" s="209" t="s">
        <v>180</v>
      </c>
      <c r="AC371" s="209" t="s">
        <v>182</v>
      </c>
      <c r="AD371" s="209">
        <v>12</v>
      </c>
      <c r="AE371" s="209">
        <v>2024</v>
      </c>
      <c r="AF371" s="227">
        <v>45642</v>
      </c>
      <c r="AG371" s="227">
        <v>45645</v>
      </c>
      <c r="AH371" s="227">
        <v>45645</v>
      </c>
      <c r="AI371" s="228">
        <v>133008</v>
      </c>
      <c r="AJ371" s="228">
        <v>17</v>
      </c>
      <c r="AK371" s="228">
        <v>133008</v>
      </c>
      <c r="AL371" s="228">
        <v>17</v>
      </c>
      <c r="AM371" s="228">
        <v>0</v>
      </c>
      <c r="AN371" s="228">
        <v>0</v>
      </c>
      <c r="AO371" s="229">
        <v>51</v>
      </c>
      <c r="AP371" s="231">
        <v>12</v>
      </c>
      <c r="AQ371" s="231">
        <v>2024</v>
      </c>
      <c r="AR371" s="231" t="str">
        <f t="shared" si="50"/>
        <v>12/2024</v>
      </c>
      <c r="AS371" s="231">
        <f t="shared" si="51"/>
        <v>44</v>
      </c>
      <c r="AT371" s="239">
        <f>IF(G371="CERVECERIA Y MALTERIA",(AS371*AK371/1000000)*(1-VLOOKUP(N371,FCST!D:I,6,FALSE)),0)</f>
        <v>5.8523519999999998</v>
      </c>
      <c r="AU371" s="232">
        <v>5.0000000000000001E-3</v>
      </c>
      <c r="AV371" s="239">
        <f t="shared" si="52"/>
        <v>5.8816137599999996</v>
      </c>
      <c r="AW371" s="239">
        <f>(AS371*AK371/1000000)*(VLOOKUP(N371,FCST!D:I,6,FALSE))</f>
        <v>0</v>
      </c>
      <c r="AX371" s="239">
        <f t="shared" si="53"/>
        <v>0</v>
      </c>
      <c r="AY371" s="239">
        <f>IF($G371="CERVECERIA Y MALTERIA.",($AS371*$AK371/1000000)*(1-VLOOKUP($N371,FCST!D:I,6,FALSE)),0)</f>
        <v>0</v>
      </c>
      <c r="AZ371" s="239">
        <f t="shared" si="54"/>
        <v>0</v>
      </c>
    </row>
    <row r="372" spans="1:52" x14ac:dyDescent="0.25">
      <c r="A372" s="209">
        <v>1090643</v>
      </c>
      <c r="B372" s="209">
        <v>120</v>
      </c>
      <c r="C372" s="209">
        <v>89338891</v>
      </c>
      <c r="D372" s="209">
        <v>10</v>
      </c>
      <c r="E372" s="209">
        <v>10000002</v>
      </c>
      <c r="F372" s="209">
        <v>20000335</v>
      </c>
      <c r="G372" s="209" t="s">
        <v>105</v>
      </c>
      <c r="H372" s="209">
        <v>20000335</v>
      </c>
      <c r="I372" s="209">
        <v>2</v>
      </c>
      <c r="J372" s="209" t="s">
        <v>169</v>
      </c>
      <c r="K372" s="209" t="s">
        <v>721</v>
      </c>
      <c r="L372" s="209" t="s">
        <v>171</v>
      </c>
      <c r="M372" s="209" t="s">
        <v>172</v>
      </c>
      <c r="N372" s="209">
        <v>50034616</v>
      </c>
      <c r="O372" s="209" t="s">
        <v>191</v>
      </c>
      <c r="P372" s="209">
        <v>5121</v>
      </c>
      <c r="Q372" s="209" t="s">
        <v>174</v>
      </c>
      <c r="R372" s="209" t="s">
        <v>175</v>
      </c>
      <c r="S372" s="209" t="s">
        <v>176</v>
      </c>
      <c r="T372" s="209" t="s">
        <v>177</v>
      </c>
      <c r="U372" s="209" t="s">
        <v>178</v>
      </c>
      <c r="V372" s="209" t="s">
        <v>179</v>
      </c>
      <c r="W372" s="209" t="s">
        <v>179</v>
      </c>
      <c r="X372" s="209" t="s">
        <v>180</v>
      </c>
      <c r="Y372" s="209" t="s">
        <v>180</v>
      </c>
      <c r="Z372" s="209">
        <v>9521067078</v>
      </c>
      <c r="AA372" s="209" t="s">
        <v>703</v>
      </c>
      <c r="AB372" s="209" t="s">
        <v>180</v>
      </c>
      <c r="AC372" s="209" t="s">
        <v>182</v>
      </c>
      <c r="AD372" s="209">
        <v>12</v>
      </c>
      <c r="AE372" s="209">
        <v>2024</v>
      </c>
      <c r="AF372" s="227">
        <v>45638</v>
      </c>
      <c r="AG372" s="227">
        <v>45644</v>
      </c>
      <c r="AH372" s="227">
        <v>45644</v>
      </c>
      <c r="AI372" s="228">
        <v>426816</v>
      </c>
      <c r="AJ372" s="228">
        <v>52</v>
      </c>
      <c r="AK372" s="228">
        <v>426816</v>
      </c>
      <c r="AL372" s="228">
        <v>52</v>
      </c>
      <c r="AM372" s="228">
        <v>0</v>
      </c>
      <c r="AN372" s="228">
        <v>0</v>
      </c>
      <c r="AO372" s="229">
        <v>51</v>
      </c>
      <c r="AP372" s="231">
        <v>12</v>
      </c>
      <c r="AQ372" s="231">
        <v>2024</v>
      </c>
      <c r="AR372" s="231" t="str">
        <f t="shared" si="50"/>
        <v>12/2024</v>
      </c>
      <c r="AS372" s="231">
        <f t="shared" si="51"/>
        <v>46.6</v>
      </c>
      <c r="AT372" s="239">
        <f>IF(G372="CERVECERIA Y MALTERIA",(AS372*AK372/1000000)*(1-VLOOKUP(N372,FCST!D:I,6,FALSE)),0)</f>
        <v>19.889625600000002</v>
      </c>
      <c r="AU372" s="232">
        <v>5.0000000000000001E-3</v>
      </c>
      <c r="AV372" s="239">
        <f t="shared" si="52"/>
        <v>19.989073728000001</v>
      </c>
      <c r="AW372" s="239">
        <f>(AS372*AK372/1000000)*(VLOOKUP(N372,FCST!D:I,6,FALSE))</f>
        <v>0</v>
      </c>
      <c r="AX372" s="239">
        <f t="shared" si="53"/>
        <v>0</v>
      </c>
      <c r="AY372" s="239">
        <f>IF($G372="CERVECERIA Y MALTERIA.",($AS372*$AK372/1000000)*(1-VLOOKUP($N372,FCST!D:I,6,FALSE)),0)</f>
        <v>0</v>
      </c>
      <c r="AZ372" s="239">
        <f t="shared" si="54"/>
        <v>0</v>
      </c>
    </row>
    <row r="373" spans="1:52" x14ac:dyDescent="0.25">
      <c r="A373" s="209">
        <v>1091041</v>
      </c>
      <c r="B373" s="209">
        <v>20</v>
      </c>
      <c r="C373" s="209">
        <v>89338918</v>
      </c>
      <c r="D373" s="209">
        <v>10</v>
      </c>
      <c r="E373" s="209">
        <v>10000002</v>
      </c>
      <c r="F373" s="209">
        <v>20000336</v>
      </c>
      <c r="G373" s="209" t="s">
        <v>105</v>
      </c>
      <c r="H373" s="209">
        <v>20000336</v>
      </c>
      <c r="I373" s="209">
        <v>2</v>
      </c>
      <c r="J373" s="209" t="s">
        <v>169</v>
      </c>
      <c r="K373" s="209" t="s">
        <v>722</v>
      </c>
      <c r="L373" s="209" t="s">
        <v>265</v>
      </c>
      <c r="M373" s="209" t="s">
        <v>172</v>
      </c>
      <c r="N373" s="209">
        <v>50033268</v>
      </c>
      <c r="O373" s="209" t="s">
        <v>253</v>
      </c>
      <c r="P373" s="209">
        <v>5121</v>
      </c>
      <c r="Q373" s="209" t="s">
        <v>174</v>
      </c>
      <c r="R373" s="209" t="s">
        <v>175</v>
      </c>
      <c r="S373" s="209" t="s">
        <v>176</v>
      </c>
      <c r="T373" s="209" t="s">
        <v>177</v>
      </c>
      <c r="U373" s="209" t="s">
        <v>178</v>
      </c>
      <c r="V373" s="209" t="s">
        <v>179</v>
      </c>
      <c r="W373" s="209" t="s">
        <v>179</v>
      </c>
      <c r="X373" s="209" t="s">
        <v>180</v>
      </c>
      <c r="Y373" s="209" t="s">
        <v>180</v>
      </c>
      <c r="Z373" s="209">
        <v>9521067082</v>
      </c>
      <c r="AA373" s="209" t="s">
        <v>723</v>
      </c>
      <c r="AB373" s="209" t="s">
        <v>180</v>
      </c>
      <c r="AC373" s="209" t="s">
        <v>182</v>
      </c>
      <c r="AD373" s="209">
        <v>12</v>
      </c>
      <c r="AE373" s="209">
        <v>2024</v>
      </c>
      <c r="AF373" s="227">
        <v>45642</v>
      </c>
      <c r="AG373" s="227">
        <v>45644</v>
      </c>
      <c r="AH373" s="227">
        <v>45644</v>
      </c>
      <c r="AI373" s="228">
        <v>406848</v>
      </c>
      <c r="AJ373" s="228">
        <v>52</v>
      </c>
      <c r="AK373" s="228">
        <v>406848</v>
      </c>
      <c r="AL373" s="228">
        <v>52</v>
      </c>
      <c r="AM373" s="228">
        <v>0</v>
      </c>
      <c r="AN373" s="228">
        <v>0</v>
      </c>
      <c r="AO373" s="229">
        <v>51</v>
      </c>
      <c r="AP373" s="231">
        <v>12</v>
      </c>
      <c r="AQ373" s="231">
        <v>2024</v>
      </c>
      <c r="AR373" s="231" t="str">
        <f t="shared" si="50"/>
        <v>12/2024</v>
      </c>
      <c r="AS373" s="231">
        <f t="shared" si="51"/>
        <v>44</v>
      </c>
      <c r="AT373" s="239">
        <f>IF(G373="CERVECERIA Y MALTERIA",(AS373*AK373/1000000)*(1-VLOOKUP(N373,FCST!D:I,6,FALSE)),0)</f>
        <v>17.901312000000001</v>
      </c>
      <c r="AU373" s="232">
        <v>5.0000000000000001E-3</v>
      </c>
      <c r="AV373" s="239">
        <f t="shared" si="52"/>
        <v>17.990818559999997</v>
      </c>
      <c r="AW373" s="239">
        <f>(AS373*AK373/1000000)*(VLOOKUP(N373,FCST!D:I,6,FALSE))</f>
        <v>0</v>
      </c>
      <c r="AX373" s="239">
        <f t="shared" si="53"/>
        <v>0</v>
      </c>
      <c r="AY373" s="239">
        <f>IF($G373="CERVECERIA Y MALTERIA.",($AS373*$AK373/1000000)*(1-VLOOKUP($N373,FCST!D:I,6,FALSE)),0)</f>
        <v>0</v>
      </c>
      <c r="AZ373" s="239">
        <f t="shared" si="54"/>
        <v>0</v>
      </c>
    </row>
    <row r="374" spans="1:52" x14ac:dyDescent="0.25">
      <c r="A374" s="209">
        <v>1090643</v>
      </c>
      <c r="B374" s="209">
        <v>40</v>
      </c>
      <c r="C374" s="209">
        <v>89339141</v>
      </c>
      <c r="D374" s="209">
        <v>10</v>
      </c>
      <c r="E374" s="209">
        <v>10000002</v>
      </c>
      <c r="F374" s="209">
        <v>20000335</v>
      </c>
      <c r="G374" s="209" t="s">
        <v>105</v>
      </c>
      <c r="H374" s="209">
        <v>20000335</v>
      </c>
      <c r="I374" s="209">
        <v>2</v>
      </c>
      <c r="J374" s="209" t="s">
        <v>169</v>
      </c>
      <c r="K374" s="209" t="s">
        <v>724</v>
      </c>
      <c r="L374" s="209" t="s">
        <v>171</v>
      </c>
      <c r="M374" s="209" t="s">
        <v>199</v>
      </c>
      <c r="N374" s="209">
        <v>50034616</v>
      </c>
      <c r="O374" s="209" t="s">
        <v>191</v>
      </c>
      <c r="P374" s="209">
        <v>5121</v>
      </c>
      <c r="Q374" s="209" t="s">
        <v>200</v>
      </c>
      <c r="R374" s="209" t="s">
        <v>201</v>
      </c>
      <c r="S374" s="209" t="s">
        <v>202</v>
      </c>
      <c r="T374" s="209" t="s">
        <v>203</v>
      </c>
      <c r="U374" s="209" t="s">
        <v>201</v>
      </c>
      <c r="V374" s="209" t="s">
        <v>179</v>
      </c>
      <c r="W374" s="209" t="s">
        <v>179</v>
      </c>
      <c r="X374" s="209" t="s">
        <v>180</v>
      </c>
      <c r="Y374" s="209" t="s">
        <v>180</v>
      </c>
      <c r="Z374" s="209">
        <v>9521067078</v>
      </c>
      <c r="AA374" s="209" t="s">
        <v>703</v>
      </c>
      <c r="AB374" s="209" t="s">
        <v>180</v>
      </c>
      <c r="AC374" s="209" t="s">
        <v>182</v>
      </c>
      <c r="AD374" s="209">
        <v>12</v>
      </c>
      <c r="AE374" s="209">
        <v>2024</v>
      </c>
      <c r="AF374" s="227">
        <v>45638</v>
      </c>
      <c r="AG374" s="227">
        <v>45644</v>
      </c>
      <c r="AH374" s="227">
        <v>45644</v>
      </c>
      <c r="AI374" s="228">
        <v>426816</v>
      </c>
      <c r="AJ374" s="228">
        <v>52</v>
      </c>
      <c r="AK374" s="228">
        <v>426816</v>
      </c>
      <c r="AL374" s="228">
        <v>52</v>
      </c>
      <c r="AM374" s="228">
        <v>0</v>
      </c>
      <c r="AN374" s="228">
        <v>0</v>
      </c>
      <c r="AO374" s="229">
        <v>51</v>
      </c>
      <c r="AP374" s="231">
        <v>12</v>
      </c>
      <c r="AQ374" s="231">
        <v>2024</v>
      </c>
      <c r="AR374" s="231" t="str">
        <f t="shared" si="50"/>
        <v>12/2024</v>
      </c>
      <c r="AS374" s="231">
        <f t="shared" si="51"/>
        <v>46.6</v>
      </c>
      <c r="AT374" s="239">
        <f>IF(G374="CERVECERIA Y MALTERIA",(AS374*AK374/1000000)*(1-VLOOKUP(N374,FCST!D:I,6,FALSE)),0)</f>
        <v>19.889625600000002</v>
      </c>
      <c r="AU374" s="232">
        <v>5.0000000000000001E-3</v>
      </c>
      <c r="AV374" s="239">
        <f t="shared" si="52"/>
        <v>19.989073728000001</v>
      </c>
      <c r="AW374" s="239">
        <f>(AS374*AK374/1000000)*(VLOOKUP(N374,FCST!D:I,6,FALSE))</f>
        <v>0</v>
      </c>
      <c r="AX374" s="239">
        <f t="shared" si="53"/>
        <v>0</v>
      </c>
      <c r="AY374" s="239">
        <f>IF($G374="CERVECERIA Y MALTERIA.",($AS374*$AK374/1000000)*(1-VLOOKUP($N374,FCST!D:I,6,FALSE)),0)</f>
        <v>0</v>
      </c>
      <c r="AZ374" s="239">
        <f t="shared" si="54"/>
        <v>0</v>
      </c>
    </row>
    <row r="375" spans="1:52" x14ac:dyDescent="0.25">
      <c r="A375" s="209">
        <v>1090945</v>
      </c>
      <c r="B375" s="209">
        <v>40</v>
      </c>
      <c r="C375" s="209">
        <v>89339225</v>
      </c>
      <c r="D375" s="209">
        <v>10</v>
      </c>
      <c r="E375" s="209">
        <v>10000002</v>
      </c>
      <c r="F375" s="209">
        <v>20001057</v>
      </c>
      <c r="G375" s="209" t="s">
        <v>105</v>
      </c>
      <c r="H375" s="209">
        <v>20001057</v>
      </c>
      <c r="I375" s="209">
        <v>2</v>
      </c>
      <c r="J375" s="209" t="s">
        <v>169</v>
      </c>
      <c r="K375" s="209" t="s">
        <v>725</v>
      </c>
      <c r="L375" s="209" t="s">
        <v>171</v>
      </c>
      <c r="M375" s="209" t="s">
        <v>172</v>
      </c>
      <c r="N375" s="209">
        <v>50035184</v>
      </c>
      <c r="O375" s="209" t="s">
        <v>672</v>
      </c>
      <c r="P375" s="209">
        <v>5121</v>
      </c>
      <c r="Q375" s="209" t="s">
        <v>174</v>
      </c>
      <c r="R375" s="209" t="s">
        <v>175</v>
      </c>
      <c r="S375" s="209" t="s">
        <v>176</v>
      </c>
      <c r="T375" s="209" t="s">
        <v>177</v>
      </c>
      <c r="U375" s="209" t="s">
        <v>178</v>
      </c>
      <c r="V375" s="209" t="s">
        <v>179</v>
      </c>
      <c r="W375" s="209" t="s">
        <v>179</v>
      </c>
      <c r="X375" s="209" t="s">
        <v>180</v>
      </c>
      <c r="Y375" s="209" t="s">
        <v>180</v>
      </c>
      <c r="Z375" s="209">
        <v>9521067101</v>
      </c>
      <c r="AA375" s="209" t="s">
        <v>673</v>
      </c>
      <c r="AB375" s="209" t="s">
        <v>180</v>
      </c>
      <c r="AC375" s="209" t="s">
        <v>182</v>
      </c>
      <c r="AD375" s="209">
        <v>12</v>
      </c>
      <c r="AE375" s="209">
        <v>2024</v>
      </c>
      <c r="AF375" s="227">
        <v>45639</v>
      </c>
      <c r="AG375" s="227">
        <v>45644</v>
      </c>
      <c r="AH375" s="227">
        <v>45644</v>
      </c>
      <c r="AI375" s="228">
        <v>977184</v>
      </c>
      <c r="AJ375" s="228">
        <v>52</v>
      </c>
      <c r="AK375" s="228">
        <v>977184</v>
      </c>
      <c r="AL375" s="228">
        <v>52</v>
      </c>
      <c r="AM375" s="228">
        <v>0</v>
      </c>
      <c r="AN375" s="228">
        <v>0</v>
      </c>
      <c r="AO375" s="229">
        <v>50</v>
      </c>
      <c r="AP375" s="231">
        <v>12</v>
      </c>
      <c r="AQ375" s="231">
        <v>2024</v>
      </c>
      <c r="AR375" s="231" t="str">
        <f t="shared" si="50"/>
        <v>12/2024</v>
      </c>
      <c r="AS375" s="231">
        <f t="shared" si="51"/>
        <v>19.5</v>
      </c>
      <c r="AT375" s="239">
        <f>IF(G375="CERVECERIA Y MALTERIA",(AS375*AK375/1000000)*(1-VLOOKUP(N375,FCST!D:I,6,FALSE)),0)</f>
        <v>19.055088000000001</v>
      </c>
      <c r="AU375" s="232">
        <v>5.0000000000000001E-3</v>
      </c>
      <c r="AV375" s="239">
        <f t="shared" si="52"/>
        <v>19.15036344</v>
      </c>
      <c r="AW375" s="239">
        <f>(AS375*AK375/1000000)*(VLOOKUP(N375,FCST!D:I,6,FALSE))</f>
        <v>0</v>
      </c>
      <c r="AX375" s="239">
        <f t="shared" si="53"/>
        <v>0</v>
      </c>
      <c r="AY375" s="239">
        <f>IF($G375="CERVECERIA Y MALTERIA.",($AS375*$AK375/1000000)*(1-VLOOKUP($N375,FCST!D:I,6,FALSE)),0)</f>
        <v>0</v>
      </c>
      <c r="AZ375" s="239">
        <f t="shared" si="54"/>
        <v>0</v>
      </c>
    </row>
    <row r="376" spans="1:52" x14ac:dyDescent="0.25">
      <c r="A376" s="209">
        <v>1092701</v>
      </c>
      <c r="B376" s="209">
        <v>10</v>
      </c>
      <c r="C376" s="209">
        <v>89344880</v>
      </c>
      <c r="D376" s="209">
        <v>10</v>
      </c>
      <c r="E376" s="209">
        <v>10000002</v>
      </c>
      <c r="F376" s="209">
        <v>20000340</v>
      </c>
      <c r="G376" s="209" t="s">
        <v>117</v>
      </c>
      <c r="H376" s="209">
        <v>20000340</v>
      </c>
      <c r="I376" s="209">
        <v>2</v>
      </c>
      <c r="J376" s="209" t="s">
        <v>169</v>
      </c>
      <c r="K376" s="209" t="s">
        <v>726</v>
      </c>
      <c r="L376" s="209" t="s">
        <v>171</v>
      </c>
      <c r="M376" s="209" t="s">
        <v>172</v>
      </c>
      <c r="N376" s="209">
        <v>50027468</v>
      </c>
      <c r="O376" s="209" t="s">
        <v>285</v>
      </c>
      <c r="P376" s="209">
        <v>5101</v>
      </c>
      <c r="Q376" s="209" t="s">
        <v>186</v>
      </c>
      <c r="R376" s="209" t="s">
        <v>175</v>
      </c>
      <c r="S376" s="209" t="s">
        <v>176</v>
      </c>
      <c r="T376" s="209" t="s">
        <v>187</v>
      </c>
      <c r="U376" s="209" t="s">
        <v>188</v>
      </c>
      <c r="V376" s="209" t="s">
        <v>179</v>
      </c>
      <c r="W376" s="209" t="s">
        <v>179</v>
      </c>
      <c r="X376" s="209" t="s">
        <v>180</v>
      </c>
      <c r="Y376" s="209" t="s">
        <v>180</v>
      </c>
      <c r="Z376" s="209">
        <v>9511047256</v>
      </c>
      <c r="AA376" s="209" t="s">
        <v>727</v>
      </c>
      <c r="AB376" s="209" t="s">
        <v>180</v>
      </c>
      <c r="AC376" s="209" t="s">
        <v>182</v>
      </c>
      <c r="AD376" s="209">
        <v>12</v>
      </c>
      <c r="AE376" s="209">
        <v>2024</v>
      </c>
      <c r="AF376" s="227">
        <v>45652</v>
      </c>
      <c r="AG376" s="227">
        <v>45656</v>
      </c>
      <c r="AH376" s="227">
        <v>45656</v>
      </c>
      <c r="AI376" s="228">
        <v>399360</v>
      </c>
      <c r="AJ376" s="228">
        <v>52</v>
      </c>
      <c r="AK376" s="228">
        <v>399360</v>
      </c>
      <c r="AL376" s="228">
        <v>52</v>
      </c>
      <c r="AM376" s="228">
        <v>0</v>
      </c>
      <c r="AN376" s="228">
        <v>0</v>
      </c>
      <c r="AO376" s="229">
        <v>1</v>
      </c>
      <c r="AP376" s="231">
        <v>12</v>
      </c>
      <c r="AQ376" s="231">
        <v>2024</v>
      </c>
      <c r="AR376" s="231" t="str">
        <f t="shared" si="50"/>
        <v>12/2024</v>
      </c>
      <c r="AS376" s="231">
        <f t="shared" si="51"/>
        <v>52</v>
      </c>
      <c r="AT376" s="239">
        <f>IF(G376="CERVECERIA Y MALTERIA",(AS376*AK376/1000000)*(1-VLOOKUP(N376,FCST!D:I,6,FALSE)),0)</f>
        <v>0</v>
      </c>
      <c r="AU376" s="232">
        <v>5.0000000000000001E-3</v>
      </c>
      <c r="AV376" s="239">
        <f t="shared" si="52"/>
        <v>0</v>
      </c>
      <c r="AW376" s="239">
        <f>(AS376*AK376/1000000)*(VLOOKUP(N376,FCST!D:I,6,FALSE))</f>
        <v>0</v>
      </c>
      <c r="AX376" s="239">
        <f t="shared" si="53"/>
        <v>0</v>
      </c>
      <c r="AY376" s="239">
        <f>IF($G376="CERVECERIA Y MALTERIA.",($AS376*$AK376/1000000)*(1-VLOOKUP($N376,FCST!D:I,6,FALSE)),0)</f>
        <v>20.766719999999999</v>
      </c>
      <c r="AZ376" s="239">
        <f t="shared" si="54"/>
        <v>20.870553599999997</v>
      </c>
    </row>
    <row r="377" spans="1:52" x14ac:dyDescent="0.25">
      <c r="A377" s="209">
        <v>1092699</v>
      </c>
      <c r="B377" s="209">
        <v>40</v>
      </c>
      <c r="C377" s="209">
        <v>89345369</v>
      </c>
      <c r="D377" s="209">
        <v>10</v>
      </c>
      <c r="E377" s="209">
        <v>10000002</v>
      </c>
      <c r="F377" s="209">
        <v>20000335</v>
      </c>
      <c r="G377" s="209" t="s">
        <v>105</v>
      </c>
      <c r="H377" s="209">
        <v>20000335</v>
      </c>
      <c r="I377" s="209">
        <v>2</v>
      </c>
      <c r="J377" s="209" t="s">
        <v>169</v>
      </c>
      <c r="K377" s="209" t="s">
        <v>728</v>
      </c>
      <c r="L377" s="209" t="s">
        <v>171</v>
      </c>
      <c r="M377" s="209" t="s">
        <v>184</v>
      </c>
      <c r="N377" s="209">
        <v>50035184</v>
      </c>
      <c r="O377" s="209" t="s">
        <v>672</v>
      </c>
      <c r="P377" s="209">
        <v>5121</v>
      </c>
      <c r="Q377" s="209" t="s">
        <v>174</v>
      </c>
      <c r="R377" s="209" t="s">
        <v>175</v>
      </c>
      <c r="S377" s="209" t="s">
        <v>176</v>
      </c>
      <c r="T377" s="209" t="s">
        <v>177</v>
      </c>
      <c r="U377" s="209" t="s">
        <v>178</v>
      </c>
      <c r="V377" s="209" t="s">
        <v>179</v>
      </c>
      <c r="W377" s="209" t="s">
        <v>179</v>
      </c>
      <c r="X377" s="209" t="s">
        <v>180</v>
      </c>
      <c r="Y377" s="209" t="s">
        <v>180</v>
      </c>
      <c r="Z377" s="209">
        <v>9521067247</v>
      </c>
      <c r="AA377" s="209" t="s">
        <v>729</v>
      </c>
      <c r="AB377" s="209" t="s">
        <v>180</v>
      </c>
      <c r="AC377" s="209" t="s">
        <v>182</v>
      </c>
      <c r="AD377" s="209">
        <v>12</v>
      </c>
      <c r="AE377" s="209">
        <v>2024</v>
      </c>
      <c r="AF377" s="227">
        <v>45652</v>
      </c>
      <c r="AG377" s="227">
        <v>45656</v>
      </c>
      <c r="AH377" s="227">
        <v>45656</v>
      </c>
      <c r="AI377" s="228">
        <v>977184</v>
      </c>
      <c r="AJ377" s="228">
        <v>52</v>
      </c>
      <c r="AK377" s="228">
        <v>977184</v>
      </c>
      <c r="AL377" s="228">
        <v>52</v>
      </c>
      <c r="AM377" s="228">
        <v>0</v>
      </c>
      <c r="AN377" s="228">
        <v>0</v>
      </c>
      <c r="AO377" s="229">
        <v>1</v>
      </c>
      <c r="AP377" s="231">
        <v>12</v>
      </c>
      <c r="AQ377" s="231">
        <v>2024</v>
      </c>
      <c r="AR377" s="231" t="str">
        <f t="shared" si="50"/>
        <v>12/2024</v>
      </c>
      <c r="AS377" s="231">
        <f t="shared" si="51"/>
        <v>19.5</v>
      </c>
      <c r="AT377" s="239">
        <f>IF(G377="CERVECERIA Y MALTERIA",(AS377*AK377/1000000)*(1-VLOOKUP(N377,FCST!D:I,6,FALSE)),0)</f>
        <v>19.055088000000001</v>
      </c>
      <c r="AU377" s="232">
        <v>5.0000000000000001E-3</v>
      </c>
      <c r="AV377" s="239">
        <f t="shared" si="52"/>
        <v>19.15036344</v>
      </c>
      <c r="AW377" s="239">
        <f>(AS377*AK377/1000000)*(VLOOKUP(N377,FCST!D:I,6,FALSE))</f>
        <v>0</v>
      </c>
      <c r="AX377" s="239">
        <f t="shared" si="53"/>
        <v>0</v>
      </c>
      <c r="AY377" s="239">
        <f>IF($G377="CERVECERIA Y MALTERIA.",($AS377*$AK377/1000000)*(1-VLOOKUP($N377,FCST!D:I,6,FALSE)),0)</f>
        <v>0</v>
      </c>
      <c r="AZ377" s="239">
        <f t="shared" si="54"/>
        <v>0</v>
      </c>
    </row>
    <row r="378" spans="1:52" x14ac:dyDescent="0.25">
      <c r="A378" s="209">
        <v>1091005</v>
      </c>
      <c r="B378" s="209">
        <v>50</v>
      </c>
      <c r="C378" s="209">
        <v>89345750</v>
      </c>
      <c r="D378" s="209">
        <v>10</v>
      </c>
      <c r="E378" s="209">
        <v>10000002</v>
      </c>
      <c r="F378" s="209">
        <v>20000339</v>
      </c>
      <c r="G378" s="209" t="s">
        <v>105</v>
      </c>
      <c r="H378" s="209">
        <v>20000339</v>
      </c>
      <c r="I378" s="209">
        <v>2</v>
      </c>
      <c r="J378" s="209" t="s">
        <v>169</v>
      </c>
      <c r="K378" s="209" t="s">
        <v>730</v>
      </c>
      <c r="L378" s="209" t="s">
        <v>265</v>
      </c>
      <c r="M378" s="209" t="s">
        <v>184</v>
      </c>
      <c r="N378" s="209">
        <v>50034634</v>
      </c>
      <c r="O378" s="209" t="s">
        <v>219</v>
      </c>
      <c r="P378" s="209">
        <v>5121</v>
      </c>
      <c r="Q378" s="209" t="s">
        <v>174</v>
      </c>
      <c r="R378" s="209" t="s">
        <v>175</v>
      </c>
      <c r="S378" s="209" t="s">
        <v>176</v>
      </c>
      <c r="T378" s="209" t="s">
        <v>177</v>
      </c>
      <c r="U378" s="209" t="s">
        <v>178</v>
      </c>
      <c r="V378" s="209" t="s">
        <v>179</v>
      </c>
      <c r="W378" s="209" t="s">
        <v>179</v>
      </c>
      <c r="X378" s="209" t="s">
        <v>180</v>
      </c>
      <c r="Y378" s="209" t="s">
        <v>180</v>
      </c>
      <c r="Z378" s="209">
        <v>9521067257</v>
      </c>
      <c r="AA378" s="209" t="s">
        <v>731</v>
      </c>
      <c r="AB378" s="209" t="s">
        <v>180</v>
      </c>
      <c r="AC378" s="209" t="s">
        <v>182</v>
      </c>
      <c r="AD378" s="209">
        <v>12</v>
      </c>
      <c r="AE378" s="209">
        <v>2024</v>
      </c>
      <c r="AF378" s="227">
        <v>45639</v>
      </c>
      <c r="AG378" s="227">
        <v>45656</v>
      </c>
      <c r="AH378" s="227">
        <v>45656</v>
      </c>
      <c r="AI378" s="228">
        <v>112128</v>
      </c>
      <c r="AJ378" s="228">
        <v>16</v>
      </c>
      <c r="AK378" s="228">
        <v>112128</v>
      </c>
      <c r="AL378" s="228">
        <v>16</v>
      </c>
      <c r="AM378" s="228">
        <v>0</v>
      </c>
      <c r="AN378" s="228">
        <v>0</v>
      </c>
      <c r="AO378" s="229">
        <v>50</v>
      </c>
      <c r="AP378" s="231">
        <v>12</v>
      </c>
      <c r="AQ378" s="231">
        <v>2024</v>
      </c>
      <c r="AR378" s="231" t="str">
        <f t="shared" si="50"/>
        <v>12/2024</v>
      </c>
      <c r="AS378" s="231">
        <f t="shared" si="51"/>
        <v>52</v>
      </c>
      <c r="AT378" s="239">
        <f>IF(G378="CERVECERIA Y MALTERIA",(AS378*AK378/1000000)*(1-VLOOKUP(N378,FCST!D:I,6,FALSE)),0)</f>
        <v>5.8306560000000003</v>
      </c>
      <c r="AU378" s="232">
        <v>5.0000000000000001E-3</v>
      </c>
      <c r="AV378" s="239">
        <f t="shared" si="52"/>
        <v>5.8598092799999995</v>
      </c>
      <c r="AW378" s="239">
        <f>(AS378*AK378/1000000)*(VLOOKUP(N378,FCST!D:I,6,FALSE))</f>
        <v>0</v>
      </c>
      <c r="AX378" s="239">
        <f t="shared" si="53"/>
        <v>0</v>
      </c>
      <c r="AY378" s="239">
        <f>IF($G378="CERVECERIA Y MALTERIA.",($AS378*$AK378/1000000)*(1-VLOOKUP($N378,FCST!D:I,6,FALSE)),0)</f>
        <v>0</v>
      </c>
      <c r="AZ378" s="239">
        <f t="shared" si="54"/>
        <v>0</v>
      </c>
    </row>
    <row r="379" spans="1:52" x14ac:dyDescent="0.25">
      <c r="A379" s="209">
        <v>1091005</v>
      </c>
      <c r="B379" s="209">
        <v>60</v>
      </c>
      <c r="C379" s="209">
        <v>89345750</v>
      </c>
      <c r="D379" s="209">
        <v>20</v>
      </c>
      <c r="E379" s="209">
        <v>10000002</v>
      </c>
      <c r="F379" s="209">
        <v>20000339</v>
      </c>
      <c r="G379" s="209" t="s">
        <v>105</v>
      </c>
      <c r="H379" s="209">
        <v>20000339</v>
      </c>
      <c r="I379" s="209">
        <v>2</v>
      </c>
      <c r="J379" s="209" t="s">
        <v>169</v>
      </c>
      <c r="K379" s="209" t="s">
        <v>730</v>
      </c>
      <c r="L379" s="209" t="s">
        <v>265</v>
      </c>
      <c r="M379" s="209" t="s">
        <v>184</v>
      </c>
      <c r="N379" s="209">
        <v>50034194</v>
      </c>
      <c r="O379" s="209" t="s">
        <v>276</v>
      </c>
      <c r="P379" s="209">
        <v>5121</v>
      </c>
      <c r="Q379" s="209" t="s">
        <v>174</v>
      </c>
      <c r="R379" s="209" t="s">
        <v>175</v>
      </c>
      <c r="S379" s="209" t="s">
        <v>176</v>
      </c>
      <c r="T379" s="209" t="s">
        <v>177</v>
      </c>
      <c r="U379" s="209" t="s">
        <v>178</v>
      </c>
      <c r="V379" s="209" t="s">
        <v>179</v>
      </c>
      <c r="W379" s="209" t="s">
        <v>179</v>
      </c>
      <c r="X379" s="209" t="s">
        <v>180</v>
      </c>
      <c r="Y379" s="209" t="s">
        <v>180</v>
      </c>
      <c r="Z379" s="209">
        <v>9521067257</v>
      </c>
      <c r="AA379" s="209" t="s">
        <v>731</v>
      </c>
      <c r="AB379" s="209" t="s">
        <v>180</v>
      </c>
      <c r="AC379" s="209" t="s">
        <v>182</v>
      </c>
      <c r="AD379" s="209">
        <v>12</v>
      </c>
      <c r="AE379" s="209">
        <v>2024</v>
      </c>
      <c r="AF379" s="227">
        <v>45639</v>
      </c>
      <c r="AG379" s="227">
        <v>45656</v>
      </c>
      <c r="AH379" s="227">
        <v>45656</v>
      </c>
      <c r="AI379" s="228">
        <v>219456</v>
      </c>
      <c r="AJ379" s="228">
        <v>36</v>
      </c>
      <c r="AK379" s="228">
        <v>219456</v>
      </c>
      <c r="AL379" s="228">
        <v>36</v>
      </c>
      <c r="AM379" s="228">
        <v>0</v>
      </c>
      <c r="AN379" s="228">
        <v>0</v>
      </c>
      <c r="AO379" s="229">
        <v>50</v>
      </c>
      <c r="AP379" s="231">
        <v>12</v>
      </c>
      <c r="AQ379" s="231">
        <v>2024</v>
      </c>
      <c r="AR379" s="231" t="str">
        <f t="shared" si="50"/>
        <v>12/2024</v>
      </c>
      <c r="AS379" s="231">
        <f t="shared" si="51"/>
        <v>62</v>
      </c>
      <c r="AT379" s="239">
        <f>IF(G379="CERVECERIA Y MALTERIA",(AS379*AK379/1000000)*(1-VLOOKUP(N379,FCST!D:I,6,FALSE)),0)</f>
        <v>13.606272000000001</v>
      </c>
      <c r="AU379" s="232">
        <v>5.0000000000000001E-3</v>
      </c>
      <c r="AV379" s="239">
        <f t="shared" si="52"/>
        <v>13.67430336</v>
      </c>
      <c r="AW379" s="239">
        <f>(AS379*AK379/1000000)*(VLOOKUP(N379,FCST!D:I,6,FALSE))</f>
        <v>0</v>
      </c>
      <c r="AX379" s="239">
        <f t="shared" si="53"/>
        <v>0</v>
      </c>
      <c r="AY379" s="239">
        <f>IF($G379="CERVECERIA Y MALTERIA.",($AS379*$AK379/1000000)*(1-VLOOKUP($N379,FCST!D:I,6,FALSE)),0)</f>
        <v>0</v>
      </c>
      <c r="AZ379" s="239">
        <f t="shared" si="54"/>
        <v>0</v>
      </c>
    </row>
    <row r="380" spans="1:52" x14ac:dyDescent="0.25">
      <c r="A380" s="209">
        <v>1091033</v>
      </c>
      <c r="B380" s="209">
        <v>60</v>
      </c>
      <c r="C380" s="209">
        <v>89345714</v>
      </c>
      <c r="D380" s="209">
        <v>10</v>
      </c>
      <c r="E380" s="209">
        <v>10000002</v>
      </c>
      <c r="F380" s="209">
        <v>20000337</v>
      </c>
      <c r="G380" s="209" t="s">
        <v>105</v>
      </c>
      <c r="H380" s="209">
        <v>20000337</v>
      </c>
      <c r="I380" s="209">
        <v>2</v>
      </c>
      <c r="J380" s="209" t="s">
        <v>169</v>
      </c>
      <c r="K380" s="209" t="s">
        <v>732</v>
      </c>
      <c r="L380" s="209" t="s">
        <v>265</v>
      </c>
      <c r="M380" s="209" t="s">
        <v>184</v>
      </c>
      <c r="N380" s="209">
        <v>50037042</v>
      </c>
      <c r="O380" s="209" t="s">
        <v>543</v>
      </c>
      <c r="P380" s="209">
        <v>5121</v>
      </c>
      <c r="Q380" s="209" t="s">
        <v>174</v>
      </c>
      <c r="R380" s="209" t="s">
        <v>175</v>
      </c>
      <c r="S380" s="209" t="s">
        <v>176</v>
      </c>
      <c r="T380" s="209" t="s">
        <v>177</v>
      </c>
      <c r="U380" s="209" t="s">
        <v>178</v>
      </c>
      <c r="V380" s="209" t="s">
        <v>179</v>
      </c>
      <c r="W380" s="209" t="s">
        <v>179</v>
      </c>
      <c r="X380" s="209" t="s">
        <v>180</v>
      </c>
      <c r="Y380" s="209" t="s">
        <v>180</v>
      </c>
      <c r="Z380" s="209">
        <v>9521067259</v>
      </c>
      <c r="AA380" s="209" t="s">
        <v>733</v>
      </c>
      <c r="AB380" s="209" t="s">
        <v>180</v>
      </c>
      <c r="AC380" s="209" t="s">
        <v>182</v>
      </c>
      <c r="AD380" s="209">
        <v>12</v>
      </c>
      <c r="AE380" s="209">
        <v>2024</v>
      </c>
      <c r="AF380" s="227">
        <v>45642</v>
      </c>
      <c r="AG380" s="227">
        <v>45656</v>
      </c>
      <c r="AH380" s="227">
        <v>45657</v>
      </c>
      <c r="AI380" s="228">
        <v>426816</v>
      </c>
      <c r="AJ380" s="228">
        <v>52</v>
      </c>
      <c r="AK380" s="228">
        <v>426816</v>
      </c>
      <c r="AL380" s="228">
        <v>52</v>
      </c>
      <c r="AM380" s="228">
        <v>0</v>
      </c>
      <c r="AN380" s="228">
        <v>0</v>
      </c>
      <c r="AO380" s="229">
        <v>51</v>
      </c>
      <c r="AP380" s="231">
        <v>12</v>
      </c>
      <c r="AQ380" s="231">
        <v>2024</v>
      </c>
      <c r="AR380" s="231" t="str">
        <f t="shared" si="50"/>
        <v>12/2024</v>
      </c>
      <c r="AS380" s="231">
        <f t="shared" si="51"/>
        <v>46.6</v>
      </c>
      <c r="AT380" s="239">
        <f>IF(G380="CERVECERIA Y MALTERIA",(AS380*AK380/1000000)*(1-VLOOKUP(N380,FCST!D:I,6,FALSE)),0)</f>
        <v>15.911700480000002</v>
      </c>
      <c r="AU380" s="232">
        <v>5.0000000000000001E-3</v>
      </c>
      <c r="AV380" s="239">
        <f t="shared" si="52"/>
        <v>15.9912589824</v>
      </c>
      <c r="AW380" s="239">
        <f>(AS380*AK380/1000000)*(VLOOKUP(N380,FCST!D:I,6,FALSE))</f>
        <v>3.9779251200000005</v>
      </c>
      <c r="AX380" s="239">
        <f t="shared" si="53"/>
        <v>3.9978147455999999</v>
      </c>
      <c r="AY380" s="239">
        <f>IF($G380="CERVECERIA Y MALTERIA.",($AS380*$AK380/1000000)*(1-VLOOKUP($N380,FCST!D:I,6,FALSE)),0)</f>
        <v>0</v>
      </c>
      <c r="AZ380" s="239">
        <f t="shared" si="54"/>
        <v>0</v>
      </c>
    </row>
    <row r="381" spans="1:52" x14ac:dyDescent="0.25">
      <c r="A381" s="209">
        <v>1091033</v>
      </c>
      <c r="B381" s="209">
        <v>50</v>
      </c>
      <c r="C381" s="209">
        <v>89344953</v>
      </c>
      <c r="D381" s="209">
        <v>10</v>
      </c>
      <c r="E381" s="209">
        <v>10000002</v>
      </c>
      <c r="F381" s="209">
        <v>20000337</v>
      </c>
      <c r="G381" s="209" t="s">
        <v>105</v>
      </c>
      <c r="H381" s="209">
        <v>20000337</v>
      </c>
      <c r="I381" s="209">
        <v>2</v>
      </c>
      <c r="J381" s="209" t="s">
        <v>169</v>
      </c>
      <c r="K381" s="209" t="s">
        <v>734</v>
      </c>
      <c r="L381" s="209" t="s">
        <v>265</v>
      </c>
      <c r="M381" s="209" t="s">
        <v>199</v>
      </c>
      <c r="N381" s="209">
        <v>50037042</v>
      </c>
      <c r="O381" s="209" t="s">
        <v>543</v>
      </c>
      <c r="P381" s="209">
        <v>5121</v>
      </c>
      <c r="Q381" s="209" t="s">
        <v>200</v>
      </c>
      <c r="R381" s="209" t="s">
        <v>201</v>
      </c>
      <c r="S381" s="209" t="s">
        <v>202</v>
      </c>
      <c r="T381" s="209" t="s">
        <v>203</v>
      </c>
      <c r="U381" s="209" t="s">
        <v>201</v>
      </c>
      <c r="V381" s="209" t="s">
        <v>179</v>
      </c>
      <c r="W381" s="209" t="s">
        <v>179</v>
      </c>
      <c r="X381" s="209" t="s">
        <v>180</v>
      </c>
      <c r="Y381" s="209" t="s">
        <v>180</v>
      </c>
      <c r="Z381" s="209">
        <v>9521067231</v>
      </c>
      <c r="AA381" s="209" t="s">
        <v>735</v>
      </c>
      <c r="AB381" s="209" t="s">
        <v>180</v>
      </c>
      <c r="AC381" s="209" t="s">
        <v>182</v>
      </c>
      <c r="AD381" s="209">
        <v>12</v>
      </c>
      <c r="AE381" s="209">
        <v>2024</v>
      </c>
      <c r="AF381" s="227">
        <v>45642</v>
      </c>
      <c r="AG381" s="227">
        <v>45656</v>
      </c>
      <c r="AH381" s="227">
        <v>45656</v>
      </c>
      <c r="AI381" s="228">
        <v>426816</v>
      </c>
      <c r="AJ381" s="228">
        <v>52</v>
      </c>
      <c r="AK381" s="228">
        <v>426816</v>
      </c>
      <c r="AL381" s="228">
        <v>52</v>
      </c>
      <c r="AM381" s="228">
        <v>0</v>
      </c>
      <c r="AN381" s="228">
        <v>0</v>
      </c>
      <c r="AO381" s="229">
        <v>51</v>
      </c>
      <c r="AP381" s="231">
        <v>12</v>
      </c>
      <c r="AQ381" s="231">
        <v>2024</v>
      </c>
      <c r="AR381" s="231" t="str">
        <f t="shared" si="50"/>
        <v>12/2024</v>
      </c>
      <c r="AS381" s="231">
        <f t="shared" si="51"/>
        <v>46.6</v>
      </c>
      <c r="AT381" s="239">
        <f>IF(G381="CERVECERIA Y MALTERIA",(AS381*AK381/1000000)*(1-VLOOKUP(N381,FCST!D:I,6,FALSE)),0)</f>
        <v>15.911700480000002</v>
      </c>
      <c r="AU381" s="232">
        <v>5.0000000000000001E-3</v>
      </c>
      <c r="AV381" s="239">
        <f t="shared" si="52"/>
        <v>15.9912589824</v>
      </c>
      <c r="AW381" s="239">
        <f>(AS381*AK381/1000000)*(VLOOKUP(N381,FCST!D:I,6,FALSE))</f>
        <v>3.9779251200000005</v>
      </c>
      <c r="AX381" s="239">
        <f t="shared" si="53"/>
        <v>3.9978147455999999</v>
      </c>
      <c r="AY381" s="239">
        <f>IF($G381="CERVECERIA Y MALTERIA.",($AS381*$AK381/1000000)*(1-VLOOKUP($N381,FCST!D:I,6,FALSE)),0)</f>
        <v>0</v>
      </c>
      <c r="AZ381" s="239">
        <f t="shared" si="54"/>
        <v>0</v>
      </c>
    </row>
    <row r="382" spans="1:52" x14ac:dyDescent="0.25">
      <c r="A382" s="209">
        <v>1092701</v>
      </c>
      <c r="B382" s="209">
        <v>20</v>
      </c>
      <c r="C382" s="209">
        <v>89344979</v>
      </c>
      <c r="D382" s="209">
        <v>10</v>
      </c>
      <c r="E382" s="209">
        <v>10000002</v>
      </c>
      <c r="F382" s="209">
        <v>20000340</v>
      </c>
      <c r="G382" s="209" t="s">
        <v>117</v>
      </c>
      <c r="H382" s="209">
        <v>20000340</v>
      </c>
      <c r="I382" s="209">
        <v>2</v>
      </c>
      <c r="J382" s="209" t="s">
        <v>169</v>
      </c>
      <c r="K382" s="209" t="s">
        <v>736</v>
      </c>
      <c r="L382" s="209" t="s">
        <v>171</v>
      </c>
      <c r="M382" s="209" t="s">
        <v>172</v>
      </c>
      <c r="N382" s="209">
        <v>50027468</v>
      </c>
      <c r="O382" s="209" t="s">
        <v>285</v>
      </c>
      <c r="P382" s="209">
        <v>5101</v>
      </c>
      <c r="Q382" s="209" t="s">
        <v>186</v>
      </c>
      <c r="R382" s="209" t="s">
        <v>175</v>
      </c>
      <c r="S382" s="209" t="s">
        <v>176</v>
      </c>
      <c r="T382" s="209" t="s">
        <v>187</v>
      </c>
      <c r="U382" s="209" t="s">
        <v>188</v>
      </c>
      <c r="V382" s="209" t="s">
        <v>179</v>
      </c>
      <c r="W382" s="209" t="s">
        <v>179</v>
      </c>
      <c r="X382" s="209" t="s">
        <v>180</v>
      </c>
      <c r="Y382" s="209" t="s">
        <v>180</v>
      </c>
      <c r="Z382" s="209">
        <v>9511047255</v>
      </c>
      <c r="AA382" s="209" t="s">
        <v>737</v>
      </c>
      <c r="AB382" s="209" t="s">
        <v>180</v>
      </c>
      <c r="AC382" s="209" t="s">
        <v>182</v>
      </c>
      <c r="AD382" s="209">
        <v>12</v>
      </c>
      <c r="AE382" s="209">
        <v>2024</v>
      </c>
      <c r="AF382" s="227">
        <v>45652</v>
      </c>
      <c r="AG382" s="227">
        <v>45656</v>
      </c>
      <c r="AH382" s="227">
        <v>45656</v>
      </c>
      <c r="AI382" s="228">
        <v>399360</v>
      </c>
      <c r="AJ382" s="228">
        <v>52</v>
      </c>
      <c r="AK382" s="228">
        <v>399360</v>
      </c>
      <c r="AL382" s="228">
        <v>52</v>
      </c>
      <c r="AM382" s="228">
        <v>0</v>
      </c>
      <c r="AN382" s="228">
        <v>0</v>
      </c>
      <c r="AO382" s="229">
        <v>1</v>
      </c>
      <c r="AP382" s="231">
        <v>12</v>
      </c>
      <c r="AQ382" s="231">
        <v>2024</v>
      </c>
      <c r="AR382" s="231" t="str">
        <f t="shared" si="50"/>
        <v>12/2024</v>
      </c>
      <c r="AS382" s="231">
        <f t="shared" si="51"/>
        <v>52</v>
      </c>
      <c r="AT382" s="239">
        <f>IF(G382="CERVECERIA Y MALTERIA",(AS382*AK382/1000000)*(1-VLOOKUP(N382,FCST!D:I,6,FALSE)),0)</f>
        <v>0</v>
      </c>
      <c r="AU382" s="232">
        <v>5.0000000000000001E-3</v>
      </c>
      <c r="AV382" s="239">
        <f t="shared" si="52"/>
        <v>0</v>
      </c>
      <c r="AW382" s="239">
        <f>(AS382*AK382/1000000)*(VLOOKUP(N382,FCST!D:I,6,FALSE))</f>
        <v>0</v>
      </c>
      <c r="AX382" s="239">
        <f t="shared" si="53"/>
        <v>0</v>
      </c>
      <c r="AY382" s="239">
        <f>IF($G382="CERVECERIA Y MALTERIA.",($AS382*$AK382/1000000)*(1-VLOOKUP($N382,FCST!D:I,6,FALSE)),0)</f>
        <v>20.766719999999999</v>
      </c>
      <c r="AZ382" s="239">
        <f t="shared" si="54"/>
        <v>20.870553599999997</v>
      </c>
    </row>
    <row r="383" spans="1:52" x14ac:dyDescent="0.25">
      <c r="A383" s="209">
        <v>1092699</v>
      </c>
      <c r="B383" s="209">
        <v>10</v>
      </c>
      <c r="C383" s="209">
        <v>89344980</v>
      </c>
      <c r="D383" s="209">
        <v>10</v>
      </c>
      <c r="E383" s="209">
        <v>10000002</v>
      </c>
      <c r="F383" s="209">
        <v>20000335</v>
      </c>
      <c r="G383" s="209" t="s">
        <v>105</v>
      </c>
      <c r="H383" s="209">
        <v>20000335</v>
      </c>
      <c r="I383" s="209">
        <v>2</v>
      </c>
      <c r="J383" s="209" t="s">
        <v>169</v>
      </c>
      <c r="K383" s="209" t="s">
        <v>738</v>
      </c>
      <c r="L383" s="209" t="s">
        <v>171</v>
      </c>
      <c r="M383" s="209" t="s">
        <v>172</v>
      </c>
      <c r="N383" s="209">
        <v>50035184</v>
      </c>
      <c r="O383" s="209" t="s">
        <v>672</v>
      </c>
      <c r="P383" s="209">
        <v>5121</v>
      </c>
      <c r="Q383" s="209" t="s">
        <v>174</v>
      </c>
      <c r="R383" s="209" t="s">
        <v>175</v>
      </c>
      <c r="S383" s="209" t="s">
        <v>176</v>
      </c>
      <c r="T383" s="209" t="s">
        <v>177</v>
      </c>
      <c r="U383" s="209" t="s">
        <v>178</v>
      </c>
      <c r="V383" s="209" t="s">
        <v>179</v>
      </c>
      <c r="W383" s="209" t="s">
        <v>179</v>
      </c>
      <c r="X383" s="209" t="s">
        <v>180</v>
      </c>
      <c r="Y383" s="209" t="s">
        <v>180</v>
      </c>
      <c r="Z383" s="209">
        <v>9521067239</v>
      </c>
      <c r="AA383" s="209" t="s">
        <v>739</v>
      </c>
      <c r="AB383" s="209" t="s">
        <v>180</v>
      </c>
      <c r="AC383" s="209" t="s">
        <v>182</v>
      </c>
      <c r="AD383" s="209">
        <v>12</v>
      </c>
      <c r="AE383" s="209">
        <v>2024</v>
      </c>
      <c r="AF383" s="227">
        <v>45652</v>
      </c>
      <c r="AG383" s="227">
        <v>45656</v>
      </c>
      <c r="AH383" s="227">
        <v>45656</v>
      </c>
      <c r="AI383" s="228">
        <v>977184</v>
      </c>
      <c r="AJ383" s="228">
        <v>52</v>
      </c>
      <c r="AK383" s="228">
        <v>977184</v>
      </c>
      <c r="AL383" s="228">
        <v>52</v>
      </c>
      <c r="AM383" s="228">
        <v>0</v>
      </c>
      <c r="AN383" s="228">
        <v>0</v>
      </c>
      <c r="AO383" s="229">
        <v>1</v>
      </c>
      <c r="AP383" s="231">
        <v>12</v>
      </c>
      <c r="AQ383" s="231">
        <v>2024</v>
      </c>
      <c r="AR383" s="231" t="str">
        <f t="shared" si="50"/>
        <v>12/2024</v>
      </c>
      <c r="AS383" s="231">
        <f t="shared" si="51"/>
        <v>19.5</v>
      </c>
      <c r="AT383" s="239">
        <f>IF(G383="CERVECERIA Y MALTERIA",(AS383*AK383/1000000)*(1-VLOOKUP(N383,FCST!D:I,6,FALSE)),0)</f>
        <v>19.055088000000001</v>
      </c>
      <c r="AU383" s="232">
        <v>5.0000000000000001E-3</v>
      </c>
      <c r="AV383" s="239">
        <f t="shared" si="52"/>
        <v>19.15036344</v>
      </c>
      <c r="AW383" s="239">
        <f>(AS383*AK383/1000000)*(VLOOKUP(N383,FCST!D:I,6,FALSE))</f>
        <v>0</v>
      </c>
      <c r="AX383" s="239">
        <f t="shared" si="53"/>
        <v>0</v>
      </c>
      <c r="AY383" s="239">
        <f>IF($G383="CERVECERIA Y MALTERIA.",($AS383*$AK383/1000000)*(1-VLOOKUP($N383,FCST!D:I,6,FALSE)),0)</f>
        <v>0</v>
      </c>
      <c r="AZ383" s="239">
        <f t="shared" si="54"/>
        <v>0</v>
      </c>
    </row>
    <row r="384" spans="1:52" x14ac:dyDescent="0.25">
      <c r="A384" s="209">
        <v>1092699</v>
      </c>
      <c r="B384" s="209">
        <v>30</v>
      </c>
      <c r="C384" s="209">
        <v>89345227</v>
      </c>
      <c r="D384" s="209">
        <v>10</v>
      </c>
      <c r="E384" s="209">
        <v>10000002</v>
      </c>
      <c r="F384" s="209">
        <v>20000335</v>
      </c>
      <c r="G384" s="209" t="s">
        <v>105</v>
      </c>
      <c r="H384" s="209">
        <v>20000335</v>
      </c>
      <c r="I384" s="209">
        <v>2</v>
      </c>
      <c r="J384" s="209" t="s">
        <v>169</v>
      </c>
      <c r="K384" s="209" t="s">
        <v>740</v>
      </c>
      <c r="L384" s="209" t="s">
        <v>171</v>
      </c>
      <c r="M384" s="209" t="s">
        <v>199</v>
      </c>
      <c r="N384" s="209">
        <v>50032583</v>
      </c>
      <c r="O384" s="209" t="s">
        <v>205</v>
      </c>
      <c r="P384" s="209">
        <v>5121</v>
      </c>
      <c r="Q384" s="209" t="s">
        <v>200</v>
      </c>
      <c r="R384" s="209" t="s">
        <v>201</v>
      </c>
      <c r="S384" s="209" t="s">
        <v>202</v>
      </c>
      <c r="T384" s="209" t="s">
        <v>203</v>
      </c>
      <c r="U384" s="209" t="s">
        <v>201</v>
      </c>
      <c r="V384" s="209" t="s">
        <v>179</v>
      </c>
      <c r="W384" s="209" t="s">
        <v>179</v>
      </c>
      <c r="X384" s="209" t="s">
        <v>180</v>
      </c>
      <c r="Y384" s="209" t="s">
        <v>180</v>
      </c>
      <c r="Z384" s="209">
        <v>9521067238</v>
      </c>
      <c r="AA384" s="209" t="s">
        <v>741</v>
      </c>
      <c r="AB384" s="209" t="s">
        <v>180</v>
      </c>
      <c r="AC384" s="209" t="s">
        <v>182</v>
      </c>
      <c r="AD384" s="209">
        <v>12</v>
      </c>
      <c r="AE384" s="209">
        <v>2024</v>
      </c>
      <c r="AF384" s="227">
        <v>45652</v>
      </c>
      <c r="AG384" s="227">
        <v>45656</v>
      </c>
      <c r="AH384" s="227">
        <v>45656</v>
      </c>
      <c r="AI384" s="228">
        <v>351936</v>
      </c>
      <c r="AJ384" s="228">
        <v>52</v>
      </c>
      <c r="AK384" s="228">
        <v>351936</v>
      </c>
      <c r="AL384" s="228">
        <v>52</v>
      </c>
      <c r="AM384" s="228">
        <v>0</v>
      </c>
      <c r="AN384" s="228">
        <v>0</v>
      </c>
      <c r="AO384" s="229">
        <v>1</v>
      </c>
      <c r="AP384" s="231">
        <v>12</v>
      </c>
      <c r="AQ384" s="231">
        <v>2024</v>
      </c>
      <c r="AR384" s="231" t="str">
        <f t="shared" si="50"/>
        <v>12/2024</v>
      </c>
      <c r="AS384" s="231">
        <f t="shared" si="51"/>
        <v>54.7</v>
      </c>
      <c r="AT384" s="239">
        <f>IF(G384="CERVECERIA Y MALTERIA",(AS384*AK384/1000000)*(1-VLOOKUP(N384,FCST!D:I,6,FALSE)),0)</f>
        <v>19.250899199999999</v>
      </c>
      <c r="AU384" s="232">
        <v>5.0000000000000001E-3</v>
      </c>
      <c r="AV384" s="239">
        <f t="shared" si="52"/>
        <v>19.347153695999996</v>
      </c>
      <c r="AW384" s="239">
        <f>(AS384*AK384/1000000)*(VLOOKUP(N384,FCST!D:I,6,FALSE))</f>
        <v>0</v>
      </c>
      <c r="AX384" s="239">
        <f t="shared" si="53"/>
        <v>0</v>
      </c>
      <c r="AY384" s="239">
        <f>IF($G384="CERVECERIA Y MALTERIA.",($AS384*$AK384/1000000)*(1-VLOOKUP($N384,FCST!D:I,6,FALSE)),0)</f>
        <v>0</v>
      </c>
      <c r="AZ384" s="239">
        <f t="shared" si="54"/>
        <v>0</v>
      </c>
    </row>
    <row r="385" spans="1:52" x14ac:dyDescent="0.25">
      <c r="A385" s="209">
        <v>1091908</v>
      </c>
      <c r="B385" s="209">
        <v>70</v>
      </c>
      <c r="C385" s="209">
        <v>89343434</v>
      </c>
      <c r="D385" s="209">
        <v>10</v>
      </c>
      <c r="E385" s="209">
        <v>10000002</v>
      </c>
      <c r="F385" s="209">
        <v>20000335</v>
      </c>
      <c r="G385" s="209" t="s">
        <v>105</v>
      </c>
      <c r="H385" s="209">
        <v>20000335</v>
      </c>
      <c r="I385" s="209">
        <v>2</v>
      </c>
      <c r="J385" s="209" t="s">
        <v>169</v>
      </c>
      <c r="K385" s="209" t="s">
        <v>742</v>
      </c>
      <c r="L385" s="209" t="s">
        <v>171</v>
      </c>
      <c r="M385" s="209" t="s">
        <v>172</v>
      </c>
      <c r="N385" s="209">
        <v>50037887</v>
      </c>
      <c r="O385" s="209" t="s">
        <v>679</v>
      </c>
      <c r="P385" s="209">
        <v>5121</v>
      </c>
      <c r="Q385" s="209" t="s">
        <v>174</v>
      </c>
      <c r="R385" s="209" t="s">
        <v>175</v>
      </c>
      <c r="S385" s="209" t="s">
        <v>176</v>
      </c>
      <c r="T385" s="209" t="s">
        <v>177</v>
      </c>
      <c r="U385" s="209" t="s">
        <v>178</v>
      </c>
      <c r="V385" s="209" t="s">
        <v>179</v>
      </c>
      <c r="W385" s="209" t="s">
        <v>179</v>
      </c>
      <c r="X385" s="209" t="s">
        <v>180</v>
      </c>
      <c r="Y385" s="209" t="s">
        <v>180</v>
      </c>
      <c r="Z385" s="209">
        <v>9521067177</v>
      </c>
      <c r="AA385" s="209" t="s">
        <v>743</v>
      </c>
      <c r="AB385" s="209" t="s">
        <v>180</v>
      </c>
      <c r="AC385" s="209" t="s">
        <v>182</v>
      </c>
      <c r="AD385" s="209">
        <v>12</v>
      </c>
      <c r="AE385" s="209">
        <v>2024</v>
      </c>
      <c r="AF385" s="227">
        <v>45645</v>
      </c>
      <c r="AG385" s="227">
        <v>45653</v>
      </c>
      <c r="AH385" s="227">
        <v>45653</v>
      </c>
      <c r="AI385" s="228">
        <v>531648</v>
      </c>
      <c r="AJ385" s="228">
        <v>52</v>
      </c>
      <c r="AK385" s="228">
        <v>531648</v>
      </c>
      <c r="AL385" s="228">
        <v>52</v>
      </c>
      <c r="AM385" s="228">
        <v>0</v>
      </c>
      <c r="AN385" s="228">
        <v>0</v>
      </c>
      <c r="AO385" s="229">
        <v>51</v>
      </c>
      <c r="AP385" s="231">
        <v>12</v>
      </c>
      <c r="AQ385" s="231">
        <v>2024</v>
      </c>
      <c r="AR385" s="231" t="str">
        <f t="shared" si="50"/>
        <v>12/2024</v>
      </c>
      <c r="AS385" s="231">
        <f t="shared" si="51"/>
        <v>37.200000000000003</v>
      </c>
      <c r="AT385" s="239">
        <f>IF(G385="CERVECERIA Y MALTERIA",(AS385*AK385/1000000)*(1-VLOOKUP(N385,FCST!D:I,6,FALSE)),0)</f>
        <v>19.777305600000002</v>
      </c>
      <c r="AU385" s="232">
        <v>5.0000000000000001E-3</v>
      </c>
      <c r="AV385" s="239">
        <f t="shared" si="52"/>
        <v>19.876192128</v>
      </c>
      <c r="AW385" s="239">
        <f>(AS385*AK385/1000000)*(VLOOKUP(N385,FCST!D:I,6,FALSE))</f>
        <v>0</v>
      </c>
      <c r="AX385" s="239">
        <f t="shared" si="53"/>
        <v>0</v>
      </c>
      <c r="AY385" s="239">
        <f>IF($G385="CERVECERIA Y MALTERIA.",($AS385*$AK385/1000000)*(1-VLOOKUP($N385,FCST!D:I,6,FALSE)),0)</f>
        <v>0</v>
      </c>
      <c r="AZ385" s="239">
        <f t="shared" si="54"/>
        <v>0</v>
      </c>
    </row>
    <row r="386" spans="1:52" x14ac:dyDescent="0.25">
      <c r="A386" s="209">
        <v>1091916</v>
      </c>
      <c r="B386" s="209">
        <v>30</v>
      </c>
      <c r="C386" s="209">
        <v>89343472</v>
      </c>
      <c r="D386" s="209">
        <v>10</v>
      </c>
      <c r="E386" s="209">
        <v>10000002</v>
      </c>
      <c r="F386" s="209">
        <v>20000340</v>
      </c>
      <c r="G386" s="209" t="s">
        <v>117</v>
      </c>
      <c r="H386" s="209">
        <v>20000340</v>
      </c>
      <c r="I386" s="209">
        <v>2</v>
      </c>
      <c r="J386" s="209" t="s">
        <v>169</v>
      </c>
      <c r="K386" s="209" t="s">
        <v>744</v>
      </c>
      <c r="L386" s="209" t="s">
        <v>171</v>
      </c>
      <c r="M386" s="209" t="s">
        <v>184</v>
      </c>
      <c r="N386" s="209">
        <v>50027468</v>
      </c>
      <c r="O386" s="209" t="s">
        <v>285</v>
      </c>
      <c r="P386" s="209">
        <v>5101</v>
      </c>
      <c r="Q386" s="209" t="s">
        <v>186</v>
      </c>
      <c r="R386" s="209" t="s">
        <v>175</v>
      </c>
      <c r="S386" s="209" t="s">
        <v>176</v>
      </c>
      <c r="T386" s="209" t="s">
        <v>187</v>
      </c>
      <c r="U386" s="209" t="s">
        <v>188</v>
      </c>
      <c r="V386" s="209" t="s">
        <v>179</v>
      </c>
      <c r="W386" s="209" t="s">
        <v>179</v>
      </c>
      <c r="X386" s="209" t="s">
        <v>180</v>
      </c>
      <c r="Y386" s="209" t="s">
        <v>180</v>
      </c>
      <c r="Z386" s="209">
        <v>9511047249</v>
      </c>
      <c r="AA386" s="209" t="s">
        <v>745</v>
      </c>
      <c r="AB386" s="209" t="s">
        <v>180</v>
      </c>
      <c r="AC386" s="209" t="s">
        <v>182</v>
      </c>
      <c r="AD386" s="209">
        <v>12</v>
      </c>
      <c r="AE386" s="209">
        <v>2024</v>
      </c>
      <c r="AF386" s="227">
        <v>45645</v>
      </c>
      <c r="AG386" s="227">
        <v>45653</v>
      </c>
      <c r="AH386" s="227">
        <v>45653</v>
      </c>
      <c r="AI386" s="228">
        <v>399360</v>
      </c>
      <c r="AJ386" s="228">
        <v>52</v>
      </c>
      <c r="AK386" s="228">
        <v>399360</v>
      </c>
      <c r="AL386" s="228">
        <v>52</v>
      </c>
      <c r="AM386" s="228">
        <v>0</v>
      </c>
      <c r="AN386" s="228">
        <v>0</v>
      </c>
      <c r="AO386" s="229">
        <v>52</v>
      </c>
      <c r="AP386" s="231">
        <v>12</v>
      </c>
      <c r="AQ386" s="231">
        <v>2024</v>
      </c>
      <c r="AR386" s="231" t="str">
        <f t="shared" si="50"/>
        <v>12/2024</v>
      </c>
      <c r="AS386" s="231">
        <f t="shared" si="51"/>
        <v>52</v>
      </c>
      <c r="AT386" s="239">
        <f>IF(G386="CERVECERIA Y MALTERIA",(AS386*AK386/1000000)*(1-VLOOKUP(N386,FCST!D:I,6,FALSE)),0)</f>
        <v>0</v>
      </c>
      <c r="AU386" s="232">
        <v>5.0000000000000001E-3</v>
      </c>
      <c r="AV386" s="239">
        <f t="shared" si="52"/>
        <v>0</v>
      </c>
      <c r="AW386" s="239">
        <f>(AS386*AK386/1000000)*(VLOOKUP(N386,FCST!D:I,6,FALSE))</f>
        <v>0</v>
      </c>
      <c r="AX386" s="239">
        <f t="shared" si="53"/>
        <v>0</v>
      </c>
      <c r="AY386" s="239">
        <f>IF($G386="CERVECERIA Y MALTERIA.",($AS386*$AK386/1000000)*(1-VLOOKUP($N386,FCST!D:I,6,FALSE)),0)</f>
        <v>20.766719999999999</v>
      </c>
      <c r="AZ386" s="239">
        <f t="shared" si="54"/>
        <v>20.870553599999997</v>
      </c>
    </row>
    <row r="387" spans="1:52" x14ac:dyDescent="0.25">
      <c r="A387" s="209">
        <v>1091916</v>
      </c>
      <c r="B387" s="209">
        <v>50</v>
      </c>
      <c r="C387" s="209">
        <v>89342635</v>
      </c>
      <c r="D387" s="209">
        <v>10</v>
      </c>
      <c r="E387" s="209">
        <v>10000002</v>
      </c>
      <c r="F387" s="209">
        <v>20000340</v>
      </c>
      <c r="G387" s="209" t="s">
        <v>117</v>
      </c>
      <c r="H387" s="209">
        <v>20000340</v>
      </c>
      <c r="I387" s="209">
        <v>2</v>
      </c>
      <c r="J387" s="209" t="s">
        <v>169</v>
      </c>
      <c r="K387" s="209" t="s">
        <v>746</v>
      </c>
      <c r="L387" s="209" t="s">
        <v>171</v>
      </c>
      <c r="M387" s="209" t="s">
        <v>172</v>
      </c>
      <c r="N387" s="209">
        <v>50029817</v>
      </c>
      <c r="O387" s="209" t="s">
        <v>396</v>
      </c>
      <c r="P387" s="209">
        <v>5101</v>
      </c>
      <c r="Q387" s="209" t="s">
        <v>186</v>
      </c>
      <c r="R387" s="209" t="s">
        <v>175</v>
      </c>
      <c r="S387" s="209" t="s">
        <v>176</v>
      </c>
      <c r="T387" s="209" t="s">
        <v>187</v>
      </c>
      <c r="U387" s="209" t="s">
        <v>188</v>
      </c>
      <c r="V387" s="209" t="s">
        <v>179</v>
      </c>
      <c r="W387" s="209" t="s">
        <v>179</v>
      </c>
      <c r="X387" s="209" t="s">
        <v>180</v>
      </c>
      <c r="Y387" s="209" t="s">
        <v>180</v>
      </c>
      <c r="Z387" s="209">
        <v>9511047240</v>
      </c>
      <c r="AA387" s="209" t="s">
        <v>675</v>
      </c>
      <c r="AB387" s="209" t="s">
        <v>180</v>
      </c>
      <c r="AC387" s="209" t="s">
        <v>182</v>
      </c>
      <c r="AD387" s="209">
        <v>12</v>
      </c>
      <c r="AE387" s="209">
        <v>2024</v>
      </c>
      <c r="AF387" s="227">
        <v>45645</v>
      </c>
      <c r="AG387" s="227">
        <v>45652</v>
      </c>
      <c r="AH387" s="227">
        <v>45652</v>
      </c>
      <c r="AI387" s="228">
        <v>606528</v>
      </c>
      <c r="AJ387" s="228">
        <v>52</v>
      </c>
      <c r="AK387" s="228">
        <v>606528</v>
      </c>
      <c r="AL387" s="228">
        <v>52</v>
      </c>
      <c r="AM387" s="228">
        <v>0</v>
      </c>
      <c r="AN387" s="228">
        <v>0</v>
      </c>
      <c r="AO387" s="229">
        <v>52</v>
      </c>
      <c r="AP387" s="231">
        <v>12</v>
      </c>
      <c r="AQ387" s="231">
        <v>2024</v>
      </c>
      <c r="AR387" s="231" t="str">
        <f t="shared" si="50"/>
        <v>12/2024</v>
      </c>
      <c r="AS387" s="231">
        <f t="shared" si="51"/>
        <v>30</v>
      </c>
      <c r="AT387" s="239">
        <f>IF(G387="CERVECERIA Y MALTERIA",(AS387*AK387/1000000)*(1-VLOOKUP(N387,FCST!D:I,6,FALSE)),0)</f>
        <v>0</v>
      </c>
      <c r="AU387" s="232">
        <v>5.0000000000000001E-3</v>
      </c>
      <c r="AV387" s="239">
        <f t="shared" si="52"/>
        <v>0</v>
      </c>
      <c r="AW387" s="239">
        <f>(AS387*AK387/1000000)*(VLOOKUP(N387,FCST!D:I,6,FALSE))</f>
        <v>5.4587519999999996</v>
      </c>
      <c r="AX387" s="239">
        <f t="shared" si="53"/>
        <v>5.4860457599999988</v>
      </c>
      <c r="AY387" s="239">
        <f>IF($G387="CERVECERIA Y MALTERIA.",($AS387*$AK387/1000000)*(1-VLOOKUP($N387,FCST!D:I,6,FALSE)),0)</f>
        <v>12.737088</v>
      </c>
      <c r="AZ387" s="239">
        <f t="shared" si="54"/>
        <v>12.800773439999999</v>
      </c>
    </row>
    <row r="388" spans="1:52" x14ac:dyDescent="0.25">
      <c r="A388" s="209">
        <v>1091916</v>
      </c>
      <c r="B388" s="209">
        <v>20</v>
      </c>
      <c r="C388" s="209">
        <v>89342646</v>
      </c>
      <c r="D388" s="209">
        <v>10</v>
      </c>
      <c r="E388" s="209">
        <v>10000002</v>
      </c>
      <c r="F388" s="209">
        <v>20000340</v>
      </c>
      <c r="G388" s="209" t="s">
        <v>117</v>
      </c>
      <c r="H388" s="209">
        <v>20000340</v>
      </c>
      <c r="I388" s="209">
        <v>2</v>
      </c>
      <c r="J388" s="209" t="s">
        <v>169</v>
      </c>
      <c r="K388" s="209" t="s">
        <v>747</v>
      </c>
      <c r="L388" s="209" t="s">
        <v>171</v>
      </c>
      <c r="M388" s="209" t="s">
        <v>172</v>
      </c>
      <c r="N388" s="209">
        <v>50027468</v>
      </c>
      <c r="O388" s="209" t="s">
        <v>285</v>
      </c>
      <c r="P388" s="209">
        <v>5101</v>
      </c>
      <c r="Q388" s="209" t="s">
        <v>186</v>
      </c>
      <c r="R388" s="209" t="s">
        <v>175</v>
      </c>
      <c r="S388" s="209" t="s">
        <v>176</v>
      </c>
      <c r="T388" s="209" t="s">
        <v>187</v>
      </c>
      <c r="U388" s="209" t="s">
        <v>188</v>
      </c>
      <c r="V388" s="209" t="s">
        <v>179</v>
      </c>
      <c r="W388" s="209" t="s">
        <v>179</v>
      </c>
      <c r="X388" s="209" t="s">
        <v>180</v>
      </c>
      <c r="Y388" s="209" t="s">
        <v>180</v>
      </c>
      <c r="Z388" s="209">
        <v>9511047238</v>
      </c>
      <c r="AA388" s="209" t="s">
        <v>748</v>
      </c>
      <c r="AB388" s="209" t="s">
        <v>180</v>
      </c>
      <c r="AC388" s="209" t="s">
        <v>182</v>
      </c>
      <c r="AD388" s="209">
        <v>12</v>
      </c>
      <c r="AE388" s="209">
        <v>2024</v>
      </c>
      <c r="AF388" s="227">
        <v>45645</v>
      </c>
      <c r="AG388" s="227">
        <v>45652</v>
      </c>
      <c r="AH388" s="227">
        <v>45652</v>
      </c>
      <c r="AI388" s="228">
        <v>399360</v>
      </c>
      <c r="AJ388" s="228">
        <v>52</v>
      </c>
      <c r="AK388" s="228">
        <v>399360</v>
      </c>
      <c r="AL388" s="228">
        <v>52</v>
      </c>
      <c r="AM388" s="228">
        <v>0</v>
      </c>
      <c r="AN388" s="228">
        <v>0</v>
      </c>
      <c r="AO388" s="229">
        <v>52</v>
      </c>
      <c r="AP388" s="231">
        <v>12</v>
      </c>
      <c r="AQ388" s="231">
        <v>2024</v>
      </c>
      <c r="AR388" s="231" t="str">
        <f t="shared" si="50"/>
        <v>12/2024</v>
      </c>
      <c r="AS388" s="231">
        <f t="shared" si="51"/>
        <v>52</v>
      </c>
      <c r="AT388" s="239">
        <f>IF(G388="CERVECERIA Y MALTERIA",(AS388*AK388/1000000)*(1-VLOOKUP(N388,FCST!D:I,6,FALSE)),0)</f>
        <v>0</v>
      </c>
      <c r="AU388" s="232">
        <v>5.0000000000000001E-3</v>
      </c>
      <c r="AV388" s="239">
        <f t="shared" si="52"/>
        <v>0</v>
      </c>
      <c r="AW388" s="239">
        <f>(AS388*AK388/1000000)*(VLOOKUP(N388,FCST!D:I,6,FALSE))</f>
        <v>0</v>
      </c>
      <c r="AX388" s="239">
        <f t="shared" si="53"/>
        <v>0</v>
      </c>
      <c r="AY388" s="239">
        <f>IF($G388="CERVECERIA Y MALTERIA.",($AS388*$AK388/1000000)*(1-VLOOKUP($N388,FCST!D:I,6,FALSE)),0)</f>
        <v>20.766719999999999</v>
      </c>
      <c r="AZ388" s="239">
        <f t="shared" si="54"/>
        <v>20.870553599999997</v>
      </c>
    </row>
    <row r="389" spans="1:52" x14ac:dyDescent="0.25">
      <c r="A389" s="209">
        <v>1090643</v>
      </c>
      <c r="B389" s="209">
        <v>140</v>
      </c>
      <c r="C389" s="209">
        <v>89342767</v>
      </c>
      <c r="D389" s="209">
        <v>10</v>
      </c>
      <c r="E389" s="209">
        <v>10000002</v>
      </c>
      <c r="F389" s="209">
        <v>20000335</v>
      </c>
      <c r="G389" s="209" t="s">
        <v>105</v>
      </c>
      <c r="H389" s="209">
        <v>20000335</v>
      </c>
      <c r="I389" s="209">
        <v>2</v>
      </c>
      <c r="J389" s="209" t="s">
        <v>169</v>
      </c>
      <c r="K389" s="209" t="s">
        <v>749</v>
      </c>
      <c r="L389" s="209" t="s">
        <v>171</v>
      </c>
      <c r="M389" s="209" t="s">
        <v>172</v>
      </c>
      <c r="N389" s="209">
        <v>50034616</v>
      </c>
      <c r="O389" s="209" t="s">
        <v>191</v>
      </c>
      <c r="P389" s="209">
        <v>5121</v>
      </c>
      <c r="Q389" s="209" t="s">
        <v>174</v>
      </c>
      <c r="R389" s="209" t="s">
        <v>175</v>
      </c>
      <c r="S389" s="209" t="s">
        <v>176</v>
      </c>
      <c r="T389" s="209" t="s">
        <v>177</v>
      </c>
      <c r="U389" s="209" t="s">
        <v>178</v>
      </c>
      <c r="V389" s="209" t="s">
        <v>179</v>
      </c>
      <c r="W389" s="209" t="s">
        <v>179</v>
      </c>
      <c r="X389" s="209" t="s">
        <v>180</v>
      </c>
      <c r="Y389" s="209" t="s">
        <v>180</v>
      </c>
      <c r="Z389" s="209">
        <v>9521067160</v>
      </c>
      <c r="AA389" s="209" t="s">
        <v>750</v>
      </c>
      <c r="AB389" s="209" t="s">
        <v>180</v>
      </c>
      <c r="AC389" s="209" t="s">
        <v>182</v>
      </c>
      <c r="AD389" s="209">
        <v>12</v>
      </c>
      <c r="AE389" s="209">
        <v>2024</v>
      </c>
      <c r="AF389" s="227">
        <v>45638</v>
      </c>
      <c r="AG389" s="227">
        <v>45652</v>
      </c>
      <c r="AH389" s="227">
        <v>45652</v>
      </c>
      <c r="AI389" s="228">
        <v>426816</v>
      </c>
      <c r="AJ389" s="228">
        <v>52</v>
      </c>
      <c r="AK389" s="228">
        <v>426816</v>
      </c>
      <c r="AL389" s="228">
        <v>52</v>
      </c>
      <c r="AM389" s="228">
        <v>0</v>
      </c>
      <c r="AN389" s="228">
        <v>0</v>
      </c>
      <c r="AO389" s="229">
        <v>51</v>
      </c>
      <c r="AP389" s="231">
        <v>12</v>
      </c>
      <c r="AQ389" s="231">
        <v>2024</v>
      </c>
      <c r="AR389" s="231" t="str">
        <f t="shared" si="50"/>
        <v>12/2024</v>
      </c>
      <c r="AS389" s="231">
        <f t="shared" si="51"/>
        <v>46.6</v>
      </c>
      <c r="AT389" s="239">
        <f>IF(G389="CERVECERIA Y MALTERIA",(AS389*AK389/1000000)*(1-VLOOKUP(N389,FCST!D:I,6,FALSE)),0)</f>
        <v>19.889625600000002</v>
      </c>
      <c r="AU389" s="232">
        <v>5.0000000000000001E-3</v>
      </c>
      <c r="AV389" s="239">
        <f t="shared" si="52"/>
        <v>19.989073728000001</v>
      </c>
      <c r="AW389" s="239">
        <f>(AS389*AK389/1000000)*(VLOOKUP(N389,FCST!D:I,6,FALSE))</f>
        <v>0</v>
      </c>
      <c r="AX389" s="239">
        <f t="shared" si="53"/>
        <v>0</v>
      </c>
      <c r="AY389" s="239">
        <f>IF($G389="CERVECERIA Y MALTERIA.",($AS389*$AK389/1000000)*(1-VLOOKUP($N389,FCST!D:I,6,FALSE)),0)</f>
        <v>0</v>
      </c>
      <c r="AZ389" s="239">
        <f t="shared" si="54"/>
        <v>0</v>
      </c>
    </row>
    <row r="390" spans="1:52" x14ac:dyDescent="0.25">
      <c r="A390" s="209">
        <v>1091908</v>
      </c>
      <c r="B390" s="209">
        <v>30</v>
      </c>
      <c r="C390" s="209">
        <v>89342768</v>
      </c>
      <c r="D390" s="209">
        <v>10</v>
      </c>
      <c r="E390" s="209">
        <v>10000002</v>
      </c>
      <c r="F390" s="209">
        <v>20000335</v>
      </c>
      <c r="G390" s="209" t="s">
        <v>105</v>
      </c>
      <c r="H390" s="209">
        <v>20000335</v>
      </c>
      <c r="I390" s="209">
        <v>2</v>
      </c>
      <c r="J390" s="209" t="s">
        <v>169</v>
      </c>
      <c r="K390" s="209" t="s">
        <v>751</v>
      </c>
      <c r="L390" s="209" t="s">
        <v>171</v>
      </c>
      <c r="M390" s="209" t="s">
        <v>199</v>
      </c>
      <c r="N390" s="209">
        <v>50032573</v>
      </c>
      <c r="O390" s="209" t="s">
        <v>173</v>
      </c>
      <c r="P390" s="209">
        <v>5121</v>
      </c>
      <c r="Q390" s="209" t="s">
        <v>200</v>
      </c>
      <c r="R390" s="209" t="s">
        <v>201</v>
      </c>
      <c r="S390" s="209" t="s">
        <v>202</v>
      </c>
      <c r="T390" s="209" t="s">
        <v>203</v>
      </c>
      <c r="U390" s="209" t="s">
        <v>201</v>
      </c>
      <c r="V390" s="209" t="s">
        <v>179</v>
      </c>
      <c r="W390" s="209" t="s">
        <v>179</v>
      </c>
      <c r="X390" s="209" t="s">
        <v>180</v>
      </c>
      <c r="Y390" s="209" t="s">
        <v>180</v>
      </c>
      <c r="Z390" s="209">
        <v>9521067167</v>
      </c>
      <c r="AA390" s="209" t="s">
        <v>752</v>
      </c>
      <c r="AB390" s="209" t="s">
        <v>180</v>
      </c>
      <c r="AC390" s="209" t="s">
        <v>182</v>
      </c>
      <c r="AD390" s="209">
        <v>12</v>
      </c>
      <c r="AE390" s="209">
        <v>2024</v>
      </c>
      <c r="AF390" s="227">
        <v>45645</v>
      </c>
      <c r="AG390" s="227">
        <v>45652</v>
      </c>
      <c r="AH390" s="227">
        <v>45652</v>
      </c>
      <c r="AI390" s="228">
        <v>531648</v>
      </c>
      <c r="AJ390" s="228">
        <v>52</v>
      </c>
      <c r="AK390" s="228">
        <v>531648</v>
      </c>
      <c r="AL390" s="228">
        <v>52</v>
      </c>
      <c r="AM390" s="228">
        <v>0</v>
      </c>
      <c r="AN390" s="228">
        <v>0</v>
      </c>
      <c r="AO390" s="229">
        <v>51</v>
      </c>
      <c r="AP390" s="231">
        <v>12</v>
      </c>
      <c r="AQ390" s="231">
        <v>2024</v>
      </c>
      <c r="AR390" s="231" t="str">
        <f t="shared" si="50"/>
        <v>12/2024</v>
      </c>
      <c r="AS390" s="231">
        <f t="shared" si="51"/>
        <v>37.200000000000003</v>
      </c>
      <c r="AT390" s="239">
        <f>IF(G390="CERVECERIA Y MALTERIA",(AS390*AK390/1000000)*(1-VLOOKUP(N390,FCST!D:I,6,FALSE)),0)</f>
        <v>19.777305600000002</v>
      </c>
      <c r="AU390" s="232">
        <v>5.0000000000000001E-3</v>
      </c>
      <c r="AV390" s="239">
        <f t="shared" si="52"/>
        <v>19.876192128</v>
      </c>
      <c r="AW390" s="239">
        <f>(AS390*AK390/1000000)*(VLOOKUP(N390,FCST!D:I,6,FALSE))</f>
        <v>0</v>
      </c>
      <c r="AX390" s="239">
        <f t="shared" si="53"/>
        <v>0</v>
      </c>
      <c r="AY390" s="239">
        <f>IF($G390="CERVECERIA Y MALTERIA.",($AS390*$AK390/1000000)*(1-VLOOKUP($N390,FCST!D:I,6,FALSE)),0)</f>
        <v>0</v>
      </c>
      <c r="AZ390" s="239">
        <f t="shared" si="54"/>
        <v>0</v>
      </c>
    </row>
    <row r="391" spans="1:52" x14ac:dyDescent="0.25">
      <c r="A391" s="209">
        <v>1091908</v>
      </c>
      <c r="B391" s="209">
        <v>20</v>
      </c>
      <c r="C391" s="209">
        <v>89342846</v>
      </c>
      <c r="D391" s="209">
        <v>10</v>
      </c>
      <c r="E391" s="209">
        <v>10000002</v>
      </c>
      <c r="F391" s="209">
        <v>20000335</v>
      </c>
      <c r="G391" s="209" t="s">
        <v>105</v>
      </c>
      <c r="H391" s="209">
        <v>20000335</v>
      </c>
      <c r="I391" s="209">
        <v>2</v>
      </c>
      <c r="J391" s="209" t="s">
        <v>169</v>
      </c>
      <c r="K391" s="209" t="s">
        <v>753</v>
      </c>
      <c r="L391" s="209" t="s">
        <v>171</v>
      </c>
      <c r="M391" s="209" t="s">
        <v>172</v>
      </c>
      <c r="N391" s="209">
        <v>50037887</v>
      </c>
      <c r="O391" s="209" t="s">
        <v>679</v>
      </c>
      <c r="P391" s="209">
        <v>5121</v>
      </c>
      <c r="Q391" s="209" t="s">
        <v>174</v>
      </c>
      <c r="R391" s="209" t="s">
        <v>175</v>
      </c>
      <c r="S391" s="209" t="s">
        <v>176</v>
      </c>
      <c r="T391" s="209" t="s">
        <v>177</v>
      </c>
      <c r="U391" s="209" t="s">
        <v>178</v>
      </c>
      <c r="V391" s="209" t="s">
        <v>179</v>
      </c>
      <c r="W391" s="209" t="s">
        <v>179</v>
      </c>
      <c r="X391" s="209" t="s">
        <v>180</v>
      </c>
      <c r="Y391" s="209" t="s">
        <v>180</v>
      </c>
      <c r="Z391" s="209">
        <v>9521067162</v>
      </c>
      <c r="AA391" s="209" t="s">
        <v>754</v>
      </c>
      <c r="AB391" s="209" t="s">
        <v>180</v>
      </c>
      <c r="AC391" s="209" t="s">
        <v>182</v>
      </c>
      <c r="AD391" s="209">
        <v>12</v>
      </c>
      <c r="AE391" s="209">
        <v>2024</v>
      </c>
      <c r="AF391" s="227">
        <v>45645</v>
      </c>
      <c r="AG391" s="227">
        <v>45649</v>
      </c>
      <c r="AH391" s="227">
        <v>45652</v>
      </c>
      <c r="AI391" s="228">
        <v>531648</v>
      </c>
      <c r="AJ391" s="228">
        <v>52</v>
      </c>
      <c r="AK391" s="228">
        <v>531648</v>
      </c>
      <c r="AL391" s="228">
        <v>52</v>
      </c>
      <c r="AM391" s="228">
        <v>0</v>
      </c>
      <c r="AN391" s="228">
        <v>0</v>
      </c>
      <c r="AO391" s="229">
        <v>51</v>
      </c>
      <c r="AP391" s="231">
        <v>12</v>
      </c>
      <c r="AQ391" s="231">
        <v>2024</v>
      </c>
      <c r="AR391" s="231" t="str">
        <f t="shared" si="50"/>
        <v>12/2024</v>
      </c>
      <c r="AS391" s="231">
        <f t="shared" si="51"/>
        <v>37.200000000000003</v>
      </c>
      <c r="AT391" s="239">
        <f>IF(G391="CERVECERIA Y MALTERIA",(AS391*AK391/1000000)*(1-VLOOKUP(N391,FCST!D:I,6,FALSE)),0)</f>
        <v>19.777305600000002</v>
      </c>
      <c r="AU391" s="232">
        <v>5.0000000000000001E-3</v>
      </c>
      <c r="AV391" s="239">
        <f t="shared" si="52"/>
        <v>19.876192128</v>
      </c>
      <c r="AW391" s="239">
        <f>(AS391*AK391/1000000)*(VLOOKUP(N391,FCST!D:I,6,FALSE))</f>
        <v>0</v>
      </c>
      <c r="AX391" s="239">
        <f t="shared" si="53"/>
        <v>0</v>
      </c>
      <c r="AY391" s="239">
        <f>IF($G391="CERVECERIA Y MALTERIA.",($AS391*$AK391/1000000)*(1-VLOOKUP($N391,FCST!D:I,6,FALSE)),0)</f>
        <v>0</v>
      </c>
      <c r="AZ391" s="239">
        <f t="shared" si="54"/>
        <v>0</v>
      </c>
    </row>
    <row r="392" spans="1:52" x14ac:dyDescent="0.25">
      <c r="A392" s="209">
        <v>1091908</v>
      </c>
      <c r="B392" s="209">
        <v>60</v>
      </c>
      <c r="C392" s="209">
        <v>89342856</v>
      </c>
      <c r="D392" s="209">
        <v>10</v>
      </c>
      <c r="E392" s="209">
        <v>10000002</v>
      </c>
      <c r="F392" s="209">
        <v>20000335</v>
      </c>
      <c r="G392" s="209" t="s">
        <v>105</v>
      </c>
      <c r="H392" s="209">
        <v>20000335</v>
      </c>
      <c r="I392" s="209">
        <v>2</v>
      </c>
      <c r="J392" s="209" t="s">
        <v>169</v>
      </c>
      <c r="K392" s="209" t="s">
        <v>755</v>
      </c>
      <c r="L392" s="209" t="s">
        <v>171</v>
      </c>
      <c r="M392" s="209" t="s">
        <v>199</v>
      </c>
      <c r="N392" s="209">
        <v>50032573</v>
      </c>
      <c r="O392" s="209" t="s">
        <v>173</v>
      </c>
      <c r="P392" s="209">
        <v>5121</v>
      </c>
      <c r="Q392" s="209" t="s">
        <v>200</v>
      </c>
      <c r="R392" s="209" t="s">
        <v>201</v>
      </c>
      <c r="S392" s="209" t="s">
        <v>202</v>
      </c>
      <c r="T392" s="209" t="s">
        <v>203</v>
      </c>
      <c r="U392" s="209" t="s">
        <v>201</v>
      </c>
      <c r="V392" s="209" t="s">
        <v>179</v>
      </c>
      <c r="W392" s="209" t="s">
        <v>179</v>
      </c>
      <c r="X392" s="209" t="s">
        <v>180</v>
      </c>
      <c r="Y392" s="209" t="s">
        <v>180</v>
      </c>
      <c r="Z392" s="209">
        <v>9521067158</v>
      </c>
      <c r="AA392" s="209" t="s">
        <v>756</v>
      </c>
      <c r="AB392" s="209" t="s">
        <v>180</v>
      </c>
      <c r="AC392" s="209" t="s">
        <v>182</v>
      </c>
      <c r="AD392" s="209">
        <v>12</v>
      </c>
      <c r="AE392" s="209">
        <v>2024</v>
      </c>
      <c r="AF392" s="227">
        <v>45645</v>
      </c>
      <c r="AG392" s="227">
        <v>45652</v>
      </c>
      <c r="AH392" s="227">
        <v>45652</v>
      </c>
      <c r="AI392" s="228">
        <v>531648</v>
      </c>
      <c r="AJ392" s="228">
        <v>52</v>
      </c>
      <c r="AK392" s="228">
        <v>531648</v>
      </c>
      <c r="AL392" s="228">
        <v>52</v>
      </c>
      <c r="AM392" s="228">
        <v>0</v>
      </c>
      <c r="AN392" s="228">
        <v>0</v>
      </c>
      <c r="AO392" s="229">
        <v>51</v>
      </c>
      <c r="AP392" s="231">
        <v>12</v>
      </c>
      <c r="AQ392" s="231">
        <v>2024</v>
      </c>
      <c r="AR392" s="231" t="str">
        <f t="shared" si="50"/>
        <v>12/2024</v>
      </c>
      <c r="AS392" s="231">
        <f t="shared" si="51"/>
        <v>37.200000000000003</v>
      </c>
      <c r="AT392" s="239">
        <f>IF(G392="CERVECERIA Y MALTERIA",(AS392*AK392/1000000)*(1-VLOOKUP(N392,FCST!D:I,6,FALSE)),0)</f>
        <v>19.777305600000002</v>
      </c>
      <c r="AU392" s="232">
        <v>5.0000000000000001E-3</v>
      </c>
      <c r="AV392" s="239">
        <f t="shared" si="52"/>
        <v>19.876192128</v>
      </c>
      <c r="AW392" s="239">
        <f>(AS392*AK392/1000000)*(VLOOKUP(N392,FCST!D:I,6,FALSE))</f>
        <v>0</v>
      </c>
      <c r="AX392" s="239">
        <f t="shared" si="53"/>
        <v>0</v>
      </c>
      <c r="AY392" s="239">
        <f>IF($G392="CERVECERIA Y MALTERIA.",($AS392*$AK392/1000000)*(1-VLOOKUP($N392,FCST!D:I,6,FALSE)),0)</f>
        <v>0</v>
      </c>
      <c r="AZ392" s="239">
        <f t="shared" si="54"/>
        <v>0</v>
      </c>
    </row>
    <row r="393" spans="1:52" x14ac:dyDescent="0.25">
      <c r="A393" s="209">
        <v>1091041</v>
      </c>
      <c r="B393" s="209">
        <v>50</v>
      </c>
      <c r="C393" s="209">
        <v>89342865</v>
      </c>
      <c r="D393" s="209">
        <v>10</v>
      </c>
      <c r="E393" s="209">
        <v>10000002</v>
      </c>
      <c r="F393" s="209">
        <v>20000336</v>
      </c>
      <c r="G393" s="209" t="s">
        <v>105</v>
      </c>
      <c r="H393" s="209">
        <v>20000336</v>
      </c>
      <c r="I393" s="209">
        <v>2</v>
      </c>
      <c r="J393" s="209" t="s">
        <v>169</v>
      </c>
      <c r="K393" s="209" t="s">
        <v>757</v>
      </c>
      <c r="L393" s="209" t="s">
        <v>265</v>
      </c>
      <c r="M393" s="209" t="s">
        <v>172</v>
      </c>
      <c r="N393" s="209">
        <v>50033268</v>
      </c>
      <c r="O393" s="209" t="s">
        <v>253</v>
      </c>
      <c r="P393" s="209">
        <v>5121</v>
      </c>
      <c r="Q393" s="209" t="s">
        <v>174</v>
      </c>
      <c r="R393" s="209" t="s">
        <v>175</v>
      </c>
      <c r="S393" s="209" t="s">
        <v>176</v>
      </c>
      <c r="T393" s="209" t="s">
        <v>177</v>
      </c>
      <c r="U393" s="209" t="s">
        <v>178</v>
      </c>
      <c r="V393" s="209" t="s">
        <v>179</v>
      </c>
      <c r="W393" s="209" t="s">
        <v>179</v>
      </c>
      <c r="X393" s="209" t="s">
        <v>180</v>
      </c>
      <c r="Y393" s="209" t="s">
        <v>180</v>
      </c>
      <c r="Z393" s="209">
        <v>9521067161</v>
      </c>
      <c r="AA393" s="209" t="s">
        <v>758</v>
      </c>
      <c r="AB393" s="209" t="s">
        <v>180</v>
      </c>
      <c r="AC393" s="209" t="s">
        <v>182</v>
      </c>
      <c r="AD393" s="209">
        <v>12</v>
      </c>
      <c r="AE393" s="209">
        <v>2024</v>
      </c>
      <c r="AF393" s="227">
        <v>45642</v>
      </c>
      <c r="AG393" s="227">
        <v>45652</v>
      </c>
      <c r="AH393" s="227">
        <v>45652</v>
      </c>
      <c r="AI393" s="228">
        <v>406848</v>
      </c>
      <c r="AJ393" s="228">
        <v>52</v>
      </c>
      <c r="AK393" s="228">
        <v>406848</v>
      </c>
      <c r="AL393" s="228">
        <v>52</v>
      </c>
      <c r="AM393" s="228">
        <v>0</v>
      </c>
      <c r="AN393" s="228">
        <v>0</v>
      </c>
      <c r="AO393" s="229">
        <v>51</v>
      </c>
      <c r="AP393" s="231">
        <v>12</v>
      </c>
      <c r="AQ393" s="231">
        <v>2024</v>
      </c>
      <c r="AR393" s="231" t="str">
        <f t="shared" si="50"/>
        <v>12/2024</v>
      </c>
      <c r="AS393" s="231">
        <f t="shared" si="51"/>
        <v>44</v>
      </c>
      <c r="AT393" s="239">
        <f>IF(G393="CERVECERIA Y MALTERIA",(AS393*AK393/1000000)*(1-VLOOKUP(N393,FCST!D:I,6,FALSE)),0)</f>
        <v>17.901312000000001</v>
      </c>
      <c r="AU393" s="232">
        <v>5.0000000000000001E-3</v>
      </c>
      <c r="AV393" s="239">
        <f t="shared" si="52"/>
        <v>17.990818559999997</v>
      </c>
      <c r="AW393" s="239">
        <f>(AS393*AK393/1000000)*(VLOOKUP(N393,FCST!D:I,6,FALSE))</f>
        <v>0</v>
      </c>
      <c r="AX393" s="239">
        <f t="shared" si="53"/>
        <v>0</v>
      </c>
      <c r="AY393" s="239">
        <f>IF($G393="CERVECERIA Y MALTERIA.",($AS393*$AK393/1000000)*(1-VLOOKUP($N393,FCST!D:I,6,FALSE)),0)</f>
        <v>0</v>
      </c>
      <c r="AZ393" s="239">
        <f t="shared" si="54"/>
        <v>0</v>
      </c>
    </row>
    <row r="394" spans="1:52" x14ac:dyDescent="0.25">
      <c r="A394" s="209">
        <v>1091041</v>
      </c>
      <c r="B394" s="209">
        <v>60</v>
      </c>
      <c r="C394" s="209">
        <v>89343068</v>
      </c>
      <c r="D394" s="209">
        <v>10</v>
      </c>
      <c r="E394" s="209">
        <v>10000002</v>
      </c>
      <c r="F394" s="209">
        <v>20000336</v>
      </c>
      <c r="G394" s="209" t="s">
        <v>105</v>
      </c>
      <c r="H394" s="209">
        <v>20000336</v>
      </c>
      <c r="I394" s="209">
        <v>2</v>
      </c>
      <c r="J394" s="209" t="s">
        <v>169</v>
      </c>
      <c r="K394" s="209" t="s">
        <v>759</v>
      </c>
      <c r="L394" s="209" t="s">
        <v>265</v>
      </c>
      <c r="M394" s="209" t="s">
        <v>172</v>
      </c>
      <c r="N394" s="209">
        <v>50033268</v>
      </c>
      <c r="O394" s="209" t="s">
        <v>253</v>
      </c>
      <c r="P394" s="209">
        <v>5121</v>
      </c>
      <c r="Q394" s="209" t="s">
        <v>174</v>
      </c>
      <c r="R394" s="209" t="s">
        <v>175</v>
      </c>
      <c r="S394" s="209" t="s">
        <v>176</v>
      </c>
      <c r="T394" s="209" t="s">
        <v>177</v>
      </c>
      <c r="U394" s="209" t="s">
        <v>178</v>
      </c>
      <c r="V394" s="209" t="s">
        <v>179</v>
      </c>
      <c r="W394" s="209" t="s">
        <v>179</v>
      </c>
      <c r="X394" s="209" t="s">
        <v>180</v>
      </c>
      <c r="Y394" s="209" t="s">
        <v>180</v>
      </c>
      <c r="Z394" s="209">
        <v>9521067157</v>
      </c>
      <c r="AA394" s="209" t="s">
        <v>760</v>
      </c>
      <c r="AB394" s="209" t="s">
        <v>180</v>
      </c>
      <c r="AC394" s="209" t="s">
        <v>182</v>
      </c>
      <c r="AD394" s="209">
        <v>12</v>
      </c>
      <c r="AE394" s="209">
        <v>2024</v>
      </c>
      <c r="AF394" s="227">
        <v>45642</v>
      </c>
      <c r="AG394" s="227">
        <v>45652</v>
      </c>
      <c r="AH394" s="227">
        <v>45652</v>
      </c>
      <c r="AI394" s="228">
        <v>117360</v>
      </c>
      <c r="AJ394" s="228">
        <v>15</v>
      </c>
      <c r="AK394" s="228">
        <v>117360</v>
      </c>
      <c r="AL394" s="228">
        <v>15</v>
      </c>
      <c r="AM394" s="228">
        <v>0</v>
      </c>
      <c r="AN394" s="228">
        <v>0</v>
      </c>
      <c r="AO394" s="229">
        <v>51</v>
      </c>
      <c r="AP394" s="231">
        <v>12</v>
      </c>
      <c r="AQ394" s="231">
        <v>2024</v>
      </c>
      <c r="AR394" s="231" t="str">
        <f t="shared" si="50"/>
        <v>12/2024</v>
      </c>
      <c r="AS394" s="231">
        <f t="shared" si="51"/>
        <v>44</v>
      </c>
      <c r="AT394" s="239">
        <f>IF(G394="CERVECERIA Y MALTERIA",(AS394*AK394/1000000)*(1-VLOOKUP(N394,FCST!D:I,6,FALSE)),0)</f>
        <v>5.1638400000000004</v>
      </c>
      <c r="AU394" s="232">
        <v>5.0000000000000001E-3</v>
      </c>
      <c r="AV394" s="239">
        <f t="shared" si="52"/>
        <v>5.1896591999999995</v>
      </c>
      <c r="AW394" s="239">
        <f>(AS394*AK394/1000000)*(VLOOKUP(N394,FCST!D:I,6,FALSE))</f>
        <v>0</v>
      </c>
      <c r="AX394" s="239">
        <f t="shared" si="53"/>
        <v>0</v>
      </c>
      <c r="AY394" s="239">
        <f>IF($G394="CERVECERIA Y MALTERIA.",($AS394*$AK394/1000000)*(1-VLOOKUP($N394,FCST!D:I,6,FALSE)),0)</f>
        <v>0</v>
      </c>
      <c r="AZ394" s="239">
        <f t="shared" si="54"/>
        <v>0</v>
      </c>
    </row>
    <row r="395" spans="1:52" x14ac:dyDescent="0.25">
      <c r="A395" s="209">
        <v>1091041</v>
      </c>
      <c r="B395" s="209">
        <v>70</v>
      </c>
      <c r="C395" s="209">
        <v>89343068</v>
      </c>
      <c r="D395" s="209">
        <v>20</v>
      </c>
      <c r="E395" s="209">
        <v>10000002</v>
      </c>
      <c r="F395" s="209">
        <v>20000336</v>
      </c>
      <c r="G395" s="209" t="s">
        <v>105</v>
      </c>
      <c r="H395" s="209">
        <v>20000336</v>
      </c>
      <c r="I395" s="209">
        <v>2</v>
      </c>
      <c r="J395" s="209" t="s">
        <v>169</v>
      </c>
      <c r="K395" s="209" t="s">
        <v>759</v>
      </c>
      <c r="L395" s="209" t="s">
        <v>265</v>
      </c>
      <c r="M395" s="209" t="s">
        <v>172</v>
      </c>
      <c r="N395" s="209">
        <v>50034634</v>
      </c>
      <c r="O395" s="209" t="s">
        <v>219</v>
      </c>
      <c r="P395" s="209">
        <v>5121</v>
      </c>
      <c r="Q395" s="209" t="s">
        <v>174</v>
      </c>
      <c r="R395" s="209" t="s">
        <v>175</v>
      </c>
      <c r="S395" s="209" t="s">
        <v>176</v>
      </c>
      <c r="T395" s="209" t="s">
        <v>177</v>
      </c>
      <c r="U395" s="209" t="s">
        <v>178</v>
      </c>
      <c r="V395" s="209" t="s">
        <v>179</v>
      </c>
      <c r="W395" s="209" t="s">
        <v>179</v>
      </c>
      <c r="X395" s="209" t="s">
        <v>180</v>
      </c>
      <c r="Y395" s="209" t="s">
        <v>180</v>
      </c>
      <c r="Z395" s="209">
        <v>9521067157</v>
      </c>
      <c r="AA395" s="209" t="s">
        <v>760</v>
      </c>
      <c r="AB395" s="209" t="s">
        <v>180</v>
      </c>
      <c r="AC395" s="209" t="s">
        <v>182</v>
      </c>
      <c r="AD395" s="209">
        <v>12</v>
      </c>
      <c r="AE395" s="209">
        <v>2024</v>
      </c>
      <c r="AF395" s="227">
        <v>45642</v>
      </c>
      <c r="AG395" s="227">
        <v>45652</v>
      </c>
      <c r="AH395" s="227">
        <v>45652</v>
      </c>
      <c r="AI395" s="228">
        <v>259296</v>
      </c>
      <c r="AJ395" s="228">
        <v>37</v>
      </c>
      <c r="AK395" s="228">
        <v>259296</v>
      </c>
      <c r="AL395" s="228">
        <v>37</v>
      </c>
      <c r="AM395" s="228">
        <v>0</v>
      </c>
      <c r="AN395" s="228">
        <v>0</v>
      </c>
      <c r="AO395" s="229">
        <v>51</v>
      </c>
      <c r="AP395" s="231">
        <v>12</v>
      </c>
      <c r="AQ395" s="231">
        <v>2024</v>
      </c>
      <c r="AR395" s="231" t="str">
        <f t="shared" si="50"/>
        <v>12/2024</v>
      </c>
      <c r="AS395" s="231">
        <f t="shared" si="51"/>
        <v>52</v>
      </c>
      <c r="AT395" s="239">
        <f>IF(G395="CERVECERIA Y MALTERIA",(AS395*AK395/1000000)*(1-VLOOKUP(N395,FCST!D:I,6,FALSE)),0)</f>
        <v>13.483392</v>
      </c>
      <c r="AU395" s="232">
        <v>5.0000000000000001E-3</v>
      </c>
      <c r="AV395" s="239">
        <f t="shared" si="52"/>
        <v>13.550808959999999</v>
      </c>
      <c r="AW395" s="239">
        <f>(AS395*AK395/1000000)*(VLOOKUP(N395,FCST!D:I,6,FALSE))</f>
        <v>0</v>
      </c>
      <c r="AX395" s="239">
        <f t="shared" si="53"/>
        <v>0</v>
      </c>
      <c r="AY395" s="239">
        <f>IF($G395="CERVECERIA Y MALTERIA.",($AS395*$AK395/1000000)*(1-VLOOKUP($N395,FCST!D:I,6,FALSE)),0)</f>
        <v>0</v>
      </c>
      <c r="AZ395" s="239">
        <f t="shared" si="54"/>
        <v>0</v>
      </c>
    </row>
    <row r="396" spans="1:52" x14ac:dyDescent="0.25">
      <c r="A396" s="209">
        <v>1091033</v>
      </c>
      <c r="B396" s="209">
        <v>70</v>
      </c>
      <c r="C396" s="209">
        <v>89343509</v>
      </c>
      <c r="D396" s="209">
        <v>10</v>
      </c>
      <c r="E396" s="209">
        <v>10000002</v>
      </c>
      <c r="F396" s="209">
        <v>20000337</v>
      </c>
      <c r="G396" s="209" t="s">
        <v>105</v>
      </c>
      <c r="H396" s="209">
        <v>20000337</v>
      </c>
      <c r="I396" s="209">
        <v>2</v>
      </c>
      <c r="J396" s="209" t="s">
        <v>169</v>
      </c>
      <c r="K396" s="209" t="s">
        <v>761</v>
      </c>
      <c r="L396" s="209" t="s">
        <v>265</v>
      </c>
      <c r="M396" s="209" t="s">
        <v>199</v>
      </c>
      <c r="N396" s="209">
        <v>50032583</v>
      </c>
      <c r="O396" s="209" t="s">
        <v>205</v>
      </c>
      <c r="P396" s="209">
        <v>5121</v>
      </c>
      <c r="Q396" s="209" t="s">
        <v>200</v>
      </c>
      <c r="R396" s="209" t="s">
        <v>201</v>
      </c>
      <c r="S396" s="209" t="s">
        <v>202</v>
      </c>
      <c r="T396" s="209" t="s">
        <v>203</v>
      </c>
      <c r="U396" s="209" t="s">
        <v>201</v>
      </c>
      <c r="V396" s="209" t="s">
        <v>179</v>
      </c>
      <c r="W396" s="209" t="s">
        <v>179</v>
      </c>
      <c r="X396" s="209" t="s">
        <v>180</v>
      </c>
      <c r="Y396" s="209" t="s">
        <v>180</v>
      </c>
      <c r="Z396" s="209">
        <v>9521067174</v>
      </c>
      <c r="AA396" s="209" t="s">
        <v>762</v>
      </c>
      <c r="AB396" s="209" t="s">
        <v>180</v>
      </c>
      <c r="AC396" s="209" t="s">
        <v>182</v>
      </c>
      <c r="AD396" s="209">
        <v>12</v>
      </c>
      <c r="AE396" s="209">
        <v>2024</v>
      </c>
      <c r="AF396" s="227">
        <v>45642</v>
      </c>
      <c r="AG396" s="227">
        <v>45653</v>
      </c>
      <c r="AH396" s="227">
        <v>45653</v>
      </c>
      <c r="AI396" s="228">
        <v>351936</v>
      </c>
      <c r="AJ396" s="228">
        <v>52</v>
      </c>
      <c r="AK396" s="228">
        <v>351936</v>
      </c>
      <c r="AL396" s="228">
        <v>52</v>
      </c>
      <c r="AM396" s="228">
        <v>0</v>
      </c>
      <c r="AN396" s="228">
        <v>0</v>
      </c>
      <c r="AO396" s="229">
        <v>51</v>
      </c>
      <c r="AP396" s="231">
        <v>12</v>
      </c>
      <c r="AQ396" s="231">
        <v>2024</v>
      </c>
      <c r="AR396" s="231" t="str">
        <f t="shared" si="50"/>
        <v>12/2024</v>
      </c>
      <c r="AS396" s="231">
        <f t="shared" si="51"/>
        <v>54.7</v>
      </c>
      <c r="AT396" s="239">
        <f>IF(G396="CERVECERIA Y MALTERIA",(AS396*AK396/1000000)*(1-VLOOKUP(N396,FCST!D:I,6,FALSE)),0)</f>
        <v>19.250899199999999</v>
      </c>
      <c r="AU396" s="232">
        <v>5.0000000000000001E-3</v>
      </c>
      <c r="AV396" s="239">
        <f t="shared" si="52"/>
        <v>19.347153695999996</v>
      </c>
      <c r="AW396" s="239">
        <f>(AS396*AK396/1000000)*(VLOOKUP(N396,FCST!D:I,6,FALSE))</f>
        <v>0</v>
      </c>
      <c r="AX396" s="239">
        <f t="shared" si="53"/>
        <v>0</v>
      </c>
      <c r="AY396" s="239">
        <f>IF($G396="CERVECERIA Y MALTERIA.",($AS396*$AK396/1000000)*(1-VLOOKUP($N396,FCST!D:I,6,FALSE)),0)</f>
        <v>0</v>
      </c>
      <c r="AZ396" s="239">
        <f t="shared" si="54"/>
        <v>0</v>
      </c>
    </row>
    <row r="397" spans="1:52" x14ac:dyDescent="0.25">
      <c r="A397" s="209">
        <v>1091908</v>
      </c>
      <c r="B397" s="209">
        <v>80</v>
      </c>
      <c r="C397" s="209">
        <v>89343513</v>
      </c>
      <c r="D397" s="209">
        <v>10</v>
      </c>
      <c r="E397" s="209">
        <v>10000002</v>
      </c>
      <c r="F397" s="209">
        <v>20000335</v>
      </c>
      <c r="G397" s="209" t="s">
        <v>105</v>
      </c>
      <c r="H397" s="209">
        <v>20000335</v>
      </c>
      <c r="I397" s="209">
        <v>2</v>
      </c>
      <c r="J397" s="209" t="s">
        <v>169</v>
      </c>
      <c r="K397" s="209" t="s">
        <v>763</v>
      </c>
      <c r="L397" s="209" t="s">
        <v>171</v>
      </c>
      <c r="M397" s="209" t="s">
        <v>184</v>
      </c>
      <c r="N397" s="209">
        <v>50037887</v>
      </c>
      <c r="O397" s="209" t="s">
        <v>679</v>
      </c>
      <c r="P397" s="209">
        <v>5121</v>
      </c>
      <c r="Q397" s="209" t="s">
        <v>174</v>
      </c>
      <c r="R397" s="209" t="s">
        <v>175</v>
      </c>
      <c r="S397" s="209" t="s">
        <v>176</v>
      </c>
      <c r="T397" s="209" t="s">
        <v>177</v>
      </c>
      <c r="U397" s="209" t="s">
        <v>178</v>
      </c>
      <c r="V397" s="209" t="s">
        <v>179</v>
      </c>
      <c r="W397" s="209" t="s">
        <v>179</v>
      </c>
      <c r="X397" s="209" t="s">
        <v>180</v>
      </c>
      <c r="Y397" s="209" t="s">
        <v>180</v>
      </c>
      <c r="Z397" s="209">
        <v>9521067177</v>
      </c>
      <c r="AA397" s="209" t="s">
        <v>743</v>
      </c>
      <c r="AB397" s="209" t="s">
        <v>180</v>
      </c>
      <c r="AC397" s="209" t="s">
        <v>182</v>
      </c>
      <c r="AD397" s="209">
        <v>12</v>
      </c>
      <c r="AE397" s="209">
        <v>2024</v>
      </c>
      <c r="AF397" s="227">
        <v>45645</v>
      </c>
      <c r="AG397" s="227">
        <v>45653</v>
      </c>
      <c r="AH397" s="227">
        <v>45653</v>
      </c>
      <c r="AI397" s="228">
        <v>531648</v>
      </c>
      <c r="AJ397" s="228">
        <v>52</v>
      </c>
      <c r="AK397" s="228">
        <v>531648</v>
      </c>
      <c r="AL397" s="228">
        <v>52</v>
      </c>
      <c r="AM397" s="228">
        <v>0</v>
      </c>
      <c r="AN397" s="228">
        <v>0</v>
      </c>
      <c r="AO397" s="229">
        <v>51</v>
      </c>
      <c r="AP397" s="231">
        <v>12</v>
      </c>
      <c r="AQ397" s="231">
        <v>2024</v>
      </c>
      <c r="AR397" s="231" t="str">
        <f t="shared" si="50"/>
        <v>12/2024</v>
      </c>
      <c r="AS397" s="231">
        <f t="shared" si="51"/>
        <v>37.200000000000003</v>
      </c>
      <c r="AT397" s="239">
        <f>IF(G397="CERVECERIA Y MALTERIA",(AS397*AK397/1000000)*(1-VLOOKUP(N397,FCST!D:I,6,FALSE)),0)</f>
        <v>19.777305600000002</v>
      </c>
      <c r="AU397" s="232">
        <v>5.0000000000000001E-3</v>
      </c>
      <c r="AV397" s="239">
        <f t="shared" si="52"/>
        <v>19.876192128</v>
      </c>
      <c r="AW397" s="239">
        <f>(AS397*AK397/1000000)*(VLOOKUP(N397,FCST!D:I,6,FALSE))</f>
        <v>0</v>
      </c>
      <c r="AX397" s="239">
        <f t="shared" si="53"/>
        <v>0</v>
      </c>
      <c r="AY397" s="239">
        <f>IF($G397="CERVECERIA Y MALTERIA.",($AS397*$AK397/1000000)*(1-VLOOKUP($N397,FCST!D:I,6,FALSE)),0)</f>
        <v>0</v>
      </c>
      <c r="AZ397" s="239">
        <f t="shared" si="54"/>
        <v>0</v>
      </c>
    </row>
    <row r="398" spans="1:52" x14ac:dyDescent="0.25">
      <c r="A398" s="209">
        <v>1091908</v>
      </c>
      <c r="B398" s="209">
        <v>100</v>
      </c>
      <c r="C398" s="209">
        <v>89343514</v>
      </c>
      <c r="D398" s="209">
        <v>10</v>
      </c>
      <c r="E398" s="209">
        <v>10000002</v>
      </c>
      <c r="F398" s="209">
        <v>20000335</v>
      </c>
      <c r="G398" s="209" t="s">
        <v>105</v>
      </c>
      <c r="H398" s="209">
        <v>20000335</v>
      </c>
      <c r="I398" s="209">
        <v>2</v>
      </c>
      <c r="J398" s="209" t="s">
        <v>169</v>
      </c>
      <c r="K398" s="209" t="s">
        <v>764</v>
      </c>
      <c r="L398" s="209" t="s">
        <v>171</v>
      </c>
      <c r="M398" s="209" t="s">
        <v>199</v>
      </c>
      <c r="N398" s="209">
        <v>50037042</v>
      </c>
      <c r="O398" s="209" t="s">
        <v>543</v>
      </c>
      <c r="P398" s="209">
        <v>5121</v>
      </c>
      <c r="Q398" s="209" t="s">
        <v>200</v>
      </c>
      <c r="R398" s="209" t="s">
        <v>201</v>
      </c>
      <c r="S398" s="209" t="s">
        <v>202</v>
      </c>
      <c r="T398" s="209" t="s">
        <v>203</v>
      </c>
      <c r="U398" s="209" t="s">
        <v>201</v>
      </c>
      <c r="V398" s="209" t="s">
        <v>179</v>
      </c>
      <c r="W398" s="209" t="s">
        <v>179</v>
      </c>
      <c r="X398" s="209" t="s">
        <v>180</v>
      </c>
      <c r="Y398" s="209" t="s">
        <v>180</v>
      </c>
      <c r="Z398" s="209">
        <v>9521067173</v>
      </c>
      <c r="AA398" s="209" t="s">
        <v>765</v>
      </c>
      <c r="AB398" s="209" t="s">
        <v>180</v>
      </c>
      <c r="AC398" s="209" t="s">
        <v>182</v>
      </c>
      <c r="AD398" s="209">
        <v>12</v>
      </c>
      <c r="AE398" s="209">
        <v>2024</v>
      </c>
      <c r="AF398" s="227">
        <v>45645</v>
      </c>
      <c r="AG398" s="227">
        <v>45653</v>
      </c>
      <c r="AH398" s="227">
        <v>45653</v>
      </c>
      <c r="AI398" s="228">
        <v>426816</v>
      </c>
      <c r="AJ398" s="228">
        <v>52</v>
      </c>
      <c r="AK398" s="228">
        <v>426816</v>
      </c>
      <c r="AL398" s="228">
        <v>52</v>
      </c>
      <c r="AM398" s="228">
        <v>0</v>
      </c>
      <c r="AN398" s="228">
        <v>0</v>
      </c>
      <c r="AO398" s="229">
        <v>51</v>
      </c>
      <c r="AP398" s="231">
        <v>12</v>
      </c>
      <c r="AQ398" s="231">
        <v>2024</v>
      </c>
      <c r="AR398" s="231" t="str">
        <f t="shared" si="50"/>
        <v>12/2024</v>
      </c>
      <c r="AS398" s="231">
        <f t="shared" si="51"/>
        <v>46.6</v>
      </c>
      <c r="AT398" s="239">
        <f>IF(G398="CERVECERIA Y MALTERIA",(AS398*AK398/1000000)*(1-VLOOKUP(N398,FCST!D:I,6,FALSE)),0)</f>
        <v>15.911700480000002</v>
      </c>
      <c r="AU398" s="232">
        <v>5.0000000000000001E-3</v>
      </c>
      <c r="AV398" s="239">
        <f t="shared" si="52"/>
        <v>15.9912589824</v>
      </c>
      <c r="AW398" s="239">
        <f>(AS398*AK398/1000000)*(VLOOKUP(N398,FCST!D:I,6,FALSE))</f>
        <v>3.9779251200000005</v>
      </c>
      <c r="AX398" s="239">
        <f t="shared" si="53"/>
        <v>3.9978147455999999</v>
      </c>
      <c r="AY398" s="239">
        <f>IF($G398="CERVECERIA Y MALTERIA.",($AS398*$AK398/1000000)*(1-VLOOKUP($N398,FCST!D:I,6,FALSE)),0)</f>
        <v>0</v>
      </c>
      <c r="AZ398" s="239">
        <f t="shared" si="54"/>
        <v>0</v>
      </c>
    </row>
    <row r="399" spans="1:52" x14ac:dyDescent="0.25">
      <c r="A399" s="209">
        <v>1090945</v>
      </c>
      <c r="B399" s="209">
        <v>80</v>
      </c>
      <c r="C399" s="209">
        <v>89344415</v>
      </c>
      <c r="D399" s="209">
        <v>10</v>
      </c>
      <c r="E399" s="209">
        <v>10000002</v>
      </c>
      <c r="F399" s="209">
        <v>20001057</v>
      </c>
      <c r="G399" s="209" t="s">
        <v>105</v>
      </c>
      <c r="H399" s="209">
        <v>20001057</v>
      </c>
      <c r="I399" s="209">
        <v>2</v>
      </c>
      <c r="J399" s="209" t="s">
        <v>169</v>
      </c>
      <c r="K399" s="209" t="s">
        <v>766</v>
      </c>
      <c r="L399" s="209" t="s">
        <v>171</v>
      </c>
      <c r="M399" s="209" t="s">
        <v>172</v>
      </c>
      <c r="N399" s="209">
        <v>50037042</v>
      </c>
      <c r="O399" s="209" t="s">
        <v>543</v>
      </c>
      <c r="P399" s="209">
        <v>5121</v>
      </c>
      <c r="Q399" s="209" t="s">
        <v>174</v>
      </c>
      <c r="R399" s="209" t="s">
        <v>175</v>
      </c>
      <c r="S399" s="209" t="s">
        <v>176</v>
      </c>
      <c r="T399" s="209" t="s">
        <v>177</v>
      </c>
      <c r="U399" s="209" t="s">
        <v>178</v>
      </c>
      <c r="V399" s="209" t="s">
        <v>179</v>
      </c>
      <c r="W399" s="209" t="s">
        <v>179</v>
      </c>
      <c r="X399" s="209" t="s">
        <v>180</v>
      </c>
      <c r="Y399" s="209" t="s">
        <v>180</v>
      </c>
      <c r="Z399" s="209">
        <v>9521067175</v>
      </c>
      <c r="AA399" s="209" t="s">
        <v>767</v>
      </c>
      <c r="AB399" s="209" t="s">
        <v>180</v>
      </c>
      <c r="AC399" s="209" t="s">
        <v>182</v>
      </c>
      <c r="AD399" s="209">
        <v>12</v>
      </c>
      <c r="AE399" s="209">
        <v>2024</v>
      </c>
      <c r="AF399" s="227">
        <v>45639</v>
      </c>
      <c r="AG399" s="227">
        <v>45653</v>
      </c>
      <c r="AH399" s="227">
        <v>45654</v>
      </c>
      <c r="AI399" s="228">
        <v>426816</v>
      </c>
      <c r="AJ399" s="228">
        <v>52</v>
      </c>
      <c r="AK399" s="228">
        <v>426816</v>
      </c>
      <c r="AL399" s="228">
        <v>52</v>
      </c>
      <c r="AM399" s="228">
        <v>0</v>
      </c>
      <c r="AN399" s="228">
        <v>0</v>
      </c>
      <c r="AO399" s="229">
        <v>50</v>
      </c>
      <c r="AP399" s="231">
        <v>12</v>
      </c>
      <c r="AQ399" s="231">
        <v>2024</v>
      </c>
      <c r="AR399" s="231" t="str">
        <f t="shared" si="50"/>
        <v>12/2024</v>
      </c>
      <c r="AS399" s="231">
        <f t="shared" si="51"/>
        <v>46.6</v>
      </c>
      <c r="AT399" s="239">
        <f>IF(G399="CERVECERIA Y MALTERIA",(AS399*AK399/1000000)*(1-VLOOKUP(N399,FCST!D:I,6,FALSE)),0)</f>
        <v>15.911700480000002</v>
      </c>
      <c r="AU399" s="232">
        <v>5.0000000000000001E-3</v>
      </c>
      <c r="AV399" s="239">
        <f t="shared" si="52"/>
        <v>15.9912589824</v>
      </c>
      <c r="AW399" s="239">
        <f>(AS399*AK399/1000000)*(VLOOKUP(N399,FCST!D:I,6,FALSE))</f>
        <v>3.9779251200000005</v>
      </c>
      <c r="AX399" s="239">
        <f t="shared" si="53"/>
        <v>3.9978147455999999</v>
      </c>
      <c r="AY399" s="239">
        <f>IF($G399="CERVECERIA Y MALTERIA.",($AS399*$AK399/1000000)*(1-VLOOKUP($N399,FCST!D:I,6,FALSE)),0)</f>
        <v>0</v>
      </c>
      <c r="AZ399" s="239">
        <f t="shared" si="54"/>
        <v>0</v>
      </c>
    </row>
    <row r="400" spans="1:52" x14ac:dyDescent="0.25">
      <c r="A400" s="209">
        <v>1091005</v>
      </c>
      <c r="B400" s="209">
        <v>40</v>
      </c>
      <c r="C400" s="209">
        <v>89344081</v>
      </c>
      <c r="D400" s="209">
        <v>10</v>
      </c>
      <c r="E400" s="209">
        <v>10000002</v>
      </c>
      <c r="F400" s="209">
        <v>20000339</v>
      </c>
      <c r="G400" s="209" t="s">
        <v>105</v>
      </c>
      <c r="H400" s="209">
        <v>20000339</v>
      </c>
      <c r="I400" s="209">
        <v>2</v>
      </c>
      <c r="J400" s="209" t="s">
        <v>169</v>
      </c>
      <c r="K400" s="209" t="s">
        <v>768</v>
      </c>
      <c r="L400" s="209" t="s">
        <v>265</v>
      </c>
      <c r="M400" s="209" t="s">
        <v>172</v>
      </c>
      <c r="N400" s="209">
        <v>50033268</v>
      </c>
      <c r="O400" s="209" t="s">
        <v>253</v>
      </c>
      <c r="P400" s="209">
        <v>5121</v>
      </c>
      <c r="Q400" s="209" t="s">
        <v>174</v>
      </c>
      <c r="R400" s="209" t="s">
        <v>175</v>
      </c>
      <c r="S400" s="209" t="s">
        <v>176</v>
      </c>
      <c r="T400" s="209" t="s">
        <v>177</v>
      </c>
      <c r="U400" s="209" t="s">
        <v>178</v>
      </c>
      <c r="V400" s="209" t="s">
        <v>179</v>
      </c>
      <c r="W400" s="209" t="s">
        <v>179</v>
      </c>
      <c r="X400" s="209" t="s">
        <v>180</v>
      </c>
      <c r="Y400" s="209" t="s">
        <v>180</v>
      </c>
      <c r="Z400" s="209">
        <v>9521067176</v>
      </c>
      <c r="AA400" s="209" t="s">
        <v>769</v>
      </c>
      <c r="AB400" s="209" t="s">
        <v>180</v>
      </c>
      <c r="AC400" s="209" t="s">
        <v>182</v>
      </c>
      <c r="AD400" s="209">
        <v>12</v>
      </c>
      <c r="AE400" s="209">
        <v>2024</v>
      </c>
      <c r="AF400" s="227">
        <v>45639</v>
      </c>
      <c r="AG400" s="227">
        <v>45653</v>
      </c>
      <c r="AH400" s="227">
        <v>45653</v>
      </c>
      <c r="AI400" s="228">
        <v>406848</v>
      </c>
      <c r="AJ400" s="228">
        <v>52</v>
      </c>
      <c r="AK400" s="228">
        <v>399024</v>
      </c>
      <c r="AL400" s="228">
        <v>51</v>
      </c>
      <c r="AM400" s="228">
        <v>0</v>
      </c>
      <c r="AN400" s="228">
        <v>7824</v>
      </c>
      <c r="AO400" s="229">
        <v>50</v>
      </c>
      <c r="AP400" s="231">
        <v>12</v>
      </c>
      <c r="AQ400" s="231">
        <v>2024</v>
      </c>
      <c r="AR400" s="231" t="str">
        <f t="shared" si="50"/>
        <v>12/2024</v>
      </c>
      <c r="AS400" s="231">
        <f t="shared" si="51"/>
        <v>44</v>
      </c>
      <c r="AT400" s="239">
        <f>IF(G400="CERVECERIA Y MALTERIA",(AS400*AK400/1000000)*(1-VLOOKUP(N400,FCST!D:I,6,FALSE)),0)</f>
        <v>17.557055999999999</v>
      </c>
      <c r="AU400" s="232">
        <v>5.0000000000000001E-3</v>
      </c>
      <c r="AV400" s="239">
        <f t="shared" si="52"/>
        <v>17.644841279999998</v>
      </c>
      <c r="AW400" s="239">
        <f>(AS400*AK400/1000000)*(VLOOKUP(N400,FCST!D:I,6,FALSE))</f>
        <v>0</v>
      </c>
      <c r="AX400" s="239">
        <f t="shared" si="53"/>
        <v>0</v>
      </c>
      <c r="AY400" s="239">
        <f>IF($G400="CERVECERIA Y MALTERIA.",($AS400*$AK400/1000000)*(1-VLOOKUP($N400,FCST!D:I,6,FALSE)),0)</f>
        <v>0</v>
      </c>
      <c r="AZ400" s="239">
        <f t="shared" si="54"/>
        <v>0</v>
      </c>
    </row>
    <row r="401" spans="1:52" x14ac:dyDescent="0.25">
      <c r="A401" s="209">
        <v>1091908</v>
      </c>
      <c r="B401" s="209">
        <v>50</v>
      </c>
      <c r="C401" s="209">
        <v>89344224</v>
      </c>
      <c r="D401" s="209">
        <v>10</v>
      </c>
      <c r="E401" s="209">
        <v>10000002</v>
      </c>
      <c r="F401" s="209">
        <v>20000335</v>
      </c>
      <c r="G401" s="209" t="s">
        <v>105</v>
      </c>
      <c r="H401" s="209">
        <v>20000335</v>
      </c>
      <c r="I401" s="209">
        <v>2</v>
      </c>
      <c r="J401" s="209" t="s">
        <v>169</v>
      </c>
      <c r="K401" s="209" t="s">
        <v>770</v>
      </c>
      <c r="L401" s="209" t="s">
        <v>171</v>
      </c>
      <c r="M401" s="209" t="s">
        <v>172</v>
      </c>
      <c r="N401" s="209">
        <v>50037042</v>
      </c>
      <c r="O401" s="209" t="s">
        <v>543</v>
      </c>
      <c r="P401" s="209">
        <v>5121</v>
      </c>
      <c r="Q401" s="209" t="s">
        <v>174</v>
      </c>
      <c r="R401" s="209" t="s">
        <v>175</v>
      </c>
      <c r="S401" s="209" t="s">
        <v>176</v>
      </c>
      <c r="T401" s="209" t="s">
        <v>177</v>
      </c>
      <c r="U401" s="209" t="s">
        <v>178</v>
      </c>
      <c r="V401" s="209" t="s">
        <v>179</v>
      </c>
      <c r="W401" s="209" t="s">
        <v>179</v>
      </c>
      <c r="X401" s="209" t="s">
        <v>180</v>
      </c>
      <c r="Y401" s="209" t="s">
        <v>180</v>
      </c>
      <c r="Z401" s="209">
        <v>9521067173</v>
      </c>
      <c r="AA401" s="209" t="s">
        <v>765</v>
      </c>
      <c r="AB401" s="209" t="s">
        <v>180</v>
      </c>
      <c r="AC401" s="209" t="s">
        <v>182</v>
      </c>
      <c r="AD401" s="209">
        <v>12</v>
      </c>
      <c r="AE401" s="209">
        <v>2024</v>
      </c>
      <c r="AF401" s="227">
        <v>45645</v>
      </c>
      <c r="AG401" s="227">
        <v>45653</v>
      </c>
      <c r="AH401" s="227">
        <v>45653</v>
      </c>
      <c r="AI401" s="228">
        <v>426816</v>
      </c>
      <c r="AJ401" s="228">
        <v>52</v>
      </c>
      <c r="AK401" s="228">
        <v>426816</v>
      </c>
      <c r="AL401" s="228">
        <v>52</v>
      </c>
      <c r="AM401" s="228">
        <v>0</v>
      </c>
      <c r="AN401" s="228">
        <v>0</v>
      </c>
      <c r="AO401" s="229">
        <v>51</v>
      </c>
      <c r="AP401" s="231">
        <v>12</v>
      </c>
      <c r="AQ401" s="231">
        <v>2024</v>
      </c>
      <c r="AR401" s="231" t="str">
        <f t="shared" si="50"/>
        <v>12/2024</v>
      </c>
      <c r="AS401" s="231">
        <f t="shared" si="51"/>
        <v>46.6</v>
      </c>
      <c r="AT401" s="239">
        <f>IF(G401="CERVECERIA Y MALTERIA",(AS401*AK401/1000000)*(1-VLOOKUP(N401,FCST!D:I,6,FALSE)),0)</f>
        <v>15.911700480000002</v>
      </c>
      <c r="AU401" s="232">
        <v>5.0000000000000001E-3</v>
      </c>
      <c r="AV401" s="239">
        <f t="shared" si="52"/>
        <v>15.9912589824</v>
      </c>
      <c r="AW401" s="239">
        <f>(AS401*AK401/1000000)*(VLOOKUP(N401,FCST!D:I,6,FALSE))</f>
        <v>3.9779251200000005</v>
      </c>
      <c r="AX401" s="239">
        <f t="shared" si="53"/>
        <v>3.9978147455999999</v>
      </c>
      <c r="AY401" s="239">
        <f>IF($G401="CERVECERIA Y MALTERIA.",($AS401*$AK401/1000000)*(1-VLOOKUP($N401,FCST!D:I,6,FALSE)),0)</f>
        <v>0</v>
      </c>
      <c r="AZ401" s="239">
        <f t="shared" si="54"/>
        <v>0</v>
      </c>
    </row>
    <row r="402" spans="1:52" x14ac:dyDescent="0.25">
      <c r="A402" s="209">
        <v>1088349</v>
      </c>
      <c r="B402" s="209">
        <v>20</v>
      </c>
      <c r="C402" s="209">
        <v>89327697</v>
      </c>
      <c r="D402" s="209">
        <v>10</v>
      </c>
      <c r="E402" s="209">
        <v>10000002</v>
      </c>
      <c r="F402" s="209">
        <v>20000340</v>
      </c>
      <c r="G402" s="209" t="s">
        <v>117</v>
      </c>
      <c r="H402" s="209">
        <v>20000340</v>
      </c>
      <c r="I402" s="209">
        <v>2</v>
      </c>
      <c r="J402" s="209" t="s">
        <v>169</v>
      </c>
      <c r="K402" s="209" t="s">
        <v>771</v>
      </c>
      <c r="L402" s="209" t="s">
        <v>171</v>
      </c>
      <c r="M402" s="209" t="s">
        <v>172</v>
      </c>
      <c r="N402" s="209">
        <v>50027468</v>
      </c>
      <c r="O402" s="209" t="s">
        <v>285</v>
      </c>
      <c r="P402" s="209">
        <v>5101</v>
      </c>
      <c r="Q402" s="209" t="s">
        <v>186</v>
      </c>
      <c r="R402" s="209" t="s">
        <v>175</v>
      </c>
      <c r="S402" s="209" t="s">
        <v>176</v>
      </c>
      <c r="T402" s="209" t="s">
        <v>187</v>
      </c>
      <c r="U402" s="209" t="s">
        <v>188</v>
      </c>
      <c r="V402" s="209" t="s">
        <v>179</v>
      </c>
      <c r="W402" s="209" t="s">
        <v>179</v>
      </c>
      <c r="X402" s="209" t="s">
        <v>180</v>
      </c>
      <c r="Y402" s="209" t="s">
        <v>180</v>
      </c>
      <c r="Z402" s="209">
        <v>9511047238</v>
      </c>
      <c r="AA402" s="209" t="s">
        <v>748</v>
      </c>
      <c r="AB402" s="209" t="s">
        <v>180</v>
      </c>
      <c r="AC402" s="209" t="s">
        <v>182</v>
      </c>
      <c r="AD402" s="209">
        <v>12</v>
      </c>
      <c r="AE402" s="209">
        <v>2024</v>
      </c>
      <c r="AF402" s="227">
        <v>45624</v>
      </c>
      <c r="AG402" s="227">
        <v>45630</v>
      </c>
      <c r="AH402" s="227">
        <v>45630</v>
      </c>
      <c r="AI402" s="228">
        <v>399360</v>
      </c>
      <c r="AJ402" s="228">
        <v>52</v>
      </c>
      <c r="AK402" s="228">
        <v>399360</v>
      </c>
      <c r="AL402" s="228">
        <v>52</v>
      </c>
      <c r="AM402" s="228">
        <v>0</v>
      </c>
      <c r="AN402" s="228">
        <v>0</v>
      </c>
      <c r="AO402" s="229">
        <v>49</v>
      </c>
      <c r="AP402" s="231">
        <v>12</v>
      </c>
      <c r="AQ402" s="231">
        <v>2024</v>
      </c>
      <c r="AR402" s="231" t="str">
        <f t="shared" si="50"/>
        <v>12/2024</v>
      </c>
      <c r="AS402" s="231">
        <f t="shared" si="51"/>
        <v>52</v>
      </c>
      <c r="AT402" s="239">
        <f>IF(G402="CERVECERIA Y MALTERIA",(AS402*AK402/1000000)*(1-VLOOKUP(N402,FCST!D:I,6,FALSE)),0)</f>
        <v>0</v>
      </c>
      <c r="AU402" s="232">
        <v>5.0000000000000001E-3</v>
      </c>
      <c r="AV402" s="239">
        <f t="shared" si="52"/>
        <v>0</v>
      </c>
      <c r="AW402" s="239">
        <f>(AS402*AK402/1000000)*(VLOOKUP(N402,FCST!D:I,6,FALSE))</f>
        <v>0</v>
      </c>
      <c r="AX402" s="239">
        <f t="shared" si="53"/>
        <v>0</v>
      </c>
      <c r="AY402" s="239">
        <f>IF($G402="CERVECERIA Y MALTERIA.",($AS402*$AK402/1000000)*(1-VLOOKUP($N402,FCST!D:I,6,FALSE)),0)</f>
        <v>20.766719999999999</v>
      </c>
      <c r="AZ402" s="239">
        <f t="shared" si="54"/>
        <v>20.870553599999997</v>
      </c>
    </row>
    <row r="403" spans="1:52" x14ac:dyDescent="0.25">
      <c r="A403" s="209">
        <v>1088346</v>
      </c>
      <c r="B403" s="209">
        <v>60</v>
      </c>
      <c r="C403" s="209">
        <v>89328053</v>
      </c>
      <c r="D403" s="209">
        <v>10</v>
      </c>
      <c r="E403" s="209">
        <v>10000002</v>
      </c>
      <c r="F403" s="209">
        <v>20000335</v>
      </c>
      <c r="G403" s="209" t="s">
        <v>105</v>
      </c>
      <c r="H403" s="209">
        <v>20000335</v>
      </c>
      <c r="I403" s="209">
        <v>2</v>
      </c>
      <c r="J403" s="209" t="s">
        <v>169</v>
      </c>
      <c r="K403" s="209" t="s">
        <v>772</v>
      </c>
      <c r="L403" s="209" t="s">
        <v>171</v>
      </c>
      <c r="M403" s="209" t="s">
        <v>199</v>
      </c>
      <c r="N403" s="209">
        <v>50032573</v>
      </c>
      <c r="O403" s="209" t="s">
        <v>173</v>
      </c>
      <c r="P403" s="209">
        <v>5121</v>
      </c>
      <c r="Q403" s="209" t="s">
        <v>200</v>
      </c>
      <c r="R403" s="209" t="s">
        <v>201</v>
      </c>
      <c r="S403" s="209" t="s">
        <v>202</v>
      </c>
      <c r="T403" s="209" t="s">
        <v>203</v>
      </c>
      <c r="U403" s="209" t="s">
        <v>201</v>
      </c>
      <c r="V403" s="209" t="s">
        <v>179</v>
      </c>
      <c r="W403" s="209" t="s">
        <v>179</v>
      </c>
      <c r="X403" s="209" t="s">
        <v>180</v>
      </c>
      <c r="Y403" s="209" t="s">
        <v>180</v>
      </c>
      <c r="Z403" s="209">
        <v>9521067075</v>
      </c>
      <c r="AA403" s="209" t="s">
        <v>719</v>
      </c>
      <c r="AB403" s="209" t="s">
        <v>180</v>
      </c>
      <c r="AC403" s="209" t="s">
        <v>182</v>
      </c>
      <c r="AD403" s="209">
        <v>12</v>
      </c>
      <c r="AE403" s="209">
        <v>2024</v>
      </c>
      <c r="AF403" s="227">
        <v>45624</v>
      </c>
      <c r="AG403" s="227">
        <v>45630</v>
      </c>
      <c r="AH403" s="227">
        <v>45630</v>
      </c>
      <c r="AI403" s="228">
        <v>531648</v>
      </c>
      <c r="AJ403" s="228">
        <v>52</v>
      </c>
      <c r="AK403" s="228">
        <v>531648</v>
      </c>
      <c r="AL403" s="228">
        <v>52</v>
      </c>
      <c r="AM403" s="228">
        <v>0</v>
      </c>
      <c r="AN403" s="228">
        <v>0</v>
      </c>
      <c r="AO403" s="229">
        <v>49</v>
      </c>
      <c r="AP403" s="231">
        <v>12</v>
      </c>
      <c r="AQ403" s="231">
        <v>2024</v>
      </c>
      <c r="AR403" s="231" t="str">
        <f t="shared" si="50"/>
        <v>12/2024</v>
      </c>
      <c r="AS403" s="231">
        <f t="shared" si="51"/>
        <v>37.200000000000003</v>
      </c>
      <c r="AT403" s="239">
        <f>IF(G403="CERVECERIA Y MALTERIA",(AS403*AK403/1000000)*(1-VLOOKUP(N403,FCST!D:I,6,FALSE)),0)</f>
        <v>19.777305600000002</v>
      </c>
      <c r="AU403" s="232">
        <v>5.0000000000000001E-3</v>
      </c>
      <c r="AV403" s="239">
        <f t="shared" si="52"/>
        <v>19.876192128</v>
      </c>
      <c r="AW403" s="239">
        <f>(AS403*AK403/1000000)*(VLOOKUP(N403,FCST!D:I,6,FALSE))</f>
        <v>0</v>
      </c>
      <c r="AX403" s="239">
        <f t="shared" si="53"/>
        <v>0</v>
      </c>
      <c r="AY403" s="239">
        <f>IF($G403="CERVECERIA Y MALTERIA.",($AS403*$AK403/1000000)*(1-VLOOKUP($N403,FCST!D:I,6,FALSE)),0)</f>
        <v>0</v>
      </c>
      <c r="AZ403" s="239">
        <f t="shared" si="54"/>
        <v>0</v>
      </c>
    </row>
    <row r="404" spans="1:52" x14ac:dyDescent="0.25">
      <c r="A404" s="209">
        <v>1088814</v>
      </c>
      <c r="B404" s="209">
        <v>10</v>
      </c>
      <c r="C404" s="209">
        <v>89328901</v>
      </c>
      <c r="D404" s="209">
        <v>10</v>
      </c>
      <c r="E404" s="209">
        <v>10000002</v>
      </c>
      <c r="F404" s="209">
        <v>20000339</v>
      </c>
      <c r="G404" s="209" t="s">
        <v>105</v>
      </c>
      <c r="H404" s="209">
        <v>20000339</v>
      </c>
      <c r="I404" s="209">
        <v>2</v>
      </c>
      <c r="J404" s="209" t="s">
        <v>169</v>
      </c>
      <c r="K404" s="209" t="s">
        <v>773</v>
      </c>
      <c r="L404" s="209" t="s">
        <v>556</v>
      </c>
      <c r="M404" s="209" t="s">
        <v>172</v>
      </c>
      <c r="N404" s="209">
        <v>50034634</v>
      </c>
      <c r="O404" s="209" t="s">
        <v>219</v>
      </c>
      <c r="P404" s="209">
        <v>5121</v>
      </c>
      <c r="Q404" s="209" t="s">
        <v>174</v>
      </c>
      <c r="R404" s="209" t="s">
        <v>175</v>
      </c>
      <c r="S404" s="209" t="s">
        <v>176</v>
      </c>
      <c r="T404" s="209" t="s">
        <v>177</v>
      </c>
      <c r="U404" s="209" t="s">
        <v>178</v>
      </c>
      <c r="V404" s="209" t="s">
        <v>179</v>
      </c>
      <c r="W404" s="209" t="s">
        <v>179</v>
      </c>
      <c r="X404" s="209" t="s">
        <v>180</v>
      </c>
      <c r="Y404" s="209" t="s">
        <v>180</v>
      </c>
      <c r="Z404" s="209">
        <v>9521067088</v>
      </c>
      <c r="AA404" s="209" t="s">
        <v>688</v>
      </c>
      <c r="AB404" s="209" t="s">
        <v>180</v>
      </c>
      <c r="AC404" s="209" t="s">
        <v>182</v>
      </c>
      <c r="AD404" s="209">
        <v>12</v>
      </c>
      <c r="AE404" s="209">
        <v>2024</v>
      </c>
      <c r="AF404" s="227">
        <v>45629</v>
      </c>
      <c r="AG404" s="227">
        <v>45631</v>
      </c>
      <c r="AH404" s="227">
        <v>45631</v>
      </c>
      <c r="AI404" s="228">
        <v>364416</v>
      </c>
      <c r="AJ404" s="228">
        <v>52</v>
      </c>
      <c r="AK404" s="228">
        <v>364416</v>
      </c>
      <c r="AL404" s="228">
        <v>52</v>
      </c>
      <c r="AM404" s="228">
        <v>0</v>
      </c>
      <c r="AN404" s="228">
        <v>0</v>
      </c>
      <c r="AO404" s="229">
        <v>49</v>
      </c>
      <c r="AP404" s="231">
        <v>12</v>
      </c>
      <c r="AQ404" s="231">
        <v>2024</v>
      </c>
      <c r="AR404" s="231" t="str">
        <f t="shared" ref="AR404:AR464" si="55">+IF(AP404&lt;10,"0"&amp;AP404&amp; "/"&amp;AQ404,AP404&amp; "/"&amp;AQ404)</f>
        <v>12/2024</v>
      </c>
      <c r="AS404" s="231">
        <f t="shared" ref="AS404:AS464" si="56">VALUE(MID(INDEX(_xlfn.TEXTSPLIT(O404, ","), 1, 3), 1,FIND("G", INDEX(_xlfn.TEXTSPLIT(O404, ","), 1, 3))-1))</f>
        <v>52</v>
      </c>
      <c r="AT404" s="239">
        <f>IF(G404="CERVECERIA Y MALTERIA",(AS404*AK404/1000000)*(1-VLOOKUP(N404,FCST!D:I,6,FALSE)),0)</f>
        <v>18.949632000000001</v>
      </c>
      <c r="AU404" s="232">
        <v>5.0000000000000001E-3</v>
      </c>
      <c r="AV404" s="239">
        <f t="shared" ref="AV404:AV464" si="57">+AT404*(1+AU404)</f>
        <v>19.044380159999999</v>
      </c>
      <c r="AW404" s="239">
        <f>(AS404*AK404/1000000)*(VLOOKUP(N404,FCST!D:I,6,FALSE))</f>
        <v>0</v>
      </c>
      <c r="AX404" s="239">
        <f t="shared" ref="AX404:AX464" si="58">+AW404*(1+AU404)</f>
        <v>0</v>
      </c>
      <c r="AY404" s="239">
        <f>IF($G404="CERVECERIA Y MALTERIA.",($AS404*$AK404/1000000)*(1-VLOOKUP($N404,FCST!D:I,6,FALSE)),0)</f>
        <v>0</v>
      </c>
      <c r="AZ404" s="239">
        <f t="shared" ref="AZ404:AZ464" si="59">+AY404*(1+AU404)</f>
        <v>0</v>
      </c>
    </row>
    <row r="405" spans="1:52" x14ac:dyDescent="0.25">
      <c r="A405" s="209">
        <v>1088822</v>
      </c>
      <c r="B405" s="209">
        <v>20</v>
      </c>
      <c r="C405" s="209">
        <v>89329130</v>
      </c>
      <c r="D405" s="209">
        <v>10</v>
      </c>
      <c r="E405" s="209">
        <v>10000002</v>
      </c>
      <c r="F405" s="209">
        <v>20000336</v>
      </c>
      <c r="G405" s="209" t="s">
        <v>105</v>
      </c>
      <c r="H405" s="209">
        <v>20000336</v>
      </c>
      <c r="I405" s="209">
        <v>2</v>
      </c>
      <c r="J405" s="209" t="s">
        <v>169</v>
      </c>
      <c r="K405" s="209" t="s">
        <v>774</v>
      </c>
      <c r="L405" s="209" t="s">
        <v>171</v>
      </c>
      <c r="M405" s="209" t="s">
        <v>184</v>
      </c>
      <c r="N405" s="209">
        <v>50033268</v>
      </c>
      <c r="O405" s="209" t="s">
        <v>253</v>
      </c>
      <c r="P405" s="209">
        <v>5121</v>
      </c>
      <c r="Q405" s="209" t="s">
        <v>174</v>
      </c>
      <c r="R405" s="209" t="s">
        <v>175</v>
      </c>
      <c r="S405" s="209" t="s">
        <v>176</v>
      </c>
      <c r="T405" s="209" t="s">
        <v>177</v>
      </c>
      <c r="U405" s="209" t="s">
        <v>178</v>
      </c>
      <c r="V405" s="209" t="s">
        <v>179</v>
      </c>
      <c r="W405" s="209" t="s">
        <v>179</v>
      </c>
      <c r="X405" s="209" t="s">
        <v>180</v>
      </c>
      <c r="Y405" s="209" t="s">
        <v>180</v>
      </c>
      <c r="Z405" s="209">
        <v>9521067082</v>
      </c>
      <c r="AA405" s="209" t="s">
        <v>723</v>
      </c>
      <c r="AB405" s="209" t="s">
        <v>180</v>
      </c>
      <c r="AC405" s="209" t="s">
        <v>182</v>
      </c>
      <c r="AD405" s="209">
        <v>12</v>
      </c>
      <c r="AE405" s="209">
        <v>2024</v>
      </c>
      <c r="AF405" s="227">
        <v>45629</v>
      </c>
      <c r="AG405" s="227">
        <v>45631</v>
      </c>
      <c r="AH405" s="227">
        <v>45631</v>
      </c>
      <c r="AI405" s="228">
        <v>406848</v>
      </c>
      <c r="AJ405" s="228">
        <v>52</v>
      </c>
      <c r="AK405" s="228">
        <v>406848</v>
      </c>
      <c r="AL405" s="228">
        <v>52</v>
      </c>
      <c r="AM405" s="228">
        <v>0</v>
      </c>
      <c r="AN405" s="228">
        <v>0</v>
      </c>
      <c r="AO405" s="229">
        <v>49</v>
      </c>
      <c r="AP405" s="231">
        <v>12</v>
      </c>
      <c r="AQ405" s="231">
        <v>2024</v>
      </c>
      <c r="AR405" s="231" t="str">
        <f t="shared" si="55"/>
        <v>12/2024</v>
      </c>
      <c r="AS405" s="231">
        <f t="shared" si="56"/>
        <v>44</v>
      </c>
      <c r="AT405" s="239">
        <f>IF(G405="CERVECERIA Y MALTERIA",(AS405*AK405/1000000)*(1-VLOOKUP(N405,FCST!D:I,6,FALSE)),0)</f>
        <v>17.901312000000001</v>
      </c>
      <c r="AU405" s="232">
        <v>5.0000000000000001E-3</v>
      </c>
      <c r="AV405" s="239">
        <f t="shared" si="57"/>
        <v>17.990818559999997</v>
      </c>
      <c r="AW405" s="239">
        <f>(AS405*AK405/1000000)*(VLOOKUP(N405,FCST!D:I,6,FALSE))</f>
        <v>0</v>
      </c>
      <c r="AX405" s="239">
        <f t="shared" si="58"/>
        <v>0</v>
      </c>
      <c r="AY405" s="239">
        <f>IF($G405="CERVECERIA Y MALTERIA.",($AS405*$AK405/1000000)*(1-VLOOKUP($N405,FCST!D:I,6,FALSE)),0)</f>
        <v>0</v>
      </c>
      <c r="AZ405" s="239">
        <f t="shared" si="59"/>
        <v>0</v>
      </c>
    </row>
    <row r="406" spans="1:52" x14ac:dyDescent="0.25">
      <c r="A406" s="209">
        <v>1088822</v>
      </c>
      <c r="B406" s="209">
        <v>30</v>
      </c>
      <c r="C406" s="209">
        <v>89329495</v>
      </c>
      <c r="D406" s="209">
        <v>10</v>
      </c>
      <c r="E406" s="209">
        <v>10000002</v>
      </c>
      <c r="F406" s="209">
        <v>20000336</v>
      </c>
      <c r="G406" s="209" t="s">
        <v>105</v>
      </c>
      <c r="H406" s="209">
        <v>20000336</v>
      </c>
      <c r="I406" s="209">
        <v>2</v>
      </c>
      <c r="J406" s="209" t="s">
        <v>169</v>
      </c>
      <c r="K406" s="209" t="s">
        <v>775</v>
      </c>
      <c r="L406" s="209" t="s">
        <v>171</v>
      </c>
      <c r="M406" s="209" t="s">
        <v>184</v>
      </c>
      <c r="N406" s="209">
        <v>50034634</v>
      </c>
      <c r="O406" s="209" t="s">
        <v>219</v>
      </c>
      <c r="P406" s="209">
        <v>5121</v>
      </c>
      <c r="Q406" s="209" t="s">
        <v>174</v>
      </c>
      <c r="R406" s="209" t="s">
        <v>175</v>
      </c>
      <c r="S406" s="209" t="s">
        <v>176</v>
      </c>
      <c r="T406" s="209" t="s">
        <v>177</v>
      </c>
      <c r="U406" s="209" t="s">
        <v>178</v>
      </c>
      <c r="V406" s="209" t="s">
        <v>179</v>
      </c>
      <c r="W406" s="209" t="s">
        <v>179</v>
      </c>
      <c r="X406" s="209" t="s">
        <v>180</v>
      </c>
      <c r="Y406" s="209" t="s">
        <v>180</v>
      </c>
      <c r="Z406" s="209">
        <v>9521067084</v>
      </c>
      <c r="AA406" s="209" t="s">
        <v>714</v>
      </c>
      <c r="AB406" s="209" t="s">
        <v>180</v>
      </c>
      <c r="AC406" s="209" t="s">
        <v>182</v>
      </c>
      <c r="AD406" s="209">
        <v>12</v>
      </c>
      <c r="AE406" s="209">
        <v>2024</v>
      </c>
      <c r="AF406" s="227">
        <v>45629</v>
      </c>
      <c r="AG406" s="227">
        <v>45632</v>
      </c>
      <c r="AH406" s="227">
        <v>45631</v>
      </c>
      <c r="AI406" s="228">
        <v>364416</v>
      </c>
      <c r="AJ406" s="228">
        <v>52</v>
      </c>
      <c r="AK406" s="228">
        <v>364416</v>
      </c>
      <c r="AL406" s="228">
        <v>52</v>
      </c>
      <c r="AM406" s="228">
        <v>0</v>
      </c>
      <c r="AN406" s="228">
        <v>0</v>
      </c>
      <c r="AO406" s="229">
        <v>49</v>
      </c>
      <c r="AP406" s="231">
        <v>12</v>
      </c>
      <c r="AQ406" s="231">
        <v>2024</v>
      </c>
      <c r="AR406" s="231" t="str">
        <f t="shared" si="55"/>
        <v>12/2024</v>
      </c>
      <c r="AS406" s="231">
        <f t="shared" si="56"/>
        <v>52</v>
      </c>
      <c r="AT406" s="239">
        <f>IF(G406="CERVECERIA Y MALTERIA",(AS406*AK406/1000000)*(1-VLOOKUP(N406,FCST!D:I,6,FALSE)),0)</f>
        <v>18.949632000000001</v>
      </c>
      <c r="AU406" s="232">
        <v>5.0000000000000001E-3</v>
      </c>
      <c r="AV406" s="239">
        <f t="shared" si="57"/>
        <v>19.044380159999999</v>
      </c>
      <c r="AW406" s="239">
        <f>(AS406*AK406/1000000)*(VLOOKUP(N406,FCST!D:I,6,FALSE))</f>
        <v>0</v>
      </c>
      <c r="AX406" s="239">
        <f t="shared" si="58"/>
        <v>0</v>
      </c>
      <c r="AY406" s="239">
        <f>IF($G406="CERVECERIA Y MALTERIA.",($AS406*$AK406/1000000)*(1-VLOOKUP($N406,FCST!D:I,6,FALSE)),0)</f>
        <v>0</v>
      </c>
      <c r="AZ406" s="239">
        <f t="shared" si="59"/>
        <v>0</v>
      </c>
    </row>
    <row r="407" spans="1:52" x14ac:dyDescent="0.25">
      <c r="A407" s="209">
        <v>1088346</v>
      </c>
      <c r="B407" s="209">
        <v>90</v>
      </c>
      <c r="C407" s="209">
        <v>89328663</v>
      </c>
      <c r="D407" s="209">
        <v>10</v>
      </c>
      <c r="E407" s="209">
        <v>10000002</v>
      </c>
      <c r="F407" s="209">
        <v>20000335</v>
      </c>
      <c r="G407" s="209" t="s">
        <v>105</v>
      </c>
      <c r="H407" s="209">
        <v>20000335</v>
      </c>
      <c r="I407" s="209">
        <v>2</v>
      </c>
      <c r="J407" s="209" t="s">
        <v>169</v>
      </c>
      <c r="K407" s="209" t="s">
        <v>776</v>
      </c>
      <c r="L407" s="209" t="s">
        <v>171</v>
      </c>
      <c r="M407" s="209" t="s">
        <v>199</v>
      </c>
      <c r="N407" s="209">
        <v>50032573</v>
      </c>
      <c r="O407" s="209" t="s">
        <v>173</v>
      </c>
      <c r="P407" s="209">
        <v>5121</v>
      </c>
      <c r="Q407" s="209" t="s">
        <v>200</v>
      </c>
      <c r="R407" s="209" t="s">
        <v>201</v>
      </c>
      <c r="S407" s="209" t="s">
        <v>202</v>
      </c>
      <c r="T407" s="209" t="s">
        <v>203</v>
      </c>
      <c r="U407" s="209" t="s">
        <v>201</v>
      </c>
      <c r="V407" s="209" t="s">
        <v>179</v>
      </c>
      <c r="W407" s="209" t="s">
        <v>179</v>
      </c>
      <c r="X407" s="209" t="s">
        <v>180</v>
      </c>
      <c r="Y407" s="209" t="s">
        <v>180</v>
      </c>
      <c r="Z407" s="209">
        <v>9521067075</v>
      </c>
      <c r="AA407" s="209" t="s">
        <v>719</v>
      </c>
      <c r="AB407" s="209" t="s">
        <v>180</v>
      </c>
      <c r="AC407" s="209" t="s">
        <v>182</v>
      </c>
      <c r="AD407" s="209">
        <v>12</v>
      </c>
      <c r="AE407" s="209">
        <v>2024</v>
      </c>
      <c r="AF407" s="227">
        <v>45624</v>
      </c>
      <c r="AG407" s="227">
        <v>45631</v>
      </c>
      <c r="AH407" s="227">
        <v>45631</v>
      </c>
      <c r="AI407" s="228">
        <v>531648</v>
      </c>
      <c r="AJ407" s="228">
        <v>52</v>
      </c>
      <c r="AK407" s="228">
        <v>531648</v>
      </c>
      <c r="AL407" s="228">
        <v>52</v>
      </c>
      <c r="AM407" s="228">
        <v>0</v>
      </c>
      <c r="AN407" s="228">
        <v>0</v>
      </c>
      <c r="AO407" s="229">
        <v>49</v>
      </c>
      <c r="AP407" s="231">
        <v>12</v>
      </c>
      <c r="AQ407" s="231">
        <v>2024</v>
      </c>
      <c r="AR407" s="231" t="str">
        <f t="shared" si="55"/>
        <v>12/2024</v>
      </c>
      <c r="AS407" s="231">
        <f t="shared" si="56"/>
        <v>37.200000000000003</v>
      </c>
      <c r="AT407" s="239">
        <f>IF(G407="CERVECERIA Y MALTERIA",(AS407*AK407/1000000)*(1-VLOOKUP(N407,FCST!D:I,6,FALSE)),0)</f>
        <v>19.777305600000002</v>
      </c>
      <c r="AU407" s="232">
        <v>5.0000000000000001E-3</v>
      </c>
      <c r="AV407" s="239">
        <f t="shared" si="57"/>
        <v>19.876192128</v>
      </c>
      <c r="AW407" s="239">
        <f>(AS407*AK407/1000000)*(VLOOKUP(N407,FCST!D:I,6,FALSE))</f>
        <v>0</v>
      </c>
      <c r="AX407" s="239">
        <f t="shared" si="58"/>
        <v>0</v>
      </c>
      <c r="AY407" s="239">
        <f>IF($G407="CERVECERIA Y MALTERIA.",($AS407*$AK407/1000000)*(1-VLOOKUP($N407,FCST!D:I,6,FALSE)),0)</f>
        <v>0</v>
      </c>
      <c r="AZ407" s="239">
        <f t="shared" si="59"/>
        <v>0</v>
      </c>
    </row>
    <row r="408" spans="1:52" x14ac:dyDescent="0.25">
      <c r="A408" s="209">
        <v>1088346</v>
      </c>
      <c r="B408" s="209">
        <v>100</v>
      </c>
      <c r="C408" s="209">
        <v>89328696</v>
      </c>
      <c r="D408" s="209">
        <v>10</v>
      </c>
      <c r="E408" s="209">
        <v>10000002</v>
      </c>
      <c r="F408" s="209">
        <v>20000335</v>
      </c>
      <c r="G408" s="209" t="s">
        <v>105</v>
      </c>
      <c r="H408" s="209">
        <v>20000335</v>
      </c>
      <c r="I408" s="209">
        <v>2</v>
      </c>
      <c r="J408" s="209" t="s">
        <v>169</v>
      </c>
      <c r="K408" s="209" t="s">
        <v>777</v>
      </c>
      <c r="L408" s="209" t="s">
        <v>171</v>
      </c>
      <c r="M408" s="209" t="s">
        <v>172</v>
      </c>
      <c r="N408" s="209">
        <v>50037042</v>
      </c>
      <c r="O408" s="209" t="s">
        <v>543</v>
      </c>
      <c r="P408" s="209">
        <v>5121</v>
      </c>
      <c r="Q408" s="209" t="s">
        <v>174</v>
      </c>
      <c r="R408" s="209" t="s">
        <v>175</v>
      </c>
      <c r="S408" s="209" t="s">
        <v>176</v>
      </c>
      <c r="T408" s="209" t="s">
        <v>177</v>
      </c>
      <c r="U408" s="209" t="s">
        <v>178</v>
      </c>
      <c r="V408" s="209" t="s">
        <v>179</v>
      </c>
      <c r="W408" s="209" t="s">
        <v>179</v>
      </c>
      <c r="X408" s="209" t="s">
        <v>180</v>
      </c>
      <c r="Y408" s="209" t="s">
        <v>180</v>
      </c>
      <c r="Z408" s="209">
        <v>9521067081</v>
      </c>
      <c r="AA408" s="209" t="s">
        <v>692</v>
      </c>
      <c r="AB408" s="209" t="s">
        <v>180</v>
      </c>
      <c r="AC408" s="209" t="s">
        <v>182</v>
      </c>
      <c r="AD408" s="209">
        <v>12</v>
      </c>
      <c r="AE408" s="209">
        <v>2024</v>
      </c>
      <c r="AF408" s="227">
        <v>45624</v>
      </c>
      <c r="AG408" s="227">
        <v>45631</v>
      </c>
      <c r="AH408" s="227">
        <v>45631</v>
      </c>
      <c r="AI408" s="228">
        <v>295488</v>
      </c>
      <c r="AJ408" s="228">
        <v>36</v>
      </c>
      <c r="AK408" s="228">
        <v>295488</v>
      </c>
      <c r="AL408" s="228">
        <v>36</v>
      </c>
      <c r="AM408" s="228">
        <v>0</v>
      </c>
      <c r="AN408" s="228">
        <v>0</v>
      </c>
      <c r="AO408" s="229">
        <v>49</v>
      </c>
      <c r="AP408" s="231">
        <v>12</v>
      </c>
      <c r="AQ408" s="231">
        <v>2024</v>
      </c>
      <c r="AR408" s="231" t="str">
        <f t="shared" si="55"/>
        <v>12/2024</v>
      </c>
      <c r="AS408" s="231">
        <f t="shared" si="56"/>
        <v>46.6</v>
      </c>
      <c r="AT408" s="239">
        <f>IF(G408="CERVECERIA Y MALTERIA",(AS408*AK408/1000000)*(1-VLOOKUP(N408,FCST!D:I,6,FALSE)),0)</f>
        <v>11.015792640000001</v>
      </c>
      <c r="AU408" s="232">
        <v>5.0000000000000001E-3</v>
      </c>
      <c r="AV408" s="239">
        <f t="shared" si="57"/>
        <v>11.070871603199999</v>
      </c>
      <c r="AW408" s="239">
        <f>(AS408*AK408/1000000)*(VLOOKUP(N408,FCST!D:I,6,FALSE))</f>
        <v>2.7539481600000002</v>
      </c>
      <c r="AX408" s="239">
        <f t="shared" si="58"/>
        <v>2.7677179007999997</v>
      </c>
      <c r="AY408" s="239">
        <f>IF($G408="CERVECERIA Y MALTERIA.",($AS408*$AK408/1000000)*(1-VLOOKUP($N408,FCST!D:I,6,FALSE)),0)</f>
        <v>0</v>
      </c>
      <c r="AZ408" s="239">
        <f t="shared" si="59"/>
        <v>0</v>
      </c>
    </row>
    <row r="409" spans="1:52" x14ac:dyDescent="0.25">
      <c r="A409" s="209">
        <v>10001925</v>
      </c>
      <c r="B409" s="209">
        <v>10</v>
      </c>
      <c r="C409" s="209">
        <v>89328697</v>
      </c>
      <c r="D409" s="209">
        <v>10</v>
      </c>
      <c r="E409" s="209">
        <v>10000002</v>
      </c>
      <c r="F409" s="209">
        <v>20000335</v>
      </c>
      <c r="G409" s="209" t="s">
        <v>105</v>
      </c>
      <c r="H409" s="209">
        <v>20000335</v>
      </c>
      <c r="I409" s="209">
        <v>2</v>
      </c>
      <c r="J409" s="209" t="s">
        <v>169</v>
      </c>
      <c r="K409" s="209" t="s">
        <v>778</v>
      </c>
      <c r="L409" s="209" t="s">
        <v>171</v>
      </c>
      <c r="M409" s="209" t="s">
        <v>172</v>
      </c>
      <c r="N409" s="209">
        <v>50024966</v>
      </c>
      <c r="O409" s="209" t="s">
        <v>779</v>
      </c>
      <c r="P409" s="209">
        <v>5121</v>
      </c>
      <c r="Q409" s="209" t="s">
        <v>174</v>
      </c>
      <c r="R409" s="209" t="s">
        <v>175</v>
      </c>
      <c r="S409" s="209" t="s">
        <v>176</v>
      </c>
      <c r="T409" s="209" t="s">
        <v>177</v>
      </c>
      <c r="U409" s="209" t="s">
        <v>178</v>
      </c>
      <c r="V409" s="209" t="s">
        <v>179</v>
      </c>
      <c r="W409" s="209" t="s">
        <v>179</v>
      </c>
      <c r="X409" s="209" t="s">
        <v>180</v>
      </c>
      <c r="Y409" s="209" t="s">
        <v>180</v>
      </c>
      <c r="Z409" s="209" t="s">
        <v>180</v>
      </c>
      <c r="AA409" s="209" t="s">
        <v>180</v>
      </c>
      <c r="AB409" s="209" t="s">
        <v>180</v>
      </c>
      <c r="AC409" s="209" t="s">
        <v>182</v>
      </c>
      <c r="AD409" s="209">
        <v>12</v>
      </c>
      <c r="AE409" s="209">
        <v>2024</v>
      </c>
      <c r="AF409" s="227">
        <v>45626</v>
      </c>
      <c r="AG409" s="227">
        <v>45631</v>
      </c>
      <c r="AH409" s="227">
        <v>45631</v>
      </c>
      <c r="AI409" s="228">
        <v>300672</v>
      </c>
      <c r="AJ409" s="228">
        <v>16</v>
      </c>
      <c r="AK409" s="228">
        <v>300672</v>
      </c>
      <c r="AL409" s="228">
        <v>16</v>
      </c>
      <c r="AM409" s="228">
        <v>0</v>
      </c>
      <c r="AN409" s="228">
        <v>0</v>
      </c>
      <c r="AO409" s="229">
        <v>49</v>
      </c>
      <c r="AP409" s="231">
        <v>12</v>
      </c>
      <c r="AQ409" s="231">
        <v>2024</v>
      </c>
      <c r="AR409" s="231" t="str">
        <f t="shared" si="55"/>
        <v>12/2024</v>
      </c>
      <c r="AS409" s="231">
        <f t="shared" si="56"/>
        <v>19.5</v>
      </c>
      <c r="AT409" s="239">
        <f>IF(G409="CERVECERIA Y MALTERIA",(AS409*AK409/1000000)*(1-0),0)</f>
        <v>5.8631039999999999</v>
      </c>
      <c r="AU409" s="232">
        <v>5.0000000000000001E-3</v>
      </c>
      <c r="AV409" s="239">
        <f t="shared" si="57"/>
        <v>5.8924195199999989</v>
      </c>
      <c r="AW409" s="239">
        <f>(AS409*AK409/1000000)*(0)</f>
        <v>0</v>
      </c>
      <c r="AX409" s="239">
        <f t="shared" si="58"/>
        <v>0</v>
      </c>
      <c r="AY409" s="239">
        <f>IF($G409="CERVECERIA Y MALTERIA.",($AS409*$AK409/1000000)*(1-VLOOKUP($N409,FCST!D:I,6,FALSE)),0)</f>
        <v>0</v>
      </c>
      <c r="AZ409" s="239">
        <f t="shared" si="59"/>
        <v>0</v>
      </c>
    </row>
    <row r="410" spans="1:52" x14ac:dyDescent="0.25">
      <c r="A410" s="209">
        <v>1088346</v>
      </c>
      <c r="B410" s="209">
        <v>120</v>
      </c>
      <c r="C410" s="209">
        <v>89328703</v>
      </c>
      <c r="D410" s="209">
        <v>10</v>
      </c>
      <c r="E410" s="209">
        <v>10000002</v>
      </c>
      <c r="F410" s="209">
        <v>20000335</v>
      </c>
      <c r="G410" s="209" t="s">
        <v>105</v>
      </c>
      <c r="H410" s="209">
        <v>20000335</v>
      </c>
      <c r="I410" s="209">
        <v>2</v>
      </c>
      <c r="J410" s="209" t="s">
        <v>169</v>
      </c>
      <c r="K410" s="209" t="s">
        <v>780</v>
      </c>
      <c r="L410" s="209" t="s">
        <v>171</v>
      </c>
      <c r="M410" s="209" t="s">
        <v>172</v>
      </c>
      <c r="N410" s="209">
        <v>50037042</v>
      </c>
      <c r="O410" s="209" t="s">
        <v>543</v>
      </c>
      <c r="P410" s="209">
        <v>5121</v>
      </c>
      <c r="Q410" s="209" t="s">
        <v>174</v>
      </c>
      <c r="R410" s="209" t="s">
        <v>175</v>
      </c>
      <c r="S410" s="209" t="s">
        <v>176</v>
      </c>
      <c r="T410" s="209" t="s">
        <v>177</v>
      </c>
      <c r="U410" s="209" t="s">
        <v>178</v>
      </c>
      <c r="V410" s="209" t="s">
        <v>179</v>
      </c>
      <c r="W410" s="209" t="s">
        <v>179</v>
      </c>
      <c r="X410" s="209" t="s">
        <v>180</v>
      </c>
      <c r="Y410" s="209" t="s">
        <v>180</v>
      </c>
      <c r="Z410" s="209">
        <v>9521067081</v>
      </c>
      <c r="AA410" s="209" t="s">
        <v>692</v>
      </c>
      <c r="AB410" s="209" t="s">
        <v>180</v>
      </c>
      <c r="AC410" s="209" t="s">
        <v>182</v>
      </c>
      <c r="AD410" s="209">
        <v>12</v>
      </c>
      <c r="AE410" s="209">
        <v>2024</v>
      </c>
      <c r="AF410" s="227">
        <v>45624</v>
      </c>
      <c r="AG410" s="227">
        <v>45631</v>
      </c>
      <c r="AH410" s="227">
        <v>45631</v>
      </c>
      <c r="AI410" s="228">
        <v>426816</v>
      </c>
      <c r="AJ410" s="228">
        <v>52</v>
      </c>
      <c r="AK410" s="228">
        <v>426816</v>
      </c>
      <c r="AL410" s="228">
        <v>52</v>
      </c>
      <c r="AM410" s="228">
        <v>0</v>
      </c>
      <c r="AN410" s="228">
        <v>0</v>
      </c>
      <c r="AO410" s="229">
        <v>49</v>
      </c>
      <c r="AP410" s="231">
        <v>12</v>
      </c>
      <c r="AQ410" s="231">
        <v>2024</v>
      </c>
      <c r="AR410" s="231" t="str">
        <f t="shared" si="55"/>
        <v>12/2024</v>
      </c>
      <c r="AS410" s="231">
        <f t="shared" si="56"/>
        <v>46.6</v>
      </c>
      <c r="AT410" s="239">
        <f>IF(G410="CERVECERIA Y MALTERIA",(AS410*AK410/1000000)*(1-VLOOKUP(N410,FCST!D:I,6,FALSE)),0)</f>
        <v>15.911700480000002</v>
      </c>
      <c r="AU410" s="232">
        <v>5.0000000000000001E-3</v>
      </c>
      <c r="AV410" s="239">
        <f t="shared" si="57"/>
        <v>15.9912589824</v>
      </c>
      <c r="AW410" s="239">
        <f>(AS410*AK410/1000000)*(VLOOKUP(N410,FCST!D:I,6,FALSE))</f>
        <v>3.9779251200000005</v>
      </c>
      <c r="AX410" s="239">
        <f t="shared" si="58"/>
        <v>3.9978147455999999</v>
      </c>
      <c r="AY410" s="239">
        <f>IF($G410="CERVECERIA Y MALTERIA.",($AS410*$AK410/1000000)*(1-VLOOKUP($N410,FCST!D:I,6,FALSE)),0)</f>
        <v>0</v>
      </c>
      <c r="AZ410" s="239">
        <f t="shared" si="59"/>
        <v>0</v>
      </c>
    </row>
    <row r="411" spans="1:52" x14ac:dyDescent="0.25">
      <c r="A411" s="209">
        <v>1086757</v>
      </c>
      <c r="B411" s="209">
        <v>50</v>
      </c>
      <c r="C411" s="209">
        <v>89325725</v>
      </c>
      <c r="D411" s="209">
        <v>10</v>
      </c>
      <c r="E411" s="209">
        <v>10000002</v>
      </c>
      <c r="F411" s="209">
        <v>20001057</v>
      </c>
      <c r="G411" s="209" t="s">
        <v>105</v>
      </c>
      <c r="H411" s="209">
        <v>20001057</v>
      </c>
      <c r="I411" s="209">
        <v>2</v>
      </c>
      <c r="J411" s="209" t="s">
        <v>169</v>
      </c>
      <c r="K411" s="209" t="s">
        <v>781</v>
      </c>
      <c r="L411" s="209" t="s">
        <v>171</v>
      </c>
      <c r="M411" s="209" t="s">
        <v>172</v>
      </c>
      <c r="N411" s="209">
        <v>50034616</v>
      </c>
      <c r="O411" s="209" t="s">
        <v>191</v>
      </c>
      <c r="P411" s="209">
        <v>5121</v>
      </c>
      <c r="Q411" s="209" t="s">
        <v>174</v>
      </c>
      <c r="R411" s="209" t="s">
        <v>175</v>
      </c>
      <c r="S411" s="209" t="s">
        <v>176</v>
      </c>
      <c r="T411" s="209" t="s">
        <v>177</v>
      </c>
      <c r="U411" s="209" t="s">
        <v>178</v>
      </c>
      <c r="V411" s="209" t="s">
        <v>179</v>
      </c>
      <c r="W411" s="209" t="s">
        <v>179</v>
      </c>
      <c r="X411" s="209" t="s">
        <v>180</v>
      </c>
      <c r="Y411" s="209" t="s">
        <v>180</v>
      </c>
      <c r="Z411" s="209">
        <v>9521067086</v>
      </c>
      <c r="AA411" s="209" t="s">
        <v>782</v>
      </c>
      <c r="AB411" s="209" t="s">
        <v>180</v>
      </c>
      <c r="AC411" s="209" t="s">
        <v>182</v>
      </c>
      <c r="AD411" s="209">
        <v>11</v>
      </c>
      <c r="AE411" s="209">
        <v>2024</v>
      </c>
      <c r="AF411" s="227">
        <v>45616</v>
      </c>
      <c r="AG411" s="227">
        <v>45628</v>
      </c>
      <c r="AH411" s="227">
        <v>45628</v>
      </c>
      <c r="AI411" s="228">
        <v>303696</v>
      </c>
      <c r="AJ411" s="228">
        <v>37</v>
      </c>
      <c r="AK411" s="228">
        <v>303696</v>
      </c>
      <c r="AL411" s="228">
        <v>37</v>
      </c>
      <c r="AM411" s="228">
        <v>0</v>
      </c>
      <c r="AN411" s="228">
        <v>0</v>
      </c>
      <c r="AO411" s="229">
        <v>47</v>
      </c>
      <c r="AP411" s="231">
        <v>12</v>
      </c>
      <c r="AQ411" s="231">
        <v>2024</v>
      </c>
      <c r="AR411" s="231" t="str">
        <f t="shared" si="55"/>
        <v>12/2024</v>
      </c>
      <c r="AS411" s="231">
        <f t="shared" si="56"/>
        <v>46.6</v>
      </c>
      <c r="AT411" s="239">
        <f>IF(G411="CERVECERIA Y MALTERIA",(AS411*AK411/1000000)*(1-VLOOKUP(N411,FCST!D:I,6,FALSE)),0)</f>
        <v>14.152233599999999</v>
      </c>
      <c r="AU411" s="232">
        <v>5.0000000000000001E-3</v>
      </c>
      <c r="AV411" s="239">
        <f t="shared" si="57"/>
        <v>14.222994767999998</v>
      </c>
      <c r="AW411" s="239">
        <f>(AS411*AK411/1000000)*(VLOOKUP(N411,FCST!D:I,6,FALSE))</f>
        <v>0</v>
      </c>
      <c r="AX411" s="239">
        <f t="shared" si="58"/>
        <v>0</v>
      </c>
      <c r="AY411" s="239">
        <f>IF($G411="CERVECERIA Y MALTERIA.",($AS411*$AK411/1000000)*(1-VLOOKUP($N411,FCST!D:I,6,FALSE)),0)</f>
        <v>0</v>
      </c>
      <c r="AZ411" s="239">
        <f t="shared" si="59"/>
        <v>0</v>
      </c>
    </row>
    <row r="412" spans="1:52" x14ac:dyDescent="0.25">
      <c r="A412" s="209">
        <v>1086757</v>
      </c>
      <c r="B412" s="209">
        <v>60</v>
      </c>
      <c r="C412" s="209">
        <v>89325725</v>
      </c>
      <c r="D412" s="209">
        <v>20</v>
      </c>
      <c r="E412" s="209">
        <v>10000002</v>
      </c>
      <c r="F412" s="209">
        <v>20001057</v>
      </c>
      <c r="G412" s="209" t="s">
        <v>105</v>
      </c>
      <c r="H412" s="209">
        <v>20001057</v>
      </c>
      <c r="I412" s="209">
        <v>2</v>
      </c>
      <c r="J412" s="209" t="s">
        <v>169</v>
      </c>
      <c r="K412" s="209" t="s">
        <v>781</v>
      </c>
      <c r="L412" s="209" t="s">
        <v>171</v>
      </c>
      <c r="M412" s="209" t="s">
        <v>172</v>
      </c>
      <c r="N412" s="209">
        <v>50034574</v>
      </c>
      <c r="O412" s="209" t="s">
        <v>196</v>
      </c>
      <c r="P412" s="209">
        <v>5121</v>
      </c>
      <c r="Q412" s="209" t="s">
        <v>174</v>
      </c>
      <c r="R412" s="209" t="s">
        <v>175</v>
      </c>
      <c r="S412" s="209" t="s">
        <v>176</v>
      </c>
      <c r="T412" s="209" t="s">
        <v>177</v>
      </c>
      <c r="U412" s="209" t="s">
        <v>178</v>
      </c>
      <c r="V412" s="209" t="s">
        <v>179</v>
      </c>
      <c r="W412" s="209" t="s">
        <v>179</v>
      </c>
      <c r="X412" s="209" t="s">
        <v>180</v>
      </c>
      <c r="Y412" s="209" t="s">
        <v>180</v>
      </c>
      <c r="Z412" s="209">
        <v>9521067086</v>
      </c>
      <c r="AA412" s="209" t="s">
        <v>782</v>
      </c>
      <c r="AB412" s="209" t="s">
        <v>180</v>
      </c>
      <c r="AC412" s="209" t="s">
        <v>182</v>
      </c>
      <c r="AD412" s="209">
        <v>11</v>
      </c>
      <c r="AE412" s="209">
        <v>2024</v>
      </c>
      <c r="AF412" s="227">
        <v>45616</v>
      </c>
      <c r="AG412" s="227">
        <v>45628</v>
      </c>
      <c r="AH412" s="227">
        <v>45628</v>
      </c>
      <c r="AI412" s="228">
        <v>281880</v>
      </c>
      <c r="AJ412" s="228">
        <v>15</v>
      </c>
      <c r="AK412" s="228">
        <v>281880</v>
      </c>
      <c r="AL412" s="228">
        <v>15</v>
      </c>
      <c r="AM412" s="228">
        <v>0</v>
      </c>
      <c r="AN412" s="228">
        <v>0</v>
      </c>
      <c r="AO412" s="229">
        <v>47</v>
      </c>
      <c r="AP412" s="231">
        <v>12</v>
      </c>
      <c r="AQ412" s="231">
        <v>2024</v>
      </c>
      <c r="AR412" s="231" t="str">
        <f t="shared" si="55"/>
        <v>12/2024</v>
      </c>
      <c r="AS412" s="231">
        <f t="shared" si="56"/>
        <v>19.5</v>
      </c>
      <c r="AT412" s="239">
        <f>IF(G412="CERVECERIA Y MALTERIA",(AS412*AK412/1000000)*(1-VLOOKUP(N412,FCST!D:I,6,FALSE)),0)</f>
        <v>5.4966600000000003</v>
      </c>
      <c r="AU412" s="232">
        <v>5.0000000000000001E-3</v>
      </c>
      <c r="AV412" s="239">
        <f t="shared" si="57"/>
        <v>5.5241432999999995</v>
      </c>
      <c r="AW412" s="239">
        <f>(AS412*AK412/1000000)*(VLOOKUP(N412,FCST!D:I,6,FALSE))</f>
        <v>0</v>
      </c>
      <c r="AX412" s="239">
        <f t="shared" si="58"/>
        <v>0</v>
      </c>
      <c r="AY412" s="239">
        <f>IF($G412="CERVECERIA Y MALTERIA.",($AS412*$AK412/1000000)*(1-VLOOKUP($N412,FCST!D:I,6,FALSE)),0)</f>
        <v>0</v>
      </c>
      <c r="AZ412" s="239">
        <f t="shared" si="59"/>
        <v>0</v>
      </c>
    </row>
    <row r="413" spans="1:52" x14ac:dyDescent="0.25">
      <c r="A413" s="209">
        <v>1088346</v>
      </c>
      <c r="B413" s="209">
        <v>30</v>
      </c>
      <c r="C413" s="209">
        <v>89325796</v>
      </c>
      <c r="D413" s="209">
        <v>10</v>
      </c>
      <c r="E413" s="209">
        <v>10000002</v>
      </c>
      <c r="F413" s="209">
        <v>20000335</v>
      </c>
      <c r="G413" s="209" t="s">
        <v>105</v>
      </c>
      <c r="H413" s="209">
        <v>20000335</v>
      </c>
      <c r="I413" s="209">
        <v>2</v>
      </c>
      <c r="J413" s="209" t="s">
        <v>169</v>
      </c>
      <c r="K413" s="209" t="s">
        <v>783</v>
      </c>
      <c r="L413" s="209" t="s">
        <v>171</v>
      </c>
      <c r="M413" s="209" t="s">
        <v>172</v>
      </c>
      <c r="N413" s="209">
        <v>50037042</v>
      </c>
      <c r="O413" s="209" t="s">
        <v>543</v>
      </c>
      <c r="P413" s="209">
        <v>5121</v>
      </c>
      <c r="Q413" s="209" t="s">
        <v>174</v>
      </c>
      <c r="R413" s="209" t="s">
        <v>175</v>
      </c>
      <c r="S413" s="209" t="s">
        <v>176</v>
      </c>
      <c r="T413" s="209" t="s">
        <v>177</v>
      </c>
      <c r="U413" s="209" t="s">
        <v>178</v>
      </c>
      <c r="V413" s="209" t="s">
        <v>179</v>
      </c>
      <c r="W413" s="209" t="s">
        <v>179</v>
      </c>
      <c r="X413" s="209" t="s">
        <v>180</v>
      </c>
      <c r="Y413" s="209" t="s">
        <v>180</v>
      </c>
      <c r="Z413" s="209">
        <v>9521067081</v>
      </c>
      <c r="AA413" s="209" t="s">
        <v>692</v>
      </c>
      <c r="AB413" s="209" t="s">
        <v>180</v>
      </c>
      <c r="AC413" s="209" t="s">
        <v>182</v>
      </c>
      <c r="AD413" s="209">
        <v>12</v>
      </c>
      <c r="AE413" s="209">
        <v>2024</v>
      </c>
      <c r="AF413" s="227">
        <v>45624</v>
      </c>
      <c r="AG413" s="227">
        <v>45628</v>
      </c>
      <c r="AH413" s="227">
        <v>45628</v>
      </c>
      <c r="AI413" s="228">
        <v>426816</v>
      </c>
      <c r="AJ413" s="228">
        <v>52</v>
      </c>
      <c r="AK413" s="228">
        <v>426816</v>
      </c>
      <c r="AL413" s="228">
        <v>52</v>
      </c>
      <c r="AM413" s="228">
        <v>0</v>
      </c>
      <c r="AN413" s="228">
        <v>0</v>
      </c>
      <c r="AO413" s="229">
        <v>49</v>
      </c>
      <c r="AP413" s="231">
        <v>12</v>
      </c>
      <c r="AQ413" s="231">
        <v>2024</v>
      </c>
      <c r="AR413" s="231" t="str">
        <f t="shared" si="55"/>
        <v>12/2024</v>
      </c>
      <c r="AS413" s="231">
        <f t="shared" si="56"/>
        <v>46.6</v>
      </c>
      <c r="AT413" s="239">
        <f>IF(G413="CERVECERIA Y MALTERIA",(AS413*AK413/1000000)*(1-VLOOKUP(N413,FCST!D:I,6,FALSE)),0)</f>
        <v>15.911700480000002</v>
      </c>
      <c r="AU413" s="232">
        <v>5.0000000000000001E-3</v>
      </c>
      <c r="AV413" s="239">
        <f t="shared" si="57"/>
        <v>15.9912589824</v>
      </c>
      <c r="AW413" s="239">
        <f>(AS413*AK413/1000000)*(VLOOKUP(N413,FCST!D:I,6,FALSE))</f>
        <v>3.9779251200000005</v>
      </c>
      <c r="AX413" s="239">
        <f t="shared" si="58"/>
        <v>3.9978147455999999</v>
      </c>
      <c r="AY413" s="239">
        <f>IF($G413="CERVECERIA Y MALTERIA.",($AS413*$AK413/1000000)*(1-VLOOKUP($N413,FCST!D:I,6,FALSE)),0)</f>
        <v>0</v>
      </c>
      <c r="AZ413" s="239">
        <f t="shared" si="59"/>
        <v>0</v>
      </c>
    </row>
    <row r="414" spans="1:52" x14ac:dyDescent="0.25">
      <c r="A414" s="209">
        <v>1088349</v>
      </c>
      <c r="B414" s="209">
        <v>10</v>
      </c>
      <c r="C414" s="209">
        <v>89325806</v>
      </c>
      <c r="D414" s="209">
        <v>10</v>
      </c>
      <c r="E414" s="209">
        <v>10000002</v>
      </c>
      <c r="F414" s="209">
        <v>20000340</v>
      </c>
      <c r="G414" s="209" t="s">
        <v>117</v>
      </c>
      <c r="H414" s="209">
        <v>20000340</v>
      </c>
      <c r="I414" s="209">
        <v>2</v>
      </c>
      <c r="J414" s="209" t="s">
        <v>169</v>
      </c>
      <c r="K414" s="209" t="s">
        <v>784</v>
      </c>
      <c r="L414" s="209" t="s">
        <v>171</v>
      </c>
      <c r="M414" s="209" t="s">
        <v>172</v>
      </c>
      <c r="N414" s="209">
        <v>50027468</v>
      </c>
      <c r="O414" s="209" t="s">
        <v>285</v>
      </c>
      <c r="P414" s="209">
        <v>5101</v>
      </c>
      <c r="Q414" s="209" t="s">
        <v>186</v>
      </c>
      <c r="R414" s="209" t="s">
        <v>175</v>
      </c>
      <c r="S414" s="209" t="s">
        <v>176</v>
      </c>
      <c r="T414" s="209" t="s">
        <v>187</v>
      </c>
      <c r="U414" s="209" t="s">
        <v>188</v>
      </c>
      <c r="V414" s="209" t="s">
        <v>179</v>
      </c>
      <c r="W414" s="209" t="s">
        <v>179</v>
      </c>
      <c r="X414" s="209" t="s">
        <v>180</v>
      </c>
      <c r="Y414" s="209" t="s">
        <v>180</v>
      </c>
      <c r="Z414" s="209">
        <v>9511047238</v>
      </c>
      <c r="AA414" s="209" t="s">
        <v>748</v>
      </c>
      <c r="AB414" s="209" t="s">
        <v>180</v>
      </c>
      <c r="AC414" s="209" t="s">
        <v>182</v>
      </c>
      <c r="AD414" s="209">
        <v>12</v>
      </c>
      <c r="AE414" s="209">
        <v>2024</v>
      </c>
      <c r="AF414" s="227">
        <v>45624</v>
      </c>
      <c r="AG414" s="227">
        <v>45628</v>
      </c>
      <c r="AH414" s="227">
        <v>45628</v>
      </c>
      <c r="AI414" s="228">
        <v>399360</v>
      </c>
      <c r="AJ414" s="228">
        <v>52</v>
      </c>
      <c r="AK414" s="228">
        <v>399360</v>
      </c>
      <c r="AL414" s="228">
        <v>52</v>
      </c>
      <c r="AM414" s="228">
        <v>0</v>
      </c>
      <c r="AN414" s="228">
        <v>0</v>
      </c>
      <c r="AO414" s="229">
        <v>49</v>
      </c>
      <c r="AP414" s="231">
        <v>12</v>
      </c>
      <c r="AQ414" s="231">
        <v>2024</v>
      </c>
      <c r="AR414" s="231" t="str">
        <f t="shared" si="55"/>
        <v>12/2024</v>
      </c>
      <c r="AS414" s="231">
        <f t="shared" si="56"/>
        <v>52</v>
      </c>
      <c r="AT414" s="239">
        <f>IF(G414="CERVECERIA Y MALTERIA",(AS414*AK414/1000000)*(1-VLOOKUP(N414,FCST!D:I,6,FALSE)),0)</f>
        <v>0</v>
      </c>
      <c r="AU414" s="232">
        <v>5.0000000000000001E-3</v>
      </c>
      <c r="AV414" s="239">
        <f t="shared" si="57"/>
        <v>0</v>
      </c>
      <c r="AW414" s="239">
        <f>(AS414*AK414/1000000)*(VLOOKUP(N414,FCST!D:I,6,FALSE))</f>
        <v>0</v>
      </c>
      <c r="AX414" s="239">
        <f t="shared" si="58"/>
        <v>0</v>
      </c>
      <c r="AY414" s="239">
        <f>IF($G414="CERVECERIA Y MALTERIA.",($AS414*$AK414/1000000)*(1-VLOOKUP($N414,FCST!D:I,6,FALSE)),0)</f>
        <v>20.766719999999999</v>
      </c>
      <c r="AZ414" s="239">
        <f t="shared" si="59"/>
        <v>20.870553599999997</v>
      </c>
    </row>
    <row r="415" spans="1:52" x14ac:dyDescent="0.25">
      <c r="A415" s="209">
        <v>1088346</v>
      </c>
      <c r="B415" s="209">
        <v>40</v>
      </c>
      <c r="C415" s="209">
        <v>89326519</v>
      </c>
      <c r="D415" s="209">
        <v>10</v>
      </c>
      <c r="E415" s="209">
        <v>10000002</v>
      </c>
      <c r="F415" s="209">
        <v>20000335</v>
      </c>
      <c r="G415" s="209" t="s">
        <v>105</v>
      </c>
      <c r="H415" s="209">
        <v>20000335</v>
      </c>
      <c r="I415" s="209">
        <v>2</v>
      </c>
      <c r="J415" s="209" t="s">
        <v>169</v>
      </c>
      <c r="K415" s="209" t="s">
        <v>785</v>
      </c>
      <c r="L415" s="209" t="s">
        <v>171</v>
      </c>
      <c r="M415" s="209" t="s">
        <v>172</v>
      </c>
      <c r="N415" s="209">
        <v>50037042</v>
      </c>
      <c r="O415" s="209" t="s">
        <v>543</v>
      </c>
      <c r="P415" s="209">
        <v>5121</v>
      </c>
      <c r="Q415" s="209" t="s">
        <v>174</v>
      </c>
      <c r="R415" s="209" t="s">
        <v>175</v>
      </c>
      <c r="S415" s="209" t="s">
        <v>176</v>
      </c>
      <c r="T415" s="209" t="s">
        <v>177</v>
      </c>
      <c r="U415" s="209" t="s">
        <v>178</v>
      </c>
      <c r="V415" s="209" t="s">
        <v>179</v>
      </c>
      <c r="W415" s="209" t="s">
        <v>179</v>
      </c>
      <c r="X415" s="209" t="s">
        <v>180</v>
      </c>
      <c r="Y415" s="209" t="s">
        <v>180</v>
      </c>
      <c r="Z415" s="209">
        <v>9521067081</v>
      </c>
      <c r="AA415" s="209" t="s">
        <v>692</v>
      </c>
      <c r="AB415" s="209" t="s">
        <v>180</v>
      </c>
      <c r="AC415" s="209" t="s">
        <v>182</v>
      </c>
      <c r="AD415" s="209">
        <v>12</v>
      </c>
      <c r="AE415" s="209">
        <v>2024</v>
      </c>
      <c r="AF415" s="227">
        <v>45624</v>
      </c>
      <c r="AG415" s="227">
        <v>45629</v>
      </c>
      <c r="AH415" s="227">
        <v>45629</v>
      </c>
      <c r="AI415" s="228">
        <v>426816</v>
      </c>
      <c r="AJ415" s="228">
        <v>52</v>
      </c>
      <c r="AK415" s="228">
        <v>426816</v>
      </c>
      <c r="AL415" s="228">
        <v>52</v>
      </c>
      <c r="AM415" s="228">
        <v>0</v>
      </c>
      <c r="AN415" s="228">
        <v>0</v>
      </c>
      <c r="AO415" s="229">
        <v>49</v>
      </c>
      <c r="AP415" s="231">
        <v>12</v>
      </c>
      <c r="AQ415" s="231">
        <v>2024</v>
      </c>
      <c r="AR415" s="231" t="str">
        <f t="shared" si="55"/>
        <v>12/2024</v>
      </c>
      <c r="AS415" s="231">
        <f t="shared" si="56"/>
        <v>46.6</v>
      </c>
      <c r="AT415" s="239">
        <f>IF(G415="CERVECERIA Y MALTERIA",(AS415*AK415/1000000)*(1-VLOOKUP(N415,FCST!D:I,6,FALSE)),0)</f>
        <v>15.911700480000002</v>
      </c>
      <c r="AU415" s="232">
        <v>5.0000000000000001E-3</v>
      </c>
      <c r="AV415" s="239">
        <f t="shared" si="57"/>
        <v>15.9912589824</v>
      </c>
      <c r="AW415" s="239">
        <f>(AS415*AK415/1000000)*(VLOOKUP(N415,FCST!D:I,6,FALSE))</f>
        <v>3.9779251200000005</v>
      </c>
      <c r="AX415" s="239">
        <f t="shared" si="58"/>
        <v>3.9978147455999999</v>
      </c>
      <c r="AY415" s="239">
        <f>IF($G415="CERVECERIA Y MALTERIA.",($AS415*$AK415/1000000)*(1-VLOOKUP($N415,FCST!D:I,6,FALSE)),0)</f>
        <v>0</v>
      </c>
      <c r="AZ415" s="239">
        <f t="shared" si="59"/>
        <v>0</v>
      </c>
    </row>
    <row r="416" spans="1:52" x14ac:dyDescent="0.25">
      <c r="A416" s="209">
        <v>1088346</v>
      </c>
      <c r="B416" s="209">
        <v>20</v>
      </c>
      <c r="C416" s="209">
        <v>89325376</v>
      </c>
      <c r="D416" s="209">
        <v>10</v>
      </c>
      <c r="E416" s="209">
        <v>10000002</v>
      </c>
      <c r="F416" s="209">
        <v>20000335</v>
      </c>
      <c r="G416" s="209" t="s">
        <v>105</v>
      </c>
      <c r="H416" s="209">
        <v>20000335</v>
      </c>
      <c r="I416" s="209">
        <v>2</v>
      </c>
      <c r="J416" s="209" t="s">
        <v>169</v>
      </c>
      <c r="K416" s="209" t="s">
        <v>786</v>
      </c>
      <c r="L416" s="209" t="s">
        <v>171</v>
      </c>
      <c r="M416" s="209" t="s">
        <v>172</v>
      </c>
      <c r="N416" s="209">
        <v>50032573</v>
      </c>
      <c r="O416" s="209" t="s">
        <v>173</v>
      </c>
      <c r="P416" s="209">
        <v>5121</v>
      </c>
      <c r="Q416" s="209" t="s">
        <v>174</v>
      </c>
      <c r="R416" s="209" t="s">
        <v>175</v>
      </c>
      <c r="S416" s="209" t="s">
        <v>176</v>
      </c>
      <c r="T416" s="209" t="s">
        <v>177</v>
      </c>
      <c r="U416" s="209" t="s">
        <v>178</v>
      </c>
      <c r="V416" s="209" t="s">
        <v>179</v>
      </c>
      <c r="W416" s="209" t="s">
        <v>179</v>
      </c>
      <c r="X416" s="209" t="s">
        <v>180</v>
      </c>
      <c r="Y416" s="209" t="s">
        <v>180</v>
      </c>
      <c r="Z416" s="209">
        <v>9521067075</v>
      </c>
      <c r="AA416" s="209" t="s">
        <v>719</v>
      </c>
      <c r="AB416" s="209" t="s">
        <v>180</v>
      </c>
      <c r="AC416" s="209" t="s">
        <v>182</v>
      </c>
      <c r="AD416" s="209">
        <v>12</v>
      </c>
      <c r="AE416" s="209">
        <v>2024</v>
      </c>
      <c r="AF416" s="227">
        <v>45624</v>
      </c>
      <c r="AG416" s="227">
        <v>45628</v>
      </c>
      <c r="AH416" s="227">
        <v>45628</v>
      </c>
      <c r="AI416" s="228">
        <v>470304</v>
      </c>
      <c r="AJ416" s="228">
        <v>46</v>
      </c>
      <c r="AK416" s="228">
        <v>470304</v>
      </c>
      <c r="AL416" s="228">
        <v>46</v>
      </c>
      <c r="AM416" s="228">
        <v>0</v>
      </c>
      <c r="AN416" s="228">
        <v>0</v>
      </c>
      <c r="AO416" s="229">
        <v>49</v>
      </c>
      <c r="AP416" s="231">
        <v>12</v>
      </c>
      <c r="AQ416" s="231">
        <v>2024</v>
      </c>
      <c r="AR416" s="231" t="str">
        <f t="shared" si="55"/>
        <v>12/2024</v>
      </c>
      <c r="AS416" s="231">
        <f t="shared" si="56"/>
        <v>37.200000000000003</v>
      </c>
      <c r="AT416" s="239">
        <f>IF(G416="CERVECERIA Y MALTERIA",(AS416*AK416/1000000)*(1-VLOOKUP(N416,FCST!D:I,6,FALSE)),0)</f>
        <v>17.4953088</v>
      </c>
      <c r="AU416" s="232">
        <v>5.0000000000000001E-3</v>
      </c>
      <c r="AV416" s="239">
        <f t="shared" si="57"/>
        <v>17.582785343999998</v>
      </c>
      <c r="AW416" s="239">
        <f>(AS416*AK416/1000000)*(VLOOKUP(N416,FCST!D:I,6,FALSE))</f>
        <v>0</v>
      </c>
      <c r="AX416" s="239">
        <f t="shared" si="58"/>
        <v>0</v>
      </c>
      <c r="AY416" s="239">
        <f>IF($G416="CERVECERIA Y MALTERIA.",($AS416*$AK416/1000000)*(1-VLOOKUP($N416,FCST!D:I,6,FALSE)),0)</f>
        <v>0</v>
      </c>
      <c r="AZ416" s="239">
        <f t="shared" si="59"/>
        <v>0</v>
      </c>
    </row>
    <row r="417" spans="1:52" x14ac:dyDescent="0.25">
      <c r="A417" s="209">
        <v>1088346</v>
      </c>
      <c r="B417" s="209">
        <v>10</v>
      </c>
      <c r="C417" s="209">
        <v>89325368</v>
      </c>
      <c r="D417" s="209">
        <v>10</v>
      </c>
      <c r="E417" s="209">
        <v>10000002</v>
      </c>
      <c r="F417" s="209">
        <v>20000335</v>
      </c>
      <c r="G417" s="209" t="s">
        <v>105</v>
      </c>
      <c r="H417" s="209">
        <v>20000335</v>
      </c>
      <c r="I417" s="209">
        <v>2</v>
      </c>
      <c r="J417" s="209" t="s">
        <v>169</v>
      </c>
      <c r="K417" s="209" t="s">
        <v>787</v>
      </c>
      <c r="L417" s="209" t="s">
        <v>171</v>
      </c>
      <c r="M417" s="209" t="s">
        <v>199</v>
      </c>
      <c r="N417" s="209">
        <v>50034574</v>
      </c>
      <c r="O417" s="209" t="s">
        <v>196</v>
      </c>
      <c r="P417" s="209">
        <v>5121</v>
      </c>
      <c r="Q417" s="209" t="s">
        <v>200</v>
      </c>
      <c r="R417" s="209" t="s">
        <v>201</v>
      </c>
      <c r="S417" s="209" t="s">
        <v>202</v>
      </c>
      <c r="T417" s="209" t="s">
        <v>203</v>
      </c>
      <c r="U417" s="209" t="s">
        <v>201</v>
      </c>
      <c r="V417" s="209" t="s">
        <v>179</v>
      </c>
      <c r="W417" s="209" t="s">
        <v>179</v>
      </c>
      <c r="X417" s="209" t="s">
        <v>180</v>
      </c>
      <c r="Y417" s="209" t="s">
        <v>180</v>
      </c>
      <c r="Z417" s="209">
        <v>9521067077</v>
      </c>
      <c r="AA417" s="209" t="s">
        <v>788</v>
      </c>
      <c r="AB417" s="209" t="s">
        <v>180</v>
      </c>
      <c r="AC417" s="209" t="s">
        <v>182</v>
      </c>
      <c r="AD417" s="209">
        <v>12</v>
      </c>
      <c r="AE417" s="209">
        <v>2024</v>
      </c>
      <c r="AF417" s="227">
        <v>45624</v>
      </c>
      <c r="AG417" s="227">
        <v>45628</v>
      </c>
      <c r="AH417" s="227">
        <v>45628</v>
      </c>
      <c r="AI417" s="228">
        <v>977184</v>
      </c>
      <c r="AJ417" s="228">
        <v>52</v>
      </c>
      <c r="AK417" s="228">
        <v>977184</v>
      </c>
      <c r="AL417" s="228">
        <v>52</v>
      </c>
      <c r="AM417" s="228">
        <v>0</v>
      </c>
      <c r="AN417" s="228">
        <v>0</v>
      </c>
      <c r="AO417" s="229">
        <v>49</v>
      </c>
      <c r="AP417" s="231">
        <v>12</v>
      </c>
      <c r="AQ417" s="231">
        <v>2024</v>
      </c>
      <c r="AR417" s="231" t="str">
        <f t="shared" si="55"/>
        <v>12/2024</v>
      </c>
      <c r="AS417" s="231">
        <f t="shared" si="56"/>
        <v>19.5</v>
      </c>
      <c r="AT417" s="239">
        <f>IF(G417="CERVECERIA Y MALTERIA",(AS417*AK417/1000000)*(1-VLOOKUP(N417,FCST!D:I,6,FALSE)),0)</f>
        <v>19.055088000000001</v>
      </c>
      <c r="AU417" s="232">
        <v>5.0000000000000001E-3</v>
      </c>
      <c r="AV417" s="239">
        <f t="shared" si="57"/>
        <v>19.15036344</v>
      </c>
      <c r="AW417" s="239">
        <f>(AS417*AK417/1000000)*(VLOOKUP(N417,FCST!D:I,6,FALSE))</f>
        <v>0</v>
      </c>
      <c r="AX417" s="239">
        <f t="shared" si="58"/>
        <v>0</v>
      </c>
      <c r="AY417" s="239">
        <f>IF($G417="CERVECERIA Y MALTERIA.",($AS417*$AK417/1000000)*(1-VLOOKUP($N417,FCST!D:I,6,FALSE)),0)</f>
        <v>0</v>
      </c>
      <c r="AZ417" s="239">
        <f t="shared" si="59"/>
        <v>0</v>
      </c>
    </row>
    <row r="418" spans="1:52" x14ac:dyDescent="0.25">
      <c r="A418" s="209">
        <v>1088349</v>
      </c>
      <c r="B418" s="209">
        <v>60</v>
      </c>
      <c r="C418" s="209">
        <v>89325375</v>
      </c>
      <c r="D418" s="209">
        <v>10</v>
      </c>
      <c r="E418" s="209">
        <v>10000002</v>
      </c>
      <c r="F418" s="209">
        <v>20000340</v>
      </c>
      <c r="G418" s="209" t="s">
        <v>117</v>
      </c>
      <c r="H418" s="209">
        <v>20000340</v>
      </c>
      <c r="I418" s="209">
        <v>2</v>
      </c>
      <c r="J418" s="209" t="s">
        <v>169</v>
      </c>
      <c r="K418" s="209" t="s">
        <v>789</v>
      </c>
      <c r="L418" s="209" t="s">
        <v>171</v>
      </c>
      <c r="M418" s="209" t="s">
        <v>172</v>
      </c>
      <c r="N418" s="209">
        <v>50027468</v>
      </c>
      <c r="O418" s="209" t="s">
        <v>285</v>
      </c>
      <c r="P418" s="209">
        <v>5101</v>
      </c>
      <c r="Q418" s="209" t="s">
        <v>186</v>
      </c>
      <c r="R418" s="209" t="s">
        <v>175</v>
      </c>
      <c r="S418" s="209" t="s">
        <v>176</v>
      </c>
      <c r="T418" s="209" t="s">
        <v>187</v>
      </c>
      <c r="U418" s="209" t="s">
        <v>188</v>
      </c>
      <c r="V418" s="209" t="s">
        <v>179</v>
      </c>
      <c r="W418" s="209" t="s">
        <v>179</v>
      </c>
      <c r="X418" s="209" t="s">
        <v>180</v>
      </c>
      <c r="Y418" s="209" t="s">
        <v>180</v>
      </c>
      <c r="Z418" s="209">
        <v>9511047238</v>
      </c>
      <c r="AA418" s="209" t="s">
        <v>748</v>
      </c>
      <c r="AB418" s="209" t="s">
        <v>180</v>
      </c>
      <c r="AC418" s="209" t="s">
        <v>182</v>
      </c>
      <c r="AD418" s="209">
        <v>12</v>
      </c>
      <c r="AE418" s="209">
        <v>2024</v>
      </c>
      <c r="AF418" s="227">
        <v>45624</v>
      </c>
      <c r="AG418" s="227">
        <v>45628</v>
      </c>
      <c r="AH418" s="227">
        <v>45628</v>
      </c>
      <c r="AI418" s="228">
        <v>46080</v>
      </c>
      <c r="AJ418" s="228">
        <v>6</v>
      </c>
      <c r="AK418" s="228">
        <v>46080</v>
      </c>
      <c r="AL418" s="228">
        <v>6</v>
      </c>
      <c r="AM418" s="228">
        <v>0</v>
      </c>
      <c r="AN418" s="228">
        <v>0</v>
      </c>
      <c r="AO418" s="229">
        <v>49</v>
      </c>
      <c r="AP418" s="231">
        <v>12</v>
      </c>
      <c r="AQ418" s="231">
        <v>2024</v>
      </c>
      <c r="AR418" s="231" t="str">
        <f t="shared" si="55"/>
        <v>12/2024</v>
      </c>
      <c r="AS418" s="231">
        <f t="shared" si="56"/>
        <v>52</v>
      </c>
      <c r="AT418" s="239">
        <f>IF(G418="CERVECERIA Y MALTERIA",(AS418*AK418/1000000)*(1-VLOOKUP(N418,FCST!D:I,6,FALSE)),0)</f>
        <v>0</v>
      </c>
      <c r="AU418" s="232">
        <v>5.0000000000000001E-3</v>
      </c>
      <c r="AV418" s="239">
        <f t="shared" si="57"/>
        <v>0</v>
      </c>
      <c r="AW418" s="239">
        <f>(AS418*AK418/1000000)*(VLOOKUP(N418,FCST!D:I,6,FALSE))</f>
        <v>0</v>
      </c>
      <c r="AX418" s="239">
        <f t="shared" si="58"/>
        <v>0</v>
      </c>
      <c r="AY418" s="239">
        <f>IF($G418="CERVECERIA Y MALTERIA.",($AS418*$AK418/1000000)*(1-VLOOKUP($N418,FCST!D:I,6,FALSE)),0)</f>
        <v>2.3961600000000001</v>
      </c>
      <c r="AZ418" s="239">
        <f t="shared" si="59"/>
        <v>2.4081408</v>
      </c>
    </row>
    <row r="419" spans="1:52" x14ac:dyDescent="0.25">
      <c r="A419" s="209">
        <v>1088349</v>
      </c>
      <c r="B419" s="209">
        <v>30</v>
      </c>
      <c r="C419" s="209">
        <v>89327576</v>
      </c>
      <c r="D419" s="209">
        <v>10</v>
      </c>
      <c r="E419" s="209">
        <v>10000002</v>
      </c>
      <c r="F419" s="209">
        <v>20000340</v>
      </c>
      <c r="G419" s="209" t="s">
        <v>117</v>
      </c>
      <c r="H419" s="209">
        <v>20000340</v>
      </c>
      <c r="I419" s="209">
        <v>2</v>
      </c>
      <c r="J419" s="209" t="s">
        <v>169</v>
      </c>
      <c r="K419" s="209" t="s">
        <v>790</v>
      </c>
      <c r="L419" s="209" t="s">
        <v>171</v>
      </c>
      <c r="M419" s="209" t="s">
        <v>172</v>
      </c>
      <c r="N419" s="209">
        <v>50036718</v>
      </c>
      <c r="O419" s="209" t="s">
        <v>259</v>
      </c>
      <c r="P419" s="209">
        <v>5101</v>
      </c>
      <c r="Q419" s="209" t="s">
        <v>186</v>
      </c>
      <c r="R419" s="209" t="s">
        <v>175</v>
      </c>
      <c r="S419" s="209" t="s">
        <v>176</v>
      </c>
      <c r="T419" s="209" t="s">
        <v>187</v>
      </c>
      <c r="U419" s="209" t="s">
        <v>188</v>
      </c>
      <c r="V419" s="209" t="s">
        <v>179</v>
      </c>
      <c r="W419" s="209" t="s">
        <v>179</v>
      </c>
      <c r="X419" s="209" t="s">
        <v>180</v>
      </c>
      <c r="Y419" s="209" t="s">
        <v>180</v>
      </c>
      <c r="Z419" s="209">
        <v>9511047239</v>
      </c>
      <c r="AA419" s="209" t="s">
        <v>791</v>
      </c>
      <c r="AB419" s="209" t="s">
        <v>180</v>
      </c>
      <c r="AC419" s="209" t="s">
        <v>182</v>
      </c>
      <c r="AD419" s="209">
        <v>12</v>
      </c>
      <c r="AE419" s="209">
        <v>2024</v>
      </c>
      <c r="AF419" s="227">
        <v>45624</v>
      </c>
      <c r="AG419" s="227">
        <v>45630</v>
      </c>
      <c r="AH419" s="227">
        <v>45630</v>
      </c>
      <c r="AI419" s="228">
        <v>519168</v>
      </c>
      <c r="AJ419" s="228">
        <v>52</v>
      </c>
      <c r="AK419" s="228">
        <v>519168</v>
      </c>
      <c r="AL419" s="228">
        <v>52</v>
      </c>
      <c r="AM419" s="228">
        <v>0</v>
      </c>
      <c r="AN419" s="228">
        <v>0</v>
      </c>
      <c r="AO419" s="229">
        <v>49</v>
      </c>
      <c r="AP419" s="231">
        <v>12</v>
      </c>
      <c r="AQ419" s="231">
        <v>2024</v>
      </c>
      <c r="AR419" s="231" t="str">
        <f t="shared" si="55"/>
        <v>12/2024</v>
      </c>
      <c r="AS419" s="231">
        <f t="shared" si="56"/>
        <v>34</v>
      </c>
      <c r="AT419" s="239">
        <f>IF(G419="CERVECERIA Y MALTERIA",(AS419*AK419/1000000)*(1-VLOOKUP(N419,FCST!D:I,6,FALSE)),0)</f>
        <v>0</v>
      </c>
      <c r="AU419" s="232">
        <v>5.0000000000000001E-3</v>
      </c>
      <c r="AV419" s="239">
        <f t="shared" si="57"/>
        <v>0</v>
      </c>
      <c r="AW419" s="239">
        <f>(AS419*AK419/1000000)*(VLOOKUP(N419,FCST!D:I,6,FALSE))</f>
        <v>0</v>
      </c>
      <c r="AX419" s="239">
        <f t="shared" si="58"/>
        <v>0</v>
      </c>
      <c r="AY419" s="239">
        <f>IF($G419="CERVECERIA Y MALTERIA.",($AS419*$AK419/1000000)*(1-VLOOKUP($N419,FCST!D:I,6,FALSE)),0)</f>
        <v>17.651712</v>
      </c>
      <c r="AZ419" s="239">
        <f t="shared" si="59"/>
        <v>17.73997056</v>
      </c>
    </row>
    <row r="420" spans="1:52" x14ac:dyDescent="0.25">
      <c r="A420" s="209">
        <v>1088346</v>
      </c>
      <c r="B420" s="209">
        <v>80</v>
      </c>
      <c r="C420" s="209">
        <v>89327604</v>
      </c>
      <c r="D420" s="209">
        <v>10</v>
      </c>
      <c r="E420" s="209">
        <v>10000002</v>
      </c>
      <c r="F420" s="209">
        <v>20000335</v>
      </c>
      <c r="G420" s="209" t="s">
        <v>105</v>
      </c>
      <c r="H420" s="209">
        <v>20000335</v>
      </c>
      <c r="I420" s="209">
        <v>2</v>
      </c>
      <c r="J420" s="209" t="s">
        <v>169</v>
      </c>
      <c r="K420" s="209" t="s">
        <v>792</v>
      </c>
      <c r="L420" s="209" t="s">
        <v>171</v>
      </c>
      <c r="M420" s="209" t="s">
        <v>172</v>
      </c>
      <c r="N420" s="209">
        <v>50037042</v>
      </c>
      <c r="O420" s="209" t="s">
        <v>543</v>
      </c>
      <c r="P420" s="209">
        <v>5121</v>
      </c>
      <c r="Q420" s="209" t="s">
        <v>174</v>
      </c>
      <c r="R420" s="209" t="s">
        <v>175</v>
      </c>
      <c r="S420" s="209" t="s">
        <v>176</v>
      </c>
      <c r="T420" s="209" t="s">
        <v>177</v>
      </c>
      <c r="U420" s="209" t="s">
        <v>178</v>
      </c>
      <c r="V420" s="209" t="s">
        <v>179</v>
      </c>
      <c r="W420" s="209" t="s">
        <v>179</v>
      </c>
      <c r="X420" s="209" t="s">
        <v>180</v>
      </c>
      <c r="Y420" s="209" t="s">
        <v>180</v>
      </c>
      <c r="Z420" s="209">
        <v>9521067081</v>
      </c>
      <c r="AA420" s="209" t="s">
        <v>692</v>
      </c>
      <c r="AB420" s="209" t="s">
        <v>180</v>
      </c>
      <c r="AC420" s="209" t="s">
        <v>182</v>
      </c>
      <c r="AD420" s="209">
        <v>12</v>
      </c>
      <c r="AE420" s="209">
        <v>2024</v>
      </c>
      <c r="AF420" s="227">
        <v>45624</v>
      </c>
      <c r="AG420" s="227">
        <v>45630</v>
      </c>
      <c r="AH420" s="227">
        <v>45630</v>
      </c>
      <c r="AI420" s="228">
        <v>426816</v>
      </c>
      <c r="AJ420" s="228">
        <v>52</v>
      </c>
      <c r="AK420" s="228">
        <v>426816</v>
      </c>
      <c r="AL420" s="228">
        <v>52</v>
      </c>
      <c r="AM420" s="228">
        <v>0</v>
      </c>
      <c r="AN420" s="228">
        <v>0</v>
      </c>
      <c r="AO420" s="229">
        <v>49</v>
      </c>
      <c r="AP420" s="231">
        <v>12</v>
      </c>
      <c r="AQ420" s="231">
        <v>2024</v>
      </c>
      <c r="AR420" s="231" t="str">
        <f t="shared" si="55"/>
        <v>12/2024</v>
      </c>
      <c r="AS420" s="231">
        <f t="shared" si="56"/>
        <v>46.6</v>
      </c>
      <c r="AT420" s="239">
        <f>IF(G420="CERVECERIA Y MALTERIA",(AS420*AK420/1000000)*(1-VLOOKUP(N420,FCST!D:I,6,FALSE)),0)</f>
        <v>15.911700480000002</v>
      </c>
      <c r="AU420" s="232">
        <v>5.0000000000000001E-3</v>
      </c>
      <c r="AV420" s="239">
        <f t="shared" si="57"/>
        <v>15.9912589824</v>
      </c>
      <c r="AW420" s="239">
        <f>(AS420*AK420/1000000)*(VLOOKUP(N420,FCST!D:I,6,FALSE))</f>
        <v>3.9779251200000005</v>
      </c>
      <c r="AX420" s="239">
        <f t="shared" si="58"/>
        <v>3.9978147455999999</v>
      </c>
      <c r="AY420" s="239">
        <f>IF($G420="CERVECERIA Y MALTERIA.",($AS420*$AK420/1000000)*(1-VLOOKUP($N420,FCST!D:I,6,FALSE)),0)</f>
        <v>0</v>
      </c>
      <c r="AZ420" s="239">
        <f t="shared" si="59"/>
        <v>0</v>
      </c>
    </row>
    <row r="421" spans="1:52" x14ac:dyDescent="0.25">
      <c r="A421" s="209">
        <v>1088346</v>
      </c>
      <c r="B421" s="209">
        <v>130</v>
      </c>
      <c r="C421" s="209">
        <v>89326576</v>
      </c>
      <c r="D421" s="209">
        <v>10</v>
      </c>
      <c r="E421" s="209">
        <v>10000002</v>
      </c>
      <c r="F421" s="209">
        <v>20000335</v>
      </c>
      <c r="G421" s="209" t="s">
        <v>105</v>
      </c>
      <c r="H421" s="209">
        <v>20000335</v>
      </c>
      <c r="I421" s="209">
        <v>2</v>
      </c>
      <c r="J421" s="209" t="s">
        <v>169</v>
      </c>
      <c r="K421" s="209" t="s">
        <v>793</v>
      </c>
      <c r="L421" s="209" t="s">
        <v>171</v>
      </c>
      <c r="M421" s="209" t="s">
        <v>199</v>
      </c>
      <c r="N421" s="209">
        <v>50034574</v>
      </c>
      <c r="O421" s="209" t="s">
        <v>196</v>
      </c>
      <c r="P421" s="209">
        <v>5121</v>
      </c>
      <c r="Q421" s="209" t="s">
        <v>200</v>
      </c>
      <c r="R421" s="209" t="s">
        <v>201</v>
      </c>
      <c r="S421" s="209" t="s">
        <v>202</v>
      </c>
      <c r="T421" s="209" t="s">
        <v>203</v>
      </c>
      <c r="U421" s="209" t="s">
        <v>201</v>
      </c>
      <c r="V421" s="209" t="s">
        <v>179</v>
      </c>
      <c r="W421" s="209" t="s">
        <v>179</v>
      </c>
      <c r="X421" s="209" t="s">
        <v>180</v>
      </c>
      <c r="Y421" s="209" t="s">
        <v>180</v>
      </c>
      <c r="Z421" s="209">
        <v>9521067077</v>
      </c>
      <c r="AA421" s="209" t="s">
        <v>788</v>
      </c>
      <c r="AB421" s="209" t="s">
        <v>180</v>
      </c>
      <c r="AC421" s="209" t="s">
        <v>182</v>
      </c>
      <c r="AD421" s="209">
        <v>12</v>
      </c>
      <c r="AE421" s="209">
        <v>2024</v>
      </c>
      <c r="AF421" s="227">
        <v>45624</v>
      </c>
      <c r="AG421" s="227">
        <v>45629</v>
      </c>
      <c r="AH421" s="227">
        <v>45629</v>
      </c>
      <c r="AI421" s="228">
        <v>977184</v>
      </c>
      <c r="AJ421" s="228">
        <v>52</v>
      </c>
      <c r="AK421" s="228">
        <v>977184</v>
      </c>
      <c r="AL421" s="228">
        <v>52</v>
      </c>
      <c r="AM421" s="228">
        <v>0</v>
      </c>
      <c r="AN421" s="228">
        <v>0</v>
      </c>
      <c r="AO421" s="229">
        <v>49</v>
      </c>
      <c r="AP421" s="231">
        <v>12</v>
      </c>
      <c r="AQ421" s="231">
        <v>2024</v>
      </c>
      <c r="AR421" s="231" t="str">
        <f t="shared" si="55"/>
        <v>12/2024</v>
      </c>
      <c r="AS421" s="231">
        <f t="shared" si="56"/>
        <v>19.5</v>
      </c>
      <c r="AT421" s="239">
        <f>IF(G421="CERVECERIA Y MALTERIA",(AS421*AK421/1000000)*(1-VLOOKUP(N421,FCST!D:I,6,FALSE)),0)</f>
        <v>19.055088000000001</v>
      </c>
      <c r="AU421" s="232">
        <v>5.0000000000000001E-3</v>
      </c>
      <c r="AV421" s="239">
        <f t="shared" si="57"/>
        <v>19.15036344</v>
      </c>
      <c r="AW421" s="239">
        <f>(AS421*AK421/1000000)*(VLOOKUP(N421,FCST!D:I,6,FALSE))</f>
        <v>0</v>
      </c>
      <c r="AX421" s="239">
        <f t="shared" si="58"/>
        <v>0</v>
      </c>
      <c r="AY421" s="239">
        <f>IF($G421="CERVECERIA Y MALTERIA.",($AS421*$AK421/1000000)*(1-VLOOKUP($N421,FCST!D:I,6,FALSE)),0)</f>
        <v>0</v>
      </c>
      <c r="AZ421" s="239">
        <f t="shared" si="59"/>
        <v>0</v>
      </c>
    </row>
    <row r="422" spans="1:52" x14ac:dyDescent="0.25">
      <c r="A422" s="209">
        <v>1088346</v>
      </c>
      <c r="B422" s="209">
        <v>50</v>
      </c>
      <c r="C422" s="209">
        <v>89326599</v>
      </c>
      <c r="D422" s="209">
        <v>10</v>
      </c>
      <c r="E422" s="209">
        <v>10000002</v>
      </c>
      <c r="F422" s="209">
        <v>20000335</v>
      </c>
      <c r="G422" s="209" t="s">
        <v>105</v>
      </c>
      <c r="H422" s="209">
        <v>20000335</v>
      </c>
      <c r="I422" s="209">
        <v>2</v>
      </c>
      <c r="J422" s="209" t="s">
        <v>169</v>
      </c>
      <c r="K422" s="209" t="s">
        <v>794</v>
      </c>
      <c r="L422" s="209" t="s">
        <v>171</v>
      </c>
      <c r="M422" s="209" t="s">
        <v>172</v>
      </c>
      <c r="N422" s="209">
        <v>50037042</v>
      </c>
      <c r="O422" s="209" t="s">
        <v>543</v>
      </c>
      <c r="P422" s="209">
        <v>5121</v>
      </c>
      <c r="Q422" s="209" t="s">
        <v>174</v>
      </c>
      <c r="R422" s="209" t="s">
        <v>175</v>
      </c>
      <c r="S422" s="209" t="s">
        <v>176</v>
      </c>
      <c r="T422" s="209" t="s">
        <v>177</v>
      </c>
      <c r="U422" s="209" t="s">
        <v>178</v>
      </c>
      <c r="V422" s="209" t="s">
        <v>179</v>
      </c>
      <c r="W422" s="209" t="s">
        <v>179</v>
      </c>
      <c r="X422" s="209" t="s">
        <v>180</v>
      </c>
      <c r="Y422" s="209" t="s">
        <v>180</v>
      </c>
      <c r="Z422" s="209">
        <v>9521067081</v>
      </c>
      <c r="AA422" s="209" t="s">
        <v>692</v>
      </c>
      <c r="AB422" s="209" t="s">
        <v>180</v>
      </c>
      <c r="AC422" s="209" t="s">
        <v>182</v>
      </c>
      <c r="AD422" s="209">
        <v>12</v>
      </c>
      <c r="AE422" s="209">
        <v>2024</v>
      </c>
      <c r="AF422" s="227">
        <v>45624</v>
      </c>
      <c r="AG422" s="227">
        <v>45629</v>
      </c>
      <c r="AH422" s="227">
        <v>45629</v>
      </c>
      <c r="AI422" s="228">
        <v>426816</v>
      </c>
      <c r="AJ422" s="228">
        <v>52</v>
      </c>
      <c r="AK422" s="228">
        <v>426816</v>
      </c>
      <c r="AL422" s="228">
        <v>52</v>
      </c>
      <c r="AM422" s="228">
        <v>0</v>
      </c>
      <c r="AN422" s="228">
        <v>0</v>
      </c>
      <c r="AO422" s="229">
        <v>49</v>
      </c>
      <c r="AP422" s="231">
        <v>12</v>
      </c>
      <c r="AQ422" s="231">
        <v>2024</v>
      </c>
      <c r="AR422" s="231" t="str">
        <f t="shared" si="55"/>
        <v>12/2024</v>
      </c>
      <c r="AS422" s="231">
        <f t="shared" si="56"/>
        <v>46.6</v>
      </c>
      <c r="AT422" s="239">
        <f>IF(G422="CERVECERIA Y MALTERIA",(AS422*AK422/1000000)*(1-VLOOKUP(N422,FCST!D:I,6,FALSE)),0)</f>
        <v>15.911700480000002</v>
      </c>
      <c r="AU422" s="232">
        <v>5.0000000000000001E-3</v>
      </c>
      <c r="AV422" s="239">
        <f t="shared" si="57"/>
        <v>15.9912589824</v>
      </c>
      <c r="AW422" s="239">
        <f>(AS422*AK422/1000000)*(VLOOKUP(N422,FCST!D:I,6,FALSE))</f>
        <v>3.9779251200000005</v>
      </c>
      <c r="AX422" s="239">
        <f t="shared" si="58"/>
        <v>3.9978147455999999</v>
      </c>
      <c r="AY422" s="239">
        <f>IF($G422="CERVECERIA Y MALTERIA.",($AS422*$AK422/1000000)*(1-VLOOKUP($N422,FCST!D:I,6,FALSE)),0)</f>
        <v>0</v>
      </c>
      <c r="AZ422" s="239">
        <f t="shared" si="59"/>
        <v>0</v>
      </c>
    </row>
    <row r="423" spans="1:52" x14ac:dyDescent="0.25">
      <c r="A423" s="209">
        <v>1088346</v>
      </c>
      <c r="B423" s="209">
        <v>70</v>
      </c>
      <c r="C423" s="209">
        <v>89326661</v>
      </c>
      <c r="D423" s="209">
        <v>10</v>
      </c>
      <c r="E423" s="209">
        <v>10000002</v>
      </c>
      <c r="F423" s="209">
        <v>20000335</v>
      </c>
      <c r="G423" s="209" t="s">
        <v>105</v>
      </c>
      <c r="H423" s="209">
        <v>20000335</v>
      </c>
      <c r="I423" s="209">
        <v>2</v>
      </c>
      <c r="J423" s="209" t="s">
        <v>169</v>
      </c>
      <c r="K423" s="209" t="s">
        <v>795</v>
      </c>
      <c r="L423" s="209" t="s">
        <v>171</v>
      </c>
      <c r="M423" s="209" t="s">
        <v>172</v>
      </c>
      <c r="N423" s="209">
        <v>50037042</v>
      </c>
      <c r="O423" s="209" t="s">
        <v>543</v>
      </c>
      <c r="P423" s="209">
        <v>5121</v>
      </c>
      <c r="Q423" s="209" t="s">
        <v>174</v>
      </c>
      <c r="R423" s="209" t="s">
        <v>175</v>
      </c>
      <c r="S423" s="209" t="s">
        <v>176</v>
      </c>
      <c r="T423" s="209" t="s">
        <v>177</v>
      </c>
      <c r="U423" s="209" t="s">
        <v>178</v>
      </c>
      <c r="V423" s="209" t="s">
        <v>179</v>
      </c>
      <c r="W423" s="209" t="s">
        <v>179</v>
      </c>
      <c r="X423" s="209" t="s">
        <v>180</v>
      </c>
      <c r="Y423" s="209" t="s">
        <v>180</v>
      </c>
      <c r="Z423" s="209">
        <v>9521067081</v>
      </c>
      <c r="AA423" s="209" t="s">
        <v>692</v>
      </c>
      <c r="AB423" s="209" t="s">
        <v>180</v>
      </c>
      <c r="AC423" s="209" t="s">
        <v>182</v>
      </c>
      <c r="AD423" s="209">
        <v>12</v>
      </c>
      <c r="AE423" s="209">
        <v>2024</v>
      </c>
      <c r="AF423" s="227">
        <v>45624</v>
      </c>
      <c r="AG423" s="227">
        <v>45629</v>
      </c>
      <c r="AH423" s="227">
        <v>45629</v>
      </c>
      <c r="AI423" s="228">
        <v>426816</v>
      </c>
      <c r="AJ423" s="228">
        <v>52</v>
      </c>
      <c r="AK423" s="228">
        <v>426816</v>
      </c>
      <c r="AL423" s="228">
        <v>52</v>
      </c>
      <c r="AM423" s="228">
        <v>0</v>
      </c>
      <c r="AN423" s="228">
        <v>0</v>
      </c>
      <c r="AO423" s="229">
        <v>49</v>
      </c>
      <c r="AP423" s="231">
        <v>12</v>
      </c>
      <c r="AQ423" s="231">
        <v>2024</v>
      </c>
      <c r="AR423" s="231" t="str">
        <f t="shared" si="55"/>
        <v>12/2024</v>
      </c>
      <c r="AS423" s="231">
        <f t="shared" si="56"/>
        <v>46.6</v>
      </c>
      <c r="AT423" s="239">
        <f>IF(G423="CERVECERIA Y MALTERIA",(AS423*AK423/1000000)*(1-VLOOKUP(N423,FCST!D:I,6,FALSE)),0)</f>
        <v>15.911700480000002</v>
      </c>
      <c r="AU423" s="232">
        <v>5.0000000000000001E-3</v>
      </c>
      <c r="AV423" s="239">
        <f t="shared" si="57"/>
        <v>15.9912589824</v>
      </c>
      <c r="AW423" s="239">
        <f>(AS423*AK423/1000000)*(VLOOKUP(N423,FCST!D:I,6,FALSE))</f>
        <v>3.9779251200000005</v>
      </c>
      <c r="AX423" s="239">
        <f t="shared" si="58"/>
        <v>3.9978147455999999</v>
      </c>
      <c r="AY423" s="239">
        <f>IF($G423="CERVECERIA Y MALTERIA.",($AS423*$AK423/1000000)*(1-VLOOKUP($N423,FCST!D:I,6,FALSE)),0)</f>
        <v>0</v>
      </c>
      <c r="AZ423" s="239">
        <f t="shared" si="59"/>
        <v>0</v>
      </c>
    </row>
    <row r="424" spans="1:52" x14ac:dyDescent="0.25">
      <c r="A424" s="209">
        <v>1088746</v>
      </c>
      <c r="B424" s="209">
        <v>10</v>
      </c>
      <c r="C424" s="209">
        <v>89327056</v>
      </c>
      <c r="D424" s="209">
        <v>10</v>
      </c>
      <c r="E424" s="209">
        <v>10000002</v>
      </c>
      <c r="F424" s="209">
        <v>20001057</v>
      </c>
      <c r="G424" s="209" t="s">
        <v>105</v>
      </c>
      <c r="H424" s="209">
        <v>20001057</v>
      </c>
      <c r="I424" s="209">
        <v>2</v>
      </c>
      <c r="J424" s="209" t="s">
        <v>169</v>
      </c>
      <c r="K424" s="209" t="s">
        <v>796</v>
      </c>
      <c r="L424" s="209" t="s">
        <v>265</v>
      </c>
      <c r="M424" s="209" t="s">
        <v>199</v>
      </c>
      <c r="N424" s="209">
        <v>50034574</v>
      </c>
      <c r="O424" s="209" t="s">
        <v>196</v>
      </c>
      <c r="P424" s="209">
        <v>5121</v>
      </c>
      <c r="Q424" s="209" t="s">
        <v>200</v>
      </c>
      <c r="R424" s="209" t="s">
        <v>201</v>
      </c>
      <c r="S424" s="209" t="s">
        <v>202</v>
      </c>
      <c r="T424" s="209" t="s">
        <v>203</v>
      </c>
      <c r="U424" s="209" t="s">
        <v>201</v>
      </c>
      <c r="V424" s="209" t="s">
        <v>179</v>
      </c>
      <c r="W424" s="209" t="s">
        <v>179</v>
      </c>
      <c r="X424" s="209" t="s">
        <v>180</v>
      </c>
      <c r="Y424" s="209" t="s">
        <v>180</v>
      </c>
      <c r="Z424" s="209">
        <v>9521067087</v>
      </c>
      <c r="AA424" s="209" t="s">
        <v>797</v>
      </c>
      <c r="AB424" s="209" t="s">
        <v>180</v>
      </c>
      <c r="AC424" s="209" t="s">
        <v>182</v>
      </c>
      <c r="AD424" s="209">
        <v>12</v>
      </c>
      <c r="AE424" s="209">
        <v>2024</v>
      </c>
      <c r="AF424" s="227">
        <v>45628</v>
      </c>
      <c r="AG424" s="227">
        <v>45629</v>
      </c>
      <c r="AH424" s="227">
        <v>45629</v>
      </c>
      <c r="AI424" s="228">
        <v>281880</v>
      </c>
      <c r="AJ424" s="228">
        <v>15</v>
      </c>
      <c r="AK424" s="228">
        <v>281880</v>
      </c>
      <c r="AL424" s="228">
        <v>15</v>
      </c>
      <c r="AM424" s="228">
        <v>0</v>
      </c>
      <c r="AN424" s="228">
        <v>0</v>
      </c>
      <c r="AO424" s="229">
        <v>49</v>
      </c>
      <c r="AP424" s="231">
        <v>12</v>
      </c>
      <c r="AQ424" s="231">
        <v>2024</v>
      </c>
      <c r="AR424" s="231" t="str">
        <f t="shared" si="55"/>
        <v>12/2024</v>
      </c>
      <c r="AS424" s="231">
        <f t="shared" si="56"/>
        <v>19.5</v>
      </c>
      <c r="AT424" s="239">
        <f>IF(G424="CERVECERIA Y MALTERIA",(AS424*AK424/1000000)*(1-VLOOKUP(N424,FCST!D:I,6,FALSE)),0)</f>
        <v>5.4966600000000003</v>
      </c>
      <c r="AU424" s="232">
        <v>5.0000000000000001E-3</v>
      </c>
      <c r="AV424" s="239">
        <f t="shared" si="57"/>
        <v>5.5241432999999995</v>
      </c>
      <c r="AW424" s="239">
        <f>(AS424*AK424/1000000)*(VLOOKUP(N424,FCST!D:I,6,FALSE))</f>
        <v>0</v>
      </c>
      <c r="AX424" s="239">
        <f t="shared" si="58"/>
        <v>0</v>
      </c>
      <c r="AY424" s="239">
        <f>IF($G424="CERVECERIA Y MALTERIA.",($AS424*$AK424/1000000)*(1-VLOOKUP($N424,FCST!D:I,6,FALSE)),0)</f>
        <v>0</v>
      </c>
      <c r="AZ424" s="239">
        <f t="shared" si="59"/>
        <v>0</v>
      </c>
    </row>
    <row r="425" spans="1:52" x14ac:dyDescent="0.25">
      <c r="A425" s="209">
        <v>1088746</v>
      </c>
      <c r="B425" s="209">
        <v>20</v>
      </c>
      <c r="C425" s="209">
        <v>89327056</v>
      </c>
      <c r="D425" s="209">
        <v>20</v>
      </c>
      <c r="E425" s="209">
        <v>10000002</v>
      </c>
      <c r="F425" s="209">
        <v>20001057</v>
      </c>
      <c r="G425" s="209" t="s">
        <v>105</v>
      </c>
      <c r="H425" s="209">
        <v>20001057</v>
      </c>
      <c r="I425" s="209">
        <v>2</v>
      </c>
      <c r="J425" s="209" t="s">
        <v>169</v>
      </c>
      <c r="K425" s="209" t="s">
        <v>796</v>
      </c>
      <c r="L425" s="209" t="s">
        <v>265</v>
      </c>
      <c r="M425" s="209" t="s">
        <v>199</v>
      </c>
      <c r="N425" s="209">
        <v>50032573</v>
      </c>
      <c r="O425" s="209" t="s">
        <v>173</v>
      </c>
      <c r="P425" s="209">
        <v>5121</v>
      </c>
      <c r="Q425" s="209" t="s">
        <v>200</v>
      </c>
      <c r="R425" s="209" t="s">
        <v>201</v>
      </c>
      <c r="S425" s="209" t="s">
        <v>202</v>
      </c>
      <c r="T425" s="209" t="s">
        <v>203</v>
      </c>
      <c r="U425" s="209" t="s">
        <v>201</v>
      </c>
      <c r="V425" s="209" t="s">
        <v>179</v>
      </c>
      <c r="W425" s="209" t="s">
        <v>179</v>
      </c>
      <c r="X425" s="209" t="s">
        <v>180</v>
      </c>
      <c r="Y425" s="209" t="s">
        <v>180</v>
      </c>
      <c r="Z425" s="209">
        <v>9521067087</v>
      </c>
      <c r="AA425" s="209" t="s">
        <v>797</v>
      </c>
      <c r="AB425" s="209" t="s">
        <v>180</v>
      </c>
      <c r="AC425" s="209" t="s">
        <v>182</v>
      </c>
      <c r="AD425" s="209">
        <v>12</v>
      </c>
      <c r="AE425" s="209">
        <v>2024</v>
      </c>
      <c r="AF425" s="227">
        <v>45628</v>
      </c>
      <c r="AG425" s="227">
        <v>45629</v>
      </c>
      <c r="AH425" s="227">
        <v>45629</v>
      </c>
      <c r="AI425" s="228">
        <v>378288</v>
      </c>
      <c r="AJ425" s="228">
        <v>37</v>
      </c>
      <c r="AK425" s="228">
        <v>378288</v>
      </c>
      <c r="AL425" s="228">
        <v>37</v>
      </c>
      <c r="AM425" s="228">
        <v>0</v>
      </c>
      <c r="AN425" s="228">
        <v>0</v>
      </c>
      <c r="AO425" s="229">
        <v>49</v>
      </c>
      <c r="AP425" s="231">
        <v>12</v>
      </c>
      <c r="AQ425" s="231">
        <v>2024</v>
      </c>
      <c r="AR425" s="231" t="str">
        <f t="shared" si="55"/>
        <v>12/2024</v>
      </c>
      <c r="AS425" s="231">
        <f t="shared" si="56"/>
        <v>37.200000000000003</v>
      </c>
      <c r="AT425" s="239">
        <f>IF(G425="CERVECERIA Y MALTERIA",(AS425*AK425/1000000)*(1-VLOOKUP(N425,FCST!D:I,6,FALSE)),0)</f>
        <v>14.072313600000001</v>
      </c>
      <c r="AU425" s="232">
        <v>5.0000000000000001E-3</v>
      </c>
      <c r="AV425" s="239">
        <f t="shared" si="57"/>
        <v>14.142675168</v>
      </c>
      <c r="AW425" s="239">
        <f>(AS425*AK425/1000000)*(VLOOKUP(N425,FCST!D:I,6,FALSE))</f>
        <v>0</v>
      </c>
      <c r="AX425" s="239">
        <f t="shared" si="58"/>
        <v>0</v>
      </c>
      <c r="AY425" s="239">
        <f>IF($G425="CERVECERIA Y MALTERIA.",($AS425*$AK425/1000000)*(1-VLOOKUP($N425,FCST!D:I,6,FALSE)),0)</f>
        <v>0</v>
      </c>
      <c r="AZ425" s="239">
        <f t="shared" si="59"/>
        <v>0</v>
      </c>
    </row>
    <row r="426" spans="1:52" x14ac:dyDescent="0.25">
      <c r="A426" s="209">
        <v>1088822</v>
      </c>
      <c r="B426" s="209">
        <v>10</v>
      </c>
      <c r="C426" s="209">
        <v>89327120</v>
      </c>
      <c r="D426" s="209">
        <v>10</v>
      </c>
      <c r="E426" s="209">
        <v>10000002</v>
      </c>
      <c r="F426" s="209">
        <v>20000336</v>
      </c>
      <c r="G426" s="209" t="s">
        <v>105</v>
      </c>
      <c r="H426" s="209">
        <v>20000336</v>
      </c>
      <c r="I426" s="209">
        <v>2</v>
      </c>
      <c r="J426" s="209" t="s">
        <v>169</v>
      </c>
      <c r="K426" s="209" t="s">
        <v>798</v>
      </c>
      <c r="L426" s="209" t="s">
        <v>171</v>
      </c>
      <c r="M426" s="209" t="s">
        <v>184</v>
      </c>
      <c r="N426" s="209">
        <v>50033268</v>
      </c>
      <c r="O426" s="209" t="s">
        <v>253</v>
      </c>
      <c r="P426" s="209">
        <v>5121</v>
      </c>
      <c r="Q426" s="209" t="s">
        <v>174</v>
      </c>
      <c r="R426" s="209" t="s">
        <v>175</v>
      </c>
      <c r="S426" s="209" t="s">
        <v>176</v>
      </c>
      <c r="T426" s="209" t="s">
        <v>177</v>
      </c>
      <c r="U426" s="209" t="s">
        <v>178</v>
      </c>
      <c r="V426" s="209" t="s">
        <v>179</v>
      </c>
      <c r="W426" s="209" t="s">
        <v>179</v>
      </c>
      <c r="X426" s="209" t="s">
        <v>180</v>
      </c>
      <c r="Y426" s="209" t="s">
        <v>180</v>
      </c>
      <c r="Z426" s="209">
        <v>9521067082</v>
      </c>
      <c r="AA426" s="209" t="s">
        <v>723</v>
      </c>
      <c r="AB426" s="209" t="s">
        <v>180</v>
      </c>
      <c r="AC426" s="209" t="s">
        <v>182</v>
      </c>
      <c r="AD426" s="209">
        <v>12</v>
      </c>
      <c r="AE426" s="209">
        <v>2024</v>
      </c>
      <c r="AF426" s="227">
        <v>45629</v>
      </c>
      <c r="AG426" s="227">
        <v>45629</v>
      </c>
      <c r="AH426" s="227">
        <v>45629</v>
      </c>
      <c r="AI426" s="228">
        <v>406848</v>
      </c>
      <c r="AJ426" s="228">
        <v>52</v>
      </c>
      <c r="AK426" s="228">
        <v>406848</v>
      </c>
      <c r="AL426" s="228">
        <v>52</v>
      </c>
      <c r="AM426" s="228">
        <v>0</v>
      </c>
      <c r="AN426" s="228">
        <v>0</v>
      </c>
      <c r="AO426" s="229">
        <v>49</v>
      </c>
      <c r="AP426" s="231">
        <v>12</v>
      </c>
      <c r="AQ426" s="231">
        <v>2024</v>
      </c>
      <c r="AR426" s="231" t="str">
        <f t="shared" si="55"/>
        <v>12/2024</v>
      </c>
      <c r="AS426" s="231">
        <f t="shared" si="56"/>
        <v>44</v>
      </c>
      <c r="AT426" s="239">
        <f>IF(G426="CERVECERIA Y MALTERIA",(AS426*AK426/1000000)*(1-VLOOKUP(N426,FCST!D:I,6,FALSE)),0)</f>
        <v>17.901312000000001</v>
      </c>
      <c r="AU426" s="232">
        <v>5.0000000000000001E-3</v>
      </c>
      <c r="AV426" s="239">
        <f t="shared" si="57"/>
        <v>17.990818559999997</v>
      </c>
      <c r="AW426" s="239">
        <f>(AS426*AK426/1000000)*(VLOOKUP(N426,FCST!D:I,6,FALSE))</f>
        <v>0</v>
      </c>
      <c r="AX426" s="239">
        <f t="shared" si="58"/>
        <v>0</v>
      </c>
      <c r="AY426" s="239">
        <f>IF($G426="CERVECERIA Y MALTERIA.",($AS426*$AK426/1000000)*(1-VLOOKUP($N426,FCST!D:I,6,FALSE)),0)</f>
        <v>0</v>
      </c>
      <c r="AZ426" s="239">
        <f t="shared" si="59"/>
        <v>0</v>
      </c>
    </row>
    <row r="427" spans="1:52" x14ac:dyDescent="0.25">
      <c r="A427" s="209">
        <v>1088346</v>
      </c>
      <c r="B427" s="209">
        <v>110</v>
      </c>
      <c r="C427" s="209">
        <v>89329773</v>
      </c>
      <c r="D427" s="209">
        <v>10</v>
      </c>
      <c r="E427" s="209">
        <v>10000002</v>
      </c>
      <c r="F427" s="209">
        <v>20000335</v>
      </c>
      <c r="G427" s="209" t="s">
        <v>105</v>
      </c>
      <c r="H427" s="209">
        <v>20000335</v>
      </c>
      <c r="I427" s="209">
        <v>2</v>
      </c>
      <c r="J427" s="209" t="s">
        <v>169</v>
      </c>
      <c r="K427" s="209" t="s">
        <v>799</v>
      </c>
      <c r="L427" s="209" t="s">
        <v>171</v>
      </c>
      <c r="M427" s="209" t="s">
        <v>199</v>
      </c>
      <c r="N427" s="209">
        <v>50032573</v>
      </c>
      <c r="O427" s="209" t="s">
        <v>173</v>
      </c>
      <c r="P427" s="209">
        <v>5121</v>
      </c>
      <c r="Q427" s="209" t="s">
        <v>200</v>
      </c>
      <c r="R427" s="209" t="s">
        <v>201</v>
      </c>
      <c r="S427" s="209" t="s">
        <v>202</v>
      </c>
      <c r="T427" s="209" t="s">
        <v>203</v>
      </c>
      <c r="U427" s="209" t="s">
        <v>201</v>
      </c>
      <c r="V427" s="209" t="s">
        <v>179</v>
      </c>
      <c r="W427" s="209" t="s">
        <v>179</v>
      </c>
      <c r="X427" s="209" t="s">
        <v>180</v>
      </c>
      <c r="Y427" s="209" t="s">
        <v>180</v>
      </c>
      <c r="Z427" s="209">
        <v>9521067075</v>
      </c>
      <c r="AA427" s="209" t="s">
        <v>719</v>
      </c>
      <c r="AB427" s="209" t="s">
        <v>180</v>
      </c>
      <c r="AC427" s="209" t="s">
        <v>182</v>
      </c>
      <c r="AD427" s="209">
        <v>12</v>
      </c>
      <c r="AE427" s="209">
        <v>2024</v>
      </c>
      <c r="AF427" s="227">
        <v>45624</v>
      </c>
      <c r="AG427" s="227">
        <v>45632</v>
      </c>
      <c r="AH427" s="227">
        <v>45632</v>
      </c>
      <c r="AI427" s="228">
        <v>531648</v>
      </c>
      <c r="AJ427" s="228">
        <v>52</v>
      </c>
      <c r="AK427" s="228">
        <v>531648</v>
      </c>
      <c r="AL427" s="228">
        <v>52</v>
      </c>
      <c r="AM427" s="228">
        <v>0</v>
      </c>
      <c r="AN427" s="228">
        <v>0</v>
      </c>
      <c r="AO427" s="229">
        <v>49</v>
      </c>
      <c r="AP427" s="231">
        <v>12</v>
      </c>
      <c r="AQ427" s="231">
        <v>2024</v>
      </c>
      <c r="AR427" s="231" t="str">
        <f t="shared" si="55"/>
        <v>12/2024</v>
      </c>
      <c r="AS427" s="231">
        <f t="shared" si="56"/>
        <v>37.200000000000003</v>
      </c>
      <c r="AT427" s="239">
        <f>IF(G427="CERVECERIA Y MALTERIA",(AS427*AK427/1000000)*(1-VLOOKUP(N427,FCST!D:I,6,FALSE)),0)</f>
        <v>19.777305600000002</v>
      </c>
      <c r="AU427" s="232">
        <v>5.0000000000000001E-3</v>
      </c>
      <c r="AV427" s="239">
        <f t="shared" si="57"/>
        <v>19.876192128</v>
      </c>
      <c r="AW427" s="239">
        <f>(AS427*AK427/1000000)*(VLOOKUP(N427,FCST!D:I,6,FALSE))</f>
        <v>0</v>
      </c>
      <c r="AX427" s="239">
        <f t="shared" si="58"/>
        <v>0</v>
      </c>
      <c r="AY427" s="239">
        <f>IF($G427="CERVECERIA Y MALTERIA.",($AS427*$AK427/1000000)*(1-VLOOKUP($N427,FCST!D:I,6,FALSE)),0)</f>
        <v>0</v>
      </c>
      <c r="AZ427" s="239">
        <f t="shared" si="59"/>
        <v>0</v>
      </c>
    </row>
    <row r="428" spans="1:52" x14ac:dyDescent="0.25">
      <c r="A428" s="209">
        <v>1089909</v>
      </c>
      <c r="B428" s="209">
        <v>20</v>
      </c>
      <c r="C428" s="209">
        <v>89334480</v>
      </c>
      <c r="D428" s="209">
        <v>10</v>
      </c>
      <c r="E428" s="209">
        <v>10000002</v>
      </c>
      <c r="F428" s="209">
        <v>20000339</v>
      </c>
      <c r="G428" s="209" t="s">
        <v>105</v>
      </c>
      <c r="H428" s="209">
        <v>20000339</v>
      </c>
      <c r="I428" s="209">
        <v>2</v>
      </c>
      <c r="J428" s="209" t="s">
        <v>169</v>
      </c>
      <c r="K428" s="209" t="s">
        <v>800</v>
      </c>
      <c r="L428" s="209" t="s">
        <v>171</v>
      </c>
      <c r="M428" s="209" t="s">
        <v>184</v>
      </c>
      <c r="N428" s="209">
        <v>50034245</v>
      </c>
      <c r="O428" s="209" t="s">
        <v>591</v>
      </c>
      <c r="P428" s="209">
        <v>5101</v>
      </c>
      <c r="Q428" s="209" t="s">
        <v>186</v>
      </c>
      <c r="R428" s="209" t="s">
        <v>175</v>
      </c>
      <c r="S428" s="209" t="s">
        <v>176</v>
      </c>
      <c r="T428" s="209" t="s">
        <v>187</v>
      </c>
      <c r="U428" s="209" t="s">
        <v>188</v>
      </c>
      <c r="V428" s="209" t="s">
        <v>179</v>
      </c>
      <c r="W428" s="209" t="s">
        <v>179</v>
      </c>
      <c r="X428" s="209" t="s">
        <v>180</v>
      </c>
      <c r="Y428" s="209" t="s">
        <v>180</v>
      </c>
      <c r="Z428" s="209">
        <v>9511047201</v>
      </c>
      <c r="AA428" s="209" t="s">
        <v>801</v>
      </c>
      <c r="AB428" s="209" t="s">
        <v>180</v>
      </c>
      <c r="AC428" s="209" t="s">
        <v>182</v>
      </c>
      <c r="AD428" s="209">
        <v>12</v>
      </c>
      <c r="AE428" s="209">
        <v>2024</v>
      </c>
      <c r="AF428" s="227">
        <v>45635</v>
      </c>
      <c r="AG428" s="227">
        <v>45638</v>
      </c>
      <c r="AH428" s="227">
        <v>45638</v>
      </c>
      <c r="AI428" s="228">
        <v>314688</v>
      </c>
      <c r="AJ428" s="228">
        <v>22</v>
      </c>
      <c r="AK428" s="228">
        <v>314688</v>
      </c>
      <c r="AL428" s="228">
        <v>22</v>
      </c>
      <c r="AM428" s="228">
        <v>0</v>
      </c>
      <c r="AN428" s="228">
        <v>0</v>
      </c>
      <c r="AO428" s="229">
        <v>50</v>
      </c>
      <c r="AP428" s="231">
        <v>12</v>
      </c>
      <c r="AQ428" s="231">
        <v>2024</v>
      </c>
      <c r="AR428" s="231" t="str">
        <f t="shared" si="55"/>
        <v>12/2024</v>
      </c>
      <c r="AS428" s="231">
        <f t="shared" si="56"/>
        <v>25</v>
      </c>
      <c r="AT428" s="239">
        <f>IF(G428="CERVECERIA Y MALTERIA",(AS428*AK428/1000000)*(1-VLOOKUP(N428,FCST!D:I,6,FALSE)),0)</f>
        <v>0</v>
      </c>
      <c r="AU428" s="232">
        <v>5.0000000000000001E-3</v>
      </c>
      <c r="AV428" s="239">
        <f t="shared" si="57"/>
        <v>0</v>
      </c>
      <c r="AW428" s="239">
        <f>(AS428*AK428/1000000)*(VLOOKUP(N428,FCST!D:I,6,FALSE))</f>
        <v>7.8672000000000004</v>
      </c>
      <c r="AX428" s="239">
        <f t="shared" si="58"/>
        <v>7.906536</v>
      </c>
      <c r="AY428" s="239">
        <f>IF($G428="CERVECERIA Y MALTERIA.",($AS428*$AK428/1000000)*(1-VLOOKUP($N428,FCST!D:I,6,FALSE)),0)</f>
        <v>0</v>
      </c>
      <c r="AZ428" s="239">
        <f t="shared" si="59"/>
        <v>0</v>
      </c>
    </row>
    <row r="429" spans="1:52" x14ac:dyDescent="0.25">
      <c r="A429" s="209">
        <v>1088814</v>
      </c>
      <c r="B429" s="209">
        <v>30</v>
      </c>
      <c r="C429" s="209">
        <v>89334482</v>
      </c>
      <c r="D429" s="209">
        <v>10</v>
      </c>
      <c r="E429" s="209">
        <v>10000002</v>
      </c>
      <c r="F429" s="209">
        <v>20000339</v>
      </c>
      <c r="G429" s="209" t="s">
        <v>105</v>
      </c>
      <c r="H429" s="209">
        <v>20000339</v>
      </c>
      <c r="I429" s="209">
        <v>2</v>
      </c>
      <c r="J429" s="209" t="s">
        <v>169</v>
      </c>
      <c r="K429" s="209" t="s">
        <v>802</v>
      </c>
      <c r="L429" s="209" t="s">
        <v>556</v>
      </c>
      <c r="M429" s="209" t="s">
        <v>184</v>
      </c>
      <c r="N429" s="209">
        <v>50034634</v>
      </c>
      <c r="O429" s="209" t="s">
        <v>219</v>
      </c>
      <c r="P429" s="209">
        <v>5121</v>
      </c>
      <c r="Q429" s="209" t="s">
        <v>174</v>
      </c>
      <c r="R429" s="209" t="s">
        <v>175</v>
      </c>
      <c r="S429" s="209" t="s">
        <v>176</v>
      </c>
      <c r="T429" s="209" t="s">
        <v>177</v>
      </c>
      <c r="U429" s="209" t="s">
        <v>178</v>
      </c>
      <c r="V429" s="209" t="s">
        <v>179</v>
      </c>
      <c r="W429" s="209" t="s">
        <v>179</v>
      </c>
      <c r="X429" s="209" t="s">
        <v>180</v>
      </c>
      <c r="Y429" s="209" t="s">
        <v>180</v>
      </c>
      <c r="Z429" s="209">
        <v>9521067088</v>
      </c>
      <c r="AA429" s="209" t="s">
        <v>688</v>
      </c>
      <c r="AB429" s="209" t="s">
        <v>180</v>
      </c>
      <c r="AC429" s="209" t="s">
        <v>182</v>
      </c>
      <c r="AD429" s="209">
        <v>12</v>
      </c>
      <c r="AE429" s="209">
        <v>2024</v>
      </c>
      <c r="AF429" s="227">
        <v>45629</v>
      </c>
      <c r="AG429" s="227">
        <v>45638</v>
      </c>
      <c r="AH429" s="227">
        <v>45638</v>
      </c>
      <c r="AI429" s="228">
        <v>210240</v>
      </c>
      <c r="AJ429" s="228">
        <v>30</v>
      </c>
      <c r="AK429" s="228">
        <v>210240</v>
      </c>
      <c r="AL429" s="228">
        <v>30</v>
      </c>
      <c r="AM429" s="228">
        <v>0</v>
      </c>
      <c r="AN429" s="228">
        <v>0</v>
      </c>
      <c r="AO429" s="229">
        <v>49</v>
      </c>
      <c r="AP429" s="231">
        <v>12</v>
      </c>
      <c r="AQ429" s="231">
        <v>2024</v>
      </c>
      <c r="AR429" s="231" t="str">
        <f t="shared" si="55"/>
        <v>12/2024</v>
      </c>
      <c r="AS429" s="231">
        <f t="shared" si="56"/>
        <v>52</v>
      </c>
      <c r="AT429" s="239">
        <f>IF(G429="CERVECERIA Y MALTERIA",(AS429*AK429/1000000)*(1-VLOOKUP(N429,FCST!D:I,6,FALSE)),0)</f>
        <v>10.93248</v>
      </c>
      <c r="AU429" s="232">
        <v>5.0000000000000001E-3</v>
      </c>
      <c r="AV429" s="239">
        <f t="shared" si="57"/>
        <v>10.987142399999998</v>
      </c>
      <c r="AW429" s="239">
        <f>(AS429*AK429/1000000)*(VLOOKUP(N429,FCST!D:I,6,FALSE))</f>
        <v>0</v>
      </c>
      <c r="AX429" s="239">
        <f t="shared" si="58"/>
        <v>0</v>
      </c>
      <c r="AY429" s="239">
        <f>IF($G429="CERVECERIA Y MALTERIA.",($AS429*$AK429/1000000)*(1-VLOOKUP($N429,FCST!D:I,6,FALSE)),0)</f>
        <v>0</v>
      </c>
      <c r="AZ429" s="239">
        <f t="shared" si="59"/>
        <v>0</v>
      </c>
    </row>
    <row r="430" spans="1:52" x14ac:dyDescent="0.25">
      <c r="A430" s="209">
        <v>1089662</v>
      </c>
      <c r="B430" s="209">
        <v>30</v>
      </c>
      <c r="C430" s="209">
        <v>89334625</v>
      </c>
      <c r="D430" s="209">
        <v>10</v>
      </c>
      <c r="E430" s="209">
        <v>10000002</v>
      </c>
      <c r="F430" s="209">
        <v>20000337</v>
      </c>
      <c r="G430" s="209" t="s">
        <v>105</v>
      </c>
      <c r="H430" s="209">
        <v>20000337</v>
      </c>
      <c r="I430" s="209">
        <v>2</v>
      </c>
      <c r="J430" s="209" t="s">
        <v>169</v>
      </c>
      <c r="K430" s="209" t="s">
        <v>803</v>
      </c>
      <c r="L430" s="209" t="s">
        <v>171</v>
      </c>
      <c r="M430" s="209" t="s">
        <v>199</v>
      </c>
      <c r="N430" s="209">
        <v>50034616</v>
      </c>
      <c r="O430" s="209" t="s">
        <v>191</v>
      </c>
      <c r="P430" s="209">
        <v>5121</v>
      </c>
      <c r="Q430" s="209" t="s">
        <v>200</v>
      </c>
      <c r="R430" s="209" t="s">
        <v>201</v>
      </c>
      <c r="S430" s="209" t="s">
        <v>202</v>
      </c>
      <c r="T430" s="209" t="s">
        <v>203</v>
      </c>
      <c r="U430" s="209" t="s">
        <v>201</v>
      </c>
      <c r="V430" s="209" t="s">
        <v>179</v>
      </c>
      <c r="W430" s="209" t="s">
        <v>179</v>
      </c>
      <c r="X430" s="209" t="s">
        <v>180</v>
      </c>
      <c r="Y430" s="209" t="s">
        <v>180</v>
      </c>
      <c r="Z430" s="209">
        <v>9521067083</v>
      </c>
      <c r="AA430" s="209" t="s">
        <v>677</v>
      </c>
      <c r="AB430" s="209" t="s">
        <v>180</v>
      </c>
      <c r="AC430" s="209" t="s">
        <v>182</v>
      </c>
      <c r="AD430" s="209">
        <v>12</v>
      </c>
      <c r="AE430" s="209">
        <v>2024</v>
      </c>
      <c r="AF430" s="227">
        <v>45631</v>
      </c>
      <c r="AG430" s="227">
        <v>45638</v>
      </c>
      <c r="AH430" s="227">
        <v>45638</v>
      </c>
      <c r="AI430" s="228">
        <v>426816</v>
      </c>
      <c r="AJ430" s="228">
        <v>52</v>
      </c>
      <c r="AK430" s="228">
        <v>426816</v>
      </c>
      <c r="AL430" s="228">
        <v>52</v>
      </c>
      <c r="AM430" s="228">
        <v>0</v>
      </c>
      <c r="AN430" s="228">
        <v>0</v>
      </c>
      <c r="AO430" s="229">
        <v>49</v>
      </c>
      <c r="AP430" s="231">
        <v>12</v>
      </c>
      <c r="AQ430" s="231">
        <v>2024</v>
      </c>
      <c r="AR430" s="231" t="str">
        <f t="shared" si="55"/>
        <v>12/2024</v>
      </c>
      <c r="AS430" s="231">
        <f t="shared" si="56"/>
        <v>46.6</v>
      </c>
      <c r="AT430" s="239">
        <f>IF(G430="CERVECERIA Y MALTERIA",(AS430*AK430/1000000)*(1-VLOOKUP(N430,FCST!D:I,6,FALSE)),0)</f>
        <v>19.889625600000002</v>
      </c>
      <c r="AU430" s="232">
        <v>5.0000000000000001E-3</v>
      </c>
      <c r="AV430" s="239">
        <f t="shared" si="57"/>
        <v>19.989073728000001</v>
      </c>
      <c r="AW430" s="239">
        <f>(AS430*AK430/1000000)*(VLOOKUP(N430,FCST!D:I,6,FALSE))</f>
        <v>0</v>
      </c>
      <c r="AX430" s="239">
        <f t="shared" si="58"/>
        <v>0</v>
      </c>
      <c r="AY430" s="239">
        <f>IF($G430="CERVECERIA Y MALTERIA.",($AS430*$AK430/1000000)*(1-VLOOKUP($N430,FCST!D:I,6,FALSE)),0)</f>
        <v>0</v>
      </c>
      <c r="AZ430" s="239">
        <f t="shared" si="59"/>
        <v>0</v>
      </c>
    </row>
    <row r="431" spans="1:52" x14ac:dyDescent="0.25">
      <c r="A431" s="209">
        <v>1089825</v>
      </c>
      <c r="B431" s="209">
        <v>40</v>
      </c>
      <c r="C431" s="209">
        <v>89333310</v>
      </c>
      <c r="D431" s="209">
        <v>10</v>
      </c>
      <c r="E431" s="209">
        <v>10000002</v>
      </c>
      <c r="F431" s="209">
        <v>20000340</v>
      </c>
      <c r="G431" s="209" t="s">
        <v>117</v>
      </c>
      <c r="H431" s="209">
        <v>20000340</v>
      </c>
      <c r="I431" s="209">
        <v>2</v>
      </c>
      <c r="J431" s="209" t="s">
        <v>169</v>
      </c>
      <c r="K431" s="209" t="s">
        <v>804</v>
      </c>
      <c r="L431" s="209" t="s">
        <v>171</v>
      </c>
      <c r="M431" s="209" t="s">
        <v>184</v>
      </c>
      <c r="N431" s="209">
        <v>50036718</v>
      </c>
      <c r="O431" s="209" t="s">
        <v>259</v>
      </c>
      <c r="P431" s="209">
        <v>5101</v>
      </c>
      <c r="Q431" s="209" t="s">
        <v>186</v>
      </c>
      <c r="R431" s="209" t="s">
        <v>175</v>
      </c>
      <c r="S431" s="209" t="s">
        <v>176</v>
      </c>
      <c r="T431" s="209" t="s">
        <v>187</v>
      </c>
      <c r="U431" s="209" t="s">
        <v>188</v>
      </c>
      <c r="V431" s="209" t="s">
        <v>179</v>
      </c>
      <c r="W431" s="209" t="s">
        <v>179</v>
      </c>
      <c r="X431" s="209" t="s">
        <v>180</v>
      </c>
      <c r="Y431" s="209" t="s">
        <v>180</v>
      </c>
      <c r="Z431" s="209">
        <v>9511047239</v>
      </c>
      <c r="AA431" s="209" t="s">
        <v>791</v>
      </c>
      <c r="AB431" s="209" t="s">
        <v>180</v>
      </c>
      <c r="AC431" s="209" t="s">
        <v>182</v>
      </c>
      <c r="AD431" s="209">
        <v>12</v>
      </c>
      <c r="AE431" s="209">
        <v>2024</v>
      </c>
      <c r="AF431" s="227">
        <v>45632</v>
      </c>
      <c r="AG431" s="227">
        <v>45637</v>
      </c>
      <c r="AH431" s="227">
        <v>45637</v>
      </c>
      <c r="AI431" s="228">
        <v>519168</v>
      </c>
      <c r="AJ431" s="228">
        <v>52</v>
      </c>
      <c r="AK431" s="228">
        <v>519168</v>
      </c>
      <c r="AL431" s="228">
        <v>52</v>
      </c>
      <c r="AM431" s="228">
        <v>0</v>
      </c>
      <c r="AN431" s="228">
        <v>0</v>
      </c>
      <c r="AO431" s="229">
        <v>50</v>
      </c>
      <c r="AP431" s="231">
        <v>12</v>
      </c>
      <c r="AQ431" s="231">
        <v>2024</v>
      </c>
      <c r="AR431" s="231" t="str">
        <f t="shared" si="55"/>
        <v>12/2024</v>
      </c>
      <c r="AS431" s="231">
        <f t="shared" si="56"/>
        <v>34</v>
      </c>
      <c r="AT431" s="239">
        <f>IF(G431="CERVECERIA Y MALTERIA",(AS431*AK431/1000000)*(1-VLOOKUP(N431,FCST!D:I,6,FALSE)),0)</f>
        <v>0</v>
      </c>
      <c r="AU431" s="232">
        <v>5.0000000000000001E-3</v>
      </c>
      <c r="AV431" s="239">
        <f t="shared" si="57"/>
        <v>0</v>
      </c>
      <c r="AW431" s="239">
        <f>(AS431*AK431/1000000)*(VLOOKUP(N431,FCST!D:I,6,FALSE))</f>
        <v>0</v>
      </c>
      <c r="AX431" s="239">
        <f t="shared" si="58"/>
        <v>0</v>
      </c>
      <c r="AY431" s="239">
        <f>IF($G431="CERVECERIA Y MALTERIA.",($AS431*$AK431/1000000)*(1-VLOOKUP($N431,FCST!D:I,6,FALSE)),0)</f>
        <v>17.651712</v>
      </c>
      <c r="AZ431" s="239">
        <f t="shared" si="59"/>
        <v>17.73997056</v>
      </c>
    </row>
    <row r="432" spans="1:52" x14ac:dyDescent="0.25">
      <c r="A432" s="209">
        <v>1089909</v>
      </c>
      <c r="B432" s="209">
        <v>10</v>
      </c>
      <c r="C432" s="209">
        <v>89333351</v>
      </c>
      <c r="D432" s="209">
        <v>10</v>
      </c>
      <c r="E432" s="209">
        <v>10000002</v>
      </c>
      <c r="F432" s="209">
        <v>20000339</v>
      </c>
      <c r="G432" s="209" t="s">
        <v>105</v>
      </c>
      <c r="H432" s="209">
        <v>20000339</v>
      </c>
      <c r="I432" s="209">
        <v>2</v>
      </c>
      <c r="J432" s="209" t="s">
        <v>169</v>
      </c>
      <c r="K432" s="209" t="s">
        <v>805</v>
      </c>
      <c r="L432" s="209" t="s">
        <v>171</v>
      </c>
      <c r="M432" s="209" t="s">
        <v>227</v>
      </c>
      <c r="N432" s="209">
        <v>50034577</v>
      </c>
      <c r="O432" s="209" t="s">
        <v>237</v>
      </c>
      <c r="P432" s="209">
        <v>5101</v>
      </c>
      <c r="Q432" s="209" t="s">
        <v>444</v>
      </c>
      <c r="R432" s="209" t="s">
        <v>445</v>
      </c>
      <c r="S432" s="209" t="s">
        <v>230</v>
      </c>
      <c r="T432" s="209" t="s">
        <v>446</v>
      </c>
      <c r="U432" s="209" t="s">
        <v>447</v>
      </c>
      <c r="V432" s="209" t="s">
        <v>179</v>
      </c>
      <c r="W432" s="209" t="s">
        <v>179</v>
      </c>
      <c r="X432" s="209" t="s">
        <v>180</v>
      </c>
      <c r="Y432" s="209" t="s">
        <v>180</v>
      </c>
      <c r="Z432" s="209">
        <v>9511047202</v>
      </c>
      <c r="AA432" s="209" t="s">
        <v>806</v>
      </c>
      <c r="AB432" s="209" t="s">
        <v>180</v>
      </c>
      <c r="AC432" s="209" t="s">
        <v>182</v>
      </c>
      <c r="AD432" s="209">
        <v>12</v>
      </c>
      <c r="AE432" s="209">
        <v>2024</v>
      </c>
      <c r="AF432" s="227">
        <v>45635</v>
      </c>
      <c r="AG432" s="227">
        <v>45636</v>
      </c>
      <c r="AH432" s="227">
        <v>45637</v>
      </c>
      <c r="AI432" s="228">
        <v>286080</v>
      </c>
      <c r="AJ432" s="228">
        <v>20</v>
      </c>
      <c r="AK432" s="228">
        <v>286080</v>
      </c>
      <c r="AL432" s="228">
        <v>20</v>
      </c>
      <c r="AM432" s="228">
        <v>0</v>
      </c>
      <c r="AN432" s="228">
        <v>0</v>
      </c>
      <c r="AO432" s="229">
        <v>50</v>
      </c>
      <c r="AP432" s="231">
        <v>12</v>
      </c>
      <c r="AQ432" s="231">
        <v>2024</v>
      </c>
      <c r="AR432" s="231" t="str">
        <f t="shared" si="55"/>
        <v>12/2024</v>
      </c>
      <c r="AS432" s="231">
        <f t="shared" si="56"/>
        <v>25</v>
      </c>
      <c r="AT432" s="239">
        <f>IF(G432="CERVECERIA Y MALTERIA",(AS432*AK432/1000000)*(1-VLOOKUP(N432,FCST!D:I,6,FALSE)),0)</f>
        <v>7.1520000000000001</v>
      </c>
      <c r="AU432" s="232">
        <v>5.0000000000000001E-3</v>
      </c>
      <c r="AV432" s="239">
        <f t="shared" si="57"/>
        <v>7.187759999999999</v>
      </c>
      <c r="AW432" s="239">
        <f>(AS432*AK432/1000000)*(VLOOKUP(N432,FCST!D:I,6,FALSE))</f>
        <v>0</v>
      </c>
      <c r="AX432" s="239">
        <f t="shared" si="58"/>
        <v>0</v>
      </c>
      <c r="AY432" s="239">
        <f>IF($G432="CERVECERIA Y MALTERIA.",($AS432*$AK432/1000000)*(1-VLOOKUP($N432,FCST!D:I,6,FALSE)),0)</f>
        <v>0</v>
      </c>
      <c r="AZ432" s="239">
        <f t="shared" si="59"/>
        <v>0</v>
      </c>
    </row>
    <row r="433" spans="1:52" x14ac:dyDescent="0.25">
      <c r="A433" s="209">
        <v>1089825</v>
      </c>
      <c r="B433" s="209">
        <v>30</v>
      </c>
      <c r="C433" s="209">
        <v>89333380</v>
      </c>
      <c r="D433" s="209">
        <v>10</v>
      </c>
      <c r="E433" s="209">
        <v>10000002</v>
      </c>
      <c r="F433" s="209">
        <v>20000340</v>
      </c>
      <c r="G433" s="209" t="s">
        <v>117</v>
      </c>
      <c r="H433" s="209">
        <v>20000340</v>
      </c>
      <c r="I433" s="209">
        <v>2</v>
      </c>
      <c r="J433" s="209" t="s">
        <v>169</v>
      </c>
      <c r="K433" s="209" t="s">
        <v>807</v>
      </c>
      <c r="L433" s="209" t="s">
        <v>171</v>
      </c>
      <c r="M433" s="209" t="s">
        <v>184</v>
      </c>
      <c r="N433" s="209">
        <v>50029817</v>
      </c>
      <c r="O433" s="209" t="s">
        <v>396</v>
      </c>
      <c r="P433" s="209">
        <v>5101</v>
      </c>
      <c r="Q433" s="209" t="s">
        <v>186</v>
      </c>
      <c r="R433" s="209" t="s">
        <v>175</v>
      </c>
      <c r="S433" s="209" t="s">
        <v>176</v>
      </c>
      <c r="T433" s="209" t="s">
        <v>187</v>
      </c>
      <c r="U433" s="209" t="s">
        <v>188</v>
      </c>
      <c r="V433" s="209" t="s">
        <v>179</v>
      </c>
      <c r="W433" s="209" t="s">
        <v>179</v>
      </c>
      <c r="X433" s="209" t="s">
        <v>180</v>
      </c>
      <c r="Y433" s="209" t="s">
        <v>180</v>
      </c>
      <c r="Z433" s="209">
        <v>9511047240</v>
      </c>
      <c r="AA433" s="209" t="s">
        <v>675</v>
      </c>
      <c r="AB433" s="209" t="s">
        <v>180</v>
      </c>
      <c r="AC433" s="209" t="s">
        <v>182</v>
      </c>
      <c r="AD433" s="209">
        <v>12</v>
      </c>
      <c r="AE433" s="209">
        <v>2024</v>
      </c>
      <c r="AF433" s="227">
        <v>45632</v>
      </c>
      <c r="AG433" s="227">
        <v>45637</v>
      </c>
      <c r="AH433" s="227">
        <v>45637</v>
      </c>
      <c r="AI433" s="228">
        <v>606528</v>
      </c>
      <c r="AJ433" s="228">
        <v>52</v>
      </c>
      <c r="AK433" s="228">
        <v>606528</v>
      </c>
      <c r="AL433" s="228">
        <v>52</v>
      </c>
      <c r="AM433" s="228">
        <v>0</v>
      </c>
      <c r="AN433" s="228">
        <v>0</v>
      </c>
      <c r="AO433" s="229">
        <v>50</v>
      </c>
      <c r="AP433" s="231">
        <v>12</v>
      </c>
      <c r="AQ433" s="231">
        <v>2024</v>
      </c>
      <c r="AR433" s="231" t="str">
        <f t="shared" si="55"/>
        <v>12/2024</v>
      </c>
      <c r="AS433" s="231">
        <f t="shared" si="56"/>
        <v>30</v>
      </c>
      <c r="AT433" s="239">
        <f>IF(G433="CERVECERIA Y MALTERIA",(AS433*AK433/1000000)*(1-VLOOKUP(N433,FCST!D:I,6,FALSE)),0)</f>
        <v>0</v>
      </c>
      <c r="AU433" s="232">
        <v>5.0000000000000001E-3</v>
      </c>
      <c r="AV433" s="239">
        <f t="shared" si="57"/>
        <v>0</v>
      </c>
      <c r="AW433" s="239">
        <f>(AS433*AK433/1000000)*(VLOOKUP(N433,FCST!D:I,6,FALSE))</f>
        <v>5.4587519999999996</v>
      </c>
      <c r="AX433" s="239">
        <f t="shared" si="58"/>
        <v>5.4860457599999988</v>
      </c>
      <c r="AY433" s="239">
        <f>IF($G433="CERVECERIA Y MALTERIA.",($AS433*$AK433/1000000)*(1-VLOOKUP($N433,FCST!D:I,6,FALSE)),0)</f>
        <v>12.737088</v>
      </c>
      <c r="AZ433" s="239">
        <f t="shared" si="59"/>
        <v>12.800773439999999</v>
      </c>
    </row>
    <row r="434" spans="1:52" x14ac:dyDescent="0.25">
      <c r="A434" s="209">
        <v>1089824</v>
      </c>
      <c r="B434" s="209">
        <v>70</v>
      </c>
      <c r="C434" s="209">
        <v>89333455</v>
      </c>
      <c r="D434" s="209">
        <v>10</v>
      </c>
      <c r="E434" s="209">
        <v>10000002</v>
      </c>
      <c r="F434" s="209">
        <v>20000335</v>
      </c>
      <c r="G434" s="209" t="s">
        <v>105</v>
      </c>
      <c r="H434" s="209">
        <v>20000335</v>
      </c>
      <c r="I434" s="209">
        <v>2</v>
      </c>
      <c r="J434" s="209" t="s">
        <v>169</v>
      </c>
      <c r="K434" s="209" t="s">
        <v>808</v>
      </c>
      <c r="L434" s="209" t="s">
        <v>171</v>
      </c>
      <c r="M434" s="209" t="s">
        <v>199</v>
      </c>
      <c r="N434" s="209">
        <v>50034574</v>
      </c>
      <c r="O434" s="209" t="s">
        <v>196</v>
      </c>
      <c r="P434" s="209">
        <v>5121</v>
      </c>
      <c r="Q434" s="209" t="s">
        <v>200</v>
      </c>
      <c r="R434" s="209" t="s">
        <v>201</v>
      </c>
      <c r="S434" s="209" t="s">
        <v>202</v>
      </c>
      <c r="T434" s="209" t="s">
        <v>203</v>
      </c>
      <c r="U434" s="209" t="s">
        <v>201</v>
      </c>
      <c r="V434" s="209" t="s">
        <v>179</v>
      </c>
      <c r="W434" s="209" t="s">
        <v>179</v>
      </c>
      <c r="X434" s="209" t="s">
        <v>180</v>
      </c>
      <c r="Y434" s="209" t="s">
        <v>180</v>
      </c>
      <c r="Z434" s="209">
        <v>9521067077</v>
      </c>
      <c r="AA434" s="209" t="s">
        <v>788</v>
      </c>
      <c r="AB434" s="209" t="s">
        <v>180</v>
      </c>
      <c r="AC434" s="209" t="s">
        <v>182</v>
      </c>
      <c r="AD434" s="209">
        <v>12</v>
      </c>
      <c r="AE434" s="209">
        <v>2024</v>
      </c>
      <c r="AF434" s="227">
        <v>45632</v>
      </c>
      <c r="AG434" s="227">
        <v>45637</v>
      </c>
      <c r="AH434" s="227">
        <v>45637</v>
      </c>
      <c r="AI434" s="228">
        <v>638928</v>
      </c>
      <c r="AJ434" s="228">
        <v>34</v>
      </c>
      <c r="AK434" s="228">
        <v>638928</v>
      </c>
      <c r="AL434" s="228">
        <v>34</v>
      </c>
      <c r="AM434" s="228">
        <v>0</v>
      </c>
      <c r="AN434" s="228">
        <v>0</v>
      </c>
      <c r="AO434" s="229">
        <v>50</v>
      </c>
      <c r="AP434" s="231">
        <v>12</v>
      </c>
      <c r="AQ434" s="231">
        <v>2024</v>
      </c>
      <c r="AR434" s="231" t="str">
        <f t="shared" si="55"/>
        <v>12/2024</v>
      </c>
      <c r="AS434" s="231">
        <f t="shared" si="56"/>
        <v>19.5</v>
      </c>
      <c r="AT434" s="239">
        <f>IF(G434="CERVECERIA Y MALTERIA",(AS434*AK434/1000000)*(1-VLOOKUP(N434,FCST!D:I,6,FALSE)),0)</f>
        <v>12.459096000000001</v>
      </c>
      <c r="AU434" s="232">
        <v>5.0000000000000001E-3</v>
      </c>
      <c r="AV434" s="239">
        <f t="shared" si="57"/>
        <v>12.52139148</v>
      </c>
      <c r="AW434" s="239">
        <f>(AS434*AK434/1000000)*(VLOOKUP(N434,FCST!D:I,6,FALSE))</f>
        <v>0</v>
      </c>
      <c r="AX434" s="239">
        <f t="shared" si="58"/>
        <v>0</v>
      </c>
      <c r="AY434" s="239">
        <f>IF($G434="CERVECERIA Y MALTERIA.",($AS434*$AK434/1000000)*(1-VLOOKUP($N434,FCST!D:I,6,FALSE)),0)</f>
        <v>0</v>
      </c>
      <c r="AZ434" s="239">
        <f t="shared" si="59"/>
        <v>0</v>
      </c>
    </row>
    <row r="435" spans="1:52" x14ac:dyDescent="0.25">
      <c r="A435" s="209">
        <v>1088822</v>
      </c>
      <c r="B435" s="209">
        <v>40</v>
      </c>
      <c r="C435" s="209">
        <v>89333700</v>
      </c>
      <c r="D435" s="209">
        <v>10</v>
      </c>
      <c r="E435" s="209">
        <v>10000002</v>
      </c>
      <c r="F435" s="209">
        <v>20000336</v>
      </c>
      <c r="G435" s="209" t="s">
        <v>105</v>
      </c>
      <c r="H435" s="209">
        <v>20000336</v>
      </c>
      <c r="I435" s="209">
        <v>2</v>
      </c>
      <c r="J435" s="209" t="s">
        <v>169</v>
      </c>
      <c r="K435" s="209" t="s">
        <v>809</v>
      </c>
      <c r="L435" s="209" t="s">
        <v>171</v>
      </c>
      <c r="M435" s="209" t="s">
        <v>172</v>
      </c>
      <c r="N435" s="209">
        <v>50034634</v>
      </c>
      <c r="O435" s="209" t="s">
        <v>219</v>
      </c>
      <c r="P435" s="209">
        <v>5121</v>
      </c>
      <c r="Q435" s="209" t="s">
        <v>174</v>
      </c>
      <c r="R435" s="209" t="s">
        <v>175</v>
      </c>
      <c r="S435" s="209" t="s">
        <v>176</v>
      </c>
      <c r="T435" s="209" t="s">
        <v>177</v>
      </c>
      <c r="U435" s="209" t="s">
        <v>178</v>
      </c>
      <c r="V435" s="209" t="s">
        <v>179</v>
      </c>
      <c r="W435" s="209" t="s">
        <v>179</v>
      </c>
      <c r="X435" s="209" t="s">
        <v>180</v>
      </c>
      <c r="Y435" s="209" t="s">
        <v>180</v>
      </c>
      <c r="Z435" s="209">
        <v>9521067084</v>
      </c>
      <c r="AA435" s="209" t="s">
        <v>714</v>
      </c>
      <c r="AB435" s="209" t="s">
        <v>180</v>
      </c>
      <c r="AC435" s="209" t="s">
        <v>182</v>
      </c>
      <c r="AD435" s="209">
        <v>12</v>
      </c>
      <c r="AE435" s="209">
        <v>2024</v>
      </c>
      <c r="AF435" s="227">
        <v>45629</v>
      </c>
      <c r="AG435" s="227">
        <v>45638</v>
      </c>
      <c r="AH435" s="227">
        <v>45637</v>
      </c>
      <c r="AI435" s="228">
        <v>364416</v>
      </c>
      <c r="AJ435" s="228">
        <v>52</v>
      </c>
      <c r="AK435" s="228">
        <v>364416</v>
      </c>
      <c r="AL435" s="228">
        <v>52</v>
      </c>
      <c r="AM435" s="228">
        <v>0</v>
      </c>
      <c r="AN435" s="228">
        <v>0</v>
      </c>
      <c r="AO435" s="229">
        <v>49</v>
      </c>
      <c r="AP435" s="231">
        <v>12</v>
      </c>
      <c r="AQ435" s="231">
        <v>2024</v>
      </c>
      <c r="AR435" s="231" t="str">
        <f t="shared" si="55"/>
        <v>12/2024</v>
      </c>
      <c r="AS435" s="231">
        <f t="shared" si="56"/>
        <v>52</v>
      </c>
      <c r="AT435" s="239">
        <f>IF(G435="CERVECERIA Y MALTERIA",(AS435*AK435/1000000)*(1-VLOOKUP(N435,FCST!D:I,6,FALSE)),0)</f>
        <v>18.949632000000001</v>
      </c>
      <c r="AU435" s="232">
        <v>5.0000000000000001E-3</v>
      </c>
      <c r="AV435" s="239">
        <f t="shared" si="57"/>
        <v>19.044380159999999</v>
      </c>
      <c r="AW435" s="239">
        <f>(AS435*AK435/1000000)*(VLOOKUP(N435,FCST!D:I,6,FALSE))</f>
        <v>0</v>
      </c>
      <c r="AX435" s="239">
        <f t="shared" si="58"/>
        <v>0</v>
      </c>
      <c r="AY435" s="239">
        <f>IF($G435="CERVECERIA Y MALTERIA.",($AS435*$AK435/1000000)*(1-VLOOKUP($N435,FCST!D:I,6,FALSE)),0)</f>
        <v>0</v>
      </c>
      <c r="AZ435" s="239">
        <f t="shared" si="59"/>
        <v>0</v>
      </c>
    </row>
    <row r="436" spans="1:52" x14ac:dyDescent="0.25">
      <c r="A436" s="209">
        <v>1091005</v>
      </c>
      <c r="B436" s="209">
        <v>10</v>
      </c>
      <c r="C436" s="209">
        <v>89336224</v>
      </c>
      <c r="D436" s="209">
        <v>10</v>
      </c>
      <c r="E436" s="209">
        <v>10000002</v>
      </c>
      <c r="F436" s="209">
        <v>20000339</v>
      </c>
      <c r="G436" s="209" t="s">
        <v>105</v>
      </c>
      <c r="H436" s="209">
        <v>20000339</v>
      </c>
      <c r="I436" s="209">
        <v>2</v>
      </c>
      <c r="J436" s="209" t="s">
        <v>169</v>
      </c>
      <c r="K436" s="209" t="s">
        <v>810</v>
      </c>
      <c r="L436" s="209" t="s">
        <v>265</v>
      </c>
      <c r="M436" s="209" t="s">
        <v>172</v>
      </c>
      <c r="N436" s="209">
        <v>50034634</v>
      </c>
      <c r="O436" s="209" t="s">
        <v>219</v>
      </c>
      <c r="P436" s="209">
        <v>5121</v>
      </c>
      <c r="Q436" s="209" t="s">
        <v>174</v>
      </c>
      <c r="R436" s="209" t="s">
        <v>175</v>
      </c>
      <c r="S436" s="209" t="s">
        <v>176</v>
      </c>
      <c r="T436" s="209" t="s">
        <v>177</v>
      </c>
      <c r="U436" s="209" t="s">
        <v>178</v>
      </c>
      <c r="V436" s="209" t="s">
        <v>179</v>
      </c>
      <c r="W436" s="209" t="s">
        <v>179</v>
      </c>
      <c r="X436" s="209" t="s">
        <v>180</v>
      </c>
      <c r="Y436" s="209" t="s">
        <v>180</v>
      </c>
      <c r="Z436" s="209">
        <v>9521067088</v>
      </c>
      <c r="AA436" s="209" t="s">
        <v>688</v>
      </c>
      <c r="AB436" s="209" t="s">
        <v>180</v>
      </c>
      <c r="AC436" s="209" t="s">
        <v>182</v>
      </c>
      <c r="AD436" s="209">
        <v>12</v>
      </c>
      <c r="AE436" s="209">
        <v>2024</v>
      </c>
      <c r="AF436" s="227">
        <v>45639</v>
      </c>
      <c r="AG436" s="227">
        <v>45639</v>
      </c>
      <c r="AH436" s="227">
        <v>45639</v>
      </c>
      <c r="AI436" s="228">
        <v>364416</v>
      </c>
      <c r="AJ436" s="228">
        <v>52</v>
      </c>
      <c r="AK436" s="228">
        <v>364416</v>
      </c>
      <c r="AL436" s="228">
        <v>52</v>
      </c>
      <c r="AM436" s="228">
        <v>0</v>
      </c>
      <c r="AN436" s="228">
        <v>0</v>
      </c>
      <c r="AO436" s="229">
        <v>50</v>
      </c>
      <c r="AP436" s="231">
        <v>12</v>
      </c>
      <c r="AQ436" s="231">
        <v>2024</v>
      </c>
      <c r="AR436" s="231" t="str">
        <f t="shared" si="55"/>
        <v>12/2024</v>
      </c>
      <c r="AS436" s="231">
        <f t="shared" si="56"/>
        <v>52</v>
      </c>
      <c r="AT436" s="239">
        <f>IF(G436="CERVECERIA Y MALTERIA",(AS436*AK436/1000000)*(1-VLOOKUP(N436,FCST!D:I,6,FALSE)),0)</f>
        <v>18.949632000000001</v>
      </c>
      <c r="AU436" s="232">
        <v>5.0000000000000001E-3</v>
      </c>
      <c r="AV436" s="239">
        <f t="shared" si="57"/>
        <v>19.044380159999999</v>
      </c>
      <c r="AW436" s="239">
        <f>(AS436*AK436/1000000)*(VLOOKUP(N436,FCST!D:I,6,FALSE))</f>
        <v>0</v>
      </c>
      <c r="AX436" s="239">
        <f t="shared" si="58"/>
        <v>0</v>
      </c>
      <c r="AY436" s="239">
        <f>IF($G436="CERVECERIA Y MALTERIA.",($AS436*$AK436/1000000)*(1-VLOOKUP($N436,FCST!D:I,6,FALSE)),0)</f>
        <v>0</v>
      </c>
      <c r="AZ436" s="239">
        <f t="shared" si="59"/>
        <v>0</v>
      </c>
    </row>
    <row r="437" spans="1:52" x14ac:dyDescent="0.25">
      <c r="A437" s="209">
        <v>1090647</v>
      </c>
      <c r="B437" s="209">
        <v>20</v>
      </c>
      <c r="C437" s="209">
        <v>89336672</v>
      </c>
      <c r="D437" s="209">
        <v>10</v>
      </c>
      <c r="E437" s="209">
        <v>10000002</v>
      </c>
      <c r="F437" s="209">
        <v>20000340</v>
      </c>
      <c r="G437" s="209" t="s">
        <v>117</v>
      </c>
      <c r="H437" s="209">
        <v>20000340</v>
      </c>
      <c r="I437" s="209">
        <v>2</v>
      </c>
      <c r="J437" s="209" t="s">
        <v>169</v>
      </c>
      <c r="K437" s="209" t="s">
        <v>811</v>
      </c>
      <c r="L437" s="209" t="s">
        <v>171</v>
      </c>
      <c r="M437" s="209" t="s">
        <v>172</v>
      </c>
      <c r="N437" s="209">
        <v>50029817</v>
      </c>
      <c r="O437" s="209" t="s">
        <v>396</v>
      </c>
      <c r="P437" s="209">
        <v>5101</v>
      </c>
      <c r="Q437" s="209" t="s">
        <v>186</v>
      </c>
      <c r="R437" s="209" t="s">
        <v>175</v>
      </c>
      <c r="S437" s="209" t="s">
        <v>176</v>
      </c>
      <c r="T437" s="209" t="s">
        <v>187</v>
      </c>
      <c r="U437" s="209" t="s">
        <v>188</v>
      </c>
      <c r="V437" s="209" t="s">
        <v>179</v>
      </c>
      <c r="W437" s="209" t="s">
        <v>179</v>
      </c>
      <c r="X437" s="209" t="s">
        <v>180</v>
      </c>
      <c r="Y437" s="209" t="s">
        <v>180</v>
      </c>
      <c r="Z437" s="209">
        <v>9511047240</v>
      </c>
      <c r="AA437" s="209" t="s">
        <v>675</v>
      </c>
      <c r="AB437" s="209" t="s">
        <v>180</v>
      </c>
      <c r="AC437" s="209" t="s">
        <v>182</v>
      </c>
      <c r="AD437" s="209">
        <v>12</v>
      </c>
      <c r="AE437" s="209">
        <v>2024</v>
      </c>
      <c r="AF437" s="227">
        <v>45638</v>
      </c>
      <c r="AG437" s="227">
        <v>45642</v>
      </c>
      <c r="AH437" s="227">
        <v>45642</v>
      </c>
      <c r="AI437" s="228">
        <v>606528</v>
      </c>
      <c r="AJ437" s="228">
        <v>52</v>
      </c>
      <c r="AK437" s="228">
        <v>606528</v>
      </c>
      <c r="AL437" s="228">
        <v>52</v>
      </c>
      <c r="AM437" s="228">
        <v>0</v>
      </c>
      <c r="AN437" s="228">
        <v>0</v>
      </c>
      <c r="AO437" s="229">
        <v>51</v>
      </c>
      <c r="AP437" s="231">
        <v>12</v>
      </c>
      <c r="AQ437" s="231">
        <v>2024</v>
      </c>
      <c r="AR437" s="231" t="str">
        <f t="shared" si="55"/>
        <v>12/2024</v>
      </c>
      <c r="AS437" s="231">
        <f t="shared" si="56"/>
        <v>30</v>
      </c>
      <c r="AT437" s="239">
        <f>IF(G437="CERVECERIA Y MALTERIA",(AS437*AK437/1000000)*(1-VLOOKUP(N437,FCST!D:I,6,FALSE)),0)</f>
        <v>0</v>
      </c>
      <c r="AU437" s="232">
        <v>5.0000000000000001E-3</v>
      </c>
      <c r="AV437" s="239">
        <f t="shared" si="57"/>
        <v>0</v>
      </c>
      <c r="AW437" s="239">
        <f>(AS437*AK437/1000000)*(VLOOKUP(N437,FCST!D:I,6,FALSE))</f>
        <v>5.4587519999999996</v>
      </c>
      <c r="AX437" s="239">
        <f t="shared" si="58"/>
        <v>5.4860457599999988</v>
      </c>
      <c r="AY437" s="239">
        <f>IF($G437="CERVECERIA Y MALTERIA.",($AS437*$AK437/1000000)*(1-VLOOKUP($N437,FCST!D:I,6,FALSE)),0)</f>
        <v>12.737088</v>
      </c>
      <c r="AZ437" s="239">
        <f t="shared" si="59"/>
        <v>12.800773439999999</v>
      </c>
    </row>
    <row r="438" spans="1:52" x14ac:dyDescent="0.25">
      <c r="A438" s="209">
        <v>1090643</v>
      </c>
      <c r="B438" s="209">
        <v>50</v>
      </c>
      <c r="C438" s="209">
        <v>89336787</v>
      </c>
      <c r="D438" s="209">
        <v>10</v>
      </c>
      <c r="E438" s="209">
        <v>10000002</v>
      </c>
      <c r="F438" s="209">
        <v>20000335</v>
      </c>
      <c r="G438" s="209" t="s">
        <v>105</v>
      </c>
      <c r="H438" s="209">
        <v>20000335</v>
      </c>
      <c r="I438" s="209">
        <v>2</v>
      </c>
      <c r="J438" s="209" t="s">
        <v>169</v>
      </c>
      <c r="K438" s="209" t="s">
        <v>812</v>
      </c>
      <c r="L438" s="209" t="s">
        <v>171</v>
      </c>
      <c r="M438" s="209" t="s">
        <v>172</v>
      </c>
      <c r="N438" s="209">
        <v>50035184</v>
      </c>
      <c r="O438" s="209" t="s">
        <v>672</v>
      </c>
      <c r="P438" s="209">
        <v>5121</v>
      </c>
      <c r="Q438" s="209" t="s">
        <v>174</v>
      </c>
      <c r="R438" s="209" t="s">
        <v>175</v>
      </c>
      <c r="S438" s="209" t="s">
        <v>176</v>
      </c>
      <c r="T438" s="209" t="s">
        <v>177</v>
      </c>
      <c r="U438" s="209" t="s">
        <v>178</v>
      </c>
      <c r="V438" s="209" t="s">
        <v>179</v>
      </c>
      <c r="W438" s="209" t="s">
        <v>179</v>
      </c>
      <c r="X438" s="209" t="s">
        <v>180</v>
      </c>
      <c r="Y438" s="209" t="s">
        <v>180</v>
      </c>
      <c r="Z438" s="209">
        <v>9521067145</v>
      </c>
      <c r="AA438" s="209" t="s">
        <v>709</v>
      </c>
      <c r="AB438" s="209" t="s">
        <v>180</v>
      </c>
      <c r="AC438" s="209" t="s">
        <v>182</v>
      </c>
      <c r="AD438" s="209">
        <v>12</v>
      </c>
      <c r="AE438" s="209">
        <v>2024</v>
      </c>
      <c r="AF438" s="227">
        <v>45638</v>
      </c>
      <c r="AG438" s="227">
        <v>45642</v>
      </c>
      <c r="AH438" s="227">
        <v>45642</v>
      </c>
      <c r="AI438" s="228">
        <v>977184</v>
      </c>
      <c r="AJ438" s="228">
        <v>52</v>
      </c>
      <c r="AK438" s="228">
        <v>977184</v>
      </c>
      <c r="AL438" s="228">
        <v>52</v>
      </c>
      <c r="AM438" s="228">
        <v>0</v>
      </c>
      <c r="AN438" s="228">
        <v>0</v>
      </c>
      <c r="AO438" s="229">
        <v>51</v>
      </c>
      <c r="AP438" s="231">
        <v>12</v>
      </c>
      <c r="AQ438" s="231">
        <v>2024</v>
      </c>
      <c r="AR438" s="231" t="str">
        <f t="shared" si="55"/>
        <v>12/2024</v>
      </c>
      <c r="AS438" s="231">
        <f t="shared" si="56"/>
        <v>19.5</v>
      </c>
      <c r="AT438" s="239">
        <f>IF(G438="CERVECERIA Y MALTERIA",(AS438*AK438/1000000)*(1-VLOOKUP(N438,FCST!D:I,6,FALSE)),0)</f>
        <v>19.055088000000001</v>
      </c>
      <c r="AU438" s="232">
        <v>5.0000000000000001E-3</v>
      </c>
      <c r="AV438" s="239">
        <f t="shared" si="57"/>
        <v>19.15036344</v>
      </c>
      <c r="AW438" s="239">
        <f>(AS438*AK438/1000000)*(VLOOKUP(N438,FCST!D:I,6,FALSE))</f>
        <v>0</v>
      </c>
      <c r="AX438" s="239">
        <f t="shared" si="58"/>
        <v>0</v>
      </c>
      <c r="AY438" s="239">
        <f>IF($G438="CERVECERIA Y MALTERIA.",($AS438*$AK438/1000000)*(1-VLOOKUP($N438,FCST!D:I,6,FALSE)),0)</f>
        <v>0</v>
      </c>
      <c r="AZ438" s="239">
        <f t="shared" si="59"/>
        <v>0</v>
      </c>
    </row>
    <row r="439" spans="1:52" x14ac:dyDescent="0.25">
      <c r="A439" s="209">
        <v>1090945</v>
      </c>
      <c r="B439" s="209">
        <v>30</v>
      </c>
      <c r="C439" s="209">
        <v>89336091</v>
      </c>
      <c r="D439" s="209">
        <v>30</v>
      </c>
      <c r="E439" s="209">
        <v>10000002</v>
      </c>
      <c r="F439" s="209">
        <v>20001057</v>
      </c>
      <c r="G439" s="209" t="s">
        <v>105</v>
      </c>
      <c r="H439" s="209">
        <v>20001057</v>
      </c>
      <c r="I439" s="209">
        <v>2</v>
      </c>
      <c r="J439" s="209" t="s">
        <v>169</v>
      </c>
      <c r="K439" s="209" t="s">
        <v>813</v>
      </c>
      <c r="L439" s="209" t="s">
        <v>171</v>
      </c>
      <c r="M439" s="209" t="s">
        <v>172</v>
      </c>
      <c r="N439" s="209">
        <v>50034616</v>
      </c>
      <c r="O439" s="209" t="s">
        <v>191</v>
      </c>
      <c r="P439" s="209">
        <v>5121</v>
      </c>
      <c r="Q439" s="209" t="s">
        <v>174</v>
      </c>
      <c r="R439" s="209" t="s">
        <v>175</v>
      </c>
      <c r="S439" s="209" t="s">
        <v>176</v>
      </c>
      <c r="T439" s="209" t="s">
        <v>177</v>
      </c>
      <c r="U439" s="209" t="s">
        <v>178</v>
      </c>
      <c r="V439" s="209" t="s">
        <v>179</v>
      </c>
      <c r="W439" s="209" t="s">
        <v>179</v>
      </c>
      <c r="X439" s="209" t="s">
        <v>180</v>
      </c>
      <c r="Y439" s="209" t="s">
        <v>180</v>
      </c>
      <c r="Z439" s="209">
        <v>9521067100</v>
      </c>
      <c r="AA439" s="209" t="s">
        <v>814</v>
      </c>
      <c r="AB439" s="209" t="s">
        <v>180</v>
      </c>
      <c r="AC439" s="209" t="s">
        <v>182</v>
      </c>
      <c r="AD439" s="209">
        <v>12</v>
      </c>
      <c r="AE439" s="209">
        <v>2024</v>
      </c>
      <c r="AF439" s="227">
        <v>45639</v>
      </c>
      <c r="AG439" s="227">
        <v>45639</v>
      </c>
      <c r="AH439" s="227">
        <v>45639</v>
      </c>
      <c r="AI439" s="228">
        <v>65664</v>
      </c>
      <c r="AJ439" s="228">
        <v>8</v>
      </c>
      <c r="AK439" s="228">
        <v>65664</v>
      </c>
      <c r="AL439" s="228">
        <v>8</v>
      </c>
      <c r="AM439" s="228">
        <v>0</v>
      </c>
      <c r="AN439" s="228">
        <v>0</v>
      </c>
      <c r="AO439" s="229">
        <v>50</v>
      </c>
      <c r="AP439" s="231">
        <v>12</v>
      </c>
      <c r="AQ439" s="231">
        <v>2024</v>
      </c>
      <c r="AR439" s="231" t="str">
        <f t="shared" si="55"/>
        <v>12/2024</v>
      </c>
      <c r="AS439" s="231">
        <f t="shared" si="56"/>
        <v>46.6</v>
      </c>
      <c r="AT439" s="239">
        <f>IF(G439="CERVECERIA Y MALTERIA",(AS439*AK439/1000000)*(1-VLOOKUP(N439,FCST!D:I,6,FALSE)),0)</f>
        <v>3.0599423999999997</v>
      </c>
      <c r="AU439" s="232">
        <v>5.0000000000000001E-3</v>
      </c>
      <c r="AV439" s="239">
        <f t="shared" si="57"/>
        <v>3.0752421119999993</v>
      </c>
      <c r="AW439" s="239">
        <f>(AS439*AK439/1000000)*(VLOOKUP(N439,FCST!D:I,6,FALSE))</f>
        <v>0</v>
      </c>
      <c r="AX439" s="239">
        <f t="shared" si="58"/>
        <v>0</v>
      </c>
      <c r="AY439" s="239">
        <f>IF($G439="CERVECERIA Y MALTERIA.",($AS439*$AK439/1000000)*(1-VLOOKUP($N439,FCST!D:I,6,FALSE)),0)</f>
        <v>0</v>
      </c>
      <c r="AZ439" s="239">
        <f t="shared" si="59"/>
        <v>0</v>
      </c>
    </row>
    <row r="440" spans="1:52" x14ac:dyDescent="0.25">
      <c r="A440" s="209">
        <v>1089825</v>
      </c>
      <c r="B440" s="209">
        <v>50</v>
      </c>
      <c r="C440" s="209">
        <v>89335302</v>
      </c>
      <c r="D440" s="209">
        <v>10</v>
      </c>
      <c r="E440" s="209">
        <v>10000002</v>
      </c>
      <c r="F440" s="209">
        <v>20000340</v>
      </c>
      <c r="G440" s="209" t="s">
        <v>117</v>
      </c>
      <c r="H440" s="209">
        <v>20000340</v>
      </c>
      <c r="I440" s="209">
        <v>2</v>
      </c>
      <c r="J440" s="209" t="s">
        <v>169</v>
      </c>
      <c r="K440" s="209" t="s">
        <v>815</v>
      </c>
      <c r="L440" s="209" t="s">
        <v>171</v>
      </c>
      <c r="M440" s="209" t="s">
        <v>184</v>
      </c>
      <c r="N440" s="209">
        <v>50029817</v>
      </c>
      <c r="O440" s="209" t="s">
        <v>396</v>
      </c>
      <c r="P440" s="209">
        <v>5101</v>
      </c>
      <c r="Q440" s="209" t="s">
        <v>186</v>
      </c>
      <c r="R440" s="209" t="s">
        <v>175</v>
      </c>
      <c r="S440" s="209" t="s">
        <v>176</v>
      </c>
      <c r="T440" s="209" t="s">
        <v>187</v>
      </c>
      <c r="U440" s="209" t="s">
        <v>188</v>
      </c>
      <c r="V440" s="209" t="s">
        <v>179</v>
      </c>
      <c r="W440" s="209" t="s">
        <v>179</v>
      </c>
      <c r="X440" s="209" t="s">
        <v>180</v>
      </c>
      <c r="Y440" s="209" t="s">
        <v>180</v>
      </c>
      <c r="Z440" s="209">
        <v>9511047240</v>
      </c>
      <c r="AA440" s="209" t="s">
        <v>675</v>
      </c>
      <c r="AB440" s="209" t="s">
        <v>180</v>
      </c>
      <c r="AC440" s="209" t="s">
        <v>182</v>
      </c>
      <c r="AD440" s="209">
        <v>12</v>
      </c>
      <c r="AE440" s="209">
        <v>2024</v>
      </c>
      <c r="AF440" s="227">
        <v>45632</v>
      </c>
      <c r="AG440" s="227">
        <v>45639</v>
      </c>
      <c r="AH440" s="227">
        <v>45639</v>
      </c>
      <c r="AI440" s="228">
        <v>606528</v>
      </c>
      <c r="AJ440" s="228">
        <v>52</v>
      </c>
      <c r="AK440" s="228">
        <v>606528</v>
      </c>
      <c r="AL440" s="228">
        <v>52</v>
      </c>
      <c r="AM440" s="228">
        <v>0</v>
      </c>
      <c r="AN440" s="228">
        <v>0</v>
      </c>
      <c r="AO440" s="229">
        <v>50</v>
      </c>
      <c r="AP440" s="231">
        <v>12</v>
      </c>
      <c r="AQ440" s="231">
        <v>2024</v>
      </c>
      <c r="AR440" s="231" t="str">
        <f t="shared" si="55"/>
        <v>12/2024</v>
      </c>
      <c r="AS440" s="231">
        <f t="shared" si="56"/>
        <v>30</v>
      </c>
      <c r="AT440" s="239">
        <f>IF(G440="CERVECERIA Y MALTERIA",(AS440*AK440/1000000)*(1-VLOOKUP(N440,FCST!D:I,6,FALSE)),0)</f>
        <v>0</v>
      </c>
      <c r="AU440" s="232">
        <v>5.0000000000000001E-3</v>
      </c>
      <c r="AV440" s="239">
        <f t="shared" si="57"/>
        <v>0</v>
      </c>
      <c r="AW440" s="239">
        <f>(AS440*AK440/1000000)*(VLOOKUP(N440,FCST!D:I,6,FALSE))</f>
        <v>5.4587519999999996</v>
      </c>
      <c r="AX440" s="239">
        <f t="shared" si="58"/>
        <v>5.4860457599999988</v>
      </c>
      <c r="AY440" s="239">
        <f>IF($G440="CERVECERIA Y MALTERIA.",($AS440*$AK440/1000000)*(1-VLOOKUP($N440,FCST!D:I,6,FALSE)),0)</f>
        <v>12.737088</v>
      </c>
      <c r="AZ440" s="239">
        <f t="shared" si="59"/>
        <v>12.800773439999999</v>
      </c>
    </row>
    <row r="441" spans="1:52" x14ac:dyDescent="0.25">
      <c r="A441" s="209">
        <v>1089825</v>
      </c>
      <c r="B441" s="209">
        <v>60</v>
      </c>
      <c r="C441" s="209">
        <v>89335328</v>
      </c>
      <c r="D441" s="209">
        <v>10</v>
      </c>
      <c r="E441" s="209">
        <v>10000002</v>
      </c>
      <c r="F441" s="209">
        <v>20000340</v>
      </c>
      <c r="G441" s="209" t="s">
        <v>117</v>
      </c>
      <c r="H441" s="209">
        <v>20000340</v>
      </c>
      <c r="I441" s="209">
        <v>2</v>
      </c>
      <c r="J441" s="209" t="s">
        <v>169</v>
      </c>
      <c r="K441" s="209" t="s">
        <v>816</v>
      </c>
      <c r="L441" s="209" t="s">
        <v>171</v>
      </c>
      <c r="M441" s="209" t="s">
        <v>184</v>
      </c>
      <c r="N441" s="209">
        <v>50029817</v>
      </c>
      <c r="O441" s="209" t="s">
        <v>396</v>
      </c>
      <c r="P441" s="209">
        <v>5101</v>
      </c>
      <c r="Q441" s="209" t="s">
        <v>186</v>
      </c>
      <c r="R441" s="209" t="s">
        <v>175</v>
      </c>
      <c r="S441" s="209" t="s">
        <v>176</v>
      </c>
      <c r="T441" s="209" t="s">
        <v>187</v>
      </c>
      <c r="U441" s="209" t="s">
        <v>188</v>
      </c>
      <c r="V441" s="209" t="s">
        <v>179</v>
      </c>
      <c r="W441" s="209" t="s">
        <v>179</v>
      </c>
      <c r="X441" s="209" t="s">
        <v>180</v>
      </c>
      <c r="Y441" s="209" t="s">
        <v>180</v>
      </c>
      <c r="Z441" s="209">
        <v>9511047240</v>
      </c>
      <c r="AA441" s="209" t="s">
        <v>675</v>
      </c>
      <c r="AB441" s="209" t="s">
        <v>180</v>
      </c>
      <c r="AC441" s="209" t="s">
        <v>182</v>
      </c>
      <c r="AD441" s="209">
        <v>12</v>
      </c>
      <c r="AE441" s="209">
        <v>2024</v>
      </c>
      <c r="AF441" s="227">
        <v>45632</v>
      </c>
      <c r="AG441" s="227">
        <v>45639</v>
      </c>
      <c r="AH441" s="227">
        <v>45639</v>
      </c>
      <c r="AI441" s="228">
        <v>606528</v>
      </c>
      <c r="AJ441" s="228">
        <v>52</v>
      </c>
      <c r="AK441" s="228">
        <v>606528</v>
      </c>
      <c r="AL441" s="228">
        <v>52</v>
      </c>
      <c r="AM441" s="228">
        <v>0</v>
      </c>
      <c r="AN441" s="228">
        <v>0</v>
      </c>
      <c r="AO441" s="229">
        <v>50</v>
      </c>
      <c r="AP441" s="231">
        <v>12</v>
      </c>
      <c r="AQ441" s="231">
        <v>2024</v>
      </c>
      <c r="AR441" s="231" t="str">
        <f t="shared" si="55"/>
        <v>12/2024</v>
      </c>
      <c r="AS441" s="231">
        <f t="shared" si="56"/>
        <v>30</v>
      </c>
      <c r="AT441" s="239">
        <f>IF(G441="CERVECERIA Y MALTERIA",(AS441*AK441/1000000)*(1-VLOOKUP(N441,FCST!D:I,6,FALSE)),0)</f>
        <v>0</v>
      </c>
      <c r="AU441" s="232">
        <v>5.0000000000000001E-3</v>
      </c>
      <c r="AV441" s="239">
        <f t="shared" si="57"/>
        <v>0</v>
      </c>
      <c r="AW441" s="239">
        <f>(AS441*AK441/1000000)*(VLOOKUP(N441,FCST!D:I,6,FALSE))</f>
        <v>5.4587519999999996</v>
      </c>
      <c r="AX441" s="239">
        <f t="shared" si="58"/>
        <v>5.4860457599999988</v>
      </c>
      <c r="AY441" s="239">
        <f>IF($G441="CERVECERIA Y MALTERIA.",($AS441*$AK441/1000000)*(1-VLOOKUP($N441,FCST!D:I,6,FALSE)),0)</f>
        <v>12.737088</v>
      </c>
      <c r="AZ441" s="239">
        <f t="shared" si="59"/>
        <v>12.800773439999999</v>
      </c>
    </row>
    <row r="442" spans="1:52" x14ac:dyDescent="0.25">
      <c r="A442" s="209">
        <v>1089824</v>
      </c>
      <c r="B442" s="209">
        <v>80</v>
      </c>
      <c r="C442" s="209">
        <v>89335565</v>
      </c>
      <c r="D442" s="209">
        <v>10</v>
      </c>
      <c r="E442" s="209">
        <v>10000002</v>
      </c>
      <c r="F442" s="209">
        <v>20000335</v>
      </c>
      <c r="G442" s="209" t="s">
        <v>105</v>
      </c>
      <c r="H442" s="209">
        <v>20000335</v>
      </c>
      <c r="I442" s="209">
        <v>2</v>
      </c>
      <c r="J442" s="209" t="s">
        <v>169</v>
      </c>
      <c r="K442" s="209" t="s">
        <v>817</v>
      </c>
      <c r="L442" s="209" t="s">
        <v>171</v>
      </c>
      <c r="M442" s="209" t="s">
        <v>184</v>
      </c>
      <c r="N442" s="209">
        <v>50037042</v>
      </c>
      <c r="O442" s="209" t="s">
        <v>543</v>
      </c>
      <c r="P442" s="209">
        <v>5121</v>
      </c>
      <c r="Q442" s="209" t="s">
        <v>174</v>
      </c>
      <c r="R442" s="209" t="s">
        <v>175</v>
      </c>
      <c r="S442" s="209" t="s">
        <v>176</v>
      </c>
      <c r="T442" s="209" t="s">
        <v>177</v>
      </c>
      <c r="U442" s="209" t="s">
        <v>178</v>
      </c>
      <c r="V442" s="209" t="s">
        <v>179</v>
      </c>
      <c r="W442" s="209" t="s">
        <v>179</v>
      </c>
      <c r="X442" s="209" t="s">
        <v>180</v>
      </c>
      <c r="Y442" s="209" t="s">
        <v>180</v>
      </c>
      <c r="Z442" s="209">
        <v>9521067081</v>
      </c>
      <c r="AA442" s="209" t="s">
        <v>692</v>
      </c>
      <c r="AB442" s="209" t="s">
        <v>180</v>
      </c>
      <c r="AC442" s="209" t="s">
        <v>182</v>
      </c>
      <c r="AD442" s="209">
        <v>12</v>
      </c>
      <c r="AE442" s="209">
        <v>2024</v>
      </c>
      <c r="AF442" s="227">
        <v>45632</v>
      </c>
      <c r="AG442" s="227">
        <v>45639</v>
      </c>
      <c r="AH442" s="227">
        <v>45639</v>
      </c>
      <c r="AI442" s="228">
        <v>426816</v>
      </c>
      <c r="AJ442" s="228">
        <v>52</v>
      </c>
      <c r="AK442" s="228">
        <v>426816</v>
      </c>
      <c r="AL442" s="228">
        <v>52</v>
      </c>
      <c r="AM442" s="228">
        <v>0</v>
      </c>
      <c r="AN442" s="228">
        <v>0</v>
      </c>
      <c r="AO442" s="229">
        <v>50</v>
      </c>
      <c r="AP442" s="231">
        <v>12</v>
      </c>
      <c r="AQ442" s="231">
        <v>2024</v>
      </c>
      <c r="AR442" s="231" t="str">
        <f t="shared" si="55"/>
        <v>12/2024</v>
      </c>
      <c r="AS442" s="231">
        <f t="shared" si="56"/>
        <v>46.6</v>
      </c>
      <c r="AT442" s="239">
        <f>IF(G442="CERVECERIA Y MALTERIA",(AS442*AK442/1000000)*(1-VLOOKUP(N442,FCST!D:I,6,FALSE)),0)</f>
        <v>15.911700480000002</v>
      </c>
      <c r="AU442" s="232">
        <v>5.0000000000000001E-3</v>
      </c>
      <c r="AV442" s="239">
        <f t="shared" si="57"/>
        <v>15.9912589824</v>
      </c>
      <c r="AW442" s="239">
        <f>(AS442*AK442/1000000)*(VLOOKUP(N442,FCST!D:I,6,FALSE))</f>
        <v>3.9779251200000005</v>
      </c>
      <c r="AX442" s="239">
        <f t="shared" si="58"/>
        <v>3.9978147455999999</v>
      </c>
      <c r="AY442" s="239">
        <f>IF($G442="CERVECERIA Y MALTERIA.",($AS442*$AK442/1000000)*(1-VLOOKUP($N442,FCST!D:I,6,FALSE)),0)</f>
        <v>0</v>
      </c>
      <c r="AZ442" s="239">
        <f t="shared" si="59"/>
        <v>0</v>
      </c>
    </row>
    <row r="443" spans="1:52" x14ac:dyDescent="0.25">
      <c r="A443" s="209">
        <v>1089662</v>
      </c>
      <c r="B443" s="209">
        <v>40</v>
      </c>
      <c r="C443" s="209">
        <v>89336069</v>
      </c>
      <c r="D443" s="209">
        <v>10</v>
      </c>
      <c r="E443" s="209">
        <v>10000002</v>
      </c>
      <c r="F443" s="209">
        <v>20000337</v>
      </c>
      <c r="G443" s="209" t="s">
        <v>105</v>
      </c>
      <c r="H443" s="209">
        <v>20000337</v>
      </c>
      <c r="I443" s="209">
        <v>2</v>
      </c>
      <c r="J443" s="209" t="s">
        <v>169</v>
      </c>
      <c r="K443" s="209" t="s">
        <v>818</v>
      </c>
      <c r="L443" s="209" t="s">
        <v>171</v>
      </c>
      <c r="M443" s="209" t="s">
        <v>199</v>
      </c>
      <c r="N443" s="209">
        <v>50034616</v>
      </c>
      <c r="O443" s="209" t="s">
        <v>191</v>
      </c>
      <c r="P443" s="209">
        <v>5121</v>
      </c>
      <c r="Q443" s="209" t="s">
        <v>200</v>
      </c>
      <c r="R443" s="209" t="s">
        <v>201</v>
      </c>
      <c r="S443" s="209" t="s">
        <v>202</v>
      </c>
      <c r="T443" s="209" t="s">
        <v>203</v>
      </c>
      <c r="U443" s="209" t="s">
        <v>201</v>
      </c>
      <c r="V443" s="209" t="s">
        <v>179</v>
      </c>
      <c r="W443" s="209" t="s">
        <v>179</v>
      </c>
      <c r="X443" s="209" t="s">
        <v>180</v>
      </c>
      <c r="Y443" s="209" t="s">
        <v>180</v>
      </c>
      <c r="Z443" s="209">
        <v>9521067083</v>
      </c>
      <c r="AA443" s="209" t="s">
        <v>677</v>
      </c>
      <c r="AB443" s="209" t="s">
        <v>180</v>
      </c>
      <c r="AC443" s="209" t="s">
        <v>182</v>
      </c>
      <c r="AD443" s="209">
        <v>12</v>
      </c>
      <c r="AE443" s="209">
        <v>2024</v>
      </c>
      <c r="AF443" s="227">
        <v>45631</v>
      </c>
      <c r="AG443" s="227">
        <v>45639</v>
      </c>
      <c r="AH443" s="227">
        <v>45639</v>
      </c>
      <c r="AI443" s="228">
        <v>426816</v>
      </c>
      <c r="AJ443" s="228">
        <v>52</v>
      </c>
      <c r="AK443" s="228">
        <v>426816</v>
      </c>
      <c r="AL443" s="228">
        <v>52</v>
      </c>
      <c r="AM443" s="228">
        <v>0</v>
      </c>
      <c r="AN443" s="228">
        <v>0</v>
      </c>
      <c r="AO443" s="229">
        <v>49</v>
      </c>
      <c r="AP443" s="231">
        <v>12</v>
      </c>
      <c r="AQ443" s="231">
        <v>2024</v>
      </c>
      <c r="AR443" s="231" t="str">
        <f t="shared" si="55"/>
        <v>12/2024</v>
      </c>
      <c r="AS443" s="231">
        <f t="shared" si="56"/>
        <v>46.6</v>
      </c>
      <c r="AT443" s="239">
        <f>IF(G443="CERVECERIA Y MALTERIA",(AS443*AK443/1000000)*(1-VLOOKUP(N443,FCST!D:I,6,FALSE)),0)</f>
        <v>19.889625600000002</v>
      </c>
      <c r="AU443" s="232">
        <v>5.0000000000000001E-3</v>
      </c>
      <c r="AV443" s="239">
        <f t="shared" si="57"/>
        <v>19.989073728000001</v>
      </c>
      <c r="AW443" s="239">
        <f>(AS443*AK443/1000000)*(VLOOKUP(N443,FCST!D:I,6,FALSE))</f>
        <v>0</v>
      </c>
      <c r="AX443" s="239">
        <f t="shared" si="58"/>
        <v>0</v>
      </c>
      <c r="AY443" s="239">
        <f>IF($G443="CERVECERIA Y MALTERIA.",($AS443*$AK443/1000000)*(1-VLOOKUP($N443,FCST!D:I,6,FALSE)),0)</f>
        <v>0</v>
      </c>
      <c r="AZ443" s="239">
        <f t="shared" si="59"/>
        <v>0</v>
      </c>
    </row>
    <row r="444" spans="1:52" x14ac:dyDescent="0.25">
      <c r="A444" s="209">
        <v>1090945</v>
      </c>
      <c r="B444" s="209">
        <v>10</v>
      </c>
      <c r="C444" s="209">
        <v>89336091</v>
      </c>
      <c r="D444" s="209">
        <v>10</v>
      </c>
      <c r="E444" s="209">
        <v>10000002</v>
      </c>
      <c r="F444" s="209">
        <v>20001057</v>
      </c>
      <c r="G444" s="209" t="s">
        <v>105</v>
      </c>
      <c r="H444" s="209">
        <v>20001057</v>
      </c>
      <c r="I444" s="209">
        <v>2</v>
      </c>
      <c r="J444" s="209" t="s">
        <v>169</v>
      </c>
      <c r="K444" s="209" t="s">
        <v>813</v>
      </c>
      <c r="L444" s="209" t="s">
        <v>171</v>
      </c>
      <c r="M444" s="209" t="s">
        <v>172</v>
      </c>
      <c r="N444" s="209">
        <v>50036220</v>
      </c>
      <c r="O444" s="209" t="s">
        <v>819</v>
      </c>
      <c r="P444" s="209">
        <v>5121</v>
      </c>
      <c r="Q444" s="209" t="s">
        <v>174</v>
      </c>
      <c r="R444" s="209" t="s">
        <v>175</v>
      </c>
      <c r="S444" s="209" t="s">
        <v>176</v>
      </c>
      <c r="T444" s="209" t="s">
        <v>177</v>
      </c>
      <c r="U444" s="209" t="s">
        <v>178</v>
      </c>
      <c r="V444" s="209" t="s">
        <v>179</v>
      </c>
      <c r="W444" s="209" t="s">
        <v>179</v>
      </c>
      <c r="X444" s="209" t="s">
        <v>180</v>
      </c>
      <c r="Y444" s="209" t="s">
        <v>180</v>
      </c>
      <c r="Z444" s="209">
        <v>9521067100</v>
      </c>
      <c r="AA444" s="209" t="s">
        <v>814</v>
      </c>
      <c r="AB444" s="209" t="s">
        <v>180</v>
      </c>
      <c r="AC444" s="209" t="s">
        <v>182</v>
      </c>
      <c r="AD444" s="209">
        <v>12</v>
      </c>
      <c r="AE444" s="209">
        <v>2024</v>
      </c>
      <c r="AF444" s="227">
        <v>45639</v>
      </c>
      <c r="AG444" s="227">
        <v>45639</v>
      </c>
      <c r="AH444" s="227">
        <v>45639</v>
      </c>
      <c r="AI444" s="228">
        <v>408960</v>
      </c>
      <c r="AJ444" s="228">
        <v>40</v>
      </c>
      <c r="AK444" s="228">
        <v>408960</v>
      </c>
      <c r="AL444" s="228">
        <v>40</v>
      </c>
      <c r="AM444" s="228">
        <v>0</v>
      </c>
      <c r="AN444" s="228">
        <v>0</v>
      </c>
      <c r="AO444" s="229">
        <v>50</v>
      </c>
      <c r="AP444" s="231">
        <v>12</v>
      </c>
      <c r="AQ444" s="231">
        <v>2024</v>
      </c>
      <c r="AR444" s="231" t="str">
        <f t="shared" si="55"/>
        <v>12/2024</v>
      </c>
      <c r="AS444" s="231">
        <f t="shared" si="56"/>
        <v>37.200000000000003</v>
      </c>
      <c r="AT444" s="239">
        <f>IF(G444="CERVECERIA Y MALTERIA",(AS444*AK444/1000000)*(1-0),0)</f>
        <v>15.213312000000002</v>
      </c>
      <c r="AU444" s="232">
        <v>5.0000000000000001E-3</v>
      </c>
      <c r="AV444" s="239">
        <f t="shared" si="57"/>
        <v>15.289378560000001</v>
      </c>
      <c r="AW444" s="239">
        <f>(AS444*AK444/1000000)*(0)</f>
        <v>0</v>
      </c>
      <c r="AX444" s="239">
        <f t="shared" si="58"/>
        <v>0</v>
      </c>
      <c r="AY444" s="239">
        <f>IF($G444="CERVECERIA Y MALTERIA.",($AS444*$AK444/1000000)*(1-VLOOKUP($N444,FCST!D:I,6,FALSE)),0)</f>
        <v>0</v>
      </c>
      <c r="AZ444" s="239">
        <f t="shared" si="59"/>
        <v>0</v>
      </c>
    </row>
    <row r="445" spans="1:52" x14ac:dyDescent="0.25">
      <c r="A445" s="209">
        <v>1090945</v>
      </c>
      <c r="B445" s="209">
        <v>20</v>
      </c>
      <c r="C445" s="209">
        <v>89336091</v>
      </c>
      <c r="D445" s="209">
        <v>20</v>
      </c>
      <c r="E445" s="209">
        <v>10000002</v>
      </c>
      <c r="F445" s="209">
        <v>20001057</v>
      </c>
      <c r="G445" s="209" t="s">
        <v>105</v>
      </c>
      <c r="H445" s="209">
        <v>20001057</v>
      </c>
      <c r="I445" s="209">
        <v>2</v>
      </c>
      <c r="J445" s="209" t="s">
        <v>169</v>
      </c>
      <c r="K445" s="209" t="s">
        <v>813</v>
      </c>
      <c r="L445" s="209" t="s">
        <v>171</v>
      </c>
      <c r="M445" s="209" t="s">
        <v>172</v>
      </c>
      <c r="N445" s="209">
        <v>50037887</v>
      </c>
      <c r="O445" s="209" t="s">
        <v>679</v>
      </c>
      <c r="P445" s="209">
        <v>5121</v>
      </c>
      <c r="Q445" s="209" t="s">
        <v>174</v>
      </c>
      <c r="R445" s="209" t="s">
        <v>175</v>
      </c>
      <c r="S445" s="209" t="s">
        <v>176</v>
      </c>
      <c r="T445" s="209" t="s">
        <v>177</v>
      </c>
      <c r="U445" s="209" t="s">
        <v>178</v>
      </c>
      <c r="V445" s="209" t="s">
        <v>179</v>
      </c>
      <c r="W445" s="209" t="s">
        <v>179</v>
      </c>
      <c r="X445" s="209" t="s">
        <v>180</v>
      </c>
      <c r="Y445" s="209" t="s">
        <v>180</v>
      </c>
      <c r="Z445" s="209">
        <v>9521067100</v>
      </c>
      <c r="AA445" s="209" t="s">
        <v>814</v>
      </c>
      <c r="AB445" s="209" t="s">
        <v>180</v>
      </c>
      <c r="AC445" s="209" t="s">
        <v>182</v>
      </c>
      <c r="AD445" s="209">
        <v>12</v>
      </c>
      <c r="AE445" s="209">
        <v>2024</v>
      </c>
      <c r="AF445" s="227">
        <v>45639</v>
      </c>
      <c r="AG445" s="227">
        <v>45639</v>
      </c>
      <c r="AH445" s="227">
        <v>45639</v>
      </c>
      <c r="AI445" s="228">
        <v>40896</v>
      </c>
      <c r="AJ445" s="228">
        <v>4</v>
      </c>
      <c r="AK445" s="228">
        <v>40896</v>
      </c>
      <c r="AL445" s="228">
        <v>4</v>
      </c>
      <c r="AM445" s="228">
        <v>0</v>
      </c>
      <c r="AN445" s="228">
        <v>0</v>
      </c>
      <c r="AO445" s="229">
        <v>50</v>
      </c>
      <c r="AP445" s="231">
        <v>12</v>
      </c>
      <c r="AQ445" s="231">
        <v>2024</v>
      </c>
      <c r="AR445" s="231" t="str">
        <f t="shared" si="55"/>
        <v>12/2024</v>
      </c>
      <c r="AS445" s="231">
        <f t="shared" si="56"/>
        <v>37.200000000000003</v>
      </c>
      <c r="AT445" s="239">
        <f>IF(G445="CERVECERIA Y MALTERIA",(AS445*AK445/1000000)*(1-VLOOKUP(N445,FCST!D:I,6,FALSE)),0)</f>
        <v>1.5213312000000001</v>
      </c>
      <c r="AU445" s="232">
        <v>5.0000000000000001E-3</v>
      </c>
      <c r="AV445" s="239">
        <f t="shared" si="57"/>
        <v>1.528937856</v>
      </c>
      <c r="AW445" s="239">
        <f>(AS445*AK445/1000000)*(VLOOKUP(N445,FCST!D:I,6,FALSE))</f>
        <v>0</v>
      </c>
      <c r="AX445" s="239">
        <f t="shared" si="58"/>
        <v>0</v>
      </c>
      <c r="AY445" s="239">
        <f>IF($G445="CERVECERIA Y MALTERIA.",($AS445*$AK445/1000000)*(1-VLOOKUP($N445,FCST!D:I,6,FALSE)),0)</f>
        <v>0</v>
      </c>
      <c r="AZ445" s="239">
        <f t="shared" si="59"/>
        <v>0</v>
      </c>
    </row>
    <row r="446" spans="1:52" x14ac:dyDescent="0.25">
      <c r="A446" s="209">
        <v>1089824</v>
      </c>
      <c r="B446" s="209">
        <v>30</v>
      </c>
      <c r="C446" s="209">
        <v>89331408</v>
      </c>
      <c r="D446" s="209">
        <v>10</v>
      </c>
      <c r="E446" s="209">
        <v>10000002</v>
      </c>
      <c r="F446" s="209">
        <v>20000335</v>
      </c>
      <c r="G446" s="209" t="s">
        <v>105</v>
      </c>
      <c r="H446" s="209">
        <v>20000335</v>
      </c>
      <c r="I446" s="209">
        <v>2</v>
      </c>
      <c r="J446" s="209" t="s">
        <v>169</v>
      </c>
      <c r="K446" s="209" t="s">
        <v>820</v>
      </c>
      <c r="L446" s="209" t="s">
        <v>171</v>
      </c>
      <c r="M446" s="209" t="s">
        <v>184</v>
      </c>
      <c r="N446" s="209">
        <v>50037042</v>
      </c>
      <c r="O446" s="209" t="s">
        <v>543</v>
      </c>
      <c r="P446" s="209">
        <v>5121</v>
      </c>
      <c r="Q446" s="209" t="s">
        <v>174</v>
      </c>
      <c r="R446" s="209" t="s">
        <v>175</v>
      </c>
      <c r="S446" s="209" t="s">
        <v>176</v>
      </c>
      <c r="T446" s="209" t="s">
        <v>177</v>
      </c>
      <c r="U446" s="209" t="s">
        <v>178</v>
      </c>
      <c r="V446" s="209" t="s">
        <v>179</v>
      </c>
      <c r="W446" s="209" t="s">
        <v>179</v>
      </c>
      <c r="X446" s="209" t="s">
        <v>180</v>
      </c>
      <c r="Y446" s="209" t="s">
        <v>180</v>
      </c>
      <c r="Z446" s="209">
        <v>9521067081</v>
      </c>
      <c r="AA446" s="209" t="s">
        <v>692</v>
      </c>
      <c r="AB446" s="209" t="s">
        <v>180</v>
      </c>
      <c r="AC446" s="209" t="s">
        <v>182</v>
      </c>
      <c r="AD446" s="209">
        <v>12</v>
      </c>
      <c r="AE446" s="209">
        <v>2024</v>
      </c>
      <c r="AF446" s="227">
        <v>45632</v>
      </c>
      <c r="AG446" s="227">
        <v>45635</v>
      </c>
      <c r="AH446" s="227">
        <v>45635</v>
      </c>
      <c r="AI446" s="228">
        <v>426816</v>
      </c>
      <c r="AJ446" s="228">
        <v>52</v>
      </c>
      <c r="AK446" s="228">
        <v>426816</v>
      </c>
      <c r="AL446" s="228">
        <v>52</v>
      </c>
      <c r="AM446" s="228">
        <v>0</v>
      </c>
      <c r="AN446" s="228">
        <v>0</v>
      </c>
      <c r="AO446" s="229">
        <v>50</v>
      </c>
      <c r="AP446" s="231">
        <v>12</v>
      </c>
      <c r="AQ446" s="231">
        <v>2024</v>
      </c>
      <c r="AR446" s="231" t="str">
        <f t="shared" si="55"/>
        <v>12/2024</v>
      </c>
      <c r="AS446" s="231">
        <f t="shared" si="56"/>
        <v>46.6</v>
      </c>
      <c r="AT446" s="239">
        <f>IF(G446="CERVECERIA Y MALTERIA",(AS446*AK446/1000000)*(1-VLOOKUP(N446,FCST!D:I,6,FALSE)),0)</f>
        <v>15.911700480000002</v>
      </c>
      <c r="AU446" s="232">
        <v>5.0000000000000001E-3</v>
      </c>
      <c r="AV446" s="239">
        <f t="shared" si="57"/>
        <v>15.9912589824</v>
      </c>
      <c r="AW446" s="239">
        <f>(AS446*AK446/1000000)*(VLOOKUP(N446,FCST!D:I,6,FALSE))</f>
        <v>3.9779251200000005</v>
      </c>
      <c r="AX446" s="239">
        <f t="shared" si="58"/>
        <v>3.9978147455999999</v>
      </c>
      <c r="AY446" s="239">
        <f>IF($G446="CERVECERIA Y MALTERIA.",($AS446*$AK446/1000000)*(1-VLOOKUP($N446,FCST!D:I,6,FALSE)),0)</f>
        <v>0</v>
      </c>
      <c r="AZ446" s="239">
        <f t="shared" si="59"/>
        <v>0</v>
      </c>
    </row>
    <row r="447" spans="1:52" x14ac:dyDescent="0.25">
      <c r="A447" s="209">
        <v>1089824</v>
      </c>
      <c r="B447" s="209">
        <v>20</v>
      </c>
      <c r="C447" s="209">
        <v>89331413</v>
      </c>
      <c r="D447" s="209">
        <v>10</v>
      </c>
      <c r="E447" s="209">
        <v>10000002</v>
      </c>
      <c r="F447" s="209">
        <v>20000335</v>
      </c>
      <c r="G447" s="209" t="s">
        <v>105</v>
      </c>
      <c r="H447" s="209">
        <v>20000335</v>
      </c>
      <c r="I447" s="209">
        <v>2</v>
      </c>
      <c r="J447" s="209" t="s">
        <v>169</v>
      </c>
      <c r="K447" s="209" t="s">
        <v>821</v>
      </c>
      <c r="L447" s="209" t="s">
        <v>171</v>
      </c>
      <c r="M447" s="209" t="s">
        <v>184</v>
      </c>
      <c r="N447" s="209">
        <v>50032573</v>
      </c>
      <c r="O447" s="209" t="s">
        <v>173</v>
      </c>
      <c r="P447" s="209">
        <v>5121</v>
      </c>
      <c r="Q447" s="209" t="s">
        <v>174</v>
      </c>
      <c r="R447" s="209" t="s">
        <v>175</v>
      </c>
      <c r="S447" s="209" t="s">
        <v>176</v>
      </c>
      <c r="T447" s="209" t="s">
        <v>177</v>
      </c>
      <c r="U447" s="209" t="s">
        <v>178</v>
      </c>
      <c r="V447" s="209" t="s">
        <v>179</v>
      </c>
      <c r="W447" s="209" t="s">
        <v>179</v>
      </c>
      <c r="X447" s="209" t="s">
        <v>180</v>
      </c>
      <c r="Y447" s="209" t="s">
        <v>180</v>
      </c>
      <c r="Z447" s="209">
        <v>9521067075</v>
      </c>
      <c r="AA447" s="209" t="s">
        <v>719</v>
      </c>
      <c r="AB447" s="209" t="s">
        <v>180</v>
      </c>
      <c r="AC447" s="209" t="s">
        <v>182</v>
      </c>
      <c r="AD447" s="209">
        <v>12</v>
      </c>
      <c r="AE447" s="209">
        <v>2024</v>
      </c>
      <c r="AF447" s="227">
        <v>45632</v>
      </c>
      <c r="AG447" s="227">
        <v>45635</v>
      </c>
      <c r="AH447" s="227">
        <v>45635</v>
      </c>
      <c r="AI447" s="228">
        <v>531648</v>
      </c>
      <c r="AJ447" s="228">
        <v>52</v>
      </c>
      <c r="AK447" s="228">
        <v>531648</v>
      </c>
      <c r="AL447" s="228">
        <v>52</v>
      </c>
      <c r="AM447" s="228">
        <v>0</v>
      </c>
      <c r="AN447" s="228">
        <v>0</v>
      </c>
      <c r="AO447" s="229">
        <v>50</v>
      </c>
      <c r="AP447" s="231">
        <v>12</v>
      </c>
      <c r="AQ447" s="231">
        <v>2024</v>
      </c>
      <c r="AR447" s="231" t="str">
        <f t="shared" si="55"/>
        <v>12/2024</v>
      </c>
      <c r="AS447" s="231">
        <f t="shared" si="56"/>
        <v>37.200000000000003</v>
      </c>
      <c r="AT447" s="239">
        <f>IF(G447="CERVECERIA Y MALTERIA",(AS447*AK447/1000000)*(1-VLOOKUP(N447,FCST!D:I,6,FALSE)),0)</f>
        <v>19.777305600000002</v>
      </c>
      <c r="AU447" s="232">
        <v>5.0000000000000001E-3</v>
      </c>
      <c r="AV447" s="239">
        <f t="shared" si="57"/>
        <v>19.876192128</v>
      </c>
      <c r="AW447" s="239">
        <f>(AS447*AK447/1000000)*(VLOOKUP(N447,FCST!D:I,6,FALSE))</f>
        <v>0</v>
      </c>
      <c r="AX447" s="239">
        <f t="shared" si="58"/>
        <v>0</v>
      </c>
      <c r="AY447" s="239">
        <f>IF($G447="CERVECERIA Y MALTERIA.",($AS447*$AK447/1000000)*(1-VLOOKUP($N447,FCST!D:I,6,FALSE)),0)</f>
        <v>0</v>
      </c>
      <c r="AZ447" s="239">
        <f t="shared" si="59"/>
        <v>0</v>
      </c>
    </row>
    <row r="448" spans="1:52" x14ac:dyDescent="0.25">
      <c r="A448" s="209">
        <v>1089825</v>
      </c>
      <c r="B448" s="209">
        <v>10</v>
      </c>
      <c r="C448" s="209">
        <v>89331154</v>
      </c>
      <c r="D448" s="209">
        <v>10</v>
      </c>
      <c r="E448" s="209">
        <v>10000002</v>
      </c>
      <c r="F448" s="209">
        <v>20000340</v>
      </c>
      <c r="G448" s="209" t="s">
        <v>117</v>
      </c>
      <c r="H448" s="209">
        <v>20000340</v>
      </c>
      <c r="I448" s="209">
        <v>2</v>
      </c>
      <c r="J448" s="209" t="s">
        <v>169</v>
      </c>
      <c r="K448" s="209" t="s">
        <v>822</v>
      </c>
      <c r="L448" s="209" t="s">
        <v>171</v>
      </c>
      <c r="M448" s="209" t="s">
        <v>184</v>
      </c>
      <c r="N448" s="209">
        <v>50036718</v>
      </c>
      <c r="O448" s="209" t="s">
        <v>259</v>
      </c>
      <c r="P448" s="209">
        <v>5101</v>
      </c>
      <c r="Q448" s="209" t="s">
        <v>186</v>
      </c>
      <c r="R448" s="209" t="s">
        <v>175</v>
      </c>
      <c r="S448" s="209" t="s">
        <v>176</v>
      </c>
      <c r="T448" s="209" t="s">
        <v>187</v>
      </c>
      <c r="U448" s="209" t="s">
        <v>188</v>
      </c>
      <c r="V448" s="209" t="s">
        <v>179</v>
      </c>
      <c r="W448" s="209" t="s">
        <v>179</v>
      </c>
      <c r="X448" s="209" t="s">
        <v>180</v>
      </c>
      <c r="Y448" s="209" t="s">
        <v>180</v>
      </c>
      <c r="Z448" s="209">
        <v>9511047239</v>
      </c>
      <c r="AA448" s="209" t="s">
        <v>791</v>
      </c>
      <c r="AB448" s="209" t="s">
        <v>180</v>
      </c>
      <c r="AC448" s="209" t="s">
        <v>182</v>
      </c>
      <c r="AD448" s="209">
        <v>12</v>
      </c>
      <c r="AE448" s="209">
        <v>2024</v>
      </c>
      <c r="AF448" s="227">
        <v>45632</v>
      </c>
      <c r="AG448" s="227">
        <v>45635</v>
      </c>
      <c r="AH448" s="227">
        <v>45635</v>
      </c>
      <c r="AI448" s="228">
        <v>519168</v>
      </c>
      <c r="AJ448" s="228">
        <v>52</v>
      </c>
      <c r="AK448" s="228">
        <v>519168</v>
      </c>
      <c r="AL448" s="228">
        <v>52</v>
      </c>
      <c r="AM448" s="228">
        <v>0</v>
      </c>
      <c r="AN448" s="228">
        <v>0</v>
      </c>
      <c r="AO448" s="229">
        <v>50</v>
      </c>
      <c r="AP448" s="231">
        <v>12</v>
      </c>
      <c r="AQ448" s="231">
        <v>2024</v>
      </c>
      <c r="AR448" s="231" t="str">
        <f t="shared" si="55"/>
        <v>12/2024</v>
      </c>
      <c r="AS448" s="231">
        <f t="shared" si="56"/>
        <v>34</v>
      </c>
      <c r="AT448" s="239">
        <f>IF(G448="CERVECERIA Y MALTERIA",(AS448*AK448/1000000)*(1-VLOOKUP(N448,FCST!D:I,6,FALSE)),0)</f>
        <v>0</v>
      </c>
      <c r="AU448" s="232">
        <v>5.0000000000000001E-3</v>
      </c>
      <c r="AV448" s="239">
        <f t="shared" si="57"/>
        <v>0</v>
      </c>
      <c r="AW448" s="239">
        <f>(AS448*AK448/1000000)*(VLOOKUP(N448,FCST!D:I,6,FALSE))</f>
        <v>0</v>
      </c>
      <c r="AX448" s="239">
        <f t="shared" si="58"/>
        <v>0</v>
      </c>
      <c r="AY448" s="239">
        <f>IF($G448="CERVECERIA Y MALTERIA.",($AS448*$AK448/1000000)*(1-VLOOKUP($N448,FCST!D:I,6,FALSE)),0)</f>
        <v>17.651712</v>
      </c>
      <c r="AZ448" s="239">
        <f t="shared" si="59"/>
        <v>17.73997056</v>
      </c>
    </row>
    <row r="449" spans="1:52" x14ac:dyDescent="0.25">
      <c r="A449" s="209">
        <v>1088349</v>
      </c>
      <c r="B449" s="209">
        <v>40</v>
      </c>
      <c r="C449" s="209">
        <v>89329781</v>
      </c>
      <c r="D449" s="209">
        <v>10</v>
      </c>
      <c r="E449" s="209">
        <v>10000002</v>
      </c>
      <c r="F449" s="209">
        <v>20000340</v>
      </c>
      <c r="G449" s="209" t="s">
        <v>117</v>
      </c>
      <c r="H449" s="209">
        <v>20000340</v>
      </c>
      <c r="I449" s="209">
        <v>2</v>
      </c>
      <c r="J449" s="209" t="s">
        <v>169</v>
      </c>
      <c r="K449" s="209" t="s">
        <v>823</v>
      </c>
      <c r="L449" s="209" t="s">
        <v>171</v>
      </c>
      <c r="M449" s="209" t="s">
        <v>172</v>
      </c>
      <c r="N449" s="209">
        <v>50036718</v>
      </c>
      <c r="O449" s="209" t="s">
        <v>259</v>
      </c>
      <c r="P449" s="209">
        <v>5101</v>
      </c>
      <c r="Q449" s="209" t="s">
        <v>186</v>
      </c>
      <c r="R449" s="209" t="s">
        <v>175</v>
      </c>
      <c r="S449" s="209" t="s">
        <v>176</v>
      </c>
      <c r="T449" s="209" t="s">
        <v>187</v>
      </c>
      <c r="U449" s="209" t="s">
        <v>188</v>
      </c>
      <c r="V449" s="209" t="s">
        <v>179</v>
      </c>
      <c r="W449" s="209" t="s">
        <v>179</v>
      </c>
      <c r="X449" s="209" t="s">
        <v>180</v>
      </c>
      <c r="Y449" s="209" t="s">
        <v>180</v>
      </c>
      <c r="Z449" s="209">
        <v>9511047239</v>
      </c>
      <c r="AA449" s="209" t="s">
        <v>791</v>
      </c>
      <c r="AB449" s="209" t="s">
        <v>180</v>
      </c>
      <c r="AC449" s="209" t="s">
        <v>182</v>
      </c>
      <c r="AD449" s="209">
        <v>12</v>
      </c>
      <c r="AE449" s="209">
        <v>2024</v>
      </c>
      <c r="AF449" s="227">
        <v>45624</v>
      </c>
      <c r="AG449" s="227">
        <v>45632</v>
      </c>
      <c r="AH449" s="227">
        <v>45632</v>
      </c>
      <c r="AI449" s="228">
        <v>519168</v>
      </c>
      <c r="AJ449" s="228">
        <v>52</v>
      </c>
      <c r="AK449" s="228">
        <v>519168</v>
      </c>
      <c r="AL449" s="228">
        <v>52</v>
      </c>
      <c r="AM449" s="228">
        <v>0</v>
      </c>
      <c r="AN449" s="228">
        <v>0</v>
      </c>
      <c r="AO449" s="229">
        <v>49</v>
      </c>
      <c r="AP449" s="231">
        <v>12</v>
      </c>
      <c r="AQ449" s="231">
        <v>2024</v>
      </c>
      <c r="AR449" s="231" t="str">
        <f t="shared" si="55"/>
        <v>12/2024</v>
      </c>
      <c r="AS449" s="231">
        <f t="shared" si="56"/>
        <v>34</v>
      </c>
      <c r="AT449" s="239">
        <f>IF(G449="CERVECERIA Y MALTERIA",(AS449*AK449/1000000)*(1-VLOOKUP(N449,FCST!D:I,6,FALSE)),0)</f>
        <v>0</v>
      </c>
      <c r="AU449" s="232">
        <v>5.0000000000000001E-3</v>
      </c>
      <c r="AV449" s="239">
        <f t="shared" si="57"/>
        <v>0</v>
      </c>
      <c r="AW449" s="239">
        <f>(AS449*AK449/1000000)*(VLOOKUP(N449,FCST!D:I,6,FALSE))</f>
        <v>0</v>
      </c>
      <c r="AX449" s="239">
        <f t="shared" si="58"/>
        <v>0</v>
      </c>
      <c r="AY449" s="239">
        <f>IF($G449="CERVECERIA Y MALTERIA.",($AS449*$AK449/1000000)*(1-VLOOKUP($N449,FCST!D:I,6,FALSE)),0)</f>
        <v>17.651712</v>
      </c>
      <c r="AZ449" s="239">
        <f t="shared" si="59"/>
        <v>17.73997056</v>
      </c>
    </row>
    <row r="450" spans="1:52" x14ac:dyDescent="0.25">
      <c r="A450" s="209">
        <v>1088349</v>
      </c>
      <c r="B450" s="209">
        <v>50</v>
      </c>
      <c r="C450" s="209">
        <v>89329943</v>
      </c>
      <c r="D450" s="209">
        <v>10</v>
      </c>
      <c r="E450" s="209">
        <v>10000002</v>
      </c>
      <c r="F450" s="209">
        <v>20000340</v>
      </c>
      <c r="G450" s="209" t="s">
        <v>117</v>
      </c>
      <c r="H450" s="209">
        <v>20000340</v>
      </c>
      <c r="I450" s="209">
        <v>2</v>
      </c>
      <c r="J450" s="209" t="s">
        <v>169</v>
      </c>
      <c r="K450" s="209" t="s">
        <v>824</v>
      </c>
      <c r="L450" s="209" t="s">
        <v>171</v>
      </c>
      <c r="M450" s="209" t="s">
        <v>172</v>
      </c>
      <c r="N450" s="209">
        <v>50027468</v>
      </c>
      <c r="O450" s="209" t="s">
        <v>285</v>
      </c>
      <c r="P450" s="209">
        <v>5101</v>
      </c>
      <c r="Q450" s="209" t="s">
        <v>186</v>
      </c>
      <c r="R450" s="209" t="s">
        <v>175</v>
      </c>
      <c r="S450" s="209" t="s">
        <v>176</v>
      </c>
      <c r="T450" s="209" t="s">
        <v>187</v>
      </c>
      <c r="U450" s="209" t="s">
        <v>188</v>
      </c>
      <c r="V450" s="209" t="s">
        <v>179</v>
      </c>
      <c r="W450" s="209" t="s">
        <v>179</v>
      </c>
      <c r="X450" s="209" t="s">
        <v>180</v>
      </c>
      <c r="Y450" s="209" t="s">
        <v>180</v>
      </c>
      <c r="Z450" s="209">
        <v>9511047238</v>
      </c>
      <c r="AA450" s="209" t="s">
        <v>748</v>
      </c>
      <c r="AB450" s="209" t="s">
        <v>180</v>
      </c>
      <c r="AC450" s="209" t="s">
        <v>182</v>
      </c>
      <c r="AD450" s="209">
        <v>12</v>
      </c>
      <c r="AE450" s="209">
        <v>2024</v>
      </c>
      <c r="AF450" s="227">
        <v>45624</v>
      </c>
      <c r="AG450" s="227">
        <v>45632</v>
      </c>
      <c r="AH450" s="227">
        <v>45632</v>
      </c>
      <c r="AI450" s="228">
        <v>376320</v>
      </c>
      <c r="AJ450" s="228">
        <v>49</v>
      </c>
      <c r="AK450" s="228">
        <v>376320</v>
      </c>
      <c r="AL450" s="228">
        <v>49</v>
      </c>
      <c r="AM450" s="228">
        <v>0</v>
      </c>
      <c r="AN450" s="228">
        <v>0</v>
      </c>
      <c r="AO450" s="229">
        <v>49</v>
      </c>
      <c r="AP450" s="231">
        <v>12</v>
      </c>
      <c r="AQ450" s="231">
        <v>2024</v>
      </c>
      <c r="AR450" s="231" t="str">
        <f t="shared" si="55"/>
        <v>12/2024</v>
      </c>
      <c r="AS450" s="231">
        <f t="shared" si="56"/>
        <v>52</v>
      </c>
      <c r="AT450" s="239">
        <f>IF(G450="CERVECERIA Y MALTERIA",(AS450*AK450/1000000)*(1-VLOOKUP(N450,FCST!D:I,6,FALSE)),0)</f>
        <v>0</v>
      </c>
      <c r="AU450" s="232">
        <v>5.0000000000000001E-3</v>
      </c>
      <c r="AV450" s="239">
        <f t="shared" si="57"/>
        <v>0</v>
      </c>
      <c r="AW450" s="239">
        <f>(AS450*AK450/1000000)*(VLOOKUP(N450,FCST!D:I,6,FALSE))</f>
        <v>0</v>
      </c>
      <c r="AX450" s="239">
        <f t="shared" si="58"/>
        <v>0</v>
      </c>
      <c r="AY450" s="239">
        <f>IF($G450="CERVECERIA Y MALTERIA.",($AS450*$AK450/1000000)*(1-VLOOKUP($N450,FCST!D:I,6,FALSE)),0)</f>
        <v>19.568639999999998</v>
      </c>
      <c r="AZ450" s="239">
        <f t="shared" si="59"/>
        <v>19.666483199999995</v>
      </c>
    </row>
    <row r="451" spans="1:52" x14ac:dyDescent="0.25">
      <c r="A451" s="209">
        <v>1088814</v>
      </c>
      <c r="B451" s="209">
        <v>20</v>
      </c>
      <c r="C451" s="209">
        <v>89330374</v>
      </c>
      <c r="D451" s="209">
        <v>10</v>
      </c>
      <c r="E451" s="209">
        <v>10000002</v>
      </c>
      <c r="F451" s="209">
        <v>20000339</v>
      </c>
      <c r="G451" s="209" t="s">
        <v>105</v>
      </c>
      <c r="H451" s="209">
        <v>20000339</v>
      </c>
      <c r="I451" s="209">
        <v>2</v>
      </c>
      <c r="J451" s="209" t="s">
        <v>169</v>
      </c>
      <c r="K451" s="209" t="s">
        <v>825</v>
      </c>
      <c r="L451" s="209" t="s">
        <v>556</v>
      </c>
      <c r="M451" s="209" t="s">
        <v>184</v>
      </c>
      <c r="N451" s="209">
        <v>50034634</v>
      </c>
      <c r="O451" s="209" t="s">
        <v>219</v>
      </c>
      <c r="P451" s="209">
        <v>5121</v>
      </c>
      <c r="Q451" s="209" t="s">
        <v>174</v>
      </c>
      <c r="R451" s="209" t="s">
        <v>175</v>
      </c>
      <c r="S451" s="209" t="s">
        <v>176</v>
      </c>
      <c r="T451" s="209" t="s">
        <v>177</v>
      </c>
      <c r="U451" s="209" t="s">
        <v>178</v>
      </c>
      <c r="V451" s="209" t="s">
        <v>179</v>
      </c>
      <c r="W451" s="209" t="s">
        <v>179</v>
      </c>
      <c r="X451" s="209" t="s">
        <v>180</v>
      </c>
      <c r="Y451" s="209" t="s">
        <v>180</v>
      </c>
      <c r="Z451" s="209">
        <v>9521067088</v>
      </c>
      <c r="AA451" s="209" t="s">
        <v>688</v>
      </c>
      <c r="AB451" s="209" t="s">
        <v>180</v>
      </c>
      <c r="AC451" s="209" t="s">
        <v>182</v>
      </c>
      <c r="AD451" s="209">
        <v>12</v>
      </c>
      <c r="AE451" s="209">
        <v>2024</v>
      </c>
      <c r="AF451" s="227">
        <v>45629</v>
      </c>
      <c r="AG451" s="227">
        <v>45632</v>
      </c>
      <c r="AH451" s="227">
        <v>45632</v>
      </c>
      <c r="AI451" s="228">
        <v>364416</v>
      </c>
      <c r="AJ451" s="228">
        <v>52</v>
      </c>
      <c r="AK451" s="228">
        <v>364416</v>
      </c>
      <c r="AL451" s="228">
        <v>52</v>
      </c>
      <c r="AM451" s="228">
        <v>0</v>
      </c>
      <c r="AN451" s="228">
        <v>0</v>
      </c>
      <c r="AO451" s="229">
        <v>49</v>
      </c>
      <c r="AP451" s="231">
        <v>12</v>
      </c>
      <c r="AQ451" s="231">
        <v>2024</v>
      </c>
      <c r="AR451" s="231" t="str">
        <f t="shared" si="55"/>
        <v>12/2024</v>
      </c>
      <c r="AS451" s="231">
        <f t="shared" si="56"/>
        <v>52</v>
      </c>
      <c r="AT451" s="239">
        <f>IF(G451="CERVECERIA Y MALTERIA",(AS451*AK451/1000000)*(1-VLOOKUP(N451,FCST!D:I,6,FALSE)),0)</f>
        <v>18.949632000000001</v>
      </c>
      <c r="AU451" s="232">
        <v>5.0000000000000001E-3</v>
      </c>
      <c r="AV451" s="239">
        <f t="shared" si="57"/>
        <v>19.044380159999999</v>
      </c>
      <c r="AW451" s="239">
        <f>(AS451*AK451/1000000)*(VLOOKUP(N451,FCST!D:I,6,FALSE))</f>
        <v>0</v>
      </c>
      <c r="AX451" s="239">
        <f t="shared" si="58"/>
        <v>0</v>
      </c>
      <c r="AY451" s="239">
        <f>IF($G451="CERVECERIA Y MALTERIA.",($AS451*$AK451/1000000)*(1-VLOOKUP($N451,FCST!D:I,6,FALSE)),0)</f>
        <v>0</v>
      </c>
      <c r="AZ451" s="239">
        <f t="shared" si="59"/>
        <v>0</v>
      </c>
    </row>
    <row r="452" spans="1:52" x14ac:dyDescent="0.25">
      <c r="A452" s="209">
        <v>1088746</v>
      </c>
      <c r="B452" s="209">
        <v>30</v>
      </c>
      <c r="C452" s="209">
        <v>89330654</v>
      </c>
      <c r="D452" s="209">
        <v>10</v>
      </c>
      <c r="E452" s="209">
        <v>10000002</v>
      </c>
      <c r="F452" s="209">
        <v>20001057</v>
      </c>
      <c r="G452" s="209" t="s">
        <v>105</v>
      </c>
      <c r="H452" s="209">
        <v>20001057</v>
      </c>
      <c r="I452" s="209">
        <v>2</v>
      </c>
      <c r="J452" s="209" t="s">
        <v>169</v>
      </c>
      <c r="K452" s="209" t="s">
        <v>826</v>
      </c>
      <c r="L452" s="209" t="s">
        <v>265</v>
      </c>
      <c r="M452" s="209" t="s">
        <v>184</v>
      </c>
      <c r="N452" s="209">
        <v>50032573</v>
      </c>
      <c r="O452" s="209" t="s">
        <v>173</v>
      </c>
      <c r="P452" s="209">
        <v>5121</v>
      </c>
      <c r="Q452" s="209" t="s">
        <v>174</v>
      </c>
      <c r="R452" s="209" t="s">
        <v>175</v>
      </c>
      <c r="S452" s="209" t="s">
        <v>176</v>
      </c>
      <c r="T452" s="209" t="s">
        <v>177</v>
      </c>
      <c r="U452" s="209" t="s">
        <v>178</v>
      </c>
      <c r="V452" s="209" t="s">
        <v>179</v>
      </c>
      <c r="W452" s="209" t="s">
        <v>179</v>
      </c>
      <c r="X452" s="209" t="s">
        <v>180</v>
      </c>
      <c r="Y452" s="209" t="s">
        <v>180</v>
      </c>
      <c r="Z452" s="209">
        <v>9521067090</v>
      </c>
      <c r="AA452" s="209" t="s">
        <v>827</v>
      </c>
      <c r="AB452" s="209" t="s">
        <v>180</v>
      </c>
      <c r="AC452" s="209" t="s">
        <v>182</v>
      </c>
      <c r="AD452" s="209">
        <v>12</v>
      </c>
      <c r="AE452" s="209">
        <v>2024</v>
      </c>
      <c r="AF452" s="227">
        <v>45628</v>
      </c>
      <c r="AG452" s="227">
        <v>45632</v>
      </c>
      <c r="AH452" s="227">
        <v>45632</v>
      </c>
      <c r="AI452" s="228">
        <v>531648</v>
      </c>
      <c r="AJ452" s="228">
        <v>52</v>
      </c>
      <c r="AK452" s="228">
        <v>531648</v>
      </c>
      <c r="AL452" s="228">
        <v>52</v>
      </c>
      <c r="AM452" s="228">
        <v>0</v>
      </c>
      <c r="AN452" s="228">
        <v>0</v>
      </c>
      <c r="AO452" s="229">
        <v>49</v>
      </c>
      <c r="AP452" s="231">
        <v>12</v>
      </c>
      <c r="AQ452" s="231">
        <v>2024</v>
      </c>
      <c r="AR452" s="231" t="str">
        <f t="shared" si="55"/>
        <v>12/2024</v>
      </c>
      <c r="AS452" s="231">
        <f t="shared" si="56"/>
        <v>37.200000000000003</v>
      </c>
      <c r="AT452" s="239">
        <f>IF(G452="CERVECERIA Y MALTERIA",(AS452*AK452/1000000)*(1-VLOOKUP(N452,FCST!D:I,6,FALSE)),0)</f>
        <v>19.777305600000002</v>
      </c>
      <c r="AU452" s="232">
        <v>5.0000000000000001E-3</v>
      </c>
      <c r="AV452" s="239">
        <f t="shared" si="57"/>
        <v>19.876192128</v>
      </c>
      <c r="AW452" s="239">
        <f>(AS452*AK452/1000000)*(VLOOKUP(N452,FCST!D:I,6,FALSE))</f>
        <v>0</v>
      </c>
      <c r="AX452" s="239">
        <f t="shared" si="58"/>
        <v>0</v>
      </c>
      <c r="AY452" s="239">
        <f>IF($G452="CERVECERIA Y MALTERIA.",($AS452*$AK452/1000000)*(1-VLOOKUP($N452,FCST!D:I,6,FALSE)),0)</f>
        <v>0</v>
      </c>
      <c r="AZ452" s="239">
        <f t="shared" si="59"/>
        <v>0</v>
      </c>
    </row>
    <row r="453" spans="1:52" x14ac:dyDescent="0.25">
      <c r="A453" s="209">
        <v>1089661</v>
      </c>
      <c r="B453" s="209">
        <v>10</v>
      </c>
      <c r="C453" s="209">
        <v>89330655</v>
      </c>
      <c r="D453" s="209">
        <v>10</v>
      </c>
      <c r="E453" s="209">
        <v>10000002</v>
      </c>
      <c r="F453" s="209">
        <v>20000339</v>
      </c>
      <c r="G453" s="209" t="s">
        <v>105</v>
      </c>
      <c r="H453" s="209">
        <v>20000339</v>
      </c>
      <c r="I453" s="209">
        <v>2</v>
      </c>
      <c r="J453" s="209" t="s">
        <v>169</v>
      </c>
      <c r="K453" s="209" t="s">
        <v>828</v>
      </c>
      <c r="L453" s="209" t="s">
        <v>171</v>
      </c>
      <c r="M453" s="209" t="s">
        <v>184</v>
      </c>
      <c r="N453" s="209">
        <v>50034577</v>
      </c>
      <c r="O453" s="209" t="s">
        <v>237</v>
      </c>
      <c r="P453" s="209">
        <v>5101</v>
      </c>
      <c r="Q453" s="209" t="s">
        <v>186</v>
      </c>
      <c r="R453" s="209" t="s">
        <v>175</v>
      </c>
      <c r="S453" s="209" t="s">
        <v>176</v>
      </c>
      <c r="T453" s="209" t="s">
        <v>187</v>
      </c>
      <c r="U453" s="209" t="s">
        <v>188</v>
      </c>
      <c r="V453" s="209" t="s">
        <v>179</v>
      </c>
      <c r="W453" s="209" t="s">
        <v>179</v>
      </c>
      <c r="X453" s="209" t="s">
        <v>180</v>
      </c>
      <c r="Y453" s="209" t="s">
        <v>180</v>
      </c>
      <c r="Z453" s="209">
        <v>9511047200</v>
      </c>
      <c r="AA453" s="209" t="s">
        <v>829</v>
      </c>
      <c r="AB453" s="209" t="s">
        <v>180</v>
      </c>
      <c r="AC453" s="209" t="s">
        <v>182</v>
      </c>
      <c r="AD453" s="209">
        <v>12</v>
      </c>
      <c r="AE453" s="209">
        <v>2024</v>
      </c>
      <c r="AF453" s="227">
        <v>45631</v>
      </c>
      <c r="AG453" s="227">
        <v>45632</v>
      </c>
      <c r="AH453" s="227">
        <v>45632</v>
      </c>
      <c r="AI453" s="228">
        <v>543552</v>
      </c>
      <c r="AJ453" s="228">
        <v>38</v>
      </c>
      <c r="AK453" s="228">
        <v>543552</v>
      </c>
      <c r="AL453" s="228">
        <v>38</v>
      </c>
      <c r="AM453" s="228">
        <v>0</v>
      </c>
      <c r="AN453" s="228">
        <v>0</v>
      </c>
      <c r="AO453" s="229">
        <v>49</v>
      </c>
      <c r="AP453" s="231">
        <v>12</v>
      </c>
      <c r="AQ453" s="231">
        <v>2024</v>
      </c>
      <c r="AR453" s="231" t="str">
        <f t="shared" si="55"/>
        <v>12/2024</v>
      </c>
      <c r="AS453" s="231">
        <f t="shared" si="56"/>
        <v>25</v>
      </c>
      <c r="AT453" s="239">
        <f>IF(G453="CERVECERIA Y MALTERIA",(AS453*AK453/1000000)*(1-VLOOKUP(N453,FCST!D:I,6,FALSE)),0)</f>
        <v>13.588800000000001</v>
      </c>
      <c r="AU453" s="232">
        <v>5.0000000000000001E-3</v>
      </c>
      <c r="AV453" s="239">
        <f t="shared" si="57"/>
        <v>13.656744</v>
      </c>
      <c r="AW453" s="239">
        <f>(AS453*AK453/1000000)*(VLOOKUP(N453,FCST!D:I,6,FALSE))</f>
        <v>0</v>
      </c>
      <c r="AX453" s="239">
        <f t="shared" si="58"/>
        <v>0</v>
      </c>
      <c r="AY453" s="239">
        <f>IF($G453="CERVECERIA Y MALTERIA.",($AS453*$AK453/1000000)*(1-VLOOKUP($N453,FCST!D:I,6,FALSE)),0)</f>
        <v>0</v>
      </c>
      <c r="AZ453" s="239">
        <f t="shared" si="59"/>
        <v>0</v>
      </c>
    </row>
    <row r="454" spans="1:52" x14ac:dyDescent="0.25">
      <c r="A454" s="209">
        <v>1089661</v>
      </c>
      <c r="B454" s="209">
        <v>20</v>
      </c>
      <c r="C454" s="209">
        <v>89330655</v>
      </c>
      <c r="D454" s="209">
        <v>20</v>
      </c>
      <c r="E454" s="209">
        <v>10000002</v>
      </c>
      <c r="F454" s="209">
        <v>20000339</v>
      </c>
      <c r="G454" s="209" t="s">
        <v>105</v>
      </c>
      <c r="H454" s="209">
        <v>20000339</v>
      </c>
      <c r="I454" s="209">
        <v>2</v>
      </c>
      <c r="J454" s="209" t="s">
        <v>169</v>
      </c>
      <c r="K454" s="209" t="s">
        <v>828</v>
      </c>
      <c r="L454" s="209" t="s">
        <v>171</v>
      </c>
      <c r="M454" s="209" t="s">
        <v>184</v>
      </c>
      <c r="N454" s="209">
        <v>50034245</v>
      </c>
      <c r="O454" s="209" t="s">
        <v>591</v>
      </c>
      <c r="P454" s="209">
        <v>5101</v>
      </c>
      <c r="Q454" s="209" t="s">
        <v>186</v>
      </c>
      <c r="R454" s="209" t="s">
        <v>175</v>
      </c>
      <c r="S454" s="209" t="s">
        <v>176</v>
      </c>
      <c r="T454" s="209" t="s">
        <v>187</v>
      </c>
      <c r="U454" s="209" t="s">
        <v>188</v>
      </c>
      <c r="V454" s="209" t="s">
        <v>179</v>
      </c>
      <c r="W454" s="209" t="s">
        <v>179</v>
      </c>
      <c r="X454" s="209" t="s">
        <v>180</v>
      </c>
      <c r="Y454" s="209" t="s">
        <v>180</v>
      </c>
      <c r="Z454" s="209">
        <v>9511047200</v>
      </c>
      <c r="AA454" s="209" t="s">
        <v>829</v>
      </c>
      <c r="AB454" s="209" t="s">
        <v>180</v>
      </c>
      <c r="AC454" s="209" t="s">
        <v>182</v>
      </c>
      <c r="AD454" s="209">
        <v>12</v>
      </c>
      <c r="AE454" s="209">
        <v>2024</v>
      </c>
      <c r="AF454" s="227">
        <v>45631</v>
      </c>
      <c r="AG454" s="227">
        <v>45632</v>
      </c>
      <c r="AH454" s="227">
        <v>45632</v>
      </c>
      <c r="AI454" s="228">
        <v>200256</v>
      </c>
      <c r="AJ454" s="228">
        <v>14</v>
      </c>
      <c r="AK454" s="228">
        <v>200256</v>
      </c>
      <c r="AL454" s="228">
        <v>14</v>
      </c>
      <c r="AM454" s="228">
        <v>0</v>
      </c>
      <c r="AN454" s="228">
        <v>0</v>
      </c>
      <c r="AO454" s="229">
        <v>49</v>
      </c>
      <c r="AP454" s="231">
        <v>12</v>
      </c>
      <c r="AQ454" s="231">
        <v>2024</v>
      </c>
      <c r="AR454" s="231" t="str">
        <f t="shared" si="55"/>
        <v>12/2024</v>
      </c>
      <c r="AS454" s="231">
        <f t="shared" si="56"/>
        <v>25</v>
      </c>
      <c r="AT454" s="239">
        <f>IF(G454="CERVECERIA Y MALTERIA",(AS454*AK454/1000000)*(1-VLOOKUP(N454,FCST!D:I,6,FALSE)),0)</f>
        <v>0</v>
      </c>
      <c r="AU454" s="232">
        <v>5.0000000000000001E-3</v>
      </c>
      <c r="AV454" s="239">
        <f t="shared" si="57"/>
        <v>0</v>
      </c>
      <c r="AW454" s="239">
        <f>(AS454*AK454/1000000)*(VLOOKUP(N454,FCST!D:I,6,FALSE))</f>
        <v>5.0064000000000002</v>
      </c>
      <c r="AX454" s="239">
        <f t="shared" si="58"/>
        <v>5.0314319999999997</v>
      </c>
      <c r="AY454" s="239">
        <f>IF($G454="CERVECERIA Y MALTERIA.",($AS454*$AK454/1000000)*(1-VLOOKUP($N454,FCST!D:I,6,FALSE)),0)</f>
        <v>0</v>
      </c>
      <c r="AZ454" s="239">
        <f t="shared" si="59"/>
        <v>0</v>
      </c>
    </row>
    <row r="455" spans="1:52" x14ac:dyDescent="0.25">
      <c r="A455" s="209">
        <v>1089662</v>
      </c>
      <c r="B455" s="209">
        <v>10</v>
      </c>
      <c r="C455" s="209">
        <v>89330863</v>
      </c>
      <c r="D455" s="209">
        <v>10</v>
      </c>
      <c r="E455" s="209">
        <v>10000002</v>
      </c>
      <c r="F455" s="209">
        <v>20000337</v>
      </c>
      <c r="G455" s="209" t="s">
        <v>105</v>
      </c>
      <c r="H455" s="209">
        <v>20000337</v>
      </c>
      <c r="I455" s="209">
        <v>2</v>
      </c>
      <c r="J455" s="209" t="s">
        <v>169</v>
      </c>
      <c r="K455" s="209" t="s">
        <v>830</v>
      </c>
      <c r="L455" s="209" t="s">
        <v>171</v>
      </c>
      <c r="M455" s="209" t="s">
        <v>172</v>
      </c>
      <c r="N455" s="209">
        <v>50034616</v>
      </c>
      <c r="O455" s="209" t="s">
        <v>191</v>
      </c>
      <c r="P455" s="209">
        <v>5121</v>
      </c>
      <c r="Q455" s="209" t="s">
        <v>174</v>
      </c>
      <c r="R455" s="209" t="s">
        <v>175</v>
      </c>
      <c r="S455" s="209" t="s">
        <v>176</v>
      </c>
      <c r="T455" s="209" t="s">
        <v>177</v>
      </c>
      <c r="U455" s="209" t="s">
        <v>178</v>
      </c>
      <c r="V455" s="209" t="s">
        <v>179</v>
      </c>
      <c r="W455" s="209" t="s">
        <v>179</v>
      </c>
      <c r="X455" s="209" t="s">
        <v>180</v>
      </c>
      <c r="Y455" s="209" t="s">
        <v>180</v>
      </c>
      <c r="Z455" s="209">
        <v>9521067083</v>
      </c>
      <c r="AA455" s="209" t="s">
        <v>677</v>
      </c>
      <c r="AB455" s="209" t="s">
        <v>180</v>
      </c>
      <c r="AC455" s="209" t="s">
        <v>182</v>
      </c>
      <c r="AD455" s="209">
        <v>12</v>
      </c>
      <c r="AE455" s="209">
        <v>2024</v>
      </c>
      <c r="AF455" s="227">
        <v>45631</v>
      </c>
      <c r="AG455" s="227">
        <v>45632</v>
      </c>
      <c r="AH455" s="227">
        <v>45633</v>
      </c>
      <c r="AI455" s="228">
        <v>426816</v>
      </c>
      <c r="AJ455" s="228">
        <v>52</v>
      </c>
      <c r="AK455" s="228">
        <v>426816</v>
      </c>
      <c r="AL455" s="228">
        <v>52</v>
      </c>
      <c r="AM455" s="228">
        <v>0</v>
      </c>
      <c r="AN455" s="228">
        <v>0</v>
      </c>
      <c r="AO455" s="229">
        <v>49</v>
      </c>
      <c r="AP455" s="231">
        <v>12</v>
      </c>
      <c r="AQ455" s="231">
        <v>2024</v>
      </c>
      <c r="AR455" s="231" t="str">
        <f t="shared" si="55"/>
        <v>12/2024</v>
      </c>
      <c r="AS455" s="231">
        <f t="shared" si="56"/>
        <v>46.6</v>
      </c>
      <c r="AT455" s="239">
        <f>IF(G455="CERVECERIA Y MALTERIA",(AS455*AK455/1000000)*(1-VLOOKUP(N455,FCST!D:I,6,FALSE)),0)</f>
        <v>19.889625600000002</v>
      </c>
      <c r="AU455" s="232">
        <v>5.0000000000000001E-3</v>
      </c>
      <c r="AV455" s="239">
        <f t="shared" si="57"/>
        <v>19.989073728000001</v>
      </c>
      <c r="AW455" s="239">
        <f>(AS455*AK455/1000000)*(VLOOKUP(N455,FCST!D:I,6,FALSE))</f>
        <v>0</v>
      </c>
      <c r="AX455" s="239">
        <f t="shared" si="58"/>
        <v>0</v>
      </c>
      <c r="AY455" s="239">
        <f>IF($G455="CERVECERIA Y MALTERIA.",($AS455*$AK455/1000000)*(1-VLOOKUP($N455,FCST!D:I,6,FALSE)),0)</f>
        <v>0</v>
      </c>
      <c r="AZ455" s="239">
        <f t="shared" si="59"/>
        <v>0</v>
      </c>
    </row>
    <row r="456" spans="1:52" x14ac:dyDescent="0.25">
      <c r="A456" s="209">
        <v>1089825</v>
      </c>
      <c r="B456" s="209">
        <v>20</v>
      </c>
      <c r="C456" s="209">
        <v>89332355</v>
      </c>
      <c r="D456" s="209">
        <v>10</v>
      </c>
      <c r="E456" s="209">
        <v>10000002</v>
      </c>
      <c r="F456" s="209">
        <v>20000340</v>
      </c>
      <c r="G456" s="209" t="s">
        <v>117</v>
      </c>
      <c r="H456" s="209">
        <v>20000340</v>
      </c>
      <c r="I456" s="209">
        <v>2</v>
      </c>
      <c r="J456" s="209" t="s">
        <v>169</v>
      </c>
      <c r="K456" s="209" t="s">
        <v>831</v>
      </c>
      <c r="L456" s="209" t="s">
        <v>171</v>
      </c>
      <c r="M456" s="209" t="s">
        <v>184</v>
      </c>
      <c r="N456" s="209">
        <v>50036718</v>
      </c>
      <c r="O456" s="209" t="s">
        <v>259</v>
      </c>
      <c r="P456" s="209">
        <v>5101</v>
      </c>
      <c r="Q456" s="209" t="s">
        <v>186</v>
      </c>
      <c r="R456" s="209" t="s">
        <v>175</v>
      </c>
      <c r="S456" s="209" t="s">
        <v>176</v>
      </c>
      <c r="T456" s="209" t="s">
        <v>187</v>
      </c>
      <c r="U456" s="209" t="s">
        <v>188</v>
      </c>
      <c r="V456" s="209" t="s">
        <v>179</v>
      </c>
      <c r="W456" s="209" t="s">
        <v>179</v>
      </c>
      <c r="X456" s="209" t="s">
        <v>180</v>
      </c>
      <c r="Y456" s="209" t="s">
        <v>180</v>
      </c>
      <c r="Z456" s="209">
        <v>9511047239</v>
      </c>
      <c r="AA456" s="209" t="s">
        <v>791</v>
      </c>
      <c r="AB456" s="209" t="s">
        <v>180</v>
      </c>
      <c r="AC456" s="209" t="s">
        <v>182</v>
      </c>
      <c r="AD456" s="209">
        <v>12</v>
      </c>
      <c r="AE456" s="209">
        <v>2024</v>
      </c>
      <c r="AF456" s="227">
        <v>45632</v>
      </c>
      <c r="AG456" s="227">
        <v>45636</v>
      </c>
      <c r="AH456" s="227">
        <v>45636</v>
      </c>
      <c r="AI456" s="228">
        <v>519168</v>
      </c>
      <c r="AJ456" s="228">
        <v>52</v>
      </c>
      <c r="AK456" s="228">
        <v>519168</v>
      </c>
      <c r="AL456" s="228">
        <v>52</v>
      </c>
      <c r="AM456" s="228">
        <v>0</v>
      </c>
      <c r="AN456" s="228">
        <v>0</v>
      </c>
      <c r="AO456" s="229">
        <v>50</v>
      </c>
      <c r="AP456" s="231">
        <v>12</v>
      </c>
      <c r="AQ456" s="231">
        <v>2024</v>
      </c>
      <c r="AR456" s="231" t="str">
        <f t="shared" si="55"/>
        <v>12/2024</v>
      </c>
      <c r="AS456" s="231">
        <f t="shared" si="56"/>
        <v>34</v>
      </c>
      <c r="AT456" s="239">
        <f>IF(G456="CERVECERIA Y MALTERIA",(AS456*AK456/1000000)*(1-VLOOKUP(N456,FCST!D:I,6,FALSE)),0)</f>
        <v>0</v>
      </c>
      <c r="AU456" s="232">
        <v>5.0000000000000001E-3</v>
      </c>
      <c r="AV456" s="239">
        <f t="shared" si="57"/>
        <v>0</v>
      </c>
      <c r="AW456" s="239">
        <f>(AS456*AK456/1000000)*(VLOOKUP(N456,FCST!D:I,6,FALSE))</f>
        <v>0</v>
      </c>
      <c r="AX456" s="239">
        <f t="shared" si="58"/>
        <v>0</v>
      </c>
      <c r="AY456" s="239">
        <f>IF($G456="CERVECERIA Y MALTERIA.",($AS456*$AK456/1000000)*(1-VLOOKUP($N456,FCST!D:I,6,FALSE)),0)</f>
        <v>17.651712</v>
      </c>
      <c r="AZ456" s="239">
        <f t="shared" si="59"/>
        <v>17.73997056</v>
      </c>
    </row>
    <row r="457" spans="1:52" x14ac:dyDescent="0.25">
      <c r="A457" s="209">
        <v>1089824</v>
      </c>
      <c r="B457" s="209">
        <v>10</v>
      </c>
      <c r="C457" s="209">
        <v>89332421</v>
      </c>
      <c r="D457" s="209">
        <v>10</v>
      </c>
      <c r="E457" s="209">
        <v>10000002</v>
      </c>
      <c r="F457" s="209">
        <v>20000335</v>
      </c>
      <c r="G457" s="209" t="s">
        <v>105</v>
      </c>
      <c r="H457" s="209">
        <v>20000335</v>
      </c>
      <c r="I457" s="209">
        <v>2</v>
      </c>
      <c r="J457" s="209" t="s">
        <v>169</v>
      </c>
      <c r="K457" s="209" t="s">
        <v>832</v>
      </c>
      <c r="L457" s="209" t="s">
        <v>171</v>
      </c>
      <c r="M457" s="209" t="s">
        <v>199</v>
      </c>
      <c r="N457" s="209">
        <v>50034574</v>
      </c>
      <c r="O457" s="209" t="s">
        <v>196</v>
      </c>
      <c r="P457" s="209">
        <v>5121</v>
      </c>
      <c r="Q457" s="209" t="s">
        <v>200</v>
      </c>
      <c r="R457" s="209" t="s">
        <v>201</v>
      </c>
      <c r="S457" s="209" t="s">
        <v>202</v>
      </c>
      <c r="T457" s="209" t="s">
        <v>203</v>
      </c>
      <c r="U457" s="209" t="s">
        <v>201</v>
      </c>
      <c r="V457" s="209" t="s">
        <v>179</v>
      </c>
      <c r="W457" s="209" t="s">
        <v>179</v>
      </c>
      <c r="X457" s="209" t="s">
        <v>180</v>
      </c>
      <c r="Y457" s="209" t="s">
        <v>180</v>
      </c>
      <c r="Z457" s="209">
        <v>9521067077</v>
      </c>
      <c r="AA457" s="209" t="s">
        <v>788</v>
      </c>
      <c r="AB457" s="209" t="s">
        <v>180</v>
      </c>
      <c r="AC457" s="209" t="s">
        <v>182</v>
      </c>
      <c r="AD457" s="209">
        <v>12</v>
      </c>
      <c r="AE457" s="209">
        <v>2024</v>
      </c>
      <c r="AF457" s="227">
        <v>45632</v>
      </c>
      <c r="AG457" s="227">
        <v>45636</v>
      </c>
      <c r="AH457" s="227">
        <v>45636</v>
      </c>
      <c r="AI457" s="228">
        <v>977184</v>
      </c>
      <c r="AJ457" s="228">
        <v>52</v>
      </c>
      <c r="AK457" s="228">
        <v>977184</v>
      </c>
      <c r="AL457" s="228">
        <v>52</v>
      </c>
      <c r="AM457" s="228">
        <v>0</v>
      </c>
      <c r="AN457" s="228">
        <v>0</v>
      </c>
      <c r="AO457" s="229">
        <v>50</v>
      </c>
      <c r="AP457" s="231">
        <v>12</v>
      </c>
      <c r="AQ457" s="231">
        <v>2024</v>
      </c>
      <c r="AR457" s="231" t="str">
        <f t="shared" si="55"/>
        <v>12/2024</v>
      </c>
      <c r="AS457" s="231">
        <f t="shared" si="56"/>
        <v>19.5</v>
      </c>
      <c r="AT457" s="239">
        <f>IF(G457="CERVECERIA Y MALTERIA",(AS457*AK457/1000000)*(1-VLOOKUP(N457,FCST!D:I,6,FALSE)),0)</f>
        <v>19.055088000000001</v>
      </c>
      <c r="AU457" s="232">
        <v>5.0000000000000001E-3</v>
      </c>
      <c r="AV457" s="239">
        <f t="shared" si="57"/>
        <v>19.15036344</v>
      </c>
      <c r="AW457" s="239">
        <f>(AS457*AK457/1000000)*(VLOOKUP(N457,FCST!D:I,6,FALSE))</f>
        <v>0</v>
      </c>
      <c r="AX457" s="239">
        <f t="shared" si="58"/>
        <v>0</v>
      </c>
      <c r="AY457" s="239">
        <f>IF($G457="CERVECERIA Y MALTERIA.",($AS457*$AK457/1000000)*(1-VLOOKUP($N457,FCST!D:I,6,FALSE)),0)</f>
        <v>0</v>
      </c>
      <c r="AZ457" s="239">
        <f t="shared" si="59"/>
        <v>0</v>
      </c>
    </row>
    <row r="458" spans="1:52" x14ac:dyDescent="0.25">
      <c r="A458" s="209">
        <v>1089824</v>
      </c>
      <c r="B458" s="209">
        <v>40</v>
      </c>
      <c r="C458" s="209">
        <v>89332088</v>
      </c>
      <c r="D458" s="209">
        <v>10</v>
      </c>
      <c r="E458" s="209">
        <v>10000002</v>
      </c>
      <c r="F458" s="209">
        <v>20000335</v>
      </c>
      <c r="G458" s="209" t="s">
        <v>105</v>
      </c>
      <c r="H458" s="209">
        <v>20000335</v>
      </c>
      <c r="I458" s="209">
        <v>2</v>
      </c>
      <c r="J458" s="209" t="s">
        <v>169</v>
      </c>
      <c r="K458" s="209" t="s">
        <v>833</v>
      </c>
      <c r="L458" s="209" t="s">
        <v>171</v>
      </c>
      <c r="M458" s="209" t="s">
        <v>172</v>
      </c>
      <c r="N458" s="209">
        <v>50034574</v>
      </c>
      <c r="O458" s="209" t="s">
        <v>196</v>
      </c>
      <c r="P458" s="209">
        <v>5121</v>
      </c>
      <c r="Q458" s="209" t="s">
        <v>174</v>
      </c>
      <c r="R458" s="209" t="s">
        <v>175</v>
      </c>
      <c r="S458" s="209" t="s">
        <v>176</v>
      </c>
      <c r="T458" s="209" t="s">
        <v>177</v>
      </c>
      <c r="U458" s="209" t="s">
        <v>178</v>
      </c>
      <c r="V458" s="209" t="s">
        <v>179</v>
      </c>
      <c r="W458" s="209" t="s">
        <v>179</v>
      </c>
      <c r="X458" s="209" t="s">
        <v>180</v>
      </c>
      <c r="Y458" s="209" t="s">
        <v>180</v>
      </c>
      <c r="Z458" s="209">
        <v>9521067077</v>
      </c>
      <c r="AA458" s="209" t="s">
        <v>788</v>
      </c>
      <c r="AB458" s="209" t="s">
        <v>180</v>
      </c>
      <c r="AC458" s="209" t="s">
        <v>182</v>
      </c>
      <c r="AD458" s="209">
        <v>12</v>
      </c>
      <c r="AE458" s="209">
        <v>2024</v>
      </c>
      <c r="AF458" s="227">
        <v>45632</v>
      </c>
      <c r="AG458" s="227">
        <v>45635</v>
      </c>
      <c r="AH458" s="227">
        <v>45635</v>
      </c>
      <c r="AI458" s="228">
        <v>507384</v>
      </c>
      <c r="AJ458" s="228">
        <v>27</v>
      </c>
      <c r="AK458" s="228">
        <v>507384</v>
      </c>
      <c r="AL458" s="228">
        <v>27</v>
      </c>
      <c r="AM458" s="228">
        <v>0</v>
      </c>
      <c r="AN458" s="228">
        <v>0</v>
      </c>
      <c r="AO458" s="229">
        <v>50</v>
      </c>
      <c r="AP458" s="231">
        <v>12</v>
      </c>
      <c r="AQ458" s="231">
        <v>2024</v>
      </c>
      <c r="AR458" s="231" t="str">
        <f t="shared" si="55"/>
        <v>12/2024</v>
      </c>
      <c r="AS458" s="231">
        <f t="shared" si="56"/>
        <v>19.5</v>
      </c>
      <c r="AT458" s="239">
        <f>IF(G458="CERVECERIA Y MALTERIA",(AS458*AK458/1000000)*(1-VLOOKUP(N458,FCST!D:I,6,FALSE)),0)</f>
        <v>9.8939880000000002</v>
      </c>
      <c r="AU458" s="232">
        <v>5.0000000000000001E-3</v>
      </c>
      <c r="AV458" s="239">
        <f t="shared" si="57"/>
        <v>9.9434579400000001</v>
      </c>
      <c r="AW458" s="239">
        <f>(AS458*AK458/1000000)*(VLOOKUP(N458,FCST!D:I,6,FALSE))</f>
        <v>0</v>
      </c>
      <c r="AX458" s="239">
        <f t="shared" si="58"/>
        <v>0</v>
      </c>
      <c r="AY458" s="239">
        <f>IF($G458="CERVECERIA Y MALTERIA.",($AS458*$AK458/1000000)*(1-VLOOKUP($N458,FCST!D:I,6,FALSE)),0)</f>
        <v>0</v>
      </c>
      <c r="AZ458" s="239">
        <f t="shared" si="59"/>
        <v>0</v>
      </c>
    </row>
    <row r="459" spans="1:52" x14ac:dyDescent="0.25">
      <c r="A459" s="209">
        <v>1089662</v>
      </c>
      <c r="B459" s="209">
        <v>20</v>
      </c>
      <c r="C459" s="209">
        <v>89332205</v>
      </c>
      <c r="D459" s="209">
        <v>10</v>
      </c>
      <c r="E459" s="209">
        <v>10000002</v>
      </c>
      <c r="F459" s="209">
        <v>20000337</v>
      </c>
      <c r="G459" s="209" t="s">
        <v>105</v>
      </c>
      <c r="H459" s="209">
        <v>20000337</v>
      </c>
      <c r="I459" s="209">
        <v>2</v>
      </c>
      <c r="J459" s="209" t="s">
        <v>169</v>
      </c>
      <c r="K459" s="209" t="s">
        <v>834</v>
      </c>
      <c r="L459" s="209" t="s">
        <v>171</v>
      </c>
      <c r="M459" s="209" t="s">
        <v>172</v>
      </c>
      <c r="N459" s="209">
        <v>50034616</v>
      </c>
      <c r="O459" s="209" t="s">
        <v>191</v>
      </c>
      <c r="P459" s="209">
        <v>5121</v>
      </c>
      <c r="Q459" s="209" t="s">
        <v>174</v>
      </c>
      <c r="R459" s="209" t="s">
        <v>175</v>
      </c>
      <c r="S459" s="209" t="s">
        <v>176</v>
      </c>
      <c r="T459" s="209" t="s">
        <v>177</v>
      </c>
      <c r="U459" s="209" t="s">
        <v>178</v>
      </c>
      <c r="V459" s="209" t="s">
        <v>179</v>
      </c>
      <c r="W459" s="209" t="s">
        <v>179</v>
      </c>
      <c r="X459" s="209" t="s">
        <v>180</v>
      </c>
      <c r="Y459" s="209" t="s">
        <v>180</v>
      </c>
      <c r="Z459" s="209">
        <v>9521067083</v>
      </c>
      <c r="AA459" s="209" t="s">
        <v>677</v>
      </c>
      <c r="AB459" s="209" t="s">
        <v>180</v>
      </c>
      <c r="AC459" s="209" t="s">
        <v>182</v>
      </c>
      <c r="AD459" s="209">
        <v>12</v>
      </c>
      <c r="AE459" s="209">
        <v>2024</v>
      </c>
      <c r="AF459" s="227">
        <v>45631</v>
      </c>
      <c r="AG459" s="227">
        <v>45635</v>
      </c>
      <c r="AH459" s="227">
        <v>45635</v>
      </c>
      <c r="AI459" s="228">
        <v>426816</v>
      </c>
      <c r="AJ459" s="228">
        <v>52</v>
      </c>
      <c r="AK459" s="228">
        <v>426816</v>
      </c>
      <c r="AL459" s="228">
        <v>52</v>
      </c>
      <c r="AM459" s="228">
        <v>0</v>
      </c>
      <c r="AN459" s="228">
        <v>0</v>
      </c>
      <c r="AO459" s="229">
        <v>49</v>
      </c>
      <c r="AP459" s="231">
        <v>12</v>
      </c>
      <c r="AQ459" s="231">
        <v>2024</v>
      </c>
      <c r="AR459" s="231" t="str">
        <f t="shared" si="55"/>
        <v>12/2024</v>
      </c>
      <c r="AS459" s="231">
        <f t="shared" si="56"/>
        <v>46.6</v>
      </c>
      <c r="AT459" s="239">
        <f>IF(G459="CERVECERIA Y MALTERIA",(AS459*AK459/1000000)*(1-VLOOKUP(N459,FCST!D:I,6,FALSE)),0)</f>
        <v>19.889625600000002</v>
      </c>
      <c r="AU459" s="232">
        <v>5.0000000000000001E-3</v>
      </c>
      <c r="AV459" s="239">
        <f t="shared" si="57"/>
        <v>19.989073728000001</v>
      </c>
      <c r="AW459" s="239">
        <f>(AS459*AK459/1000000)*(VLOOKUP(N459,FCST!D:I,6,FALSE))</f>
        <v>0</v>
      </c>
      <c r="AX459" s="239">
        <f t="shared" si="58"/>
        <v>0</v>
      </c>
      <c r="AY459" s="239">
        <f>IF($G459="CERVECERIA Y MALTERIA.",($AS459*$AK459/1000000)*(1-VLOOKUP($N459,FCST!D:I,6,FALSE)),0)</f>
        <v>0</v>
      </c>
      <c r="AZ459" s="239">
        <f t="shared" si="59"/>
        <v>0</v>
      </c>
    </row>
    <row r="460" spans="1:52" x14ac:dyDescent="0.25">
      <c r="A460" s="209">
        <v>1089881</v>
      </c>
      <c r="B460" s="209">
        <v>10</v>
      </c>
      <c r="C460" s="209">
        <v>89332213</v>
      </c>
      <c r="D460" s="209">
        <v>10</v>
      </c>
      <c r="E460" s="209">
        <v>10000002</v>
      </c>
      <c r="F460" s="209">
        <v>20001057</v>
      </c>
      <c r="G460" s="209" t="s">
        <v>105</v>
      </c>
      <c r="H460" s="209">
        <v>20001057</v>
      </c>
      <c r="I460" s="209">
        <v>2</v>
      </c>
      <c r="J460" s="209" t="s">
        <v>169</v>
      </c>
      <c r="K460" s="209" t="s">
        <v>835</v>
      </c>
      <c r="L460" s="209" t="s">
        <v>171</v>
      </c>
      <c r="M460" s="209" t="s">
        <v>172</v>
      </c>
      <c r="N460" s="209">
        <v>50032578</v>
      </c>
      <c r="O460" s="209" t="s">
        <v>329</v>
      </c>
      <c r="P460" s="209">
        <v>5121</v>
      </c>
      <c r="Q460" s="209" t="s">
        <v>174</v>
      </c>
      <c r="R460" s="209" t="s">
        <v>175</v>
      </c>
      <c r="S460" s="209" t="s">
        <v>176</v>
      </c>
      <c r="T460" s="209" t="s">
        <v>177</v>
      </c>
      <c r="U460" s="209" t="s">
        <v>178</v>
      </c>
      <c r="V460" s="209" t="s">
        <v>179</v>
      </c>
      <c r="W460" s="209" t="s">
        <v>179</v>
      </c>
      <c r="X460" s="209" t="s">
        <v>180</v>
      </c>
      <c r="Y460" s="209" t="s">
        <v>180</v>
      </c>
      <c r="Z460" s="209">
        <v>9521067092</v>
      </c>
      <c r="AA460" s="209" t="s">
        <v>836</v>
      </c>
      <c r="AB460" s="209" t="s">
        <v>180</v>
      </c>
      <c r="AC460" s="209" t="s">
        <v>182</v>
      </c>
      <c r="AD460" s="209">
        <v>12</v>
      </c>
      <c r="AE460" s="209">
        <v>2024</v>
      </c>
      <c r="AF460" s="227">
        <v>45635</v>
      </c>
      <c r="AG460" s="227">
        <v>45635</v>
      </c>
      <c r="AH460" s="227">
        <v>45635</v>
      </c>
      <c r="AI460" s="228">
        <v>153360</v>
      </c>
      <c r="AJ460" s="228">
        <v>15</v>
      </c>
      <c r="AK460" s="228">
        <v>153360</v>
      </c>
      <c r="AL460" s="228">
        <v>15</v>
      </c>
      <c r="AM460" s="228">
        <v>0</v>
      </c>
      <c r="AN460" s="228">
        <v>0</v>
      </c>
      <c r="AO460" s="229">
        <v>50</v>
      </c>
      <c r="AP460" s="231">
        <v>12</v>
      </c>
      <c r="AQ460" s="231">
        <v>2024</v>
      </c>
      <c r="AR460" s="231" t="str">
        <f t="shared" si="55"/>
        <v>12/2024</v>
      </c>
      <c r="AS460" s="231">
        <f t="shared" si="56"/>
        <v>37.200000000000003</v>
      </c>
      <c r="AT460" s="239">
        <f>IF(G460="CERVECERIA Y MALTERIA",(AS460*AK460/1000000)*(1-VLOOKUP(N460,FCST!D:I,6,FALSE)),0)</f>
        <v>5.7049919999999998</v>
      </c>
      <c r="AU460" s="232">
        <v>5.0000000000000001E-3</v>
      </c>
      <c r="AV460" s="239">
        <f t="shared" si="57"/>
        <v>5.7335169599999993</v>
      </c>
      <c r="AW460" s="239">
        <f>(AS460*AK460/1000000)*(VLOOKUP(N460,FCST!D:I,6,FALSE))</f>
        <v>0</v>
      </c>
      <c r="AX460" s="239">
        <f t="shared" si="58"/>
        <v>0</v>
      </c>
      <c r="AY460" s="239">
        <f>IF($G460="CERVECERIA Y MALTERIA.",($AS460*$AK460/1000000)*(1-VLOOKUP($N460,FCST!D:I,6,FALSE)),0)</f>
        <v>0</v>
      </c>
      <c r="AZ460" s="239">
        <f t="shared" si="59"/>
        <v>0</v>
      </c>
    </row>
    <row r="461" spans="1:52" x14ac:dyDescent="0.25">
      <c r="A461" s="209">
        <v>1089881</v>
      </c>
      <c r="B461" s="209">
        <v>20</v>
      </c>
      <c r="C461" s="209">
        <v>89332213</v>
      </c>
      <c r="D461" s="209">
        <v>20</v>
      </c>
      <c r="E461" s="209">
        <v>10000002</v>
      </c>
      <c r="F461" s="209">
        <v>20001057</v>
      </c>
      <c r="G461" s="209" t="s">
        <v>105</v>
      </c>
      <c r="H461" s="209">
        <v>20001057</v>
      </c>
      <c r="I461" s="209">
        <v>2</v>
      </c>
      <c r="J461" s="209" t="s">
        <v>169</v>
      </c>
      <c r="K461" s="209" t="s">
        <v>835</v>
      </c>
      <c r="L461" s="209" t="s">
        <v>171</v>
      </c>
      <c r="M461" s="209" t="s">
        <v>172</v>
      </c>
      <c r="N461" s="209">
        <v>50034616</v>
      </c>
      <c r="O461" s="209" t="s">
        <v>191</v>
      </c>
      <c r="P461" s="209">
        <v>5121</v>
      </c>
      <c r="Q461" s="209" t="s">
        <v>174</v>
      </c>
      <c r="R461" s="209" t="s">
        <v>175</v>
      </c>
      <c r="S461" s="209" t="s">
        <v>176</v>
      </c>
      <c r="T461" s="209" t="s">
        <v>177</v>
      </c>
      <c r="U461" s="209" t="s">
        <v>178</v>
      </c>
      <c r="V461" s="209" t="s">
        <v>179</v>
      </c>
      <c r="W461" s="209" t="s">
        <v>179</v>
      </c>
      <c r="X461" s="209" t="s">
        <v>180</v>
      </c>
      <c r="Y461" s="209" t="s">
        <v>180</v>
      </c>
      <c r="Z461" s="209">
        <v>9521067092</v>
      </c>
      <c r="AA461" s="209" t="s">
        <v>836</v>
      </c>
      <c r="AB461" s="209" t="s">
        <v>180</v>
      </c>
      <c r="AC461" s="209" t="s">
        <v>182</v>
      </c>
      <c r="AD461" s="209">
        <v>12</v>
      </c>
      <c r="AE461" s="209">
        <v>2024</v>
      </c>
      <c r="AF461" s="227">
        <v>45635</v>
      </c>
      <c r="AG461" s="227">
        <v>45635</v>
      </c>
      <c r="AH461" s="227">
        <v>45635</v>
      </c>
      <c r="AI461" s="228">
        <v>303696</v>
      </c>
      <c r="AJ461" s="228">
        <v>37</v>
      </c>
      <c r="AK461" s="228">
        <v>303696</v>
      </c>
      <c r="AL461" s="228">
        <v>37</v>
      </c>
      <c r="AM461" s="228">
        <v>0</v>
      </c>
      <c r="AN461" s="228">
        <v>0</v>
      </c>
      <c r="AO461" s="229">
        <v>50</v>
      </c>
      <c r="AP461" s="231">
        <v>12</v>
      </c>
      <c r="AQ461" s="231">
        <v>2024</v>
      </c>
      <c r="AR461" s="231" t="str">
        <f t="shared" si="55"/>
        <v>12/2024</v>
      </c>
      <c r="AS461" s="231">
        <f t="shared" si="56"/>
        <v>46.6</v>
      </c>
      <c r="AT461" s="239">
        <f>IF(G461="CERVECERIA Y MALTERIA",(AS461*AK461/1000000)*(1-VLOOKUP(N461,FCST!D:I,6,FALSE)),0)</f>
        <v>14.152233599999999</v>
      </c>
      <c r="AU461" s="232">
        <v>5.0000000000000001E-3</v>
      </c>
      <c r="AV461" s="239">
        <f t="shared" si="57"/>
        <v>14.222994767999998</v>
      </c>
      <c r="AW461" s="239">
        <f>(AS461*AK461/1000000)*(VLOOKUP(N461,FCST!D:I,6,FALSE))</f>
        <v>0</v>
      </c>
      <c r="AX461" s="239">
        <f t="shared" si="58"/>
        <v>0</v>
      </c>
      <c r="AY461" s="239">
        <f>IF($G461="CERVECERIA Y MALTERIA.",($AS461*$AK461/1000000)*(1-VLOOKUP($N461,FCST!D:I,6,FALSE)),0)</f>
        <v>0</v>
      </c>
      <c r="AZ461" s="239">
        <f t="shared" si="59"/>
        <v>0</v>
      </c>
    </row>
    <row r="462" spans="1:52" x14ac:dyDescent="0.25">
      <c r="A462" s="209">
        <v>1089824</v>
      </c>
      <c r="B462" s="209">
        <v>50</v>
      </c>
      <c r="C462" s="209">
        <v>89332675</v>
      </c>
      <c r="D462" s="209">
        <v>10</v>
      </c>
      <c r="E462" s="209">
        <v>10000002</v>
      </c>
      <c r="F462" s="209">
        <v>20000335</v>
      </c>
      <c r="G462" s="209" t="s">
        <v>105</v>
      </c>
      <c r="H462" s="209">
        <v>20000335</v>
      </c>
      <c r="I462" s="209">
        <v>2</v>
      </c>
      <c r="J462" s="209" t="s">
        <v>169</v>
      </c>
      <c r="K462" s="209" t="s">
        <v>837</v>
      </c>
      <c r="L462" s="209" t="s">
        <v>171</v>
      </c>
      <c r="M462" s="209" t="s">
        <v>199</v>
      </c>
      <c r="N462" s="209">
        <v>50032573</v>
      </c>
      <c r="O462" s="209" t="s">
        <v>173</v>
      </c>
      <c r="P462" s="209">
        <v>5121</v>
      </c>
      <c r="Q462" s="209" t="s">
        <v>200</v>
      </c>
      <c r="R462" s="209" t="s">
        <v>201</v>
      </c>
      <c r="S462" s="209" t="s">
        <v>202</v>
      </c>
      <c r="T462" s="209" t="s">
        <v>203</v>
      </c>
      <c r="U462" s="209" t="s">
        <v>201</v>
      </c>
      <c r="V462" s="209" t="s">
        <v>179</v>
      </c>
      <c r="W462" s="209" t="s">
        <v>179</v>
      </c>
      <c r="X462" s="209" t="s">
        <v>180</v>
      </c>
      <c r="Y462" s="209" t="s">
        <v>180</v>
      </c>
      <c r="Z462" s="209">
        <v>9521067075</v>
      </c>
      <c r="AA462" s="209" t="s">
        <v>719</v>
      </c>
      <c r="AB462" s="209" t="s">
        <v>180</v>
      </c>
      <c r="AC462" s="209" t="s">
        <v>182</v>
      </c>
      <c r="AD462" s="209">
        <v>12</v>
      </c>
      <c r="AE462" s="209">
        <v>2024</v>
      </c>
      <c r="AF462" s="227">
        <v>45632</v>
      </c>
      <c r="AG462" s="227">
        <v>45636</v>
      </c>
      <c r="AH462" s="227">
        <v>45636</v>
      </c>
      <c r="AI462" s="228">
        <v>531648</v>
      </c>
      <c r="AJ462" s="228">
        <v>52</v>
      </c>
      <c r="AK462" s="228">
        <v>531648</v>
      </c>
      <c r="AL462" s="228">
        <v>52</v>
      </c>
      <c r="AM462" s="228">
        <v>0</v>
      </c>
      <c r="AN462" s="228">
        <v>0</v>
      </c>
      <c r="AO462" s="229">
        <v>50</v>
      </c>
      <c r="AP462" s="231">
        <v>12</v>
      </c>
      <c r="AQ462" s="231">
        <v>2024</v>
      </c>
      <c r="AR462" s="231" t="str">
        <f t="shared" si="55"/>
        <v>12/2024</v>
      </c>
      <c r="AS462" s="231">
        <f t="shared" si="56"/>
        <v>37.200000000000003</v>
      </c>
      <c r="AT462" s="239">
        <f>IF(G462="CERVECERIA Y MALTERIA",(AS462*AK462/1000000)*(1-VLOOKUP(N462,FCST!D:I,6,FALSE)),0)</f>
        <v>19.777305600000002</v>
      </c>
      <c r="AU462" s="232">
        <v>5.0000000000000001E-3</v>
      </c>
      <c r="AV462" s="239">
        <f t="shared" si="57"/>
        <v>19.876192128</v>
      </c>
      <c r="AW462" s="239">
        <f>(AS462*AK462/1000000)*(VLOOKUP(N462,FCST!D:I,6,FALSE))</f>
        <v>0</v>
      </c>
      <c r="AX462" s="239">
        <f t="shared" si="58"/>
        <v>0</v>
      </c>
      <c r="AY462" s="239">
        <f>IF($G462="CERVECERIA Y MALTERIA.",($AS462*$AK462/1000000)*(1-VLOOKUP($N462,FCST!D:I,6,FALSE)),0)</f>
        <v>0</v>
      </c>
      <c r="AZ462" s="239">
        <f t="shared" si="59"/>
        <v>0</v>
      </c>
    </row>
    <row r="463" spans="1:52" x14ac:dyDescent="0.25">
      <c r="A463" s="209">
        <v>1089824</v>
      </c>
      <c r="B463" s="209">
        <v>60</v>
      </c>
      <c r="C463" s="209">
        <v>89332697</v>
      </c>
      <c r="D463" s="209">
        <v>10</v>
      </c>
      <c r="E463" s="209">
        <v>10000002</v>
      </c>
      <c r="F463" s="209">
        <v>20000335</v>
      </c>
      <c r="G463" s="209" t="s">
        <v>105</v>
      </c>
      <c r="H463" s="209">
        <v>20000335</v>
      </c>
      <c r="I463" s="209">
        <v>2</v>
      </c>
      <c r="J463" s="209" t="s">
        <v>169</v>
      </c>
      <c r="K463" s="209" t="s">
        <v>838</v>
      </c>
      <c r="L463" s="209" t="s">
        <v>171</v>
      </c>
      <c r="M463" s="209" t="s">
        <v>199</v>
      </c>
      <c r="N463" s="209">
        <v>50037042</v>
      </c>
      <c r="O463" s="209" t="s">
        <v>543</v>
      </c>
      <c r="P463" s="209">
        <v>5121</v>
      </c>
      <c r="Q463" s="209" t="s">
        <v>200</v>
      </c>
      <c r="R463" s="209" t="s">
        <v>201</v>
      </c>
      <c r="S463" s="209" t="s">
        <v>202</v>
      </c>
      <c r="T463" s="209" t="s">
        <v>203</v>
      </c>
      <c r="U463" s="209" t="s">
        <v>201</v>
      </c>
      <c r="V463" s="209" t="s">
        <v>179</v>
      </c>
      <c r="W463" s="209" t="s">
        <v>179</v>
      </c>
      <c r="X463" s="209" t="s">
        <v>180</v>
      </c>
      <c r="Y463" s="209" t="s">
        <v>180</v>
      </c>
      <c r="Z463" s="209">
        <v>9521067081</v>
      </c>
      <c r="AA463" s="209" t="s">
        <v>692</v>
      </c>
      <c r="AB463" s="209" t="s">
        <v>180</v>
      </c>
      <c r="AC463" s="209" t="s">
        <v>182</v>
      </c>
      <c r="AD463" s="209">
        <v>12</v>
      </c>
      <c r="AE463" s="209">
        <v>2024</v>
      </c>
      <c r="AF463" s="227">
        <v>45632</v>
      </c>
      <c r="AG463" s="227">
        <v>45636</v>
      </c>
      <c r="AH463" s="227">
        <v>45636</v>
      </c>
      <c r="AI463" s="228">
        <v>426816</v>
      </c>
      <c r="AJ463" s="228">
        <v>52</v>
      </c>
      <c r="AK463" s="228">
        <v>426816</v>
      </c>
      <c r="AL463" s="228">
        <v>52</v>
      </c>
      <c r="AM463" s="228">
        <v>0</v>
      </c>
      <c r="AN463" s="228">
        <v>0</v>
      </c>
      <c r="AO463" s="229">
        <v>50</v>
      </c>
      <c r="AP463" s="231">
        <v>12</v>
      </c>
      <c r="AQ463" s="231">
        <v>2024</v>
      </c>
      <c r="AR463" s="231" t="str">
        <f t="shared" si="55"/>
        <v>12/2024</v>
      </c>
      <c r="AS463" s="231">
        <f t="shared" si="56"/>
        <v>46.6</v>
      </c>
      <c r="AT463" s="239">
        <f>IF(G463="CERVECERIA Y MALTERIA",(AS463*AK463/1000000)*(1-VLOOKUP(N463,FCST!D:I,6,FALSE)),0)</f>
        <v>15.911700480000002</v>
      </c>
      <c r="AU463" s="232">
        <v>5.0000000000000001E-3</v>
      </c>
      <c r="AV463" s="239">
        <f t="shared" si="57"/>
        <v>15.9912589824</v>
      </c>
      <c r="AW463" s="239">
        <f>(AS463*AK463/1000000)*(VLOOKUP(N463,FCST!D:I,6,FALSE))</f>
        <v>3.9779251200000005</v>
      </c>
      <c r="AX463" s="239">
        <f t="shared" si="58"/>
        <v>3.9978147455999999</v>
      </c>
      <c r="AY463" s="239">
        <f>IF($G463="CERVECERIA Y MALTERIA.",($AS463*$AK463/1000000)*(1-VLOOKUP($N463,FCST!D:I,6,FALSE)),0)</f>
        <v>0</v>
      </c>
      <c r="AZ463" s="239">
        <f t="shared" si="59"/>
        <v>0</v>
      </c>
    </row>
    <row r="464" spans="1:52" x14ac:dyDescent="0.25">
      <c r="A464" s="209">
        <v>1088822</v>
      </c>
      <c r="B464" s="209">
        <v>50</v>
      </c>
      <c r="C464" s="209">
        <v>89332733</v>
      </c>
      <c r="D464" s="209">
        <v>10</v>
      </c>
      <c r="E464" s="209">
        <v>10000002</v>
      </c>
      <c r="F464" s="209">
        <v>20000336</v>
      </c>
      <c r="G464" s="209" t="s">
        <v>105</v>
      </c>
      <c r="H464" s="209">
        <v>20000336</v>
      </c>
      <c r="I464" s="209">
        <v>2</v>
      </c>
      <c r="J464" s="209" t="s">
        <v>169</v>
      </c>
      <c r="K464" s="209" t="s">
        <v>839</v>
      </c>
      <c r="L464" s="209" t="s">
        <v>171</v>
      </c>
      <c r="M464" s="209" t="s">
        <v>172</v>
      </c>
      <c r="N464" s="209">
        <v>50034634</v>
      </c>
      <c r="O464" s="209" t="s">
        <v>219</v>
      </c>
      <c r="P464" s="209">
        <v>5121</v>
      </c>
      <c r="Q464" s="209" t="s">
        <v>174</v>
      </c>
      <c r="R464" s="209" t="s">
        <v>175</v>
      </c>
      <c r="S464" s="209" t="s">
        <v>176</v>
      </c>
      <c r="T464" s="209" t="s">
        <v>177</v>
      </c>
      <c r="U464" s="209" t="s">
        <v>178</v>
      </c>
      <c r="V464" s="209" t="s">
        <v>179</v>
      </c>
      <c r="W464" s="209" t="s">
        <v>179</v>
      </c>
      <c r="X464" s="209" t="s">
        <v>180</v>
      </c>
      <c r="Y464" s="209" t="s">
        <v>180</v>
      </c>
      <c r="Z464" s="209">
        <v>9521067084</v>
      </c>
      <c r="AA464" s="209" t="s">
        <v>714</v>
      </c>
      <c r="AB464" s="209" t="s">
        <v>180</v>
      </c>
      <c r="AC464" s="209" t="s">
        <v>182</v>
      </c>
      <c r="AD464" s="209">
        <v>12</v>
      </c>
      <c r="AE464" s="209">
        <v>2024</v>
      </c>
      <c r="AF464" s="227">
        <v>45629</v>
      </c>
      <c r="AG464" s="227">
        <v>45637</v>
      </c>
      <c r="AH464" s="227">
        <v>45636</v>
      </c>
      <c r="AI464" s="228">
        <v>364416</v>
      </c>
      <c r="AJ464" s="228">
        <v>52</v>
      </c>
      <c r="AK464" s="228">
        <v>364416</v>
      </c>
      <c r="AL464" s="228">
        <v>52</v>
      </c>
      <c r="AM464" s="228">
        <v>0</v>
      </c>
      <c r="AN464" s="228">
        <v>0</v>
      </c>
      <c r="AO464" s="229">
        <v>49</v>
      </c>
      <c r="AP464" s="231">
        <v>12</v>
      </c>
      <c r="AQ464" s="231">
        <v>2024</v>
      </c>
      <c r="AR464" s="231" t="str">
        <f t="shared" si="55"/>
        <v>12/2024</v>
      </c>
      <c r="AS464" s="231">
        <f t="shared" si="56"/>
        <v>52</v>
      </c>
      <c r="AT464" s="239">
        <f>IF(G464="CERVECERIA Y MALTERIA",(AS464*AK464/1000000)*(1-VLOOKUP(N464,FCST!D:I,6,FALSE)),0)</f>
        <v>18.949632000000001</v>
      </c>
      <c r="AU464" s="232">
        <v>5.0000000000000001E-3</v>
      </c>
      <c r="AV464" s="239">
        <f t="shared" si="57"/>
        <v>19.044380159999999</v>
      </c>
      <c r="AW464" s="239">
        <f>(AS464*AK464/1000000)*(VLOOKUP(N464,FCST!D:I,6,FALSE))</f>
        <v>0</v>
      </c>
      <c r="AX464" s="239">
        <f t="shared" si="58"/>
        <v>0</v>
      </c>
      <c r="AY464" s="239">
        <f>IF($G464="CERVECERIA Y MALTERIA.",($AS464*$AK464/1000000)*(1-VLOOKUP($N464,FCST!D:I,6,FALSE)),0)</f>
        <v>0</v>
      </c>
      <c r="AZ464" s="239">
        <f t="shared" si="59"/>
        <v>0</v>
      </c>
    </row>
    <row r="466" spans="1:52" x14ac:dyDescent="0.25">
      <c r="A466" s="209">
        <v>1096385</v>
      </c>
      <c r="B466" s="209">
        <v>60</v>
      </c>
      <c r="C466" s="209" t="s">
        <v>840</v>
      </c>
      <c r="D466" s="209">
        <v>10</v>
      </c>
      <c r="E466" s="209">
        <v>10000002</v>
      </c>
      <c r="F466" s="209">
        <v>20000340</v>
      </c>
      <c r="G466" s="209" t="s">
        <v>117</v>
      </c>
      <c r="H466" s="209">
        <v>20000340</v>
      </c>
      <c r="I466" s="209">
        <v>2</v>
      </c>
      <c r="J466" s="209" t="s">
        <v>169</v>
      </c>
      <c r="K466" s="209" t="s">
        <v>841</v>
      </c>
      <c r="L466" s="209" t="s">
        <v>171</v>
      </c>
      <c r="M466" s="209" t="s">
        <v>184</v>
      </c>
      <c r="N466" s="209">
        <v>50036718</v>
      </c>
      <c r="O466" s="209" t="s">
        <v>259</v>
      </c>
      <c r="P466" s="209">
        <v>5101</v>
      </c>
      <c r="Q466" s="209" t="s">
        <v>186</v>
      </c>
      <c r="R466" s="209" t="s">
        <v>175</v>
      </c>
      <c r="S466" s="209" t="s">
        <v>176</v>
      </c>
      <c r="T466" s="209" t="s">
        <v>187</v>
      </c>
      <c r="U466" s="209" t="s">
        <v>188</v>
      </c>
      <c r="V466" s="209" t="s">
        <v>179</v>
      </c>
      <c r="W466" s="209" t="s">
        <v>179</v>
      </c>
      <c r="X466" s="209" t="s">
        <v>180</v>
      </c>
      <c r="Y466" s="209" t="s">
        <v>180</v>
      </c>
      <c r="Z466" s="209" t="s">
        <v>842</v>
      </c>
      <c r="AA466" s="209" t="s">
        <v>843</v>
      </c>
      <c r="AB466" s="209" t="s">
        <v>180</v>
      </c>
      <c r="AC466" s="209" t="s">
        <v>182</v>
      </c>
      <c r="AD466" s="209">
        <v>1</v>
      </c>
      <c r="AE466" s="209">
        <v>2025</v>
      </c>
      <c r="AF466" s="227">
        <v>45674</v>
      </c>
      <c r="AG466" s="227">
        <v>45681</v>
      </c>
      <c r="AH466" s="227">
        <v>45681</v>
      </c>
      <c r="AI466" s="228">
        <v>519168</v>
      </c>
      <c r="AJ466" s="228">
        <v>52</v>
      </c>
      <c r="AK466" s="228">
        <v>519168</v>
      </c>
      <c r="AL466" s="228">
        <v>52</v>
      </c>
      <c r="AM466" s="228">
        <v>0</v>
      </c>
      <c r="AN466" s="228">
        <v>0</v>
      </c>
      <c r="AO466" s="229">
        <v>4</v>
      </c>
      <c r="AP466" s="231">
        <v>1</v>
      </c>
      <c r="AQ466" s="231">
        <v>2025</v>
      </c>
      <c r="AR466" s="231" t="str">
        <f t="shared" ref="AR466" si="60">+IF(AP466&lt;10,"0"&amp;AP466&amp; "/"&amp;AQ466,AP466&amp; "/"&amp;AQ466)</f>
        <v>01/2025</v>
      </c>
      <c r="AS466" s="231">
        <f t="shared" ref="AS466" si="61">VALUE(MID(INDEX(_xlfn.TEXTSPLIT(O466, ","), 1, 3), 1,FIND("G", INDEX(_xlfn.TEXTSPLIT(O466, ","), 1, 3))-1))</f>
        <v>34</v>
      </c>
      <c r="AT466" s="239">
        <f>IF(G466="CERVECERIA Y MALTERIA",(AS466*AK466/1000000)*(1-VLOOKUP(N466,FCST!D:I,6,FALSE)),0)</f>
        <v>0</v>
      </c>
      <c r="AU466" s="232">
        <v>5.0000000000000001E-3</v>
      </c>
      <c r="AV466" s="239">
        <f t="shared" ref="AV466" si="62">+AT466*(1+AU466)</f>
        <v>0</v>
      </c>
      <c r="AW466" s="239">
        <f>(AS466*AK466/1000000)*(VLOOKUP(N466,FCST!D:I,6,FALSE))</f>
        <v>0</v>
      </c>
      <c r="AX466" s="239">
        <f t="shared" ref="AX466" si="63">+AW466*(1+AU466)</f>
        <v>0</v>
      </c>
      <c r="AY466" s="239">
        <f>IF($G466="CERVECERIA Y MALTERIA.",($AS466*$AK466/1000000)*(1-VLOOKUP($N466,FCST!D:I,6,FALSE)),0)</f>
        <v>17.651712</v>
      </c>
      <c r="AZ466" s="239">
        <f t="shared" ref="AZ466" si="64">+AY466*(1+AU466)</f>
        <v>17.73997056</v>
      </c>
    </row>
    <row r="467" spans="1:52" x14ac:dyDescent="0.25">
      <c r="A467" s="209">
        <v>1096382</v>
      </c>
      <c r="B467" s="209">
        <v>150</v>
      </c>
      <c r="C467" s="209" t="s">
        <v>844</v>
      </c>
      <c r="D467" s="209">
        <v>10</v>
      </c>
      <c r="E467" s="209">
        <v>10000002</v>
      </c>
      <c r="F467" s="209">
        <v>20000335</v>
      </c>
      <c r="G467" s="209" t="s">
        <v>105</v>
      </c>
      <c r="H467" s="209">
        <v>20000335</v>
      </c>
      <c r="I467" s="209">
        <v>2</v>
      </c>
      <c r="J467" s="209" t="s">
        <v>169</v>
      </c>
      <c r="K467" s="209" t="s">
        <v>845</v>
      </c>
      <c r="L467" s="209" t="s">
        <v>171</v>
      </c>
      <c r="M467" s="209" t="s">
        <v>199</v>
      </c>
      <c r="N467" s="209">
        <v>50032583</v>
      </c>
      <c r="O467" s="209" t="s">
        <v>205</v>
      </c>
      <c r="P467" s="209">
        <v>5121</v>
      </c>
      <c r="Q467" s="209" t="s">
        <v>200</v>
      </c>
      <c r="R467" s="209" t="s">
        <v>201</v>
      </c>
      <c r="S467" s="209" t="s">
        <v>202</v>
      </c>
      <c r="T467" s="209" t="s">
        <v>203</v>
      </c>
      <c r="U467" s="209" t="s">
        <v>201</v>
      </c>
      <c r="V467" s="209" t="s">
        <v>179</v>
      </c>
      <c r="W467" s="209" t="s">
        <v>179</v>
      </c>
      <c r="X467" s="209" t="s">
        <v>180</v>
      </c>
      <c r="Y467" s="209" t="s">
        <v>180</v>
      </c>
      <c r="Z467" s="209" t="s">
        <v>846</v>
      </c>
      <c r="AA467" s="209" t="s">
        <v>847</v>
      </c>
      <c r="AB467" s="209" t="s">
        <v>180</v>
      </c>
      <c r="AC467" s="209" t="s">
        <v>182</v>
      </c>
      <c r="AD467" s="209">
        <v>1</v>
      </c>
      <c r="AE467" s="209">
        <v>2025</v>
      </c>
      <c r="AF467" s="227">
        <v>45674</v>
      </c>
      <c r="AG467" s="227">
        <v>45681</v>
      </c>
      <c r="AH467" s="227">
        <v>45681</v>
      </c>
      <c r="AI467" s="228">
        <v>351936</v>
      </c>
      <c r="AJ467" s="228">
        <v>52</v>
      </c>
      <c r="AK467" s="228">
        <v>351936</v>
      </c>
      <c r="AL467" s="228">
        <v>52</v>
      </c>
      <c r="AM467" s="228">
        <v>0</v>
      </c>
      <c r="AN467" s="228">
        <v>0</v>
      </c>
      <c r="AO467" s="229">
        <v>4</v>
      </c>
      <c r="AP467" s="231">
        <v>1</v>
      </c>
      <c r="AQ467" s="231">
        <v>2025</v>
      </c>
      <c r="AR467" s="231" t="str">
        <f t="shared" ref="AR467:AR530" si="65">+IF(AP467&lt;10,"0"&amp;AP467&amp; "/"&amp;AQ467,AP467&amp; "/"&amp;AQ467)</f>
        <v>01/2025</v>
      </c>
      <c r="AS467" s="231">
        <f t="shared" ref="AS467:AS530" si="66">VALUE(MID(INDEX(_xlfn.TEXTSPLIT(O467, ","), 1, 3), 1,FIND("G", INDEX(_xlfn.TEXTSPLIT(O467, ","), 1, 3))-1))</f>
        <v>54.7</v>
      </c>
      <c r="AT467" s="239">
        <f>IF(G467="CERVECERIA Y MALTERIA",(AS467*AK467/1000000)*(1-VLOOKUP(N467,FCST!D:I,6,FALSE)),0)</f>
        <v>19.250899199999999</v>
      </c>
      <c r="AU467" s="232">
        <v>5.0000000000000001E-3</v>
      </c>
      <c r="AV467" s="239">
        <f t="shared" ref="AV467:AV530" si="67">+AT467*(1+AU467)</f>
        <v>19.347153695999996</v>
      </c>
      <c r="AW467" s="239">
        <f>(AS467*AK467/1000000)*(VLOOKUP(N467,FCST!D:I,6,FALSE))</f>
        <v>0</v>
      </c>
      <c r="AX467" s="239">
        <f t="shared" ref="AX467:AX530" si="68">+AW467*(1+AU467)</f>
        <v>0</v>
      </c>
      <c r="AY467" s="239">
        <f>IF($G467="CERVECERIA Y MALTERIA.",($AS467*$AK467/1000000)*(1-VLOOKUP($N467,FCST!D:I,6,FALSE)),0)</f>
        <v>0</v>
      </c>
      <c r="AZ467" s="239">
        <f t="shared" ref="AZ467:AZ530" si="69">+AY467*(1+AU467)</f>
        <v>0</v>
      </c>
    </row>
    <row r="468" spans="1:52" x14ac:dyDescent="0.25">
      <c r="A468" s="209">
        <v>1094003</v>
      </c>
      <c r="B468" s="209">
        <v>100</v>
      </c>
      <c r="C468" s="209" t="s">
        <v>848</v>
      </c>
      <c r="D468" s="209">
        <v>10</v>
      </c>
      <c r="E468" s="209">
        <v>10000002</v>
      </c>
      <c r="F468" s="209">
        <v>20000337</v>
      </c>
      <c r="G468" s="209" t="s">
        <v>105</v>
      </c>
      <c r="H468" s="209">
        <v>20000337</v>
      </c>
      <c r="I468" s="209">
        <v>2</v>
      </c>
      <c r="J468" s="209" t="s">
        <v>169</v>
      </c>
      <c r="K468" s="209" t="s">
        <v>849</v>
      </c>
      <c r="L468" s="209" t="s">
        <v>265</v>
      </c>
      <c r="M468" s="209" t="s">
        <v>172</v>
      </c>
      <c r="N468" s="209">
        <v>50034616</v>
      </c>
      <c r="O468" s="209" t="s">
        <v>191</v>
      </c>
      <c r="P468" s="209">
        <v>5121</v>
      </c>
      <c r="Q468" s="209" t="s">
        <v>174</v>
      </c>
      <c r="R468" s="209" t="s">
        <v>175</v>
      </c>
      <c r="S468" s="209" t="s">
        <v>176</v>
      </c>
      <c r="T468" s="209" t="s">
        <v>177</v>
      </c>
      <c r="U468" s="209" t="s">
        <v>178</v>
      </c>
      <c r="V468" s="209" t="s">
        <v>179</v>
      </c>
      <c r="W468" s="209" t="s">
        <v>179</v>
      </c>
      <c r="X468" s="209" t="s">
        <v>180</v>
      </c>
      <c r="Y468" s="209" t="s">
        <v>180</v>
      </c>
      <c r="Z468" s="209" t="s">
        <v>850</v>
      </c>
      <c r="AA468" s="209" t="s">
        <v>851</v>
      </c>
      <c r="AB468" s="209" t="s">
        <v>180</v>
      </c>
      <c r="AC468" s="209" t="s">
        <v>182</v>
      </c>
      <c r="AD468" s="209">
        <v>1</v>
      </c>
      <c r="AE468" s="209">
        <v>2025</v>
      </c>
      <c r="AF468" s="227">
        <v>45663</v>
      </c>
      <c r="AG468" s="227">
        <v>45681</v>
      </c>
      <c r="AH468" s="227">
        <v>45681</v>
      </c>
      <c r="AI468" s="228">
        <v>426816</v>
      </c>
      <c r="AJ468" s="228">
        <v>52</v>
      </c>
      <c r="AK468" s="228">
        <v>426816</v>
      </c>
      <c r="AL468" s="228">
        <v>52</v>
      </c>
      <c r="AM468" s="228">
        <v>0</v>
      </c>
      <c r="AN468" s="228">
        <v>0</v>
      </c>
      <c r="AO468" s="229">
        <v>2</v>
      </c>
      <c r="AP468" s="231">
        <v>1</v>
      </c>
      <c r="AQ468" s="231">
        <v>2025</v>
      </c>
      <c r="AR468" s="231" t="str">
        <f t="shared" si="65"/>
        <v>01/2025</v>
      </c>
      <c r="AS468" s="231">
        <f t="shared" si="66"/>
        <v>46.6</v>
      </c>
      <c r="AT468" s="239">
        <f>IF(G468="CERVECERIA Y MALTERIA",(AS468*AK468/1000000)*(1-VLOOKUP(N468,FCST!D:I,6,FALSE)),0)</f>
        <v>19.889625600000002</v>
      </c>
      <c r="AU468" s="232">
        <v>5.0000000000000001E-3</v>
      </c>
      <c r="AV468" s="239">
        <f t="shared" si="67"/>
        <v>19.989073728000001</v>
      </c>
      <c r="AW468" s="239">
        <f>(AS468*AK468/1000000)*(VLOOKUP(N468,FCST!D:I,6,FALSE))</f>
        <v>0</v>
      </c>
      <c r="AX468" s="239">
        <f t="shared" si="68"/>
        <v>0</v>
      </c>
      <c r="AY468" s="239">
        <f>IF($G468="CERVECERIA Y MALTERIA.",($AS468*$AK468/1000000)*(1-VLOOKUP($N468,FCST!D:I,6,FALSE)),0)</f>
        <v>0</v>
      </c>
      <c r="AZ468" s="239">
        <f t="shared" si="69"/>
        <v>0</v>
      </c>
    </row>
    <row r="469" spans="1:52" x14ac:dyDescent="0.25">
      <c r="A469" s="209">
        <v>1096255</v>
      </c>
      <c r="B469" s="209">
        <v>40</v>
      </c>
      <c r="C469" s="209" t="s">
        <v>852</v>
      </c>
      <c r="D469" s="209">
        <v>10</v>
      </c>
      <c r="E469" s="209">
        <v>10000002</v>
      </c>
      <c r="F469" s="209">
        <v>20001057</v>
      </c>
      <c r="G469" s="209" t="s">
        <v>105</v>
      </c>
      <c r="H469" s="209">
        <v>20001057</v>
      </c>
      <c r="I469" s="209">
        <v>2</v>
      </c>
      <c r="J469" s="209" t="s">
        <v>169</v>
      </c>
      <c r="K469" s="209" t="s">
        <v>853</v>
      </c>
      <c r="L469" s="209" t="s">
        <v>171</v>
      </c>
      <c r="M469" s="209" t="s">
        <v>199</v>
      </c>
      <c r="N469" s="209">
        <v>50035184</v>
      </c>
      <c r="O469" s="209" t="s">
        <v>672</v>
      </c>
      <c r="P469" s="209">
        <v>5121</v>
      </c>
      <c r="Q469" s="209" t="s">
        <v>200</v>
      </c>
      <c r="R469" s="209" t="s">
        <v>201</v>
      </c>
      <c r="S469" s="209" t="s">
        <v>202</v>
      </c>
      <c r="T469" s="209" t="s">
        <v>203</v>
      </c>
      <c r="U469" s="209" t="s">
        <v>201</v>
      </c>
      <c r="V469" s="209" t="s">
        <v>179</v>
      </c>
      <c r="W469" s="209" t="s">
        <v>179</v>
      </c>
      <c r="X469" s="209" t="s">
        <v>180</v>
      </c>
      <c r="Y469" s="209" t="s">
        <v>180</v>
      </c>
      <c r="Z469" s="209" t="s">
        <v>854</v>
      </c>
      <c r="AA469" s="209" t="s">
        <v>855</v>
      </c>
      <c r="AB469" s="209" t="s">
        <v>180</v>
      </c>
      <c r="AC469" s="209" t="s">
        <v>182</v>
      </c>
      <c r="AD469" s="209">
        <v>1</v>
      </c>
      <c r="AE469" s="209">
        <v>2025</v>
      </c>
      <c r="AF469" s="227">
        <v>45673</v>
      </c>
      <c r="AG469" s="227">
        <v>45681</v>
      </c>
      <c r="AH469" s="227">
        <v>45681</v>
      </c>
      <c r="AI469" s="228">
        <v>977184</v>
      </c>
      <c r="AJ469" s="228">
        <v>52</v>
      </c>
      <c r="AK469" s="228">
        <v>977184</v>
      </c>
      <c r="AL469" s="228">
        <v>52</v>
      </c>
      <c r="AM469" s="228">
        <v>0</v>
      </c>
      <c r="AN469" s="228">
        <v>0</v>
      </c>
      <c r="AO469" s="229">
        <v>3</v>
      </c>
      <c r="AP469" s="231">
        <v>1</v>
      </c>
      <c r="AQ469" s="231">
        <v>2025</v>
      </c>
      <c r="AR469" s="231" t="str">
        <f t="shared" si="65"/>
        <v>01/2025</v>
      </c>
      <c r="AS469" s="231">
        <f t="shared" si="66"/>
        <v>19.5</v>
      </c>
      <c r="AT469" s="239">
        <f>IF(G469="CERVECERIA Y MALTERIA",(AS469*AK469/1000000)*(1-VLOOKUP(N469,FCST!D:I,6,FALSE)),0)</f>
        <v>19.055088000000001</v>
      </c>
      <c r="AU469" s="232">
        <v>5.0000000000000001E-3</v>
      </c>
      <c r="AV469" s="239">
        <f t="shared" si="67"/>
        <v>19.15036344</v>
      </c>
      <c r="AW469" s="239">
        <f>(AS469*AK469/1000000)*(VLOOKUP(N469,FCST!D:I,6,FALSE))</f>
        <v>0</v>
      </c>
      <c r="AX469" s="239">
        <f t="shared" si="68"/>
        <v>0</v>
      </c>
      <c r="AY469" s="239">
        <f>IF($G469="CERVECERIA Y MALTERIA.",($AS469*$AK469/1000000)*(1-VLOOKUP($N469,FCST!D:I,6,FALSE)),0)</f>
        <v>0</v>
      </c>
      <c r="AZ469" s="239">
        <f t="shared" si="69"/>
        <v>0</v>
      </c>
    </row>
    <row r="470" spans="1:52" x14ac:dyDescent="0.25">
      <c r="A470" s="209">
        <v>1096385</v>
      </c>
      <c r="B470" s="209">
        <v>50</v>
      </c>
      <c r="C470" s="209" t="s">
        <v>856</v>
      </c>
      <c r="D470" s="209">
        <v>10</v>
      </c>
      <c r="E470" s="209">
        <v>10000002</v>
      </c>
      <c r="F470" s="209">
        <v>20000340</v>
      </c>
      <c r="G470" s="209" t="s">
        <v>117</v>
      </c>
      <c r="H470" s="209">
        <v>20000340</v>
      </c>
      <c r="I470" s="209">
        <v>2</v>
      </c>
      <c r="J470" s="209" t="s">
        <v>169</v>
      </c>
      <c r="K470" s="209" t="s">
        <v>857</v>
      </c>
      <c r="L470" s="209" t="s">
        <v>171</v>
      </c>
      <c r="M470" s="209" t="s">
        <v>184</v>
      </c>
      <c r="N470" s="209">
        <v>50036718</v>
      </c>
      <c r="O470" s="209" t="s">
        <v>259</v>
      </c>
      <c r="P470" s="209">
        <v>5101</v>
      </c>
      <c r="Q470" s="209" t="s">
        <v>186</v>
      </c>
      <c r="R470" s="209" t="s">
        <v>175</v>
      </c>
      <c r="S470" s="209" t="s">
        <v>176</v>
      </c>
      <c r="T470" s="209" t="s">
        <v>187</v>
      </c>
      <c r="U470" s="209" t="s">
        <v>188</v>
      </c>
      <c r="V470" s="209" t="s">
        <v>179</v>
      </c>
      <c r="W470" s="209" t="s">
        <v>179</v>
      </c>
      <c r="X470" s="209" t="s">
        <v>180</v>
      </c>
      <c r="Y470" s="209" t="s">
        <v>180</v>
      </c>
      <c r="Z470" s="209" t="s">
        <v>858</v>
      </c>
      <c r="AA470" s="209" t="s">
        <v>859</v>
      </c>
      <c r="AB470" s="209" t="s">
        <v>180</v>
      </c>
      <c r="AC470" s="209" t="s">
        <v>182</v>
      </c>
      <c r="AD470" s="209">
        <v>1</v>
      </c>
      <c r="AE470" s="209">
        <v>2025</v>
      </c>
      <c r="AF470" s="227">
        <v>45674</v>
      </c>
      <c r="AG470" s="227">
        <v>45680</v>
      </c>
      <c r="AH470" s="227">
        <v>45680</v>
      </c>
      <c r="AI470" s="228">
        <v>519168</v>
      </c>
      <c r="AJ470" s="228">
        <v>52</v>
      </c>
      <c r="AK470" s="228">
        <v>519168</v>
      </c>
      <c r="AL470" s="228">
        <v>52</v>
      </c>
      <c r="AM470" s="228">
        <v>0</v>
      </c>
      <c r="AN470" s="228">
        <v>0</v>
      </c>
      <c r="AO470" s="229">
        <v>4</v>
      </c>
      <c r="AP470" s="231">
        <v>1</v>
      </c>
      <c r="AQ470" s="231">
        <v>2025</v>
      </c>
      <c r="AR470" s="231" t="str">
        <f t="shared" si="65"/>
        <v>01/2025</v>
      </c>
      <c r="AS470" s="231">
        <f t="shared" si="66"/>
        <v>34</v>
      </c>
      <c r="AT470" s="239">
        <f>IF(G470="CERVECERIA Y MALTERIA",(AS470*AK470/1000000)*(1-VLOOKUP(N470,FCST!D:I,6,FALSE)),0)</f>
        <v>0</v>
      </c>
      <c r="AU470" s="232">
        <v>5.0000000000000001E-3</v>
      </c>
      <c r="AV470" s="239">
        <f t="shared" si="67"/>
        <v>0</v>
      </c>
      <c r="AW470" s="239">
        <f>(AS470*AK470/1000000)*(VLOOKUP(N470,FCST!D:I,6,FALSE))</f>
        <v>0</v>
      </c>
      <c r="AX470" s="239">
        <f t="shared" si="68"/>
        <v>0</v>
      </c>
      <c r="AY470" s="239">
        <f>IF($G470="CERVECERIA Y MALTERIA.",($AS470*$AK470/1000000)*(1-VLOOKUP($N470,FCST!D:I,6,FALSE)),0)</f>
        <v>17.651712</v>
      </c>
      <c r="AZ470" s="239">
        <f t="shared" si="69"/>
        <v>17.73997056</v>
      </c>
    </row>
    <row r="471" spans="1:52" x14ac:dyDescent="0.25">
      <c r="A471" s="209">
        <v>1093745</v>
      </c>
      <c r="B471" s="209">
        <v>100</v>
      </c>
      <c r="C471" s="209" t="s">
        <v>860</v>
      </c>
      <c r="D471" s="209">
        <v>10</v>
      </c>
      <c r="E471" s="209">
        <v>10000002</v>
      </c>
      <c r="F471" s="209">
        <v>20000336</v>
      </c>
      <c r="G471" s="209" t="s">
        <v>105</v>
      </c>
      <c r="H471" s="209">
        <v>20000336</v>
      </c>
      <c r="I471" s="209">
        <v>2</v>
      </c>
      <c r="J471" s="209" t="s">
        <v>169</v>
      </c>
      <c r="K471" s="209" t="s">
        <v>861</v>
      </c>
      <c r="L471" s="209" t="s">
        <v>265</v>
      </c>
      <c r="M471" s="209" t="s">
        <v>227</v>
      </c>
      <c r="N471" s="209">
        <v>50034634</v>
      </c>
      <c r="O471" s="209" t="s">
        <v>219</v>
      </c>
      <c r="P471" s="209">
        <v>5121</v>
      </c>
      <c r="Q471" s="209" t="s">
        <v>228</v>
      </c>
      <c r="R471" s="209" t="s">
        <v>229</v>
      </c>
      <c r="S471" s="209" t="s">
        <v>230</v>
      </c>
      <c r="T471" s="209" t="s">
        <v>231</v>
      </c>
      <c r="U471" s="209" t="s">
        <v>232</v>
      </c>
      <c r="V471" s="209" t="s">
        <v>179</v>
      </c>
      <c r="W471" s="209" t="s">
        <v>179</v>
      </c>
      <c r="X471" s="209" t="s">
        <v>180</v>
      </c>
      <c r="Y471" s="209" t="s">
        <v>180</v>
      </c>
      <c r="Z471" s="209" t="s">
        <v>862</v>
      </c>
      <c r="AA471" s="209" t="s">
        <v>863</v>
      </c>
      <c r="AB471" s="209" t="s">
        <v>180</v>
      </c>
      <c r="AC471" s="209" t="s">
        <v>182</v>
      </c>
      <c r="AD471" s="209">
        <v>1</v>
      </c>
      <c r="AE471" s="209">
        <v>2025</v>
      </c>
      <c r="AF471" s="227">
        <v>45660</v>
      </c>
      <c r="AG471" s="227">
        <v>45680</v>
      </c>
      <c r="AH471" s="227">
        <v>45680</v>
      </c>
      <c r="AI471" s="228">
        <v>364416</v>
      </c>
      <c r="AJ471" s="228">
        <v>52</v>
      </c>
      <c r="AK471" s="228">
        <v>364416</v>
      </c>
      <c r="AL471" s="228">
        <v>52</v>
      </c>
      <c r="AM471" s="228">
        <v>0</v>
      </c>
      <c r="AN471" s="228">
        <v>0</v>
      </c>
      <c r="AO471" s="229">
        <v>1</v>
      </c>
      <c r="AP471" s="231">
        <v>1</v>
      </c>
      <c r="AQ471" s="231">
        <v>2025</v>
      </c>
      <c r="AR471" s="231" t="str">
        <f t="shared" si="65"/>
        <v>01/2025</v>
      </c>
      <c r="AS471" s="231">
        <f t="shared" si="66"/>
        <v>52</v>
      </c>
      <c r="AT471" s="239">
        <f>IF(G471="CERVECERIA Y MALTERIA",(AS471*AK471/1000000)*(1-VLOOKUP(N471,FCST!D:I,6,FALSE)),0)</f>
        <v>18.949632000000001</v>
      </c>
      <c r="AU471" s="232">
        <v>5.0000000000000001E-3</v>
      </c>
      <c r="AV471" s="239">
        <f t="shared" si="67"/>
        <v>19.044380159999999</v>
      </c>
      <c r="AW471" s="239">
        <f>(AS471*AK471/1000000)*(VLOOKUP(N471,FCST!D:I,6,FALSE))</f>
        <v>0</v>
      </c>
      <c r="AX471" s="239">
        <f t="shared" si="68"/>
        <v>0</v>
      </c>
      <c r="AY471" s="239">
        <f>IF($G471="CERVECERIA Y MALTERIA.",($AS471*$AK471/1000000)*(1-VLOOKUP($N471,FCST!D:I,6,FALSE)),0)</f>
        <v>0</v>
      </c>
      <c r="AZ471" s="239">
        <f t="shared" si="69"/>
        <v>0</v>
      </c>
    </row>
    <row r="472" spans="1:52" x14ac:dyDescent="0.25">
      <c r="A472" s="209">
        <v>1097592</v>
      </c>
      <c r="B472" s="209">
        <v>20</v>
      </c>
      <c r="C472" s="209" t="s">
        <v>864</v>
      </c>
      <c r="D472" s="209">
        <v>10</v>
      </c>
      <c r="E472" s="209">
        <v>10000002</v>
      </c>
      <c r="F472" s="209">
        <v>20000335</v>
      </c>
      <c r="G472" s="209" t="s">
        <v>105</v>
      </c>
      <c r="H472" s="209">
        <v>20000335</v>
      </c>
      <c r="I472" s="209">
        <v>2</v>
      </c>
      <c r="J472" s="209" t="s">
        <v>169</v>
      </c>
      <c r="K472" s="209" t="s">
        <v>865</v>
      </c>
      <c r="L472" s="209" t="s">
        <v>171</v>
      </c>
      <c r="M472" s="209" t="s">
        <v>199</v>
      </c>
      <c r="N472" s="209">
        <v>50037887</v>
      </c>
      <c r="O472" s="209" t="s">
        <v>679</v>
      </c>
      <c r="P472" s="209">
        <v>5121</v>
      </c>
      <c r="Q472" s="209" t="s">
        <v>200</v>
      </c>
      <c r="R472" s="209" t="s">
        <v>201</v>
      </c>
      <c r="S472" s="209" t="s">
        <v>202</v>
      </c>
      <c r="T472" s="209" t="s">
        <v>203</v>
      </c>
      <c r="U472" s="209" t="s">
        <v>201</v>
      </c>
      <c r="V472" s="209" t="s">
        <v>179</v>
      </c>
      <c r="W472" s="209" t="s">
        <v>179</v>
      </c>
      <c r="X472" s="209" t="s">
        <v>180</v>
      </c>
      <c r="Y472" s="209" t="s">
        <v>180</v>
      </c>
      <c r="Z472" s="209" t="s">
        <v>866</v>
      </c>
      <c r="AA472" s="209" t="s">
        <v>867</v>
      </c>
      <c r="AB472" s="209" t="s">
        <v>180</v>
      </c>
      <c r="AC472" s="209" t="s">
        <v>182</v>
      </c>
      <c r="AD472" s="209">
        <v>1</v>
      </c>
      <c r="AE472" s="209">
        <v>2025</v>
      </c>
      <c r="AF472" s="227">
        <v>45681</v>
      </c>
      <c r="AG472" s="227">
        <v>45684</v>
      </c>
      <c r="AH472" s="227">
        <v>45684</v>
      </c>
      <c r="AI472" s="228">
        <v>531648</v>
      </c>
      <c r="AJ472" s="228">
        <v>52</v>
      </c>
      <c r="AK472" s="228">
        <v>531648</v>
      </c>
      <c r="AL472" s="228">
        <v>52</v>
      </c>
      <c r="AM472" s="228">
        <v>0</v>
      </c>
      <c r="AN472" s="228">
        <v>0</v>
      </c>
      <c r="AO472" s="229">
        <v>5</v>
      </c>
      <c r="AP472" s="231">
        <v>1</v>
      </c>
      <c r="AQ472" s="231">
        <v>2025</v>
      </c>
      <c r="AR472" s="231" t="str">
        <f t="shared" si="65"/>
        <v>01/2025</v>
      </c>
      <c r="AS472" s="231">
        <f t="shared" si="66"/>
        <v>37.200000000000003</v>
      </c>
      <c r="AT472" s="239">
        <f>IF(G472="CERVECERIA Y MALTERIA",(AS472*AK472/1000000)*(1-VLOOKUP(N472,FCST!D:I,6,FALSE)),0)</f>
        <v>19.777305600000002</v>
      </c>
      <c r="AU472" s="232">
        <v>5.0000000000000001E-3</v>
      </c>
      <c r="AV472" s="239">
        <f t="shared" si="67"/>
        <v>19.876192128</v>
      </c>
      <c r="AW472" s="239">
        <f>(AS472*AK472/1000000)*(VLOOKUP(N472,FCST!D:I,6,FALSE))</f>
        <v>0</v>
      </c>
      <c r="AX472" s="239">
        <f t="shared" si="68"/>
        <v>0</v>
      </c>
      <c r="AY472" s="239">
        <f>IF($G472="CERVECERIA Y MALTERIA.",($AS472*$AK472/1000000)*(1-VLOOKUP($N472,FCST!D:I,6,FALSE)),0)</f>
        <v>0</v>
      </c>
      <c r="AZ472" s="239">
        <f t="shared" si="69"/>
        <v>0</v>
      </c>
    </row>
    <row r="473" spans="1:52" x14ac:dyDescent="0.25">
      <c r="A473" s="209">
        <v>1096255</v>
      </c>
      <c r="B473" s="209">
        <v>50</v>
      </c>
      <c r="C473" s="209" t="s">
        <v>868</v>
      </c>
      <c r="D473" s="209">
        <v>10</v>
      </c>
      <c r="E473" s="209">
        <v>10000002</v>
      </c>
      <c r="F473" s="209">
        <v>20001057</v>
      </c>
      <c r="G473" s="209" t="s">
        <v>105</v>
      </c>
      <c r="H473" s="209">
        <v>20001057</v>
      </c>
      <c r="I473" s="209">
        <v>2</v>
      </c>
      <c r="J473" s="209" t="s">
        <v>169</v>
      </c>
      <c r="K473" s="209" t="s">
        <v>869</v>
      </c>
      <c r="L473" s="209" t="s">
        <v>171</v>
      </c>
      <c r="M473" s="209" t="s">
        <v>172</v>
      </c>
      <c r="N473" s="209">
        <v>50035183</v>
      </c>
      <c r="O473" s="209" t="s">
        <v>215</v>
      </c>
      <c r="P473" s="209">
        <v>5121</v>
      </c>
      <c r="Q473" s="209" t="s">
        <v>174</v>
      </c>
      <c r="R473" s="209" t="s">
        <v>175</v>
      </c>
      <c r="S473" s="209" t="s">
        <v>176</v>
      </c>
      <c r="T473" s="209" t="s">
        <v>177</v>
      </c>
      <c r="U473" s="209" t="s">
        <v>178</v>
      </c>
      <c r="V473" s="209" t="s">
        <v>179</v>
      </c>
      <c r="W473" s="209" t="s">
        <v>179</v>
      </c>
      <c r="X473" s="209" t="s">
        <v>180</v>
      </c>
      <c r="Y473" s="209" t="s">
        <v>180</v>
      </c>
      <c r="Z473" s="209" t="s">
        <v>870</v>
      </c>
      <c r="AA473" s="209" t="s">
        <v>871</v>
      </c>
      <c r="AB473" s="209" t="s">
        <v>180</v>
      </c>
      <c r="AC473" s="209" t="s">
        <v>182</v>
      </c>
      <c r="AD473" s="209">
        <v>1</v>
      </c>
      <c r="AE473" s="209">
        <v>2025</v>
      </c>
      <c r="AF473" s="227">
        <v>45673</v>
      </c>
      <c r="AG473" s="227">
        <v>45684</v>
      </c>
      <c r="AH473" s="227">
        <v>45684</v>
      </c>
      <c r="AI473" s="228">
        <v>361152</v>
      </c>
      <c r="AJ473" s="228">
        <v>44</v>
      </c>
      <c r="AK473" s="228">
        <v>361152</v>
      </c>
      <c r="AL473" s="228">
        <v>44</v>
      </c>
      <c r="AM473" s="228">
        <v>0</v>
      </c>
      <c r="AN473" s="228">
        <v>0</v>
      </c>
      <c r="AO473" s="229">
        <v>3</v>
      </c>
      <c r="AP473" s="231">
        <v>1</v>
      </c>
      <c r="AQ473" s="231">
        <v>2025</v>
      </c>
      <c r="AR473" s="231" t="str">
        <f t="shared" si="65"/>
        <v>01/2025</v>
      </c>
      <c r="AS473" s="231">
        <f t="shared" si="66"/>
        <v>46.6</v>
      </c>
      <c r="AT473" s="239">
        <f>IF(G473="CERVECERIA Y MALTERIA",(AS473*AK473/1000000)*(1-VLOOKUP(N473,FCST!D:I,6,FALSE)),0)</f>
        <v>16.829683199999998</v>
      </c>
      <c r="AU473" s="232">
        <v>5.0000000000000001E-3</v>
      </c>
      <c r="AV473" s="239">
        <f t="shared" si="67"/>
        <v>16.913831615999996</v>
      </c>
      <c r="AW473" s="239">
        <f>(AS473*AK473/1000000)*(VLOOKUP(N473,FCST!D:I,6,FALSE))</f>
        <v>0</v>
      </c>
      <c r="AX473" s="239">
        <f t="shared" si="68"/>
        <v>0</v>
      </c>
      <c r="AY473" s="239">
        <f>IF($G473="CERVECERIA Y MALTERIA.",($AS473*$AK473/1000000)*(1-VLOOKUP($N473,FCST!D:I,6,FALSE)),0)</f>
        <v>0</v>
      </c>
      <c r="AZ473" s="239">
        <f t="shared" si="69"/>
        <v>0</v>
      </c>
    </row>
    <row r="474" spans="1:52" x14ac:dyDescent="0.25">
      <c r="A474" s="209">
        <v>1096255</v>
      </c>
      <c r="B474" s="209">
        <v>60</v>
      </c>
      <c r="C474" s="209" t="s">
        <v>868</v>
      </c>
      <c r="D474" s="209">
        <v>20</v>
      </c>
      <c r="E474" s="209">
        <v>10000002</v>
      </c>
      <c r="F474" s="209">
        <v>20001057</v>
      </c>
      <c r="G474" s="209" t="s">
        <v>105</v>
      </c>
      <c r="H474" s="209">
        <v>20001057</v>
      </c>
      <c r="I474" s="209">
        <v>2</v>
      </c>
      <c r="J474" s="209" t="s">
        <v>169</v>
      </c>
      <c r="K474" s="209" t="s">
        <v>869</v>
      </c>
      <c r="L474" s="209" t="s">
        <v>171</v>
      </c>
      <c r="M474" s="209" t="s">
        <v>172</v>
      </c>
      <c r="N474" s="209">
        <v>50037887</v>
      </c>
      <c r="O474" s="209" t="s">
        <v>679</v>
      </c>
      <c r="P474" s="209">
        <v>5121</v>
      </c>
      <c r="Q474" s="209" t="s">
        <v>174</v>
      </c>
      <c r="R474" s="209" t="s">
        <v>175</v>
      </c>
      <c r="S474" s="209" t="s">
        <v>176</v>
      </c>
      <c r="T474" s="209" t="s">
        <v>177</v>
      </c>
      <c r="U474" s="209" t="s">
        <v>178</v>
      </c>
      <c r="V474" s="209" t="s">
        <v>179</v>
      </c>
      <c r="W474" s="209" t="s">
        <v>179</v>
      </c>
      <c r="X474" s="209" t="s">
        <v>180</v>
      </c>
      <c r="Y474" s="209" t="s">
        <v>180</v>
      </c>
      <c r="Z474" s="209" t="s">
        <v>870</v>
      </c>
      <c r="AA474" s="209" t="s">
        <v>871</v>
      </c>
      <c r="AB474" s="209" t="s">
        <v>180</v>
      </c>
      <c r="AC474" s="209" t="s">
        <v>182</v>
      </c>
      <c r="AD474" s="209">
        <v>1</v>
      </c>
      <c r="AE474" s="209">
        <v>2025</v>
      </c>
      <c r="AF474" s="227">
        <v>45673</v>
      </c>
      <c r="AG474" s="227">
        <v>45684</v>
      </c>
      <c r="AH474" s="227">
        <v>45684</v>
      </c>
      <c r="AI474" s="228">
        <v>81792</v>
      </c>
      <c r="AJ474" s="228">
        <v>8</v>
      </c>
      <c r="AK474" s="228">
        <v>81792</v>
      </c>
      <c r="AL474" s="228">
        <v>8</v>
      </c>
      <c r="AM474" s="228">
        <v>0</v>
      </c>
      <c r="AN474" s="228">
        <v>0</v>
      </c>
      <c r="AO474" s="229">
        <v>3</v>
      </c>
      <c r="AP474" s="231">
        <v>1</v>
      </c>
      <c r="AQ474" s="231">
        <v>2025</v>
      </c>
      <c r="AR474" s="231" t="str">
        <f t="shared" si="65"/>
        <v>01/2025</v>
      </c>
      <c r="AS474" s="231">
        <f t="shared" si="66"/>
        <v>37.200000000000003</v>
      </c>
      <c r="AT474" s="239">
        <f>IF(G474="CERVECERIA Y MALTERIA",(AS474*AK474/1000000)*(1-VLOOKUP(N474,FCST!D:I,6,FALSE)),0)</f>
        <v>3.0426624000000002</v>
      </c>
      <c r="AU474" s="232">
        <v>5.0000000000000001E-3</v>
      </c>
      <c r="AV474" s="239">
        <f t="shared" si="67"/>
        <v>3.057875712</v>
      </c>
      <c r="AW474" s="239">
        <f>(AS474*AK474/1000000)*(VLOOKUP(N474,FCST!D:I,6,FALSE))</f>
        <v>0</v>
      </c>
      <c r="AX474" s="239">
        <f t="shared" si="68"/>
        <v>0</v>
      </c>
      <c r="AY474" s="239">
        <f>IF($G474="CERVECERIA Y MALTERIA.",($AS474*$AK474/1000000)*(1-VLOOKUP($N474,FCST!D:I,6,FALSE)),0)</f>
        <v>0</v>
      </c>
      <c r="AZ474" s="239">
        <f t="shared" si="69"/>
        <v>0</v>
      </c>
    </row>
    <row r="475" spans="1:52" x14ac:dyDescent="0.25">
      <c r="A475" s="209">
        <v>1097302</v>
      </c>
      <c r="B475" s="209">
        <v>20</v>
      </c>
      <c r="C475" s="209" t="s">
        <v>872</v>
      </c>
      <c r="D475" s="209">
        <v>10</v>
      </c>
      <c r="E475" s="209">
        <v>10000002</v>
      </c>
      <c r="F475" s="209">
        <v>20000339</v>
      </c>
      <c r="G475" s="209" t="s">
        <v>105</v>
      </c>
      <c r="H475" s="209">
        <v>20000339</v>
      </c>
      <c r="I475" s="209">
        <v>2</v>
      </c>
      <c r="J475" s="209" t="s">
        <v>169</v>
      </c>
      <c r="K475" s="209" t="s">
        <v>873</v>
      </c>
      <c r="L475" s="209" t="s">
        <v>171</v>
      </c>
      <c r="M475" s="209" t="s">
        <v>184</v>
      </c>
      <c r="N475" s="209">
        <v>50034194</v>
      </c>
      <c r="O475" s="209" t="s">
        <v>276</v>
      </c>
      <c r="P475" s="209">
        <v>5121</v>
      </c>
      <c r="Q475" s="209" t="s">
        <v>174</v>
      </c>
      <c r="R475" s="209" t="s">
        <v>175</v>
      </c>
      <c r="S475" s="209" t="s">
        <v>176</v>
      </c>
      <c r="T475" s="209" t="s">
        <v>177</v>
      </c>
      <c r="U475" s="209" t="s">
        <v>178</v>
      </c>
      <c r="V475" s="209" t="s">
        <v>179</v>
      </c>
      <c r="W475" s="209" t="s">
        <v>179</v>
      </c>
      <c r="X475" s="209" t="s">
        <v>180</v>
      </c>
      <c r="Y475" s="209" t="s">
        <v>180</v>
      </c>
      <c r="Z475" s="209" t="s">
        <v>874</v>
      </c>
      <c r="AA475" s="209" t="s">
        <v>875</v>
      </c>
      <c r="AB475" s="209" t="s">
        <v>180</v>
      </c>
      <c r="AC475" s="209" t="s">
        <v>182</v>
      </c>
      <c r="AD475" s="209">
        <v>1</v>
      </c>
      <c r="AE475" s="209">
        <v>2025</v>
      </c>
      <c r="AF475" s="227">
        <v>45680</v>
      </c>
      <c r="AG475" s="227">
        <v>45684</v>
      </c>
      <c r="AH475" s="227">
        <v>45684</v>
      </c>
      <c r="AI475" s="228">
        <v>97536</v>
      </c>
      <c r="AJ475" s="228">
        <v>16</v>
      </c>
      <c r="AK475" s="228">
        <v>97536</v>
      </c>
      <c r="AL475" s="228">
        <v>16</v>
      </c>
      <c r="AM475" s="228">
        <v>0</v>
      </c>
      <c r="AN475" s="228">
        <v>0</v>
      </c>
      <c r="AO475" s="229">
        <v>4</v>
      </c>
      <c r="AP475" s="231">
        <v>1</v>
      </c>
      <c r="AQ475" s="231">
        <v>2025</v>
      </c>
      <c r="AR475" s="231" t="str">
        <f t="shared" si="65"/>
        <v>01/2025</v>
      </c>
      <c r="AS475" s="231">
        <f t="shared" si="66"/>
        <v>62</v>
      </c>
      <c r="AT475" s="239">
        <f>IF(G475="CERVECERIA Y MALTERIA",(AS475*AK475/1000000)*(1-VLOOKUP(N475,FCST!D:I,6,FALSE)),0)</f>
        <v>6.0472320000000002</v>
      </c>
      <c r="AU475" s="232">
        <v>5.0000000000000001E-3</v>
      </c>
      <c r="AV475" s="239">
        <f t="shared" si="67"/>
        <v>6.0774681599999996</v>
      </c>
      <c r="AW475" s="239">
        <f>(AS475*AK475/1000000)*(VLOOKUP(N475,FCST!D:I,6,FALSE))</f>
        <v>0</v>
      </c>
      <c r="AX475" s="239">
        <f t="shared" si="68"/>
        <v>0</v>
      </c>
      <c r="AY475" s="239">
        <f>IF($G475="CERVECERIA Y MALTERIA.",($AS475*$AK475/1000000)*(1-VLOOKUP($N475,FCST!D:I,6,FALSE)),0)</f>
        <v>0</v>
      </c>
      <c r="AZ475" s="239">
        <f t="shared" si="69"/>
        <v>0</v>
      </c>
    </row>
    <row r="476" spans="1:52" x14ac:dyDescent="0.25">
      <c r="A476" s="209">
        <v>1097302</v>
      </c>
      <c r="B476" s="209">
        <v>30</v>
      </c>
      <c r="C476" s="209" t="s">
        <v>872</v>
      </c>
      <c r="D476" s="209">
        <v>20</v>
      </c>
      <c r="E476" s="209">
        <v>10000002</v>
      </c>
      <c r="F476" s="209">
        <v>20000339</v>
      </c>
      <c r="G476" s="209" t="s">
        <v>105</v>
      </c>
      <c r="H476" s="209">
        <v>20000339</v>
      </c>
      <c r="I476" s="209">
        <v>2</v>
      </c>
      <c r="J476" s="209" t="s">
        <v>169</v>
      </c>
      <c r="K476" s="209" t="s">
        <v>873</v>
      </c>
      <c r="L476" s="209" t="s">
        <v>171</v>
      </c>
      <c r="M476" s="209" t="s">
        <v>184</v>
      </c>
      <c r="N476" s="209">
        <v>50034634</v>
      </c>
      <c r="O476" s="209" t="s">
        <v>219</v>
      </c>
      <c r="P476" s="209">
        <v>5121</v>
      </c>
      <c r="Q476" s="209" t="s">
        <v>174</v>
      </c>
      <c r="R476" s="209" t="s">
        <v>175</v>
      </c>
      <c r="S476" s="209" t="s">
        <v>176</v>
      </c>
      <c r="T476" s="209" t="s">
        <v>177</v>
      </c>
      <c r="U476" s="209" t="s">
        <v>178</v>
      </c>
      <c r="V476" s="209" t="s">
        <v>179</v>
      </c>
      <c r="W476" s="209" t="s">
        <v>179</v>
      </c>
      <c r="X476" s="209" t="s">
        <v>180</v>
      </c>
      <c r="Y476" s="209" t="s">
        <v>180</v>
      </c>
      <c r="Z476" s="209" t="s">
        <v>874</v>
      </c>
      <c r="AA476" s="209" t="s">
        <v>875</v>
      </c>
      <c r="AB476" s="209" t="s">
        <v>180</v>
      </c>
      <c r="AC476" s="209" t="s">
        <v>182</v>
      </c>
      <c r="AD476" s="209">
        <v>1</v>
      </c>
      <c r="AE476" s="209">
        <v>2025</v>
      </c>
      <c r="AF476" s="227">
        <v>45680</v>
      </c>
      <c r="AG476" s="227">
        <v>45684</v>
      </c>
      <c r="AH476" s="227">
        <v>45684</v>
      </c>
      <c r="AI476" s="228">
        <v>252288</v>
      </c>
      <c r="AJ476" s="228">
        <v>36</v>
      </c>
      <c r="AK476" s="228">
        <v>252288</v>
      </c>
      <c r="AL476" s="228">
        <v>36</v>
      </c>
      <c r="AM476" s="228">
        <v>0</v>
      </c>
      <c r="AN476" s="228">
        <v>0</v>
      </c>
      <c r="AO476" s="229">
        <v>4</v>
      </c>
      <c r="AP476" s="231">
        <v>1</v>
      </c>
      <c r="AQ476" s="231">
        <v>2025</v>
      </c>
      <c r="AR476" s="231" t="str">
        <f t="shared" si="65"/>
        <v>01/2025</v>
      </c>
      <c r="AS476" s="231">
        <f t="shared" si="66"/>
        <v>52</v>
      </c>
      <c r="AT476" s="239">
        <f>IF(G476="CERVECERIA Y MALTERIA",(AS476*AK476/1000000)*(1-VLOOKUP(N476,FCST!D:I,6,FALSE)),0)</f>
        <v>13.118976</v>
      </c>
      <c r="AU476" s="232">
        <v>5.0000000000000001E-3</v>
      </c>
      <c r="AV476" s="239">
        <f t="shared" si="67"/>
        <v>13.184570879999999</v>
      </c>
      <c r="AW476" s="239">
        <f>(AS476*AK476/1000000)*(VLOOKUP(N476,FCST!D:I,6,FALSE))</f>
        <v>0</v>
      </c>
      <c r="AX476" s="239">
        <f t="shared" si="68"/>
        <v>0</v>
      </c>
      <c r="AY476" s="239">
        <f>IF($G476="CERVECERIA Y MALTERIA.",($AS476*$AK476/1000000)*(1-VLOOKUP($N476,FCST!D:I,6,FALSE)),0)</f>
        <v>0</v>
      </c>
      <c r="AZ476" s="239">
        <f t="shared" si="69"/>
        <v>0</v>
      </c>
    </row>
    <row r="477" spans="1:52" x14ac:dyDescent="0.25">
      <c r="A477" s="209">
        <v>1096382</v>
      </c>
      <c r="B477" s="209">
        <v>140</v>
      </c>
      <c r="C477" s="209" t="s">
        <v>876</v>
      </c>
      <c r="D477" s="209">
        <v>10</v>
      </c>
      <c r="E477" s="209">
        <v>10000002</v>
      </c>
      <c r="F477" s="209">
        <v>20000335</v>
      </c>
      <c r="G477" s="209" t="s">
        <v>105</v>
      </c>
      <c r="H477" s="209">
        <v>20000335</v>
      </c>
      <c r="I477" s="209">
        <v>2</v>
      </c>
      <c r="J477" s="209" t="s">
        <v>169</v>
      </c>
      <c r="K477" s="209" t="s">
        <v>877</v>
      </c>
      <c r="L477" s="209" t="s">
        <v>171</v>
      </c>
      <c r="M477" s="209" t="s">
        <v>172</v>
      </c>
      <c r="N477" s="209">
        <v>50037887</v>
      </c>
      <c r="O477" s="209" t="s">
        <v>679</v>
      </c>
      <c r="P477" s="209">
        <v>5121</v>
      </c>
      <c r="Q477" s="209" t="s">
        <v>174</v>
      </c>
      <c r="R477" s="209" t="s">
        <v>175</v>
      </c>
      <c r="S477" s="209" t="s">
        <v>176</v>
      </c>
      <c r="T477" s="209" t="s">
        <v>177</v>
      </c>
      <c r="U477" s="209" t="s">
        <v>178</v>
      </c>
      <c r="V477" s="209" t="s">
        <v>179</v>
      </c>
      <c r="W477" s="209" t="s">
        <v>179</v>
      </c>
      <c r="X477" s="209" t="s">
        <v>180</v>
      </c>
      <c r="Y477" s="209" t="s">
        <v>180</v>
      </c>
      <c r="Z477" s="209" t="s">
        <v>878</v>
      </c>
      <c r="AA477" s="209" t="s">
        <v>879</v>
      </c>
      <c r="AB477" s="209" t="s">
        <v>180</v>
      </c>
      <c r="AC477" s="209" t="s">
        <v>182</v>
      </c>
      <c r="AD477" s="209">
        <v>1</v>
      </c>
      <c r="AE477" s="209">
        <v>2025</v>
      </c>
      <c r="AF477" s="227">
        <v>45674</v>
      </c>
      <c r="AG477" s="227">
        <v>45681</v>
      </c>
      <c r="AH477" s="227">
        <v>45681</v>
      </c>
      <c r="AI477" s="228">
        <v>531648</v>
      </c>
      <c r="AJ477" s="228">
        <v>52</v>
      </c>
      <c r="AK477" s="228">
        <v>531648</v>
      </c>
      <c r="AL477" s="228">
        <v>52</v>
      </c>
      <c r="AM477" s="228">
        <v>0</v>
      </c>
      <c r="AN477" s="228">
        <v>0</v>
      </c>
      <c r="AO477" s="229">
        <v>4</v>
      </c>
      <c r="AP477" s="231">
        <v>1</v>
      </c>
      <c r="AQ477" s="231">
        <v>2025</v>
      </c>
      <c r="AR477" s="231" t="str">
        <f t="shared" si="65"/>
        <v>01/2025</v>
      </c>
      <c r="AS477" s="231">
        <f t="shared" si="66"/>
        <v>37.200000000000003</v>
      </c>
      <c r="AT477" s="239">
        <f>IF(G477="CERVECERIA Y MALTERIA",(AS477*AK477/1000000)*(1-VLOOKUP(N477,FCST!D:I,6,FALSE)),0)</f>
        <v>19.777305600000002</v>
      </c>
      <c r="AU477" s="232">
        <v>5.0000000000000001E-3</v>
      </c>
      <c r="AV477" s="239">
        <f t="shared" si="67"/>
        <v>19.876192128</v>
      </c>
      <c r="AW477" s="239">
        <f>(AS477*AK477/1000000)*(VLOOKUP(N477,FCST!D:I,6,FALSE))</f>
        <v>0</v>
      </c>
      <c r="AX477" s="239">
        <f t="shared" si="68"/>
        <v>0</v>
      </c>
      <c r="AY477" s="239">
        <f>IF($G477="CERVECERIA Y MALTERIA.",($AS477*$AK477/1000000)*(1-VLOOKUP($N477,FCST!D:I,6,FALSE)),0)</f>
        <v>0</v>
      </c>
      <c r="AZ477" s="239">
        <f t="shared" si="69"/>
        <v>0</v>
      </c>
    </row>
    <row r="478" spans="1:52" x14ac:dyDescent="0.25">
      <c r="A478" s="209">
        <v>1096382</v>
      </c>
      <c r="B478" s="209">
        <v>130</v>
      </c>
      <c r="C478" s="209" t="s">
        <v>880</v>
      </c>
      <c r="D478" s="209">
        <v>10</v>
      </c>
      <c r="E478" s="209">
        <v>10000002</v>
      </c>
      <c r="F478" s="209">
        <v>20000335</v>
      </c>
      <c r="G478" s="209" t="s">
        <v>105</v>
      </c>
      <c r="H478" s="209">
        <v>20000335</v>
      </c>
      <c r="I478" s="209">
        <v>2</v>
      </c>
      <c r="J478" s="209" t="s">
        <v>169</v>
      </c>
      <c r="K478" s="209" t="s">
        <v>881</v>
      </c>
      <c r="L478" s="209" t="s">
        <v>171</v>
      </c>
      <c r="M478" s="209" t="s">
        <v>172</v>
      </c>
      <c r="N478" s="209">
        <v>50035184</v>
      </c>
      <c r="O478" s="209" t="s">
        <v>672</v>
      </c>
      <c r="P478" s="209">
        <v>5121</v>
      </c>
      <c r="Q478" s="209" t="s">
        <v>174</v>
      </c>
      <c r="R478" s="209" t="s">
        <v>175</v>
      </c>
      <c r="S478" s="209" t="s">
        <v>176</v>
      </c>
      <c r="T478" s="209" t="s">
        <v>177</v>
      </c>
      <c r="U478" s="209" t="s">
        <v>178</v>
      </c>
      <c r="V478" s="209" t="s">
        <v>179</v>
      </c>
      <c r="W478" s="209" t="s">
        <v>179</v>
      </c>
      <c r="X478" s="209" t="s">
        <v>180</v>
      </c>
      <c r="Y478" s="209" t="s">
        <v>180</v>
      </c>
      <c r="Z478" s="209" t="s">
        <v>882</v>
      </c>
      <c r="AA478" s="209" t="s">
        <v>883</v>
      </c>
      <c r="AB478" s="209" t="s">
        <v>180</v>
      </c>
      <c r="AC478" s="209" t="s">
        <v>182</v>
      </c>
      <c r="AD478" s="209">
        <v>1</v>
      </c>
      <c r="AE478" s="209">
        <v>2025</v>
      </c>
      <c r="AF478" s="227">
        <v>45674</v>
      </c>
      <c r="AG478" s="227">
        <v>45681</v>
      </c>
      <c r="AH478" s="227">
        <v>45681</v>
      </c>
      <c r="AI478" s="228">
        <v>977184</v>
      </c>
      <c r="AJ478" s="228">
        <v>52</v>
      </c>
      <c r="AK478" s="228">
        <v>977184</v>
      </c>
      <c r="AL478" s="228">
        <v>52</v>
      </c>
      <c r="AM478" s="228">
        <v>0</v>
      </c>
      <c r="AN478" s="228">
        <v>0</v>
      </c>
      <c r="AO478" s="229">
        <v>4</v>
      </c>
      <c r="AP478" s="231">
        <v>1</v>
      </c>
      <c r="AQ478" s="231">
        <v>2025</v>
      </c>
      <c r="AR478" s="231" t="str">
        <f t="shared" si="65"/>
        <v>01/2025</v>
      </c>
      <c r="AS478" s="231">
        <f t="shared" si="66"/>
        <v>19.5</v>
      </c>
      <c r="AT478" s="239">
        <f>IF(G478="CERVECERIA Y MALTERIA",(AS478*AK478/1000000)*(1-VLOOKUP(N478,FCST!D:I,6,FALSE)),0)</f>
        <v>19.055088000000001</v>
      </c>
      <c r="AU478" s="232">
        <v>5.0000000000000001E-3</v>
      </c>
      <c r="AV478" s="239">
        <f t="shared" si="67"/>
        <v>19.15036344</v>
      </c>
      <c r="AW478" s="239">
        <f>(AS478*AK478/1000000)*(VLOOKUP(N478,FCST!D:I,6,FALSE))</f>
        <v>0</v>
      </c>
      <c r="AX478" s="239">
        <f t="shared" si="68"/>
        <v>0</v>
      </c>
      <c r="AY478" s="239">
        <f>IF($G478="CERVECERIA Y MALTERIA.",($AS478*$AK478/1000000)*(1-VLOOKUP($N478,FCST!D:I,6,FALSE)),0)</f>
        <v>0</v>
      </c>
      <c r="AZ478" s="239">
        <f t="shared" si="69"/>
        <v>0</v>
      </c>
    </row>
    <row r="479" spans="1:52" x14ac:dyDescent="0.25">
      <c r="A479" s="209">
        <v>1097301</v>
      </c>
      <c r="B479" s="209">
        <v>10</v>
      </c>
      <c r="C479" s="209" t="s">
        <v>884</v>
      </c>
      <c r="D479" s="209">
        <v>10</v>
      </c>
      <c r="E479" s="209">
        <v>10000002</v>
      </c>
      <c r="F479" s="209">
        <v>20000339</v>
      </c>
      <c r="G479" s="209" t="s">
        <v>105</v>
      </c>
      <c r="H479" s="209">
        <v>20000339</v>
      </c>
      <c r="I479" s="209">
        <v>2</v>
      </c>
      <c r="J479" s="209" t="s">
        <v>169</v>
      </c>
      <c r="K479" s="209" t="s">
        <v>885</v>
      </c>
      <c r="L479" s="209" t="s">
        <v>171</v>
      </c>
      <c r="M479" s="209" t="s">
        <v>172</v>
      </c>
      <c r="N479" s="209">
        <v>50034245</v>
      </c>
      <c r="O479" s="209" t="s">
        <v>591</v>
      </c>
      <c r="P479" s="209">
        <v>5101</v>
      </c>
      <c r="Q479" s="209" t="s">
        <v>186</v>
      </c>
      <c r="R479" s="209" t="s">
        <v>175</v>
      </c>
      <c r="S479" s="209" t="s">
        <v>176</v>
      </c>
      <c r="T479" s="209" t="s">
        <v>187</v>
      </c>
      <c r="U479" s="209" t="s">
        <v>188</v>
      </c>
      <c r="V479" s="209" t="s">
        <v>179</v>
      </c>
      <c r="W479" s="209" t="s">
        <v>179</v>
      </c>
      <c r="X479" s="209" t="s">
        <v>180</v>
      </c>
      <c r="Y479" s="209" t="s">
        <v>180</v>
      </c>
      <c r="Z479" s="209" t="s">
        <v>886</v>
      </c>
      <c r="AA479" s="209" t="s">
        <v>887</v>
      </c>
      <c r="AB479" s="209" t="s">
        <v>180</v>
      </c>
      <c r="AC479" s="209" t="s">
        <v>182</v>
      </c>
      <c r="AD479" s="209">
        <v>1</v>
      </c>
      <c r="AE479" s="209">
        <v>2025</v>
      </c>
      <c r="AF479" s="227">
        <v>45680</v>
      </c>
      <c r="AG479" s="227">
        <v>45681</v>
      </c>
      <c r="AH479" s="227">
        <v>45681</v>
      </c>
      <c r="AI479" s="228">
        <v>100128</v>
      </c>
      <c r="AJ479" s="228">
        <v>7</v>
      </c>
      <c r="AK479" s="228">
        <v>100128</v>
      </c>
      <c r="AL479" s="228">
        <v>7</v>
      </c>
      <c r="AM479" s="228">
        <v>0</v>
      </c>
      <c r="AN479" s="228">
        <v>0</v>
      </c>
      <c r="AO479" s="229">
        <v>4</v>
      </c>
      <c r="AP479" s="231">
        <v>1</v>
      </c>
      <c r="AQ479" s="231">
        <v>2025</v>
      </c>
      <c r="AR479" s="231" t="str">
        <f t="shared" si="65"/>
        <v>01/2025</v>
      </c>
      <c r="AS479" s="231">
        <f t="shared" si="66"/>
        <v>25</v>
      </c>
      <c r="AT479" s="239">
        <f>IF(G479="CERVECERIA Y MALTERIA",(AS479*AK479/1000000)*(1-VLOOKUP(N479,FCST!D:I,6,FALSE)),0)</f>
        <v>0</v>
      </c>
      <c r="AU479" s="232">
        <v>5.0000000000000001E-3</v>
      </c>
      <c r="AV479" s="239">
        <f t="shared" si="67"/>
        <v>0</v>
      </c>
      <c r="AW479" s="239">
        <f>(AS479*AK479/1000000)*(VLOOKUP(N479,FCST!D:I,6,FALSE))</f>
        <v>2.5032000000000001</v>
      </c>
      <c r="AX479" s="239">
        <f t="shared" si="68"/>
        <v>2.5157159999999998</v>
      </c>
      <c r="AY479" s="239">
        <f>IF($G479="CERVECERIA Y MALTERIA.",($AS479*$AK479/1000000)*(1-VLOOKUP($N479,FCST!D:I,6,FALSE)),0)</f>
        <v>0</v>
      </c>
      <c r="AZ479" s="239">
        <f t="shared" si="69"/>
        <v>0</v>
      </c>
    </row>
    <row r="480" spans="1:52" x14ac:dyDescent="0.25">
      <c r="A480" s="209">
        <v>1097301</v>
      </c>
      <c r="B480" s="209">
        <v>20</v>
      </c>
      <c r="C480" s="209" t="s">
        <v>884</v>
      </c>
      <c r="D480" s="209">
        <v>20</v>
      </c>
      <c r="E480" s="209">
        <v>10000002</v>
      </c>
      <c r="F480" s="209">
        <v>20000339</v>
      </c>
      <c r="G480" s="209" t="s">
        <v>105</v>
      </c>
      <c r="H480" s="209">
        <v>20000339</v>
      </c>
      <c r="I480" s="209">
        <v>2</v>
      </c>
      <c r="J480" s="209" t="s">
        <v>169</v>
      </c>
      <c r="K480" s="209" t="s">
        <v>885</v>
      </c>
      <c r="L480" s="209" t="s">
        <v>171</v>
      </c>
      <c r="M480" s="209" t="s">
        <v>172</v>
      </c>
      <c r="N480" s="209">
        <v>50034577</v>
      </c>
      <c r="O480" s="209" t="s">
        <v>237</v>
      </c>
      <c r="P480" s="209">
        <v>5101</v>
      </c>
      <c r="Q480" s="209" t="s">
        <v>186</v>
      </c>
      <c r="R480" s="209" t="s">
        <v>175</v>
      </c>
      <c r="S480" s="209" t="s">
        <v>176</v>
      </c>
      <c r="T480" s="209" t="s">
        <v>187</v>
      </c>
      <c r="U480" s="209" t="s">
        <v>188</v>
      </c>
      <c r="V480" s="209" t="s">
        <v>179</v>
      </c>
      <c r="W480" s="209" t="s">
        <v>179</v>
      </c>
      <c r="X480" s="209" t="s">
        <v>180</v>
      </c>
      <c r="Y480" s="209" t="s">
        <v>180</v>
      </c>
      <c r="Z480" s="209" t="s">
        <v>886</v>
      </c>
      <c r="AA480" s="209" t="s">
        <v>887</v>
      </c>
      <c r="AB480" s="209" t="s">
        <v>180</v>
      </c>
      <c r="AC480" s="209" t="s">
        <v>182</v>
      </c>
      <c r="AD480" s="209">
        <v>1</v>
      </c>
      <c r="AE480" s="209">
        <v>2025</v>
      </c>
      <c r="AF480" s="227">
        <v>45680</v>
      </c>
      <c r="AG480" s="227">
        <v>45681</v>
      </c>
      <c r="AH480" s="227">
        <v>45681</v>
      </c>
      <c r="AI480" s="228">
        <v>300384</v>
      </c>
      <c r="AJ480" s="228">
        <v>21</v>
      </c>
      <c r="AK480" s="228">
        <v>328992</v>
      </c>
      <c r="AL480" s="228">
        <v>23</v>
      </c>
      <c r="AM480" s="228">
        <v>0</v>
      </c>
      <c r="AN480" s="228">
        <v>0</v>
      </c>
      <c r="AO480" s="229">
        <v>4</v>
      </c>
      <c r="AP480" s="231">
        <v>1</v>
      </c>
      <c r="AQ480" s="231">
        <v>2025</v>
      </c>
      <c r="AR480" s="231" t="str">
        <f t="shared" si="65"/>
        <v>01/2025</v>
      </c>
      <c r="AS480" s="231">
        <f t="shared" si="66"/>
        <v>25</v>
      </c>
      <c r="AT480" s="239">
        <f>IF(G480="CERVECERIA Y MALTERIA",(AS480*AK480/1000000)*(1-VLOOKUP(N480,FCST!D:I,6,FALSE)),0)</f>
        <v>8.2248000000000001</v>
      </c>
      <c r="AU480" s="232">
        <v>5.0000000000000001E-3</v>
      </c>
      <c r="AV480" s="239">
        <f t="shared" si="67"/>
        <v>8.265924</v>
      </c>
      <c r="AW480" s="239">
        <f>(AS480*AK480/1000000)*(VLOOKUP(N480,FCST!D:I,6,FALSE))</f>
        <v>0</v>
      </c>
      <c r="AX480" s="239">
        <f t="shared" si="68"/>
        <v>0</v>
      </c>
      <c r="AY480" s="239">
        <f>IF($G480="CERVECERIA Y MALTERIA.",($AS480*$AK480/1000000)*(1-VLOOKUP($N480,FCST!D:I,6,FALSE)),0)</f>
        <v>0</v>
      </c>
      <c r="AZ480" s="239">
        <f t="shared" si="69"/>
        <v>0</v>
      </c>
    </row>
    <row r="481" spans="1:52" x14ac:dyDescent="0.25">
      <c r="A481" s="209">
        <v>1097302</v>
      </c>
      <c r="B481" s="209">
        <v>10</v>
      </c>
      <c r="C481" s="209" t="s">
        <v>888</v>
      </c>
      <c r="D481" s="209">
        <v>10</v>
      </c>
      <c r="E481" s="209">
        <v>10000002</v>
      </c>
      <c r="F481" s="209">
        <v>20000339</v>
      </c>
      <c r="G481" s="209" t="s">
        <v>105</v>
      </c>
      <c r="H481" s="209">
        <v>20000339</v>
      </c>
      <c r="I481" s="209">
        <v>2</v>
      </c>
      <c r="J481" s="209" t="s">
        <v>169</v>
      </c>
      <c r="K481" s="209" t="s">
        <v>889</v>
      </c>
      <c r="L481" s="209" t="s">
        <v>171</v>
      </c>
      <c r="M481" s="209" t="s">
        <v>172</v>
      </c>
      <c r="N481" s="209">
        <v>50034194</v>
      </c>
      <c r="O481" s="209" t="s">
        <v>276</v>
      </c>
      <c r="P481" s="209">
        <v>5121</v>
      </c>
      <c r="Q481" s="209" t="s">
        <v>174</v>
      </c>
      <c r="R481" s="209" t="s">
        <v>175</v>
      </c>
      <c r="S481" s="209" t="s">
        <v>176</v>
      </c>
      <c r="T481" s="209" t="s">
        <v>177</v>
      </c>
      <c r="U481" s="209" t="s">
        <v>178</v>
      </c>
      <c r="V481" s="209" t="s">
        <v>179</v>
      </c>
      <c r="W481" s="209" t="s">
        <v>179</v>
      </c>
      <c r="X481" s="209" t="s">
        <v>180</v>
      </c>
      <c r="Y481" s="209" t="s">
        <v>180</v>
      </c>
      <c r="Z481" s="209" t="s">
        <v>890</v>
      </c>
      <c r="AA481" s="209" t="s">
        <v>891</v>
      </c>
      <c r="AB481" s="209" t="s">
        <v>180</v>
      </c>
      <c r="AC481" s="209" t="s">
        <v>182</v>
      </c>
      <c r="AD481" s="209">
        <v>1</v>
      </c>
      <c r="AE481" s="209">
        <v>2025</v>
      </c>
      <c r="AF481" s="227">
        <v>45680</v>
      </c>
      <c r="AG481" s="227">
        <v>45681</v>
      </c>
      <c r="AH481" s="227">
        <v>45681</v>
      </c>
      <c r="AI481" s="228">
        <v>134112</v>
      </c>
      <c r="AJ481" s="228">
        <v>22</v>
      </c>
      <c r="AK481" s="228">
        <v>134112</v>
      </c>
      <c r="AL481" s="228">
        <v>22</v>
      </c>
      <c r="AM481" s="228">
        <v>0</v>
      </c>
      <c r="AN481" s="228">
        <v>0</v>
      </c>
      <c r="AO481" s="229">
        <v>4</v>
      </c>
      <c r="AP481" s="231">
        <v>1</v>
      </c>
      <c r="AQ481" s="231">
        <v>2025</v>
      </c>
      <c r="AR481" s="231" t="str">
        <f t="shared" si="65"/>
        <v>01/2025</v>
      </c>
      <c r="AS481" s="231">
        <f t="shared" si="66"/>
        <v>62</v>
      </c>
      <c r="AT481" s="239">
        <f>IF(G481="CERVECERIA Y MALTERIA",(AS481*AK481/1000000)*(1-VLOOKUP(N481,FCST!D:I,6,FALSE)),0)</f>
        <v>8.3149440000000006</v>
      </c>
      <c r="AU481" s="232">
        <v>5.0000000000000001E-3</v>
      </c>
      <c r="AV481" s="239">
        <f t="shared" si="67"/>
        <v>8.3565187200000004</v>
      </c>
      <c r="AW481" s="239">
        <f>(AS481*AK481/1000000)*(VLOOKUP(N481,FCST!D:I,6,FALSE))</f>
        <v>0</v>
      </c>
      <c r="AX481" s="239">
        <f t="shared" si="68"/>
        <v>0</v>
      </c>
      <c r="AY481" s="239">
        <f>IF($G481="CERVECERIA Y MALTERIA.",($AS481*$AK481/1000000)*(1-VLOOKUP($N481,FCST!D:I,6,FALSE)),0)</f>
        <v>0</v>
      </c>
      <c r="AZ481" s="239">
        <f t="shared" si="69"/>
        <v>0</v>
      </c>
    </row>
    <row r="482" spans="1:52" x14ac:dyDescent="0.25">
      <c r="A482" s="209">
        <v>1097593</v>
      </c>
      <c r="B482" s="209">
        <v>10</v>
      </c>
      <c r="C482" s="209" t="s">
        <v>892</v>
      </c>
      <c r="D482" s="209">
        <v>10</v>
      </c>
      <c r="E482" s="209">
        <v>10000002</v>
      </c>
      <c r="F482" s="209">
        <v>20000340</v>
      </c>
      <c r="G482" s="209" t="s">
        <v>117</v>
      </c>
      <c r="H482" s="209">
        <v>20000340</v>
      </c>
      <c r="I482" s="209">
        <v>2</v>
      </c>
      <c r="J482" s="209" t="s">
        <v>169</v>
      </c>
      <c r="K482" s="209" t="s">
        <v>893</v>
      </c>
      <c r="L482" s="209" t="s">
        <v>171</v>
      </c>
      <c r="M482" s="209" t="s">
        <v>172</v>
      </c>
      <c r="N482" s="209">
        <v>50029817</v>
      </c>
      <c r="O482" s="209" t="s">
        <v>396</v>
      </c>
      <c r="P482" s="209">
        <v>5101</v>
      </c>
      <c r="Q482" s="209" t="s">
        <v>186</v>
      </c>
      <c r="R482" s="209" t="s">
        <v>175</v>
      </c>
      <c r="S482" s="209" t="s">
        <v>176</v>
      </c>
      <c r="T482" s="209" t="s">
        <v>187</v>
      </c>
      <c r="U482" s="209" t="s">
        <v>188</v>
      </c>
      <c r="V482" s="209" t="s">
        <v>179</v>
      </c>
      <c r="W482" s="209" t="s">
        <v>179</v>
      </c>
      <c r="X482" s="209" t="s">
        <v>180</v>
      </c>
      <c r="Y482" s="209" t="s">
        <v>180</v>
      </c>
      <c r="Z482" s="209" t="s">
        <v>894</v>
      </c>
      <c r="AA482" s="209" t="s">
        <v>895</v>
      </c>
      <c r="AB482" s="209" t="s">
        <v>180</v>
      </c>
      <c r="AC482" s="209" t="s">
        <v>182</v>
      </c>
      <c r="AD482" s="209">
        <v>1</v>
      </c>
      <c r="AE482" s="209">
        <v>2025</v>
      </c>
      <c r="AF482" s="227">
        <v>45681</v>
      </c>
      <c r="AG482" s="227">
        <v>45684</v>
      </c>
      <c r="AH482" s="227">
        <v>45684</v>
      </c>
      <c r="AI482" s="228">
        <v>606528</v>
      </c>
      <c r="AJ482" s="228">
        <v>52</v>
      </c>
      <c r="AK482" s="228">
        <v>606528</v>
      </c>
      <c r="AL482" s="228">
        <v>52</v>
      </c>
      <c r="AM482" s="228">
        <v>0</v>
      </c>
      <c r="AN482" s="228">
        <v>0</v>
      </c>
      <c r="AO482" s="229">
        <v>5</v>
      </c>
      <c r="AP482" s="231">
        <v>1</v>
      </c>
      <c r="AQ482" s="231">
        <v>2025</v>
      </c>
      <c r="AR482" s="231" t="str">
        <f t="shared" si="65"/>
        <v>01/2025</v>
      </c>
      <c r="AS482" s="231">
        <f t="shared" si="66"/>
        <v>30</v>
      </c>
      <c r="AT482" s="239">
        <f>IF(G482="CERVECERIA Y MALTERIA",(AS482*AK482/1000000)*(1-VLOOKUP(N482,FCST!D:I,6,FALSE)),0)</f>
        <v>0</v>
      </c>
      <c r="AU482" s="232">
        <v>5.0000000000000001E-3</v>
      </c>
      <c r="AV482" s="239">
        <f t="shared" si="67"/>
        <v>0</v>
      </c>
      <c r="AW482" s="239">
        <f>(AS482*AK482/1000000)*(VLOOKUP(N482,FCST!D:I,6,FALSE))</f>
        <v>5.4587519999999996</v>
      </c>
      <c r="AX482" s="239">
        <f t="shared" si="68"/>
        <v>5.4860457599999988</v>
      </c>
      <c r="AY482" s="239">
        <f>IF($G482="CERVECERIA Y MALTERIA.",($AS482*$AK482/1000000)*(1-VLOOKUP($N482,FCST!D:I,6,FALSE)),0)</f>
        <v>12.737088</v>
      </c>
      <c r="AZ482" s="239">
        <f t="shared" si="69"/>
        <v>12.800773439999999</v>
      </c>
    </row>
    <row r="483" spans="1:52" x14ac:dyDescent="0.25">
      <c r="A483" s="209">
        <v>1097593</v>
      </c>
      <c r="B483" s="209">
        <v>60</v>
      </c>
      <c r="C483" s="209" t="s">
        <v>896</v>
      </c>
      <c r="D483" s="209">
        <v>10</v>
      </c>
      <c r="E483" s="209">
        <v>10000002</v>
      </c>
      <c r="F483" s="209">
        <v>20000340</v>
      </c>
      <c r="G483" s="209" t="s">
        <v>117</v>
      </c>
      <c r="H483" s="209">
        <v>20000340</v>
      </c>
      <c r="I483" s="209">
        <v>2</v>
      </c>
      <c r="J483" s="209" t="s">
        <v>169</v>
      </c>
      <c r="K483" s="209" t="s">
        <v>897</v>
      </c>
      <c r="L483" s="209" t="s">
        <v>171</v>
      </c>
      <c r="M483" s="209" t="s">
        <v>172</v>
      </c>
      <c r="N483" s="209">
        <v>50029817</v>
      </c>
      <c r="O483" s="209" t="s">
        <v>396</v>
      </c>
      <c r="P483" s="209">
        <v>5101</v>
      </c>
      <c r="Q483" s="209" t="s">
        <v>186</v>
      </c>
      <c r="R483" s="209" t="s">
        <v>175</v>
      </c>
      <c r="S483" s="209" t="s">
        <v>176</v>
      </c>
      <c r="T483" s="209" t="s">
        <v>187</v>
      </c>
      <c r="U483" s="209" t="s">
        <v>188</v>
      </c>
      <c r="V483" s="209" t="s">
        <v>179</v>
      </c>
      <c r="W483" s="209" t="s">
        <v>179</v>
      </c>
      <c r="X483" s="209" t="s">
        <v>180</v>
      </c>
      <c r="Y483" s="209" t="s">
        <v>180</v>
      </c>
      <c r="Z483" s="209" t="s">
        <v>898</v>
      </c>
      <c r="AA483" s="209" t="s">
        <v>899</v>
      </c>
      <c r="AB483" s="209" t="s">
        <v>180</v>
      </c>
      <c r="AC483" s="209" t="s">
        <v>182</v>
      </c>
      <c r="AD483" s="209">
        <v>1</v>
      </c>
      <c r="AE483" s="209">
        <v>2025</v>
      </c>
      <c r="AF483" s="227">
        <v>45681</v>
      </c>
      <c r="AG483" s="227">
        <v>45684</v>
      </c>
      <c r="AH483" s="227">
        <v>45684</v>
      </c>
      <c r="AI483" s="228">
        <v>606528</v>
      </c>
      <c r="AJ483" s="228">
        <v>52</v>
      </c>
      <c r="AK483" s="228">
        <v>606528</v>
      </c>
      <c r="AL483" s="228">
        <v>52</v>
      </c>
      <c r="AM483" s="228">
        <v>0</v>
      </c>
      <c r="AN483" s="228">
        <v>0</v>
      </c>
      <c r="AO483" s="229">
        <v>5</v>
      </c>
      <c r="AP483" s="231">
        <v>1</v>
      </c>
      <c r="AQ483" s="231">
        <v>2025</v>
      </c>
      <c r="AR483" s="231" t="str">
        <f t="shared" si="65"/>
        <v>01/2025</v>
      </c>
      <c r="AS483" s="231">
        <f t="shared" si="66"/>
        <v>30</v>
      </c>
      <c r="AT483" s="239">
        <f>IF(G483="CERVECERIA Y MALTERIA",(AS483*AK483/1000000)*(1-VLOOKUP(N483,FCST!D:I,6,FALSE)),0)</f>
        <v>0</v>
      </c>
      <c r="AU483" s="232">
        <v>5.0000000000000001E-3</v>
      </c>
      <c r="AV483" s="239">
        <f t="shared" si="67"/>
        <v>0</v>
      </c>
      <c r="AW483" s="239">
        <f>(AS483*AK483/1000000)*(VLOOKUP(N483,FCST!D:I,6,FALSE))</f>
        <v>5.4587519999999996</v>
      </c>
      <c r="AX483" s="239">
        <f t="shared" si="68"/>
        <v>5.4860457599999988</v>
      </c>
      <c r="AY483" s="239">
        <f>IF($G483="CERVECERIA Y MALTERIA.",($AS483*$AK483/1000000)*(1-VLOOKUP($N483,FCST!D:I,6,FALSE)),0)</f>
        <v>12.737088</v>
      </c>
      <c r="AZ483" s="239">
        <f t="shared" si="69"/>
        <v>12.800773439999999</v>
      </c>
    </row>
    <row r="484" spans="1:52" x14ac:dyDescent="0.25">
      <c r="A484" s="209">
        <v>1097592</v>
      </c>
      <c r="B484" s="209">
        <v>10</v>
      </c>
      <c r="C484" s="209" t="s">
        <v>900</v>
      </c>
      <c r="D484" s="209">
        <v>10</v>
      </c>
      <c r="E484" s="209">
        <v>10000002</v>
      </c>
      <c r="F484" s="209">
        <v>20000335</v>
      </c>
      <c r="G484" s="209" t="s">
        <v>105</v>
      </c>
      <c r="H484" s="209">
        <v>20000335</v>
      </c>
      <c r="I484" s="209">
        <v>2</v>
      </c>
      <c r="J484" s="209" t="s">
        <v>169</v>
      </c>
      <c r="K484" s="209" t="s">
        <v>901</v>
      </c>
      <c r="L484" s="209" t="s">
        <v>171</v>
      </c>
      <c r="M484" s="209" t="s">
        <v>172</v>
      </c>
      <c r="N484" s="209">
        <v>50035184</v>
      </c>
      <c r="O484" s="209" t="s">
        <v>672</v>
      </c>
      <c r="P484" s="209">
        <v>5121</v>
      </c>
      <c r="Q484" s="209" t="s">
        <v>174</v>
      </c>
      <c r="R484" s="209" t="s">
        <v>175</v>
      </c>
      <c r="S484" s="209" t="s">
        <v>176</v>
      </c>
      <c r="T484" s="209" t="s">
        <v>177</v>
      </c>
      <c r="U484" s="209" t="s">
        <v>178</v>
      </c>
      <c r="V484" s="209" t="s">
        <v>179</v>
      </c>
      <c r="W484" s="209" t="s">
        <v>179</v>
      </c>
      <c r="X484" s="209" t="s">
        <v>180</v>
      </c>
      <c r="Y484" s="209" t="s">
        <v>180</v>
      </c>
      <c r="Z484" s="209" t="s">
        <v>902</v>
      </c>
      <c r="AA484" s="209" t="s">
        <v>903</v>
      </c>
      <c r="AB484" s="209" t="s">
        <v>180</v>
      </c>
      <c r="AC484" s="209" t="s">
        <v>182</v>
      </c>
      <c r="AD484" s="209">
        <v>1</v>
      </c>
      <c r="AE484" s="209">
        <v>2025</v>
      </c>
      <c r="AF484" s="227">
        <v>45681</v>
      </c>
      <c r="AG484" s="227">
        <v>45684</v>
      </c>
      <c r="AH484" s="227">
        <v>45684</v>
      </c>
      <c r="AI484" s="228">
        <v>977184</v>
      </c>
      <c r="AJ484" s="228">
        <v>52</v>
      </c>
      <c r="AK484" s="228">
        <v>977184</v>
      </c>
      <c r="AL484" s="228">
        <v>52</v>
      </c>
      <c r="AM484" s="228">
        <v>0</v>
      </c>
      <c r="AN484" s="228">
        <v>0</v>
      </c>
      <c r="AO484" s="229">
        <v>5</v>
      </c>
      <c r="AP484" s="231">
        <v>1</v>
      </c>
      <c r="AQ484" s="231">
        <v>2025</v>
      </c>
      <c r="AR484" s="231" t="str">
        <f t="shared" si="65"/>
        <v>01/2025</v>
      </c>
      <c r="AS484" s="231">
        <f t="shared" si="66"/>
        <v>19.5</v>
      </c>
      <c r="AT484" s="239">
        <f>IF(G484="CERVECERIA Y MALTERIA",(AS484*AK484/1000000)*(1-VLOOKUP(N484,FCST!D:I,6,FALSE)),0)</f>
        <v>19.055088000000001</v>
      </c>
      <c r="AU484" s="232">
        <v>5.0000000000000001E-3</v>
      </c>
      <c r="AV484" s="239">
        <f t="shared" si="67"/>
        <v>19.15036344</v>
      </c>
      <c r="AW484" s="239">
        <f>(AS484*AK484/1000000)*(VLOOKUP(N484,FCST!D:I,6,FALSE))</f>
        <v>0</v>
      </c>
      <c r="AX484" s="239">
        <f t="shared" si="68"/>
        <v>0</v>
      </c>
      <c r="AY484" s="239">
        <f>IF($G484="CERVECERIA Y MALTERIA.",($AS484*$AK484/1000000)*(1-VLOOKUP($N484,FCST!D:I,6,FALSE)),0)</f>
        <v>0</v>
      </c>
      <c r="AZ484" s="239">
        <f t="shared" si="69"/>
        <v>0</v>
      </c>
    </row>
    <row r="485" spans="1:52" x14ac:dyDescent="0.25">
      <c r="A485" s="209">
        <v>1096382</v>
      </c>
      <c r="B485" s="209">
        <v>40</v>
      </c>
      <c r="C485" s="209" t="s">
        <v>904</v>
      </c>
      <c r="D485" s="209">
        <v>10</v>
      </c>
      <c r="E485" s="209">
        <v>10000002</v>
      </c>
      <c r="F485" s="209">
        <v>20000335</v>
      </c>
      <c r="G485" s="209" t="s">
        <v>105</v>
      </c>
      <c r="H485" s="209">
        <v>20000335</v>
      </c>
      <c r="I485" s="209">
        <v>2</v>
      </c>
      <c r="J485" s="209" t="s">
        <v>169</v>
      </c>
      <c r="K485" s="209" t="s">
        <v>905</v>
      </c>
      <c r="L485" s="209" t="s">
        <v>171</v>
      </c>
      <c r="M485" s="209" t="s">
        <v>184</v>
      </c>
      <c r="N485" s="209">
        <v>50037887</v>
      </c>
      <c r="O485" s="209" t="s">
        <v>679</v>
      </c>
      <c r="P485" s="209">
        <v>5121</v>
      </c>
      <c r="Q485" s="209" t="s">
        <v>174</v>
      </c>
      <c r="R485" s="209" t="s">
        <v>175</v>
      </c>
      <c r="S485" s="209" t="s">
        <v>176</v>
      </c>
      <c r="T485" s="209" t="s">
        <v>177</v>
      </c>
      <c r="U485" s="209" t="s">
        <v>178</v>
      </c>
      <c r="V485" s="209" t="s">
        <v>179</v>
      </c>
      <c r="W485" s="209" t="s">
        <v>179</v>
      </c>
      <c r="X485" s="209" t="s">
        <v>180</v>
      </c>
      <c r="Y485" s="209" t="s">
        <v>180</v>
      </c>
      <c r="Z485" s="209" t="s">
        <v>906</v>
      </c>
      <c r="AA485" s="209" t="s">
        <v>907</v>
      </c>
      <c r="AB485" s="209" t="s">
        <v>180</v>
      </c>
      <c r="AC485" s="209" t="s">
        <v>182</v>
      </c>
      <c r="AD485" s="209">
        <v>1</v>
      </c>
      <c r="AE485" s="209">
        <v>2025</v>
      </c>
      <c r="AF485" s="227">
        <v>45674</v>
      </c>
      <c r="AG485" s="227">
        <v>45678</v>
      </c>
      <c r="AH485" s="227">
        <v>45679</v>
      </c>
      <c r="AI485" s="228">
        <v>531648</v>
      </c>
      <c r="AJ485" s="228">
        <v>52</v>
      </c>
      <c r="AK485" s="228">
        <v>531648</v>
      </c>
      <c r="AL485" s="228">
        <v>52</v>
      </c>
      <c r="AM485" s="228">
        <v>0</v>
      </c>
      <c r="AN485" s="228">
        <v>0</v>
      </c>
      <c r="AO485" s="229">
        <v>4</v>
      </c>
      <c r="AP485" s="231">
        <v>1</v>
      </c>
      <c r="AQ485" s="231">
        <v>2025</v>
      </c>
      <c r="AR485" s="231" t="str">
        <f t="shared" si="65"/>
        <v>01/2025</v>
      </c>
      <c r="AS485" s="231">
        <f t="shared" si="66"/>
        <v>37.200000000000003</v>
      </c>
      <c r="AT485" s="239">
        <f>IF(G485="CERVECERIA Y MALTERIA",(AS485*AK485/1000000)*(1-VLOOKUP(N485,FCST!D:I,6,FALSE)),0)</f>
        <v>19.777305600000002</v>
      </c>
      <c r="AU485" s="232">
        <v>5.0000000000000001E-3</v>
      </c>
      <c r="AV485" s="239">
        <f t="shared" si="67"/>
        <v>19.876192128</v>
      </c>
      <c r="AW485" s="239">
        <f>(AS485*AK485/1000000)*(VLOOKUP(N485,FCST!D:I,6,FALSE))</f>
        <v>0</v>
      </c>
      <c r="AX485" s="239">
        <f t="shared" si="68"/>
        <v>0</v>
      </c>
      <c r="AY485" s="239">
        <f>IF($G485="CERVECERIA Y MALTERIA.",($AS485*$AK485/1000000)*(1-VLOOKUP($N485,FCST!D:I,6,FALSE)),0)</f>
        <v>0</v>
      </c>
      <c r="AZ485" s="239">
        <f t="shared" si="69"/>
        <v>0</v>
      </c>
    </row>
    <row r="486" spans="1:52" x14ac:dyDescent="0.25">
      <c r="A486" s="209">
        <v>1094003</v>
      </c>
      <c r="B486" s="209">
        <v>80</v>
      </c>
      <c r="C486" s="209" t="s">
        <v>908</v>
      </c>
      <c r="D486" s="209">
        <v>10</v>
      </c>
      <c r="E486" s="209">
        <v>10000002</v>
      </c>
      <c r="F486" s="209">
        <v>20000337</v>
      </c>
      <c r="G486" s="209" t="s">
        <v>105</v>
      </c>
      <c r="H486" s="209">
        <v>20000337</v>
      </c>
      <c r="I486" s="209">
        <v>2</v>
      </c>
      <c r="J486" s="209" t="s">
        <v>169</v>
      </c>
      <c r="K486" s="209" t="s">
        <v>909</v>
      </c>
      <c r="L486" s="209" t="s">
        <v>265</v>
      </c>
      <c r="M486" s="209" t="s">
        <v>199</v>
      </c>
      <c r="N486" s="209">
        <v>50035183</v>
      </c>
      <c r="O486" s="209" t="s">
        <v>215</v>
      </c>
      <c r="P486" s="209">
        <v>5121</v>
      </c>
      <c r="Q486" s="209" t="s">
        <v>200</v>
      </c>
      <c r="R486" s="209" t="s">
        <v>201</v>
      </c>
      <c r="S486" s="209" t="s">
        <v>202</v>
      </c>
      <c r="T486" s="209" t="s">
        <v>203</v>
      </c>
      <c r="U486" s="209" t="s">
        <v>201</v>
      </c>
      <c r="V486" s="209" t="s">
        <v>179</v>
      </c>
      <c r="W486" s="209" t="s">
        <v>179</v>
      </c>
      <c r="X486" s="209" t="s">
        <v>180</v>
      </c>
      <c r="Y486" s="209" t="s">
        <v>180</v>
      </c>
      <c r="Z486" s="209" t="s">
        <v>910</v>
      </c>
      <c r="AA486" s="209" t="s">
        <v>911</v>
      </c>
      <c r="AB486" s="209" t="s">
        <v>180</v>
      </c>
      <c r="AC486" s="209" t="s">
        <v>182</v>
      </c>
      <c r="AD486" s="209">
        <v>1</v>
      </c>
      <c r="AE486" s="209">
        <v>2025</v>
      </c>
      <c r="AF486" s="227">
        <v>45663</v>
      </c>
      <c r="AG486" s="227">
        <v>45679</v>
      </c>
      <c r="AH486" s="227">
        <v>45679</v>
      </c>
      <c r="AI486" s="228">
        <v>426816</v>
      </c>
      <c r="AJ486" s="228">
        <v>52</v>
      </c>
      <c r="AK486" s="228">
        <v>426816</v>
      </c>
      <c r="AL486" s="228">
        <v>52</v>
      </c>
      <c r="AM486" s="228">
        <v>0</v>
      </c>
      <c r="AN486" s="228">
        <v>0</v>
      </c>
      <c r="AO486" s="229">
        <v>2</v>
      </c>
      <c r="AP486" s="231">
        <v>1</v>
      </c>
      <c r="AQ486" s="231">
        <v>2025</v>
      </c>
      <c r="AR486" s="231" t="str">
        <f t="shared" si="65"/>
        <v>01/2025</v>
      </c>
      <c r="AS486" s="231">
        <f t="shared" si="66"/>
        <v>46.6</v>
      </c>
      <c r="AT486" s="239">
        <f>IF(G486="CERVECERIA Y MALTERIA",(AS486*AK486/1000000)*(1-VLOOKUP(N486,FCST!D:I,6,FALSE)),0)</f>
        <v>19.889625600000002</v>
      </c>
      <c r="AU486" s="232">
        <v>5.0000000000000001E-3</v>
      </c>
      <c r="AV486" s="239">
        <f t="shared" si="67"/>
        <v>19.989073728000001</v>
      </c>
      <c r="AW486" s="239">
        <f>(AS486*AK486/1000000)*(VLOOKUP(N486,FCST!D:I,6,FALSE))</f>
        <v>0</v>
      </c>
      <c r="AX486" s="239">
        <f t="shared" si="68"/>
        <v>0</v>
      </c>
      <c r="AY486" s="239">
        <f>IF($G486="CERVECERIA Y MALTERIA.",($AS486*$AK486/1000000)*(1-VLOOKUP($N486,FCST!D:I,6,FALSE)),0)</f>
        <v>0</v>
      </c>
      <c r="AZ486" s="239">
        <f t="shared" si="69"/>
        <v>0</v>
      </c>
    </row>
    <row r="487" spans="1:52" x14ac:dyDescent="0.25">
      <c r="A487" s="209">
        <v>1096382</v>
      </c>
      <c r="B487" s="209">
        <v>80</v>
      </c>
      <c r="C487" s="209" t="s">
        <v>912</v>
      </c>
      <c r="D487" s="209">
        <v>10</v>
      </c>
      <c r="E487" s="209">
        <v>10000002</v>
      </c>
      <c r="F487" s="209">
        <v>20000335</v>
      </c>
      <c r="G487" s="209" t="s">
        <v>105</v>
      </c>
      <c r="H487" s="209">
        <v>20000335</v>
      </c>
      <c r="I487" s="209">
        <v>2</v>
      </c>
      <c r="J487" s="209" t="s">
        <v>169</v>
      </c>
      <c r="K487" s="209" t="s">
        <v>913</v>
      </c>
      <c r="L487" s="209" t="s">
        <v>171</v>
      </c>
      <c r="M487" s="209" t="s">
        <v>199</v>
      </c>
      <c r="N487" s="209">
        <v>50034616</v>
      </c>
      <c r="O487" s="209" t="s">
        <v>191</v>
      </c>
      <c r="P487" s="209">
        <v>5121</v>
      </c>
      <c r="Q487" s="209" t="s">
        <v>200</v>
      </c>
      <c r="R487" s="209" t="s">
        <v>201</v>
      </c>
      <c r="S487" s="209" t="s">
        <v>202</v>
      </c>
      <c r="T487" s="209" t="s">
        <v>203</v>
      </c>
      <c r="U487" s="209" t="s">
        <v>201</v>
      </c>
      <c r="V487" s="209" t="s">
        <v>179</v>
      </c>
      <c r="W487" s="209" t="s">
        <v>179</v>
      </c>
      <c r="X487" s="209" t="s">
        <v>180</v>
      </c>
      <c r="Y487" s="209" t="s">
        <v>180</v>
      </c>
      <c r="Z487" s="209" t="s">
        <v>914</v>
      </c>
      <c r="AA487" s="209" t="s">
        <v>915</v>
      </c>
      <c r="AB487" s="209" t="s">
        <v>180</v>
      </c>
      <c r="AC487" s="209" t="s">
        <v>182</v>
      </c>
      <c r="AD487" s="209">
        <v>1</v>
      </c>
      <c r="AE487" s="209">
        <v>2025</v>
      </c>
      <c r="AF487" s="227">
        <v>45674</v>
      </c>
      <c r="AG487" s="227">
        <v>45679</v>
      </c>
      <c r="AH487" s="227">
        <v>45679</v>
      </c>
      <c r="AI487" s="228">
        <v>426816</v>
      </c>
      <c r="AJ487" s="228">
        <v>52</v>
      </c>
      <c r="AK487" s="228">
        <v>426816</v>
      </c>
      <c r="AL487" s="228">
        <v>52</v>
      </c>
      <c r="AM487" s="228">
        <v>0</v>
      </c>
      <c r="AN487" s="228">
        <v>0</v>
      </c>
      <c r="AO487" s="229">
        <v>4</v>
      </c>
      <c r="AP487" s="231">
        <v>1</v>
      </c>
      <c r="AQ487" s="231">
        <v>2025</v>
      </c>
      <c r="AR487" s="231" t="str">
        <f t="shared" si="65"/>
        <v>01/2025</v>
      </c>
      <c r="AS487" s="231">
        <f t="shared" si="66"/>
        <v>46.6</v>
      </c>
      <c r="AT487" s="239">
        <f>IF(G487="CERVECERIA Y MALTERIA",(AS487*AK487/1000000)*(1-VLOOKUP(N487,FCST!D:I,6,FALSE)),0)</f>
        <v>19.889625600000002</v>
      </c>
      <c r="AU487" s="232">
        <v>5.0000000000000001E-3</v>
      </c>
      <c r="AV487" s="239">
        <f t="shared" si="67"/>
        <v>19.989073728000001</v>
      </c>
      <c r="AW487" s="239">
        <f>(AS487*AK487/1000000)*(VLOOKUP(N487,FCST!D:I,6,FALSE))</f>
        <v>0</v>
      </c>
      <c r="AX487" s="239">
        <f t="shared" si="68"/>
        <v>0</v>
      </c>
      <c r="AY487" s="239">
        <f>IF($G487="CERVECERIA Y MALTERIA.",($AS487*$AK487/1000000)*(1-VLOOKUP($N487,FCST!D:I,6,FALSE)),0)</f>
        <v>0</v>
      </c>
      <c r="AZ487" s="239">
        <f t="shared" si="69"/>
        <v>0</v>
      </c>
    </row>
    <row r="488" spans="1:52" x14ac:dyDescent="0.25">
      <c r="A488" s="209">
        <v>1096385</v>
      </c>
      <c r="B488" s="209">
        <v>40</v>
      </c>
      <c r="C488" s="209" t="s">
        <v>916</v>
      </c>
      <c r="D488" s="209">
        <v>10</v>
      </c>
      <c r="E488" s="209">
        <v>10000002</v>
      </c>
      <c r="F488" s="209">
        <v>20000340</v>
      </c>
      <c r="G488" s="209" t="s">
        <v>117</v>
      </c>
      <c r="H488" s="209">
        <v>20000340</v>
      </c>
      <c r="I488" s="209">
        <v>2</v>
      </c>
      <c r="J488" s="209" t="s">
        <v>169</v>
      </c>
      <c r="K488" s="209" t="s">
        <v>917</v>
      </c>
      <c r="L488" s="209" t="s">
        <v>171</v>
      </c>
      <c r="M488" s="209" t="s">
        <v>172</v>
      </c>
      <c r="N488" s="209">
        <v>50036718</v>
      </c>
      <c r="O488" s="209" t="s">
        <v>259</v>
      </c>
      <c r="P488" s="209">
        <v>5101</v>
      </c>
      <c r="Q488" s="209" t="s">
        <v>186</v>
      </c>
      <c r="R488" s="209" t="s">
        <v>175</v>
      </c>
      <c r="S488" s="209" t="s">
        <v>176</v>
      </c>
      <c r="T488" s="209" t="s">
        <v>187</v>
      </c>
      <c r="U488" s="209" t="s">
        <v>188</v>
      </c>
      <c r="V488" s="209" t="s">
        <v>179</v>
      </c>
      <c r="W488" s="209" t="s">
        <v>179</v>
      </c>
      <c r="X488" s="209" t="s">
        <v>180</v>
      </c>
      <c r="Y488" s="209" t="s">
        <v>180</v>
      </c>
      <c r="Z488" s="209" t="s">
        <v>918</v>
      </c>
      <c r="AA488" s="209" t="s">
        <v>919</v>
      </c>
      <c r="AB488" s="209" t="s">
        <v>180</v>
      </c>
      <c r="AC488" s="209" t="s">
        <v>182</v>
      </c>
      <c r="AD488" s="209">
        <v>1</v>
      </c>
      <c r="AE488" s="209">
        <v>2025</v>
      </c>
      <c r="AF488" s="227">
        <v>45674</v>
      </c>
      <c r="AG488" s="227">
        <v>45679</v>
      </c>
      <c r="AH488" s="227">
        <v>45679</v>
      </c>
      <c r="AI488" s="228">
        <v>519168</v>
      </c>
      <c r="AJ488" s="228">
        <v>52</v>
      </c>
      <c r="AK488" s="228">
        <v>519168</v>
      </c>
      <c r="AL488" s="228">
        <v>52</v>
      </c>
      <c r="AM488" s="228">
        <v>0</v>
      </c>
      <c r="AN488" s="228">
        <v>0</v>
      </c>
      <c r="AO488" s="229">
        <v>4</v>
      </c>
      <c r="AP488" s="231">
        <v>1</v>
      </c>
      <c r="AQ488" s="231">
        <v>2025</v>
      </c>
      <c r="AR488" s="231" t="str">
        <f t="shared" si="65"/>
        <v>01/2025</v>
      </c>
      <c r="AS488" s="231">
        <f t="shared" si="66"/>
        <v>34</v>
      </c>
      <c r="AT488" s="239">
        <f>IF(G488="CERVECERIA Y MALTERIA",(AS488*AK488/1000000)*(1-VLOOKUP(N488,FCST!D:I,6,FALSE)),0)</f>
        <v>0</v>
      </c>
      <c r="AU488" s="232">
        <v>5.0000000000000001E-3</v>
      </c>
      <c r="AV488" s="239">
        <f t="shared" si="67"/>
        <v>0</v>
      </c>
      <c r="AW488" s="239">
        <f>(AS488*AK488/1000000)*(VLOOKUP(N488,FCST!D:I,6,FALSE))</f>
        <v>0</v>
      </c>
      <c r="AX488" s="239">
        <f t="shared" si="68"/>
        <v>0</v>
      </c>
      <c r="AY488" s="239">
        <f>IF($G488="CERVECERIA Y MALTERIA.",($AS488*$AK488/1000000)*(1-VLOOKUP($N488,FCST!D:I,6,FALSE)),0)</f>
        <v>17.651712</v>
      </c>
      <c r="AZ488" s="239">
        <f t="shared" si="69"/>
        <v>17.73997056</v>
      </c>
    </row>
    <row r="489" spans="1:52" x14ac:dyDescent="0.25">
      <c r="A489" s="209">
        <v>1096382</v>
      </c>
      <c r="B489" s="209">
        <v>90</v>
      </c>
      <c r="C489" s="209" t="s">
        <v>920</v>
      </c>
      <c r="D489" s="209">
        <v>10</v>
      </c>
      <c r="E489" s="209">
        <v>10000002</v>
      </c>
      <c r="F489" s="209">
        <v>20000335</v>
      </c>
      <c r="G489" s="209" t="s">
        <v>105</v>
      </c>
      <c r="H489" s="209">
        <v>20000335</v>
      </c>
      <c r="I489" s="209">
        <v>2</v>
      </c>
      <c r="J489" s="209" t="s">
        <v>169</v>
      </c>
      <c r="K489" s="209" t="s">
        <v>921</v>
      </c>
      <c r="L489" s="209" t="s">
        <v>171</v>
      </c>
      <c r="M489" s="209" t="s">
        <v>199</v>
      </c>
      <c r="N489" s="209">
        <v>50034616</v>
      </c>
      <c r="O489" s="209" t="s">
        <v>191</v>
      </c>
      <c r="P489" s="209">
        <v>5121</v>
      </c>
      <c r="Q489" s="209" t="s">
        <v>200</v>
      </c>
      <c r="R489" s="209" t="s">
        <v>201</v>
      </c>
      <c r="S489" s="209" t="s">
        <v>202</v>
      </c>
      <c r="T489" s="209" t="s">
        <v>203</v>
      </c>
      <c r="U489" s="209" t="s">
        <v>201</v>
      </c>
      <c r="V489" s="209" t="s">
        <v>179</v>
      </c>
      <c r="W489" s="209" t="s">
        <v>179</v>
      </c>
      <c r="X489" s="209" t="s">
        <v>180</v>
      </c>
      <c r="Y489" s="209" t="s">
        <v>180</v>
      </c>
      <c r="Z489" s="209" t="s">
        <v>914</v>
      </c>
      <c r="AA489" s="209" t="s">
        <v>915</v>
      </c>
      <c r="AB489" s="209" t="s">
        <v>180</v>
      </c>
      <c r="AC489" s="209" t="s">
        <v>182</v>
      </c>
      <c r="AD489" s="209">
        <v>1</v>
      </c>
      <c r="AE489" s="209">
        <v>2025</v>
      </c>
      <c r="AF489" s="227">
        <v>45674</v>
      </c>
      <c r="AG489" s="227">
        <v>45679</v>
      </c>
      <c r="AH489" s="227">
        <v>45679</v>
      </c>
      <c r="AI489" s="228">
        <v>426816</v>
      </c>
      <c r="AJ489" s="228">
        <v>52</v>
      </c>
      <c r="AK489" s="228">
        <v>426816</v>
      </c>
      <c r="AL489" s="228">
        <v>52</v>
      </c>
      <c r="AM489" s="228">
        <v>0</v>
      </c>
      <c r="AN489" s="228">
        <v>0</v>
      </c>
      <c r="AO489" s="229">
        <v>4</v>
      </c>
      <c r="AP489" s="231">
        <v>1</v>
      </c>
      <c r="AQ489" s="231">
        <v>2025</v>
      </c>
      <c r="AR489" s="231" t="str">
        <f t="shared" si="65"/>
        <v>01/2025</v>
      </c>
      <c r="AS489" s="231">
        <f t="shared" si="66"/>
        <v>46.6</v>
      </c>
      <c r="AT489" s="239">
        <f>IF(G489="CERVECERIA Y MALTERIA",(AS489*AK489/1000000)*(1-VLOOKUP(N489,FCST!D:I,6,FALSE)),0)</f>
        <v>19.889625600000002</v>
      </c>
      <c r="AU489" s="232">
        <v>5.0000000000000001E-3</v>
      </c>
      <c r="AV489" s="239">
        <f t="shared" si="67"/>
        <v>19.989073728000001</v>
      </c>
      <c r="AW489" s="239">
        <f>(AS489*AK489/1000000)*(VLOOKUP(N489,FCST!D:I,6,FALSE))</f>
        <v>0</v>
      </c>
      <c r="AX489" s="239">
        <f t="shared" si="68"/>
        <v>0</v>
      </c>
      <c r="AY489" s="239">
        <f>IF($G489="CERVECERIA Y MALTERIA.",($AS489*$AK489/1000000)*(1-VLOOKUP($N489,FCST!D:I,6,FALSE)),0)</f>
        <v>0</v>
      </c>
      <c r="AZ489" s="239">
        <f t="shared" si="69"/>
        <v>0</v>
      </c>
    </row>
    <row r="490" spans="1:52" x14ac:dyDescent="0.25">
      <c r="A490" s="209">
        <v>1096382</v>
      </c>
      <c r="B490" s="209">
        <v>60</v>
      </c>
      <c r="C490" s="209" t="s">
        <v>922</v>
      </c>
      <c r="D490" s="209">
        <v>10</v>
      </c>
      <c r="E490" s="209">
        <v>10000002</v>
      </c>
      <c r="F490" s="209">
        <v>20000335</v>
      </c>
      <c r="G490" s="209" t="s">
        <v>105</v>
      </c>
      <c r="H490" s="209">
        <v>20000335</v>
      </c>
      <c r="I490" s="209">
        <v>2</v>
      </c>
      <c r="J490" s="209" t="s">
        <v>169</v>
      </c>
      <c r="K490" s="209" t="s">
        <v>923</v>
      </c>
      <c r="L490" s="209" t="s">
        <v>171</v>
      </c>
      <c r="M490" s="209" t="s">
        <v>199</v>
      </c>
      <c r="N490" s="209">
        <v>50034616</v>
      </c>
      <c r="O490" s="209" t="s">
        <v>191</v>
      </c>
      <c r="P490" s="209">
        <v>5121</v>
      </c>
      <c r="Q490" s="209" t="s">
        <v>200</v>
      </c>
      <c r="R490" s="209" t="s">
        <v>201</v>
      </c>
      <c r="S490" s="209" t="s">
        <v>202</v>
      </c>
      <c r="T490" s="209" t="s">
        <v>203</v>
      </c>
      <c r="U490" s="209" t="s">
        <v>201</v>
      </c>
      <c r="V490" s="209" t="s">
        <v>179</v>
      </c>
      <c r="W490" s="209" t="s">
        <v>179</v>
      </c>
      <c r="X490" s="209" t="s">
        <v>180</v>
      </c>
      <c r="Y490" s="209" t="s">
        <v>180</v>
      </c>
      <c r="Z490" s="209" t="s">
        <v>924</v>
      </c>
      <c r="AA490" s="209" t="s">
        <v>925</v>
      </c>
      <c r="AB490" s="209" t="s">
        <v>180</v>
      </c>
      <c r="AC490" s="209" t="s">
        <v>182</v>
      </c>
      <c r="AD490" s="209">
        <v>1</v>
      </c>
      <c r="AE490" s="209">
        <v>2025</v>
      </c>
      <c r="AF490" s="227">
        <v>45674</v>
      </c>
      <c r="AG490" s="227">
        <v>45678</v>
      </c>
      <c r="AH490" s="227">
        <v>45678</v>
      </c>
      <c r="AI490" s="228">
        <v>426816</v>
      </c>
      <c r="AJ490" s="228">
        <v>52</v>
      </c>
      <c r="AK490" s="228">
        <v>426816</v>
      </c>
      <c r="AL490" s="228">
        <v>52</v>
      </c>
      <c r="AM490" s="228">
        <v>0</v>
      </c>
      <c r="AN490" s="228">
        <v>0</v>
      </c>
      <c r="AO490" s="229">
        <v>4</v>
      </c>
      <c r="AP490" s="231">
        <v>1</v>
      </c>
      <c r="AQ490" s="231">
        <v>2025</v>
      </c>
      <c r="AR490" s="231" t="str">
        <f t="shared" si="65"/>
        <v>01/2025</v>
      </c>
      <c r="AS490" s="231">
        <f t="shared" si="66"/>
        <v>46.6</v>
      </c>
      <c r="AT490" s="239">
        <f>IF(G490="CERVECERIA Y MALTERIA",(AS490*AK490/1000000)*(1-VLOOKUP(N490,FCST!D:I,6,FALSE)),0)</f>
        <v>19.889625600000002</v>
      </c>
      <c r="AU490" s="232">
        <v>5.0000000000000001E-3</v>
      </c>
      <c r="AV490" s="239">
        <f t="shared" si="67"/>
        <v>19.989073728000001</v>
      </c>
      <c r="AW490" s="239">
        <f>(AS490*AK490/1000000)*(VLOOKUP(N490,FCST!D:I,6,FALSE))</f>
        <v>0</v>
      </c>
      <c r="AX490" s="239">
        <f t="shared" si="68"/>
        <v>0</v>
      </c>
      <c r="AY490" s="239">
        <f>IF($G490="CERVECERIA Y MALTERIA.",($AS490*$AK490/1000000)*(1-VLOOKUP($N490,FCST!D:I,6,FALSE)),0)</f>
        <v>0</v>
      </c>
      <c r="AZ490" s="239">
        <f t="shared" si="69"/>
        <v>0</v>
      </c>
    </row>
    <row r="491" spans="1:52" x14ac:dyDescent="0.25">
      <c r="A491" s="209">
        <v>1093745</v>
      </c>
      <c r="B491" s="209">
        <v>90</v>
      </c>
      <c r="C491" s="209" t="s">
        <v>926</v>
      </c>
      <c r="D491" s="209">
        <v>10</v>
      </c>
      <c r="E491" s="209">
        <v>10000002</v>
      </c>
      <c r="F491" s="209">
        <v>20000336</v>
      </c>
      <c r="G491" s="209" t="s">
        <v>105</v>
      </c>
      <c r="H491" s="209">
        <v>20000336</v>
      </c>
      <c r="I491" s="209">
        <v>2</v>
      </c>
      <c r="J491" s="209" t="s">
        <v>169</v>
      </c>
      <c r="K491" s="209" t="s">
        <v>927</v>
      </c>
      <c r="L491" s="209" t="s">
        <v>265</v>
      </c>
      <c r="M491" s="209" t="s">
        <v>172</v>
      </c>
      <c r="N491" s="209">
        <v>50034634</v>
      </c>
      <c r="O491" s="209" t="s">
        <v>219</v>
      </c>
      <c r="P491" s="209">
        <v>5121</v>
      </c>
      <c r="Q491" s="209" t="s">
        <v>174</v>
      </c>
      <c r="R491" s="209" t="s">
        <v>175</v>
      </c>
      <c r="S491" s="209" t="s">
        <v>176</v>
      </c>
      <c r="T491" s="209" t="s">
        <v>177</v>
      </c>
      <c r="U491" s="209" t="s">
        <v>178</v>
      </c>
      <c r="V491" s="209" t="s">
        <v>179</v>
      </c>
      <c r="W491" s="209" t="s">
        <v>179</v>
      </c>
      <c r="X491" s="209" t="s">
        <v>180</v>
      </c>
      <c r="Y491" s="209" t="s">
        <v>180</v>
      </c>
      <c r="Z491" s="209" t="s">
        <v>928</v>
      </c>
      <c r="AA491" s="209" t="s">
        <v>929</v>
      </c>
      <c r="AB491" s="209" t="s">
        <v>180</v>
      </c>
      <c r="AC491" s="209" t="s">
        <v>182</v>
      </c>
      <c r="AD491" s="209">
        <v>1</v>
      </c>
      <c r="AE491" s="209">
        <v>2025</v>
      </c>
      <c r="AF491" s="227">
        <v>45660</v>
      </c>
      <c r="AG491" s="227">
        <v>45678</v>
      </c>
      <c r="AH491" s="227">
        <v>45678</v>
      </c>
      <c r="AI491" s="228">
        <v>364416</v>
      </c>
      <c r="AJ491" s="228">
        <v>52</v>
      </c>
      <c r="AK491" s="228">
        <v>364416</v>
      </c>
      <c r="AL491" s="228">
        <v>52</v>
      </c>
      <c r="AM491" s="228">
        <v>0</v>
      </c>
      <c r="AN491" s="228">
        <v>0</v>
      </c>
      <c r="AO491" s="229">
        <v>1</v>
      </c>
      <c r="AP491" s="231">
        <v>1</v>
      </c>
      <c r="AQ491" s="231">
        <v>2025</v>
      </c>
      <c r="AR491" s="231" t="str">
        <f t="shared" si="65"/>
        <v>01/2025</v>
      </c>
      <c r="AS491" s="231">
        <f t="shared" si="66"/>
        <v>52</v>
      </c>
      <c r="AT491" s="239">
        <f>IF(G491="CERVECERIA Y MALTERIA",(AS491*AK491/1000000)*(1-VLOOKUP(N491,FCST!D:I,6,FALSE)),0)</f>
        <v>18.949632000000001</v>
      </c>
      <c r="AU491" s="232">
        <v>5.0000000000000001E-3</v>
      </c>
      <c r="AV491" s="239">
        <f t="shared" si="67"/>
        <v>19.044380159999999</v>
      </c>
      <c r="AW491" s="239">
        <f>(AS491*AK491/1000000)*(VLOOKUP(N491,FCST!D:I,6,FALSE))</f>
        <v>0</v>
      </c>
      <c r="AX491" s="239">
        <f t="shared" si="68"/>
        <v>0</v>
      </c>
      <c r="AY491" s="239">
        <f>IF($G491="CERVECERIA Y MALTERIA.",($AS491*$AK491/1000000)*(1-VLOOKUP($N491,FCST!D:I,6,FALSE)),0)</f>
        <v>0</v>
      </c>
      <c r="AZ491" s="239">
        <f t="shared" si="69"/>
        <v>0</v>
      </c>
    </row>
    <row r="492" spans="1:52" x14ac:dyDescent="0.25">
      <c r="A492" s="209">
        <v>1096382</v>
      </c>
      <c r="B492" s="209">
        <v>100</v>
      </c>
      <c r="C492" s="209" t="s">
        <v>930</v>
      </c>
      <c r="D492" s="209">
        <v>10</v>
      </c>
      <c r="E492" s="209">
        <v>10000002</v>
      </c>
      <c r="F492" s="209">
        <v>20000335</v>
      </c>
      <c r="G492" s="209" t="s">
        <v>105</v>
      </c>
      <c r="H492" s="209">
        <v>20000335</v>
      </c>
      <c r="I492" s="209">
        <v>2</v>
      </c>
      <c r="J492" s="209" t="s">
        <v>169</v>
      </c>
      <c r="K492" s="209" t="s">
        <v>931</v>
      </c>
      <c r="L492" s="209" t="s">
        <v>171</v>
      </c>
      <c r="M492" s="209" t="s">
        <v>184</v>
      </c>
      <c r="N492" s="209">
        <v>50035184</v>
      </c>
      <c r="O492" s="209" t="s">
        <v>672</v>
      </c>
      <c r="P492" s="209">
        <v>5121</v>
      </c>
      <c r="Q492" s="209" t="s">
        <v>174</v>
      </c>
      <c r="R492" s="209" t="s">
        <v>175</v>
      </c>
      <c r="S492" s="209" t="s">
        <v>176</v>
      </c>
      <c r="T492" s="209" t="s">
        <v>177</v>
      </c>
      <c r="U492" s="209" t="s">
        <v>178</v>
      </c>
      <c r="V492" s="209" t="s">
        <v>179</v>
      </c>
      <c r="W492" s="209" t="s">
        <v>179</v>
      </c>
      <c r="X492" s="209" t="s">
        <v>180</v>
      </c>
      <c r="Y492" s="209" t="s">
        <v>180</v>
      </c>
      <c r="Z492" s="209" t="s">
        <v>932</v>
      </c>
      <c r="AA492" s="209" t="s">
        <v>933</v>
      </c>
      <c r="AB492" s="209" t="s">
        <v>180</v>
      </c>
      <c r="AC492" s="209" t="s">
        <v>182</v>
      </c>
      <c r="AD492" s="209">
        <v>1</v>
      </c>
      <c r="AE492" s="209">
        <v>2025</v>
      </c>
      <c r="AF492" s="227">
        <v>45674</v>
      </c>
      <c r="AG492" s="227">
        <v>45680</v>
      </c>
      <c r="AH492" s="227">
        <v>45680</v>
      </c>
      <c r="AI492" s="228">
        <v>977184</v>
      </c>
      <c r="AJ492" s="228">
        <v>52</v>
      </c>
      <c r="AK492" s="228">
        <v>977184</v>
      </c>
      <c r="AL492" s="228">
        <v>52</v>
      </c>
      <c r="AM492" s="228">
        <v>0</v>
      </c>
      <c r="AN492" s="228">
        <v>0</v>
      </c>
      <c r="AO492" s="229">
        <v>4</v>
      </c>
      <c r="AP492" s="231">
        <v>1</v>
      </c>
      <c r="AQ492" s="231">
        <v>2025</v>
      </c>
      <c r="AR492" s="231" t="str">
        <f t="shared" si="65"/>
        <v>01/2025</v>
      </c>
      <c r="AS492" s="231">
        <f t="shared" si="66"/>
        <v>19.5</v>
      </c>
      <c r="AT492" s="239">
        <f>IF(G492="CERVECERIA Y MALTERIA",(AS492*AK492/1000000)*(1-VLOOKUP(N492,FCST!D:I,6,FALSE)),0)</f>
        <v>19.055088000000001</v>
      </c>
      <c r="AU492" s="232">
        <v>5.0000000000000001E-3</v>
      </c>
      <c r="AV492" s="239">
        <f t="shared" si="67"/>
        <v>19.15036344</v>
      </c>
      <c r="AW492" s="239">
        <f>(AS492*AK492/1000000)*(VLOOKUP(N492,FCST!D:I,6,FALSE))</f>
        <v>0</v>
      </c>
      <c r="AX492" s="239">
        <f t="shared" si="68"/>
        <v>0</v>
      </c>
      <c r="AY492" s="239">
        <f>IF($G492="CERVECERIA Y MALTERIA.",($AS492*$AK492/1000000)*(1-VLOOKUP($N492,FCST!D:I,6,FALSE)),0)</f>
        <v>0</v>
      </c>
      <c r="AZ492" s="239">
        <f t="shared" si="69"/>
        <v>0</v>
      </c>
    </row>
    <row r="493" spans="1:52" x14ac:dyDescent="0.25">
      <c r="A493" s="209">
        <v>1094003</v>
      </c>
      <c r="B493" s="209">
        <v>90</v>
      </c>
      <c r="C493" s="209" t="s">
        <v>934</v>
      </c>
      <c r="D493" s="209">
        <v>10</v>
      </c>
      <c r="E493" s="209">
        <v>10000002</v>
      </c>
      <c r="F493" s="209">
        <v>20000337</v>
      </c>
      <c r="G493" s="209" t="s">
        <v>105</v>
      </c>
      <c r="H493" s="209">
        <v>20000337</v>
      </c>
      <c r="I493" s="209">
        <v>2</v>
      </c>
      <c r="J493" s="209" t="s">
        <v>169</v>
      </c>
      <c r="K493" s="209" t="s">
        <v>935</v>
      </c>
      <c r="L493" s="209" t="s">
        <v>265</v>
      </c>
      <c r="M493" s="209" t="s">
        <v>199</v>
      </c>
      <c r="N493" s="209">
        <v>50032583</v>
      </c>
      <c r="O493" s="209" t="s">
        <v>205</v>
      </c>
      <c r="P493" s="209">
        <v>5121</v>
      </c>
      <c r="Q493" s="209" t="s">
        <v>200</v>
      </c>
      <c r="R493" s="209" t="s">
        <v>201</v>
      </c>
      <c r="S493" s="209" t="s">
        <v>202</v>
      </c>
      <c r="T493" s="209" t="s">
        <v>203</v>
      </c>
      <c r="U493" s="209" t="s">
        <v>201</v>
      </c>
      <c r="V493" s="209" t="s">
        <v>179</v>
      </c>
      <c r="W493" s="209" t="s">
        <v>179</v>
      </c>
      <c r="X493" s="209" t="s">
        <v>180</v>
      </c>
      <c r="Y493" s="209" t="s">
        <v>180</v>
      </c>
      <c r="Z493" s="209" t="s">
        <v>936</v>
      </c>
      <c r="AA493" s="209" t="s">
        <v>937</v>
      </c>
      <c r="AB493" s="209" t="s">
        <v>180</v>
      </c>
      <c r="AC493" s="209" t="s">
        <v>182</v>
      </c>
      <c r="AD493" s="209">
        <v>1</v>
      </c>
      <c r="AE493" s="209">
        <v>2025</v>
      </c>
      <c r="AF493" s="227">
        <v>45663</v>
      </c>
      <c r="AG493" s="227">
        <v>45681</v>
      </c>
      <c r="AH493" s="227">
        <v>45680</v>
      </c>
      <c r="AI493" s="228">
        <v>351936</v>
      </c>
      <c r="AJ493" s="228">
        <v>52</v>
      </c>
      <c r="AK493" s="228">
        <v>351936</v>
      </c>
      <c r="AL493" s="228">
        <v>52</v>
      </c>
      <c r="AM493" s="228">
        <v>0</v>
      </c>
      <c r="AN493" s="228">
        <v>0</v>
      </c>
      <c r="AO493" s="229">
        <v>2</v>
      </c>
      <c r="AP493" s="231">
        <v>1</v>
      </c>
      <c r="AQ493" s="231">
        <v>2025</v>
      </c>
      <c r="AR493" s="231" t="str">
        <f t="shared" si="65"/>
        <v>01/2025</v>
      </c>
      <c r="AS493" s="231">
        <f t="shared" si="66"/>
        <v>54.7</v>
      </c>
      <c r="AT493" s="239">
        <f>IF(G493="CERVECERIA Y MALTERIA",(AS493*AK493/1000000)*(1-VLOOKUP(N493,FCST!D:I,6,FALSE)),0)</f>
        <v>19.250899199999999</v>
      </c>
      <c r="AU493" s="232">
        <v>5.0000000000000001E-3</v>
      </c>
      <c r="AV493" s="239">
        <f t="shared" si="67"/>
        <v>19.347153695999996</v>
      </c>
      <c r="AW493" s="239">
        <f>(AS493*AK493/1000000)*(VLOOKUP(N493,FCST!D:I,6,FALSE))</f>
        <v>0</v>
      </c>
      <c r="AX493" s="239">
        <f t="shared" si="68"/>
        <v>0</v>
      </c>
      <c r="AY493" s="239">
        <f>IF($G493="CERVECERIA Y MALTERIA.",($AS493*$AK493/1000000)*(1-VLOOKUP($N493,FCST!D:I,6,FALSE)),0)</f>
        <v>0</v>
      </c>
      <c r="AZ493" s="239">
        <f t="shared" si="69"/>
        <v>0</v>
      </c>
    </row>
    <row r="494" spans="1:52" x14ac:dyDescent="0.25">
      <c r="A494" s="209">
        <v>1096382</v>
      </c>
      <c r="B494" s="209">
        <v>120</v>
      </c>
      <c r="C494" s="209" t="s">
        <v>938</v>
      </c>
      <c r="D494" s="209">
        <v>10</v>
      </c>
      <c r="E494" s="209">
        <v>10000002</v>
      </c>
      <c r="F494" s="209">
        <v>20000335</v>
      </c>
      <c r="G494" s="209" t="s">
        <v>105</v>
      </c>
      <c r="H494" s="209">
        <v>20000335</v>
      </c>
      <c r="I494" s="209">
        <v>2</v>
      </c>
      <c r="J494" s="209" t="s">
        <v>169</v>
      </c>
      <c r="K494" s="209" t="s">
        <v>939</v>
      </c>
      <c r="L494" s="209" t="s">
        <v>171</v>
      </c>
      <c r="M494" s="209" t="s">
        <v>199</v>
      </c>
      <c r="N494" s="209">
        <v>50034616</v>
      </c>
      <c r="O494" s="209" t="s">
        <v>191</v>
      </c>
      <c r="P494" s="209">
        <v>5121</v>
      </c>
      <c r="Q494" s="209" t="s">
        <v>200</v>
      </c>
      <c r="R494" s="209" t="s">
        <v>201</v>
      </c>
      <c r="S494" s="209" t="s">
        <v>202</v>
      </c>
      <c r="T494" s="209" t="s">
        <v>203</v>
      </c>
      <c r="U494" s="209" t="s">
        <v>201</v>
      </c>
      <c r="V494" s="209" t="s">
        <v>179</v>
      </c>
      <c r="W494" s="209" t="s">
        <v>179</v>
      </c>
      <c r="X494" s="209" t="s">
        <v>180</v>
      </c>
      <c r="Y494" s="209" t="s">
        <v>180</v>
      </c>
      <c r="Z494" s="209" t="s">
        <v>940</v>
      </c>
      <c r="AA494" s="209" t="s">
        <v>941</v>
      </c>
      <c r="AB494" s="209" t="s">
        <v>180</v>
      </c>
      <c r="AC494" s="209" t="s">
        <v>182</v>
      </c>
      <c r="AD494" s="209">
        <v>1</v>
      </c>
      <c r="AE494" s="209">
        <v>2025</v>
      </c>
      <c r="AF494" s="227">
        <v>45674</v>
      </c>
      <c r="AG494" s="227">
        <v>45680</v>
      </c>
      <c r="AH494" s="227">
        <v>45680</v>
      </c>
      <c r="AI494" s="228">
        <v>426816</v>
      </c>
      <c r="AJ494" s="228">
        <v>52</v>
      </c>
      <c r="AK494" s="228">
        <v>426816</v>
      </c>
      <c r="AL494" s="228">
        <v>52</v>
      </c>
      <c r="AM494" s="228">
        <v>0</v>
      </c>
      <c r="AN494" s="228">
        <v>0</v>
      </c>
      <c r="AO494" s="229">
        <v>4</v>
      </c>
      <c r="AP494" s="231">
        <v>1</v>
      </c>
      <c r="AQ494" s="231">
        <v>2025</v>
      </c>
      <c r="AR494" s="231" t="str">
        <f t="shared" si="65"/>
        <v>01/2025</v>
      </c>
      <c r="AS494" s="231">
        <f t="shared" si="66"/>
        <v>46.6</v>
      </c>
      <c r="AT494" s="239">
        <f>IF(G494="CERVECERIA Y MALTERIA",(AS494*AK494/1000000)*(1-VLOOKUP(N494,FCST!D:I,6,FALSE)),0)</f>
        <v>19.889625600000002</v>
      </c>
      <c r="AU494" s="232">
        <v>5.0000000000000001E-3</v>
      </c>
      <c r="AV494" s="239">
        <f t="shared" si="67"/>
        <v>19.989073728000001</v>
      </c>
      <c r="AW494" s="239">
        <f>(AS494*AK494/1000000)*(VLOOKUP(N494,FCST!D:I,6,FALSE))</f>
        <v>0</v>
      </c>
      <c r="AX494" s="239">
        <f t="shared" si="68"/>
        <v>0</v>
      </c>
      <c r="AY494" s="239">
        <f>IF($G494="CERVECERIA Y MALTERIA.",($AS494*$AK494/1000000)*(1-VLOOKUP($N494,FCST!D:I,6,FALSE)),0)</f>
        <v>0</v>
      </c>
      <c r="AZ494" s="239">
        <f t="shared" si="69"/>
        <v>0</v>
      </c>
    </row>
    <row r="495" spans="1:52" x14ac:dyDescent="0.25">
      <c r="A495" s="209">
        <v>1096382</v>
      </c>
      <c r="B495" s="209">
        <v>110</v>
      </c>
      <c r="C495" s="209" t="s">
        <v>942</v>
      </c>
      <c r="D495" s="209">
        <v>10</v>
      </c>
      <c r="E495" s="209">
        <v>10000002</v>
      </c>
      <c r="F495" s="209">
        <v>20000335</v>
      </c>
      <c r="G495" s="209" t="s">
        <v>105</v>
      </c>
      <c r="H495" s="209">
        <v>20000335</v>
      </c>
      <c r="I495" s="209">
        <v>2</v>
      </c>
      <c r="J495" s="209" t="s">
        <v>169</v>
      </c>
      <c r="K495" s="209" t="s">
        <v>943</v>
      </c>
      <c r="L495" s="209" t="s">
        <v>171</v>
      </c>
      <c r="M495" s="209" t="s">
        <v>184</v>
      </c>
      <c r="N495" s="209">
        <v>50037887</v>
      </c>
      <c r="O495" s="209" t="s">
        <v>679</v>
      </c>
      <c r="P495" s="209">
        <v>5121</v>
      </c>
      <c r="Q495" s="209" t="s">
        <v>174</v>
      </c>
      <c r="R495" s="209" t="s">
        <v>175</v>
      </c>
      <c r="S495" s="209" t="s">
        <v>176</v>
      </c>
      <c r="T495" s="209" t="s">
        <v>177</v>
      </c>
      <c r="U495" s="209" t="s">
        <v>178</v>
      </c>
      <c r="V495" s="209" t="s">
        <v>179</v>
      </c>
      <c r="W495" s="209" t="s">
        <v>179</v>
      </c>
      <c r="X495" s="209" t="s">
        <v>180</v>
      </c>
      <c r="Y495" s="209" t="s">
        <v>180</v>
      </c>
      <c r="Z495" s="209" t="s">
        <v>944</v>
      </c>
      <c r="AA495" s="209" t="s">
        <v>945</v>
      </c>
      <c r="AB495" s="209" t="s">
        <v>180</v>
      </c>
      <c r="AC495" s="209" t="s">
        <v>182</v>
      </c>
      <c r="AD495" s="209">
        <v>1</v>
      </c>
      <c r="AE495" s="209">
        <v>2025</v>
      </c>
      <c r="AF495" s="227">
        <v>45674</v>
      </c>
      <c r="AG495" s="227">
        <v>45680</v>
      </c>
      <c r="AH495" s="227">
        <v>45680</v>
      </c>
      <c r="AI495" s="228">
        <v>531648</v>
      </c>
      <c r="AJ495" s="228">
        <v>52</v>
      </c>
      <c r="AK495" s="228">
        <v>531648</v>
      </c>
      <c r="AL495" s="228">
        <v>52</v>
      </c>
      <c r="AM495" s="228">
        <v>0</v>
      </c>
      <c r="AN495" s="228">
        <v>0</v>
      </c>
      <c r="AO495" s="229">
        <v>4</v>
      </c>
      <c r="AP495" s="231">
        <v>1</v>
      </c>
      <c r="AQ495" s="231">
        <v>2025</v>
      </c>
      <c r="AR495" s="231" t="str">
        <f t="shared" si="65"/>
        <v>01/2025</v>
      </c>
      <c r="AS495" s="231">
        <f t="shared" si="66"/>
        <v>37.200000000000003</v>
      </c>
      <c r="AT495" s="239">
        <f>IF(G495="CERVECERIA Y MALTERIA",(AS495*AK495/1000000)*(1-VLOOKUP(N495,FCST!D:I,6,FALSE)),0)</f>
        <v>19.777305600000002</v>
      </c>
      <c r="AU495" s="232">
        <v>5.0000000000000001E-3</v>
      </c>
      <c r="AV495" s="239">
        <f t="shared" si="67"/>
        <v>19.876192128</v>
      </c>
      <c r="AW495" s="239">
        <f>(AS495*AK495/1000000)*(VLOOKUP(N495,FCST!D:I,6,FALSE))</f>
        <v>0</v>
      </c>
      <c r="AX495" s="239">
        <f t="shared" si="68"/>
        <v>0</v>
      </c>
      <c r="AY495" s="239">
        <f>IF($G495="CERVECERIA Y MALTERIA.",($AS495*$AK495/1000000)*(1-VLOOKUP($N495,FCST!D:I,6,FALSE)),0)</f>
        <v>0</v>
      </c>
      <c r="AZ495" s="239">
        <f t="shared" si="69"/>
        <v>0</v>
      </c>
    </row>
    <row r="496" spans="1:52" x14ac:dyDescent="0.25">
      <c r="A496" s="209">
        <v>1094750</v>
      </c>
      <c r="B496" s="209">
        <v>30</v>
      </c>
      <c r="C496" s="209" t="s">
        <v>946</v>
      </c>
      <c r="D496" s="209">
        <v>10</v>
      </c>
      <c r="E496" s="209">
        <v>10000002</v>
      </c>
      <c r="F496" s="209">
        <v>20000339</v>
      </c>
      <c r="G496" s="209" t="s">
        <v>105</v>
      </c>
      <c r="H496" s="209">
        <v>20000339</v>
      </c>
      <c r="I496" s="209">
        <v>2</v>
      </c>
      <c r="J496" s="209" t="s">
        <v>169</v>
      </c>
      <c r="K496" s="209" t="s">
        <v>947</v>
      </c>
      <c r="L496" s="209" t="s">
        <v>171</v>
      </c>
      <c r="M496" s="209" t="s">
        <v>172</v>
      </c>
      <c r="N496" s="209">
        <v>50034577</v>
      </c>
      <c r="O496" s="209" t="s">
        <v>237</v>
      </c>
      <c r="P496" s="209">
        <v>5101</v>
      </c>
      <c r="Q496" s="209" t="s">
        <v>186</v>
      </c>
      <c r="R496" s="209" t="s">
        <v>175</v>
      </c>
      <c r="S496" s="209" t="s">
        <v>176</v>
      </c>
      <c r="T496" s="209" t="s">
        <v>187</v>
      </c>
      <c r="U496" s="209" t="s">
        <v>188</v>
      </c>
      <c r="V496" s="209" t="s">
        <v>179</v>
      </c>
      <c r="W496" s="209" t="s">
        <v>179</v>
      </c>
      <c r="X496" s="209" t="s">
        <v>180</v>
      </c>
      <c r="Y496" s="209" t="s">
        <v>180</v>
      </c>
      <c r="Z496" s="209" t="s">
        <v>948</v>
      </c>
      <c r="AA496" s="209" t="s">
        <v>949</v>
      </c>
      <c r="AB496" s="209" t="s">
        <v>180</v>
      </c>
      <c r="AC496" s="209" t="s">
        <v>182</v>
      </c>
      <c r="AD496" s="209">
        <v>1</v>
      </c>
      <c r="AE496" s="209">
        <v>2025</v>
      </c>
      <c r="AF496" s="227">
        <v>45666</v>
      </c>
      <c r="AG496" s="227">
        <v>45679</v>
      </c>
      <c r="AH496" s="227">
        <v>45679</v>
      </c>
      <c r="AI496" s="228">
        <v>743808</v>
      </c>
      <c r="AJ496" s="228">
        <v>52</v>
      </c>
      <c r="AK496" s="228">
        <v>743808</v>
      </c>
      <c r="AL496" s="228">
        <v>52</v>
      </c>
      <c r="AM496" s="228">
        <v>0</v>
      </c>
      <c r="AN496" s="228">
        <v>0</v>
      </c>
      <c r="AO496" s="229">
        <v>2</v>
      </c>
      <c r="AP496" s="231">
        <v>1</v>
      </c>
      <c r="AQ496" s="231">
        <v>2025</v>
      </c>
      <c r="AR496" s="231" t="str">
        <f t="shared" si="65"/>
        <v>01/2025</v>
      </c>
      <c r="AS496" s="231">
        <f t="shared" si="66"/>
        <v>25</v>
      </c>
      <c r="AT496" s="239">
        <f>IF(G496="CERVECERIA Y MALTERIA",(AS496*AK496/1000000)*(1-VLOOKUP(N496,FCST!D:I,6,FALSE)),0)</f>
        <v>18.595199999999998</v>
      </c>
      <c r="AU496" s="232">
        <v>5.0000000000000001E-3</v>
      </c>
      <c r="AV496" s="239">
        <f t="shared" si="67"/>
        <v>18.688175999999995</v>
      </c>
      <c r="AW496" s="239">
        <f>(AS496*AK496/1000000)*(VLOOKUP(N496,FCST!D:I,6,FALSE))</f>
        <v>0</v>
      </c>
      <c r="AX496" s="239">
        <f t="shared" si="68"/>
        <v>0</v>
      </c>
      <c r="AY496" s="239">
        <f>IF($G496="CERVECERIA Y MALTERIA.",($AS496*$AK496/1000000)*(1-VLOOKUP($N496,FCST!D:I,6,FALSE)),0)</f>
        <v>0</v>
      </c>
      <c r="AZ496" s="239">
        <f t="shared" si="69"/>
        <v>0</v>
      </c>
    </row>
    <row r="497" spans="1:52" x14ac:dyDescent="0.25">
      <c r="A497" s="209">
        <v>1097592</v>
      </c>
      <c r="B497" s="209">
        <v>70</v>
      </c>
      <c r="C497" s="209" t="s">
        <v>950</v>
      </c>
      <c r="D497" s="209">
        <v>10</v>
      </c>
      <c r="E497" s="209">
        <v>10000002</v>
      </c>
      <c r="F497" s="209">
        <v>20000335</v>
      </c>
      <c r="G497" s="209" t="s">
        <v>105</v>
      </c>
      <c r="H497" s="209">
        <v>20000335</v>
      </c>
      <c r="I497" s="209">
        <v>2</v>
      </c>
      <c r="J497" s="209" t="s">
        <v>169</v>
      </c>
      <c r="K497" s="209" t="s">
        <v>951</v>
      </c>
      <c r="L497" s="209" t="s">
        <v>171</v>
      </c>
      <c r="M497" s="209" t="s">
        <v>184</v>
      </c>
      <c r="N497" s="209">
        <v>50037887</v>
      </c>
      <c r="O497" s="209" t="s">
        <v>679</v>
      </c>
      <c r="P497" s="209">
        <v>5121</v>
      </c>
      <c r="Q497" s="209" t="s">
        <v>174</v>
      </c>
      <c r="R497" s="209" t="s">
        <v>175</v>
      </c>
      <c r="S497" s="209" t="s">
        <v>176</v>
      </c>
      <c r="T497" s="209" t="s">
        <v>177</v>
      </c>
      <c r="U497" s="209" t="s">
        <v>178</v>
      </c>
      <c r="V497" s="209" t="s">
        <v>179</v>
      </c>
      <c r="W497" s="209" t="s">
        <v>179</v>
      </c>
      <c r="X497" s="209" t="s">
        <v>180</v>
      </c>
      <c r="Y497" s="209" t="s">
        <v>180</v>
      </c>
      <c r="Z497" s="209" t="s">
        <v>952</v>
      </c>
      <c r="AA497" s="209" t="s">
        <v>953</v>
      </c>
      <c r="AB497" s="209" t="s">
        <v>180</v>
      </c>
      <c r="AC497" s="209" t="s">
        <v>182</v>
      </c>
      <c r="AD497" s="209">
        <v>1</v>
      </c>
      <c r="AE497" s="209">
        <v>2025</v>
      </c>
      <c r="AF497" s="227">
        <v>45681</v>
      </c>
      <c r="AG497" s="227">
        <v>45687</v>
      </c>
      <c r="AH497" s="227">
        <v>45687</v>
      </c>
      <c r="AI497" s="228">
        <v>521424</v>
      </c>
      <c r="AJ497" s="228">
        <v>51</v>
      </c>
      <c r="AK497" s="228">
        <v>521424</v>
      </c>
      <c r="AL497" s="228">
        <v>51</v>
      </c>
      <c r="AM497" s="228">
        <v>0</v>
      </c>
      <c r="AN497" s="228">
        <v>0</v>
      </c>
      <c r="AO497" s="229">
        <v>5</v>
      </c>
      <c r="AP497" s="231">
        <v>1</v>
      </c>
      <c r="AQ497" s="231">
        <v>2025</v>
      </c>
      <c r="AR497" s="231" t="str">
        <f t="shared" si="65"/>
        <v>01/2025</v>
      </c>
      <c r="AS497" s="231">
        <f t="shared" si="66"/>
        <v>37.200000000000003</v>
      </c>
      <c r="AT497" s="239">
        <f>IF(G497="CERVECERIA Y MALTERIA",(AS497*AK497/1000000)*(1-VLOOKUP(N497,FCST!D:I,6,FALSE)),0)</f>
        <v>19.3969728</v>
      </c>
      <c r="AU497" s="232">
        <v>5.0000000000000001E-3</v>
      </c>
      <c r="AV497" s="239">
        <f t="shared" si="67"/>
        <v>19.493957664</v>
      </c>
      <c r="AW497" s="239">
        <f>(AS497*AK497/1000000)*(VLOOKUP(N497,FCST!D:I,6,FALSE))</f>
        <v>0</v>
      </c>
      <c r="AX497" s="239">
        <f t="shared" si="68"/>
        <v>0</v>
      </c>
      <c r="AY497" s="239">
        <f>IF($G497="CERVECERIA Y MALTERIA.",($AS497*$AK497/1000000)*(1-VLOOKUP($N497,FCST!D:I,6,FALSE)),0)</f>
        <v>0</v>
      </c>
      <c r="AZ497" s="239">
        <f t="shared" si="69"/>
        <v>0</v>
      </c>
    </row>
    <row r="498" spans="1:52" x14ac:dyDescent="0.25">
      <c r="A498" s="209">
        <v>1093745</v>
      </c>
      <c r="B498" s="209">
        <v>110</v>
      </c>
      <c r="C498" s="209" t="s">
        <v>954</v>
      </c>
      <c r="D498" s="209">
        <v>10</v>
      </c>
      <c r="E498" s="209">
        <v>10000002</v>
      </c>
      <c r="F498" s="209">
        <v>20000336</v>
      </c>
      <c r="G498" s="209" t="s">
        <v>105</v>
      </c>
      <c r="H498" s="209">
        <v>20000336</v>
      </c>
      <c r="I498" s="209">
        <v>2</v>
      </c>
      <c r="J498" s="209" t="s">
        <v>169</v>
      </c>
      <c r="K498" s="209" t="s">
        <v>955</v>
      </c>
      <c r="L498" s="209" t="s">
        <v>265</v>
      </c>
      <c r="M498" s="209" t="s">
        <v>184</v>
      </c>
      <c r="N498" s="209">
        <v>50033268</v>
      </c>
      <c r="O498" s="209" t="s">
        <v>253</v>
      </c>
      <c r="P498" s="209">
        <v>5121</v>
      </c>
      <c r="Q498" s="209" t="s">
        <v>174</v>
      </c>
      <c r="R498" s="209" t="s">
        <v>175</v>
      </c>
      <c r="S498" s="209" t="s">
        <v>176</v>
      </c>
      <c r="T498" s="209" t="s">
        <v>177</v>
      </c>
      <c r="U498" s="209" t="s">
        <v>178</v>
      </c>
      <c r="V498" s="209" t="s">
        <v>179</v>
      </c>
      <c r="W498" s="209" t="s">
        <v>179</v>
      </c>
      <c r="X498" s="209" t="s">
        <v>180</v>
      </c>
      <c r="Y498" s="209" t="s">
        <v>180</v>
      </c>
      <c r="Z498" s="209" t="s">
        <v>956</v>
      </c>
      <c r="AA498" s="209" t="s">
        <v>957</v>
      </c>
      <c r="AB498" s="209" t="s">
        <v>180</v>
      </c>
      <c r="AC498" s="209" t="s">
        <v>182</v>
      </c>
      <c r="AD498" s="209">
        <v>1</v>
      </c>
      <c r="AE498" s="209">
        <v>2025</v>
      </c>
      <c r="AF498" s="227">
        <v>45660</v>
      </c>
      <c r="AG498" s="227">
        <v>45687</v>
      </c>
      <c r="AH498" s="227">
        <v>45687</v>
      </c>
      <c r="AI498" s="228">
        <v>406848</v>
      </c>
      <c r="AJ498" s="228">
        <v>52</v>
      </c>
      <c r="AK498" s="228">
        <v>406848</v>
      </c>
      <c r="AL498" s="228">
        <v>52</v>
      </c>
      <c r="AM498" s="228">
        <v>0</v>
      </c>
      <c r="AN498" s="228">
        <v>0</v>
      </c>
      <c r="AO498" s="229">
        <v>1</v>
      </c>
      <c r="AP498" s="231">
        <v>1</v>
      </c>
      <c r="AQ498" s="231">
        <v>2025</v>
      </c>
      <c r="AR498" s="231" t="str">
        <f t="shared" si="65"/>
        <v>01/2025</v>
      </c>
      <c r="AS498" s="231">
        <f t="shared" si="66"/>
        <v>44</v>
      </c>
      <c r="AT498" s="239">
        <f>IF(G498="CERVECERIA Y MALTERIA",(AS498*AK498/1000000)*(1-VLOOKUP(N498,FCST!D:I,6,FALSE)),0)</f>
        <v>17.901312000000001</v>
      </c>
      <c r="AU498" s="232">
        <v>5.0000000000000001E-3</v>
      </c>
      <c r="AV498" s="239">
        <f t="shared" si="67"/>
        <v>17.990818559999997</v>
      </c>
      <c r="AW498" s="239">
        <f>(AS498*AK498/1000000)*(VLOOKUP(N498,FCST!D:I,6,FALSE))</f>
        <v>0</v>
      </c>
      <c r="AX498" s="239">
        <f t="shared" si="68"/>
        <v>0</v>
      </c>
      <c r="AY498" s="239">
        <f>IF($G498="CERVECERIA Y MALTERIA.",($AS498*$AK498/1000000)*(1-VLOOKUP($N498,FCST!D:I,6,FALSE)),0)</f>
        <v>0</v>
      </c>
      <c r="AZ498" s="239">
        <f t="shared" si="69"/>
        <v>0</v>
      </c>
    </row>
    <row r="499" spans="1:52" x14ac:dyDescent="0.25">
      <c r="A499" s="209">
        <v>1094003</v>
      </c>
      <c r="B499" s="209">
        <v>120</v>
      </c>
      <c r="C499" s="209" t="s">
        <v>958</v>
      </c>
      <c r="D499" s="209">
        <v>10</v>
      </c>
      <c r="E499" s="209">
        <v>10000002</v>
      </c>
      <c r="F499" s="209">
        <v>20000337</v>
      </c>
      <c r="G499" s="209" t="s">
        <v>105</v>
      </c>
      <c r="H499" s="209">
        <v>20000337</v>
      </c>
      <c r="I499" s="209">
        <v>2</v>
      </c>
      <c r="J499" s="209" t="s">
        <v>169</v>
      </c>
      <c r="K499" s="209" t="s">
        <v>959</v>
      </c>
      <c r="L499" s="209" t="s">
        <v>265</v>
      </c>
      <c r="M499" s="209" t="s">
        <v>199</v>
      </c>
      <c r="N499" s="209">
        <v>50035183</v>
      </c>
      <c r="O499" s="209" t="s">
        <v>215</v>
      </c>
      <c r="P499" s="209">
        <v>5121</v>
      </c>
      <c r="Q499" s="209" t="s">
        <v>200</v>
      </c>
      <c r="R499" s="209" t="s">
        <v>201</v>
      </c>
      <c r="S499" s="209" t="s">
        <v>202</v>
      </c>
      <c r="T499" s="209" t="s">
        <v>203</v>
      </c>
      <c r="U499" s="209" t="s">
        <v>201</v>
      </c>
      <c r="V499" s="209" t="s">
        <v>179</v>
      </c>
      <c r="W499" s="209" t="s">
        <v>179</v>
      </c>
      <c r="X499" s="209" t="s">
        <v>180</v>
      </c>
      <c r="Y499" s="209" t="s">
        <v>180</v>
      </c>
      <c r="Z499" s="209" t="s">
        <v>960</v>
      </c>
      <c r="AA499" s="209" t="s">
        <v>961</v>
      </c>
      <c r="AB499" s="209" t="s">
        <v>180</v>
      </c>
      <c r="AC499" s="209" t="s">
        <v>182</v>
      </c>
      <c r="AD499" s="209">
        <v>1</v>
      </c>
      <c r="AE499" s="209">
        <v>2025</v>
      </c>
      <c r="AF499" s="227">
        <v>45663</v>
      </c>
      <c r="AG499" s="227">
        <v>45686</v>
      </c>
      <c r="AH499" s="227">
        <v>45687</v>
      </c>
      <c r="AI499" s="228">
        <v>426816</v>
      </c>
      <c r="AJ499" s="228">
        <v>52</v>
      </c>
      <c r="AK499" s="228">
        <v>426816</v>
      </c>
      <c r="AL499" s="228">
        <v>52</v>
      </c>
      <c r="AM499" s="228">
        <v>0</v>
      </c>
      <c r="AN499" s="228">
        <v>0</v>
      </c>
      <c r="AO499" s="229">
        <v>2</v>
      </c>
      <c r="AP499" s="231">
        <v>1</v>
      </c>
      <c r="AQ499" s="231">
        <v>2025</v>
      </c>
      <c r="AR499" s="231" t="str">
        <f t="shared" si="65"/>
        <v>01/2025</v>
      </c>
      <c r="AS499" s="231">
        <f t="shared" si="66"/>
        <v>46.6</v>
      </c>
      <c r="AT499" s="239">
        <f>IF(G499="CERVECERIA Y MALTERIA",(AS499*AK499/1000000)*(1-VLOOKUP(N499,FCST!D:I,6,FALSE)),0)</f>
        <v>19.889625600000002</v>
      </c>
      <c r="AU499" s="232">
        <v>5.0000000000000001E-3</v>
      </c>
      <c r="AV499" s="239">
        <f t="shared" si="67"/>
        <v>19.989073728000001</v>
      </c>
      <c r="AW499" s="239">
        <f>(AS499*AK499/1000000)*(VLOOKUP(N499,FCST!D:I,6,FALSE))</f>
        <v>0</v>
      </c>
      <c r="AX499" s="239">
        <f t="shared" si="68"/>
        <v>0</v>
      </c>
      <c r="AY499" s="239">
        <f>IF($G499="CERVECERIA Y MALTERIA.",($AS499*$AK499/1000000)*(1-VLOOKUP($N499,FCST!D:I,6,FALSE)),0)</f>
        <v>0</v>
      </c>
      <c r="AZ499" s="239">
        <f t="shared" si="69"/>
        <v>0</v>
      </c>
    </row>
    <row r="500" spans="1:52" x14ac:dyDescent="0.25">
      <c r="A500" s="209">
        <v>1097593</v>
      </c>
      <c r="B500" s="209">
        <v>40</v>
      </c>
      <c r="C500" s="209" t="s">
        <v>962</v>
      </c>
      <c r="D500" s="209">
        <v>10</v>
      </c>
      <c r="E500" s="209">
        <v>10000002</v>
      </c>
      <c r="F500" s="209">
        <v>20000340</v>
      </c>
      <c r="G500" s="209" t="s">
        <v>117</v>
      </c>
      <c r="H500" s="209">
        <v>20000340</v>
      </c>
      <c r="I500" s="209">
        <v>2</v>
      </c>
      <c r="J500" s="209" t="s">
        <v>169</v>
      </c>
      <c r="K500" s="209" t="s">
        <v>963</v>
      </c>
      <c r="L500" s="209" t="s">
        <v>171</v>
      </c>
      <c r="M500" s="209" t="s">
        <v>172</v>
      </c>
      <c r="N500" s="209">
        <v>50027468</v>
      </c>
      <c r="O500" s="209" t="s">
        <v>285</v>
      </c>
      <c r="P500" s="209">
        <v>5101</v>
      </c>
      <c r="Q500" s="209" t="s">
        <v>186</v>
      </c>
      <c r="R500" s="209" t="s">
        <v>175</v>
      </c>
      <c r="S500" s="209" t="s">
        <v>176</v>
      </c>
      <c r="T500" s="209" t="s">
        <v>187</v>
      </c>
      <c r="U500" s="209" t="s">
        <v>188</v>
      </c>
      <c r="V500" s="209" t="s">
        <v>179</v>
      </c>
      <c r="W500" s="209" t="s">
        <v>179</v>
      </c>
      <c r="X500" s="209" t="s">
        <v>180</v>
      </c>
      <c r="Y500" s="209" t="s">
        <v>180</v>
      </c>
      <c r="Z500" s="209" t="s">
        <v>964</v>
      </c>
      <c r="AA500" s="209" t="s">
        <v>965</v>
      </c>
      <c r="AB500" s="209" t="s">
        <v>180</v>
      </c>
      <c r="AC500" s="209" t="s">
        <v>182</v>
      </c>
      <c r="AD500" s="209">
        <v>1</v>
      </c>
      <c r="AE500" s="209">
        <v>2025</v>
      </c>
      <c r="AF500" s="227">
        <v>45681</v>
      </c>
      <c r="AG500" s="227">
        <v>45687</v>
      </c>
      <c r="AH500" s="227">
        <v>45687</v>
      </c>
      <c r="AI500" s="228">
        <v>399360</v>
      </c>
      <c r="AJ500" s="228">
        <v>52</v>
      </c>
      <c r="AK500" s="228">
        <v>399360</v>
      </c>
      <c r="AL500" s="228">
        <v>52</v>
      </c>
      <c r="AM500" s="228">
        <v>0</v>
      </c>
      <c r="AN500" s="228">
        <v>0</v>
      </c>
      <c r="AO500" s="229">
        <v>5</v>
      </c>
      <c r="AP500" s="231">
        <v>1</v>
      </c>
      <c r="AQ500" s="231">
        <v>2025</v>
      </c>
      <c r="AR500" s="231" t="str">
        <f t="shared" si="65"/>
        <v>01/2025</v>
      </c>
      <c r="AS500" s="231">
        <f t="shared" si="66"/>
        <v>52</v>
      </c>
      <c r="AT500" s="239">
        <f>IF(G500="CERVECERIA Y MALTERIA",(AS500*AK500/1000000)*(1-VLOOKUP(N500,FCST!D:I,6,FALSE)),0)</f>
        <v>0</v>
      </c>
      <c r="AU500" s="232">
        <v>5.0000000000000001E-3</v>
      </c>
      <c r="AV500" s="239">
        <f t="shared" si="67"/>
        <v>0</v>
      </c>
      <c r="AW500" s="239">
        <f>(AS500*AK500/1000000)*(VLOOKUP(N500,FCST!D:I,6,FALSE))</f>
        <v>0</v>
      </c>
      <c r="AX500" s="239">
        <f t="shared" si="68"/>
        <v>0</v>
      </c>
      <c r="AY500" s="239">
        <f>IF($G500="CERVECERIA Y MALTERIA.",($AS500*$AK500/1000000)*(1-VLOOKUP($N500,FCST!D:I,6,FALSE)),0)</f>
        <v>20.766719999999999</v>
      </c>
      <c r="AZ500" s="239">
        <f t="shared" si="69"/>
        <v>20.870553599999997</v>
      </c>
    </row>
    <row r="501" spans="1:52" x14ac:dyDescent="0.25">
      <c r="A501" s="209">
        <v>1097592</v>
      </c>
      <c r="B501" s="209">
        <v>80</v>
      </c>
      <c r="C501" s="209" t="s">
        <v>966</v>
      </c>
      <c r="D501" s="209">
        <v>10</v>
      </c>
      <c r="E501" s="209">
        <v>10000002</v>
      </c>
      <c r="F501" s="209">
        <v>20000335</v>
      </c>
      <c r="G501" s="209" t="s">
        <v>105</v>
      </c>
      <c r="H501" s="209">
        <v>20000335</v>
      </c>
      <c r="I501" s="209">
        <v>2</v>
      </c>
      <c r="J501" s="209" t="s">
        <v>169</v>
      </c>
      <c r="K501" s="209" t="s">
        <v>967</v>
      </c>
      <c r="L501" s="209" t="s">
        <v>171</v>
      </c>
      <c r="M501" s="209" t="s">
        <v>199</v>
      </c>
      <c r="N501" s="209">
        <v>50034616</v>
      </c>
      <c r="O501" s="209" t="s">
        <v>191</v>
      </c>
      <c r="P501" s="209">
        <v>5121</v>
      </c>
      <c r="Q501" s="209" t="s">
        <v>200</v>
      </c>
      <c r="R501" s="209" t="s">
        <v>201</v>
      </c>
      <c r="S501" s="209" t="s">
        <v>202</v>
      </c>
      <c r="T501" s="209" t="s">
        <v>203</v>
      </c>
      <c r="U501" s="209" t="s">
        <v>201</v>
      </c>
      <c r="V501" s="209" t="s">
        <v>179</v>
      </c>
      <c r="W501" s="209" t="s">
        <v>179</v>
      </c>
      <c r="X501" s="209" t="s">
        <v>180</v>
      </c>
      <c r="Y501" s="209" t="s">
        <v>180</v>
      </c>
      <c r="Z501" s="209" t="s">
        <v>968</v>
      </c>
      <c r="AA501" s="209" t="s">
        <v>969</v>
      </c>
      <c r="AB501" s="209" t="s">
        <v>180</v>
      </c>
      <c r="AC501" s="209" t="s">
        <v>182</v>
      </c>
      <c r="AD501" s="209">
        <v>1</v>
      </c>
      <c r="AE501" s="209">
        <v>2025</v>
      </c>
      <c r="AF501" s="227">
        <v>45681</v>
      </c>
      <c r="AG501" s="227">
        <v>45687</v>
      </c>
      <c r="AH501" s="227">
        <v>45687</v>
      </c>
      <c r="AI501" s="228">
        <v>426816</v>
      </c>
      <c r="AJ501" s="228">
        <v>52</v>
      </c>
      <c r="AK501" s="228">
        <v>426816</v>
      </c>
      <c r="AL501" s="228">
        <v>52</v>
      </c>
      <c r="AM501" s="228">
        <v>0</v>
      </c>
      <c r="AN501" s="228">
        <v>0</v>
      </c>
      <c r="AO501" s="229">
        <v>5</v>
      </c>
      <c r="AP501" s="231">
        <v>1</v>
      </c>
      <c r="AQ501" s="231">
        <v>2025</v>
      </c>
      <c r="AR501" s="231" t="str">
        <f t="shared" si="65"/>
        <v>01/2025</v>
      </c>
      <c r="AS501" s="231">
        <f t="shared" si="66"/>
        <v>46.6</v>
      </c>
      <c r="AT501" s="239">
        <f>IF(G501="CERVECERIA Y MALTERIA",(AS501*AK501/1000000)*(1-VLOOKUP(N501,FCST!D:I,6,FALSE)),0)</f>
        <v>19.889625600000002</v>
      </c>
      <c r="AU501" s="232">
        <v>5.0000000000000001E-3</v>
      </c>
      <c r="AV501" s="239">
        <f t="shared" si="67"/>
        <v>19.989073728000001</v>
      </c>
      <c r="AW501" s="239">
        <f>(AS501*AK501/1000000)*(VLOOKUP(N501,FCST!D:I,6,FALSE))</f>
        <v>0</v>
      </c>
      <c r="AX501" s="239">
        <f t="shared" si="68"/>
        <v>0</v>
      </c>
      <c r="AY501" s="239">
        <f>IF($G501="CERVECERIA Y MALTERIA.",($AS501*$AK501/1000000)*(1-VLOOKUP($N501,FCST!D:I,6,FALSE)),0)</f>
        <v>0</v>
      </c>
      <c r="AZ501" s="239">
        <f t="shared" si="69"/>
        <v>0</v>
      </c>
    </row>
    <row r="502" spans="1:52" x14ac:dyDescent="0.25">
      <c r="A502" s="209">
        <v>1093745</v>
      </c>
      <c r="B502" s="209">
        <v>130</v>
      </c>
      <c r="C502" s="209" t="s">
        <v>970</v>
      </c>
      <c r="D502" s="209">
        <v>10</v>
      </c>
      <c r="E502" s="209">
        <v>10000002</v>
      </c>
      <c r="F502" s="209">
        <v>20000336</v>
      </c>
      <c r="G502" s="209" t="s">
        <v>105</v>
      </c>
      <c r="H502" s="209">
        <v>20000336</v>
      </c>
      <c r="I502" s="209">
        <v>2</v>
      </c>
      <c r="J502" s="209" t="s">
        <v>169</v>
      </c>
      <c r="K502" s="209" t="s">
        <v>971</v>
      </c>
      <c r="L502" s="209" t="s">
        <v>265</v>
      </c>
      <c r="M502" s="209" t="s">
        <v>184</v>
      </c>
      <c r="N502" s="209">
        <v>50033268</v>
      </c>
      <c r="O502" s="209" t="s">
        <v>253</v>
      </c>
      <c r="P502" s="209">
        <v>5121</v>
      </c>
      <c r="Q502" s="209" t="s">
        <v>174</v>
      </c>
      <c r="R502" s="209" t="s">
        <v>175</v>
      </c>
      <c r="S502" s="209" t="s">
        <v>176</v>
      </c>
      <c r="T502" s="209" t="s">
        <v>177</v>
      </c>
      <c r="U502" s="209" t="s">
        <v>178</v>
      </c>
      <c r="V502" s="209" t="s">
        <v>179</v>
      </c>
      <c r="W502" s="209" t="s">
        <v>179</v>
      </c>
      <c r="X502" s="209" t="s">
        <v>180</v>
      </c>
      <c r="Y502" s="209" t="s">
        <v>180</v>
      </c>
      <c r="Z502" s="209" t="s">
        <v>972</v>
      </c>
      <c r="AA502" s="209" t="s">
        <v>973</v>
      </c>
      <c r="AB502" s="209" t="s">
        <v>180</v>
      </c>
      <c r="AC502" s="209" t="s">
        <v>182</v>
      </c>
      <c r="AD502" s="209">
        <v>1</v>
      </c>
      <c r="AE502" s="209">
        <v>2025</v>
      </c>
      <c r="AF502" s="227">
        <v>45660</v>
      </c>
      <c r="AG502" s="227">
        <v>45688</v>
      </c>
      <c r="AH502" s="227">
        <v>45688</v>
      </c>
      <c r="AI502" s="228">
        <v>406848</v>
      </c>
      <c r="AJ502" s="228">
        <v>52</v>
      </c>
      <c r="AK502" s="228">
        <v>406848</v>
      </c>
      <c r="AL502" s="228">
        <v>52</v>
      </c>
      <c r="AM502" s="228">
        <v>0</v>
      </c>
      <c r="AN502" s="228">
        <v>0</v>
      </c>
      <c r="AO502" s="229">
        <v>1</v>
      </c>
      <c r="AP502" s="231">
        <v>1</v>
      </c>
      <c r="AQ502" s="231">
        <v>2025</v>
      </c>
      <c r="AR502" s="231" t="str">
        <f t="shared" si="65"/>
        <v>01/2025</v>
      </c>
      <c r="AS502" s="231">
        <f t="shared" si="66"/>
        <v>44</v>
      </c>
      <c r="AT502" s="239">
        <f>IF(G502="CERVECERIA Y MALTERIA",(AS502*AK502/1000000)*(1-VLOOKUP(N502,FCST!D:I,6,FALSE)),0)</f>
        <v>17.901312000000001</v>
      </c>
      <c r="AU502" s="232">
        <v>5.0000000000000001E-3</v>
      </c>
      <c r="AV502" s="239">
        <f t="shared" si="67"/>
        <v>17.990818559999997</v>
      </c>
      <c r="AW502" s="239">
        <f>(AS502*AK502/1000000)*(VLOOKUP(N502,FCST!D:I,6,FALSE))</f>
        <v>0</v>
      </c>
      <c r="AX502" s="239">
        <f t="shared" si="68"/>
        <v>0</v>
      </c>
      <c r="AY502" s="239">
        <f>IF($G502="CERVECERIA Y MALTERIA.",($AS502*$AK502/1000000)*(1-VLOOKUP($N502,FCST!D:I,6,FALSE)),0)</f>
        <v>0</v>
      </c>
      <c r="AZ502" s="239">
        <f t="shared" si="69"/>
        <v>0</v>
      </c>
    </row>
    <row r="503" spans="1:52" x14ac:dyDescent="0.25">
      <c r="A503" s="209">
        <v>1096255</v>
      </c>
      <c r="B503" s="209">
        <v>70</v>
      </c>
      <c r="C503" s="209" t="s">
        <v>974</v>
      </c>
      <c r="D503" s="209">
        <v>10</v>
      </c>
      <c r="E503" s="209">
        <v>10000002</v>
      </c>
      <c r="F503" s="209">
        <v>20001057</v>
      </c>
      <c r="G503" s="209" t="s">
        <v>105</v>
      </c>
      <c r="H503" s="209">
        <v>20001057</v>
      </c>
      <c r="I503" s="209">
        <v>2</v>
      </c>
      <c r="J503" s="209" t="s">
        <v>169</v>
      </c>
      <c r="K503" s="209" t="s">
        <v>975</v>
      </c>
      <c r="L503" s="209" t="s">
        <v>171</v>
      </c>
      <c r="M503" s="209" t="s">
        <v>184</v>
      </c>
      <c r="N503" s="209">
        <v>50037887</v>
      </c>
      <c r="O503" s="209" t="s">
        <v>679</v>
      </c>
      <c r="P503" s="209">
        <v>5121</v>
      </c>
      <c r="Q503" s="209" t="s">
        <v>174</v>
      </c>
      <c r="R503" s="209" t="s">
        <v>175</v>
      </c>
      <c r="S503" s="209" t="s">
        <v>176</v>
      </c>
      <c r="T503" s="209" t="s">
        <v>177</v>
      </c>
      <c r="U503" s="209" t="s">
        <v>178</v>
      </c>
      <c r="V503" s="209" t="s">
        <v>179</v>
      </c>
      <c r="W503" s="209" t="s">
        <v>179</v>
      </c>
      <c r="X503" s="209" t="s">
        <v>180</v>
      </c>
      <c r="Y503" s="209" t="s">
        <v>180</v>
      </c>
      <c r="Z503" s="209" t="s">
        <v>976</v>
      </c>
      <c r="AA503" s="209" t="s">
        <v>977</v>
      </c>
      <c r="AB503" s="209" t="s">
        <v>180</v>
      </c>
      <c r="AC503" s="209" t="s">
        <v>182</v>
      </c>
      <c r="AD503" s="209">
        <v>1</v>
      </c>
      <c r="AE503" s="209">
        <v>2025</v>
      </c>
      <c r="AF503" s="227">
        <v>45673</v>
      </c>
      <c r="AG503" s="227">
        <v>45688</v>
      </c>
      <c r="AH503" s="227">
        <v>45688</v>
      </c>
      <c r="AI503" s="228">
        <v>531648</v>
      </c>
      <c r="AJ503" s="228">
        <v>52</v>
      </c>
      <c r="AK503" s="228">
        <v>531648</v>
      </c>
      <c r="AL503" s="228">
        <v>52</v>
      </c>
      <c r="AM503" s="228">
        <v>0</v>
      </c>
      <c r="AN503" s="228">
        <v>0</v>
      </c>
      <c r="AO503" s="229">
        <v>3</v>
      </c>
      <c r="AP503" s="231">
        <v>1</v>
      </c>
      <c r="AQ503" s="231">
        <v>2025</v>
      </c>
      <c r="AR503" s="231" t="str">
        <f t="shared" si="65"/>
        <v>01/2025</v>
      </c>
      <c r="AS503" s="231">
        <f t="shared" si="66"/>
        <v>37.200000000000003</v>
      </c>
      <c r="AT503" s="239">
        <f>IF(G503="CERVECERIA Y MALTERIA",(AS503*AK503/1000000)*(1-VLOOKUP(N503,FCST!D:I,6,FALSE)),0)</f>
        <v>19.777305600000002</v>
      </c>
      <c r="AU503" s="232">
        <v>5.0000000000000001E-3</v>
      </c>
      <c r="AV503" s="239">
        <f t="shared" si="67"/>
        <v>19.876192128</v>
      </c>
      <c r="AW503" s="239">
        <f>(AS503*AK503/1000000)*(VLOOKUP(N503,FCST!D:I,6,FALSE))</f>
        <v>0</v>
      </c>
      <c r="AX503" s="239">
        <f t="shared" si="68"/>
        <v>0</v>
      </c>
      <c r="AY503" s="239">
        <f>IF($G503="CERVECERIA Y MALTERIA.",($AS503*$AK503/1000000)*(1-VLOOKUP($N503,FCST!D:I,6,FALSE)),0)</f>
        <v>0</v>
      </c>
      <c r="AZ503" s="239">
        <f t="shared" si="69"/>
        <v>0</v>
      </c>
    </row>
    <row r="504" spans="1:52" x14ac:dyDescent="0.25">
      <c r="A504" s="209">
        <v>1097302</v>
      </c>
      <c r="B504" s="209">
        <v>40</v>
      </c>
      <c r="C504" s="209" t="s">
        <v>978</v>
      </c>
      <c r="D504" s="209">
        <v>10</v>
      </c>
      <c r="E504" s="209">
        <v>10000002</v>
      </c>
      <c r="F504" s="209">
        <v>20000339</v>
      </c>
      <c r="G504" s="209" t="s">
        <v>105</v>
      </c>
      <c r="H504" s="209">
        <v>20000339</v>
      </c>
      <c r="I504" s="209">
        <v>2</v>
      </c>
      <c r="J504" s="209" t="s">
        <v>169</v>
      </c>
      <c r="K504" s="209" t="s">
        <v>979</v>
      </c>
      <c r="L504" s="209" t="s">
        <v>171</v>
      </c>
      <c r="M504" s="209" t="s">
        <v>172</v>
      </c>
      <c r="N504" s="209">
        <v>50034634</v>
      </c>
      <c r="O504" s="209" t="s">
        <v>219</v>
      </c>
      <c r="P504" s="209">
        <v>5121</v>
      </c>
      <c r="Q504" s="209" t="s">
        <v>174</v>
      </c>
      <c r="R504" s="209" t="s">
        <v>175</v>
      </c>
      <c r="S504" s="209" t="s">
        <v>176</v>
      </c>
      <c r="T504" s="209" t="s">
        <v>177</v>
      </c>
      <c r="U504" s="209" t="s">
        <v>178</v>
      </c>
      <c r="V504" s="209" t="s">
        <v>179</v>
      </c>
      <c r="W504" s="209" t="s">
        <v>179</v>
      </c>
      <c r="X504" s="209" t="s">
        <v>180</v>
      </c>
      <c r="Y504" s="209" t="s">
        <v>180</v>
      </c>
      <c r="Z504" s="209" t="s">
        <v>980</v>
      </c>
      <c r="AA504" s="209" t="s">
        <v>981</v>
      </c>
      <c r="AB504" s="209" t="s">
        <v>180</v>
      </c>
      <c r="AC504" s="209" t="s">
        <v>182</v>
      </c>
      <c r="AD504" s="209">
        <v>1</v>
      </c>
      <c r="AE504" s="209">
        <v>2025</v>
      </c>
      <c r="AF504" s="227">
        <v>45680</v>
      </c>
      <c r="AG504" s="227">
        <v>45688</v>
      </c>
      <c r="AH504" s="227">
        <v>45688</v>
      </c>
      <c r="AI504" s="228">
        <v>196224</v>
      </c>
      <c r="AJ504" s="228">
        <v>28</v>
      </c>
      <c r="AK504" s="228">
        <v>196224</v>
      </c>
      <c r="AL504" s="228">
        <v>28</v>
      </c>
      <c r="AM504" s="228">
        <v>0</v>
      </c>
      <c r="AN504" s="228">
        <v>0</v>
      </c>
      <c r="AO504" s="229">
        <v>4</v>
      </c>
      <c r="AP504" s="231">
        <v>1</v>
      </c>
      <c r="AQ504" s="231">
        <v>2025</v>
      </c>
      <c r="AR504" s="231" t="str">
        <f t="shared" si="65"/>
        <v>01/2025</v>
      </c>
      <c r="AS504" s="231">
        <f t="shared" si="66"/>
        <v>52</v>
      </c>
      <c r="AT504" s="239">
        <f>IF(G504="CERVECERIA Y MALTERIA",(AS504*AK504/1000000)*(1-VLOOKUP(N504,FCST!D:I,6,FALSE)),0)</f>
        <v>10.203647999999999</v>
      </c>
      <c r="AU504" s="232">
        <v>5.0000000000000001E-3</v>
      </c>
      <c r="AV504" s="239">
        <f t="shared" si="67"/>
        <v>10.254666239999999</v>
      </c>
      <c r="AW504" s="239">
        <f>(AS504*AK504/1000000)*(VLOOKUP(N504,FCST!D:I,6,FALSE))</f>
        <v>0</v>
      </c>
      <c r="AX504" s="239">
        <f t="shared" si="68"/>
        <v>0</v>
      </c>
      <c r="AY504" s="239">
        <f>IF($G504="CERVECERIA Y MALTERIA.",($AS504*$AK504/1000000)*(1-VLOOKUP($N504,FCST!D:I,6,FALSE)),0)</f>
        <v>0</v>
      </c>
      <c r="AZ504" s="239">
        <f t="shared" si="69"/>
        <v>0</v>
      </c>
    </row>
    <row r="505" spans="1:52" x14ac:dyDescent="0.25">
      <c r="A505" s="209">
        <v>1097302</v>
      </c>
      <c r="B505" s="209">
        <v>50</v>
      </c>
      <c r="C505" s="209" t="s">
        <v>978</v>
      </c>
      <c r="D505" s="209">
        <v>20</v>
      </c>
      <c r="E505" s="209">
        <v>10000002</v>
      </c>
      <c r="F505" s="209">
        <v>20000339</v>
      </c>
      <c r="G505" s="209" t="s">
        <v>105</v>
      </c>
      <c r="H505" s="209">
        <v>20000339</v>
      </c>
      <c r="I505" s="209">
        <v>2</v>
      </c>
      <c r="J505" s="209" t="s">
        <v>169</v>
      </c>
      <c r="K505" s="209" t="s">
        <v>979</v>
      </c>
      <c r="L505" s="209" t="s">
        <v>171</v>
      </c>
      <c r="M505" s="209" t="s">
        <v>172</v>
      </c>
      <c r="N505" s="209">
        <v>50033268</v>
      </c>
      <c r="O505" s="209" t="s">
        <v>253</v>
      </c>
      <c r="P505" s="209">
        <v>5121</v>
      </c>
      <c r="Q505" s="209" t="s">
        <v>174</v>
      </c>
      <c r="R505" s="209" t="s">
        <v>175</v>
      </c>
      <c r="S505" s="209" t="s">
        <v>176</v>
      </c>
      <c r="T505" s="209" t="s">
        <v>177</v>
      </c>
      <c r="U505" s="209" t="s">
        <v>178</v>
      </c>
      <c r="V505" s="209" t="s">
        <v>179</v>
      </c>
      <c r="W505" s="209" t="s">
        <v>179</v>
      </c>
      <c r="X505" s="209" t="s">
        <v>180</v>
      </c>
      <c r="Y505" s="209" t="s">
        <v>180</v>
      </c>
      <c r="Z505" s="209" t="s">
        <v>980</v>
      </c>
      <c r="AA505" s="209" t="s">
        <v>981</v>
      </c>
      <c r="AB505" s="209" t="s">
        <v>180</v>
      </c>
      <c r="AC505" s="209" t="s">
        <v>182</v>
      </c>
      <c r="AD505" s="209">
        <v>1</v>
      </c>
      <c r="AE505" s="209">
        <v>2025</v>
      </c>
      <c r="AF505" s="227">
        <v>45680</v>
      </c>
      <c r="AG505" s="227">
        <v>45688</v>
      </c>
      <c r="AH505" s="227">
        <v>45688</v>
      </c>
      <c r="AI505" s="228">
        <v>187776</v>
      </c>
      <c r="AJ505" s="228">
        <v>24</v>
      </c>
      <c r="AK505" s="228">
        <v>187776</v>
      </c>
      <c r="AL505" s="228">
        <v>24</v>
      </c>
      <c r="AM505" s="228">
        <v>0</v>
      </c>
      <c r="AN505" s="228">
        <v>0</v>
      </c>
      <c r="AO505" s="229">
        <v>4</v>
      </c>
      <c r="AP505" s="231">
        <v>1</v>
      </c>
      <c r="AQ505" s="231">
        <v>2025</v>
      </c>
      <c r="AR505" s="231" t="str">
        <f t="shared" si="65"/>
        <v>01/2025</v>
      </c>
      <c r="AS505" s="231">
        <f t="shared" si="66"/>
        <v>44</v>
      </c>
      <c r="AT505" s="239">
        <f>IF(G505="CERVECERIA Y MALTERIA",(AS505*AK505/1000000)*(1-VLOOKUP(N505,FCST!D:I,6,FALSE)),0)</f>
        <v>8.2621439999999993</v>
      </c>
      <c r="AU505" s="232">
        <v>5.0000000000000001E-3</v>
      </c>
      <c r="AV505" s="239">
        <f t="shared" si="67"/>
        <v>8.3034547199999977</v>
      </c>
      <c r="AW505" s="239">
        <f>(AS505*AK505/1000000)*(VLOOKUP(N505,FCST!D:I,6,FALSE))</f>
        <v>0</v>
      </c>
      <c r="AX505" s="239">
        <f t="shared" si="68"/>
        <v>0</v>
      </c>
      <c r="AY505" s="239">
        <f>IF($G505="CERVECERIA Y MALTERIA.",($AS505*$AK505/1000000)*(1-VLOOKUP($N505,FCST!D:I,6,FALSE)),0)</f>
        <v>0</v>
      </c>
      <c r="AZ505" s="239">
        <f t="shared" si="69"/>
        <v>0</v>
      </c>
    </row>
    <row r="506" spans="1:52" x14ac:dyDescent="0.25">
      <c r="A506" s="209">
        <v>1097592</v>
      </c>
      <c r="B506" s="209">
        <v>100</v>
      </c>
      <c r="C506" s="209" t="s">
        <v>982</v>
      </c>
      <c r="D506" s="209">
        <v>10</v>
      </c>
      <c r="E506" s="209">
        <v>10000002</v>
      </c>
      <c r="F506" s="209">
        <v>20000335</v>
      </c>
      <c r="G506" s="209" t="s">
        <v>105</v>
      </c>
      <c r="H506" s="209">
        <v>20000335</v>
      </c>
      <c r="I506" s="209">
        <v>2</v>
      </c>
      <c r="J506" s="209" t="s">
        <v>169</v>
      </c>
      <c r="K506" s="209" t="s">
        <v>983</v>
      </c>
      <c r="L506" s="209" t="s">
        <v>171</v>
      </c>
      <c r="M506" s="209" t="s">
        <v>199</v>
      </c>
      <c r="N506" s="209">
        <v>50034616</v>
      </c>
      <c r="O506" s="209" t="s">
        <v>191</v>
      </c>
      <c r="P506" s="209">
        <v>5121</v>
      </c>
      <c r="Q506" s="209" t="s">
        <v>200</v>
      </c>
      <c r="R506" s="209" t="s">
        <v>201</v>
      </c>
      <c r="S506" s="209" t="s">
        <v>202</v>
      </c>
      <c r="T506" s="209" t="s">
        <v>203</v>
      </c>
      <c r="U506" s="209" t="s">
        <v>201</v>
      </c>
      <c r="V506" s="209" t="s">
        <v>179</v>
      </c>
      <c r="W506" s="209" t="s">
        <v>179</v>
      </c>
      <c r="X506" s="209" t="s">
        <v>180</v>
      </c>
      <c r="Y506" s="209" t="s">
        <v>180</v>
      </c>
      <c r="Z506" s="209" t="s">
        <v>984</v>
      </c>
      <c r="AA506" s="209" t="s">
        <v>985</v>
      </c>
      <c r="AB506" s="209" t="s">
        <v>180</v>
      </c>
      <c r="AC506" s="209" t="s">
        <v>182</v>
      </c>
      <c r="AD506" s="209">
        <v>1</v>
      </c>
      <c r="AE506" s="209">
        <v>2025</v>
      </c>
      <c r="AF506" s="227">
        <v>45681</v>
      </c>
      <c r="AG506" s="227">
        <v>45688</v>
      </c>
      <c r="AH506" s="227">
        <v>45688</v>
      </c>
      <c r="AI506" s="228">
        <v>426816</v>
      </c>
      <c r="AJ506" s="228">
        <v>52</v>
      </c>
      <c r="AK506" s="228">
        <v>426816</v>
      </c>
      <c r="AL506" s="228">
        <v>52</v>
      </c>
      <c r="AM506" s="228">
        <v>0</v>
      </c>
      <c r="AN506" s="228">
        <v>0</v>
      </c>
      <c r="AO506" s="229">
        <v>5</v>
      </c>
      <c r="AP506" s="231">
        <v>1</v>
      </c>
      <c r="AQ506" s="231">
        <v>2025</v>
      </c>
      <c r="AR506" s="231" t="str">
        <f t="shared" si="65"/>
        <v>01/2025</v>
      </c>
      <c r="AS506" s="231">
        <f t="shared" si="66"/>
        <v>46.6</v>
      </c>
      <c r="AT506" s="239">
        <f>IF(G506="CERVECERIA Y MALTERIA",(AS506*AK506/1000000)*(1-VLOOKUP(N506,FCST!D:I,6,FALSE)),0)</f>
        <v>19.889625600000002</v>
      </c>
      <c r="AU506" s="232">
        <v>5.0000000000000001E-3</v>
      </c>
      <c r="AV506" s="239">
        <f t="shared" si="67"/>
        <v>19.989073728000001</v>
      </c>
      <c r="AW506" s="239">
        <f>(AS506*AK506/1000000)*(VLOOKUP(N506,FCST!D:I,6,FALSE))</f>
        <v>0</v>
      </c>
      <c r="AX506" s="239">
        <f t="shared" si="68"/>
        <v>0</v>
      </c>
      <c r="AY506" s="239">
        <f>IF($G506="CERVECERIA Y MALTERIA.",($AS506*$AK506/1000000)*(1-VLOOKUP($N506,FCST!D:I,6,FALSE)),0)</f>
        <v>0</v>
      </c>
      <c r="AZ506" s="239">
        <f t="shared" si="69"/>
        <v>0</v>
      </c>
    </row>
    <row r="507" spans="1:52" x14ac:dyDescent="0.25">
      <c r="A507" s="209">
        <v>1097593</v>
      </c>
      <c r="B507" s="209">
        <v>50</v>
      </c>
      <c r="C507" s="209" t="s">
        <v>986</v>
      </c>
      <c r="D507" s="209">
        <v>10</v>
      </c>
      <c r="E507" s="209">
        <v>10000002</v>
      </c>
      <c r="F507" s="209">
        <v>20000340</v>
      </c>
      <c r="G507" s="209" t="s">
        <v>117</v>
      </c>
      <c r="H507" s="209">
        <v>20000340</v>
      </c>
      <c r="I507" s="209">
        <v>2</v>
      </c>
      <c r="J507" s="209" t="s">
        <v>169</v>
      </c>
      <c r="K507" s="209" t="s">
        <v>987</v>
      </c>
      <c r="L507" s="209" t="s">
        <v>171</v>
      </c>
      <c r="M507" s="209" t="s">
        <v>172</v>
      </c>
      <c r="N507" s="209">
        <v>50027468</v>
      </c>
      <c r="O507" s="209" t="s">
        <v>285</v>
      </c>
      <c r="P507" s="209">
        <v>5101</v>
      </c>
      <c r="Q507" s="209" t="s">
        <v>186</v>
      </c>
      <c r="R507" s="209" t="s">
        <v>175</v>
      </c>
      <c r="S507" s="209" t="s">
        <v>176</v>
      </c>
      <c r="T507" s="209" t="s">
        <v>187</v>
      </c>
      <c r="U507" s="209" t="s">
        <v>188</v>
      </c>
      <c r="V507" s="209" t="s">
        <v>179</v>
      </c>
      <c r="W507" s="209" t="s">
        <v>179</v>
      </c>
      <c r="X507" s="209" t="s">
        <v>180</v>
      </c>
      <c r="Y507" s="209" t="s">
        <v>180</v>
      </c>
      <c r="Z507" s="209" t="s">
        <v>988</v>
      </c>
      <c r="AA507" s="209" t="s">
        <v>989</v>
      </c>
      <c r="AB507" s="209" t="s">
        <v>180</v>
      </c>
      <c r="AC507" s="209" t="s">
        <v>182</v>
      </c>
      <c r="AD507" s="209">
        <v>1</v>
      </c>
      <c r="AE507" s="209">
        <v>2025</v>
      </c>
      <c r="AF507" s="227">
        <v>45681</v>
      </c>
      <c r="AG507" s="227">
        <v>45688</v>
      </c>
      <c r="AH507" s="227">
        <v>45688</v>
      </c>
      <c r="AI507" s="228">
        <v>399360</v>
      </c>
      <c r="AJ507" s="228">
        <v>52</v>
      </c>
      <c r="AK507" s="228">
        <v>399360</v>
      </c>
      <c r="AL507" s="228">
        <v>52</v>
      </c>
      <c r="AM507" s="228">
        <v>0</v>
      </c>
      <c r="AN507" s="228">
        <v>0</v>
      </c>
      <c r="AO507" s="229">
        <v>5</v>
      </c>
      <c r="AP507" s="231">
        <v>1</v>
      </c>
      <c r="AQ507" s="231">
        <v>2025</v>
      </c>
      <c r="AR507" s="231" t="str">
        <f t="shared" si="65"/>
        <v>01/2025</v>
      </c>
      <c r="AS507" s="231">
        <f t="shared" si="66"/>
        <v>52</v>
      </c>
      <c r="AT507" s="239">
        <f>IF(G507="CERVECERIA Y MALTERIA",(AS507*AK507/1000000)*(1-VLOOKUP(N507,FCST!D:I,6,FALSE)),0)</f>
        <v>0</v>
      </c>
      <c r="AU507" s="232">
        <v>5.0000000000000001E-3</v>
      </c>
      <c r="AV507" s="239">
        <f t="shared" si="67"/>
        <v>0</v>
      </c>
      <c r="AW507" s="239">
        <f>(AS507*AK507/1000000)*(VLOOKUP(N507,FCST!D:I,6,FALSE))</f>
        <v>0</v>
      </c>
      <c r="AX507" s="239">
        <f t="shared" si="68"/>
        <v>0</v>
      </c>
      <c r="AY507" s="239">
        <f>IF($G507="CERVECERIA Y MALTERIA.",($AS507*$AK507/1000000)*(1-VLOOKUP($N507,FCST!D:I,6,FALSE)),0)</f>
        <v>20.766719999999999</v>
      </c>
      <c r="AZ507" s="239">
        <f t="shared" si="69"/>
        <v>20.870553599999997</v>
      </c>
    </row>
    <row r="508" spans="1:52" x14ac:dyDescent="0.25">
      <c r="A508" s="209">
        <v>1097592</v>
      </c>
      <c r="B508" s="209">
        <v>90</v>
      </c>
      <c r="C508" s="209" t="s">
        <v>990</v>
      </c>
      <c r="D508" s="209">
        <v>10</v>
      </c>
      <c r="E508" s="209">
        <v>10000002</v>
      </c>
      <c r="F508" s="209">
        <v>20000335</v>
      </c>
      <c r="G508" s="209" t="s">
        <v>105</v>
      </c>
      <c r="H508" s="209">
        <v>20000335</v>
      </c>
      <c r="I508" s="209">
        <v>2</v>
      </c>
      <c r="J508" s="209" t="s">
        <v>169</v>
      </c>
      <c r="K508" s="209" t="s">
        <v>991</v>
      </c>
      <c r="L508" s="209" t="s">
        <v>171</v>
      </c>
      <c r="M508" s="209" t="s">
        <v>172</v>
      </c>
      <c r="N508" s="209">
        <v>50035184</v>
      </c>
      <c r="O508" s="209" t="s">
        <v>672</v>
      </c>
      <c r="P508" s="209">
        <v>5121</v>
      </c>
      <c r="Q508" s="209" t="s">
        <v>174</v>
      </c>
      <c r="R508" s="209" t="s">
        <v>175</v>
      </c>
      <c r="S508" s="209" t="s">
        <v>176</v>
      </c>
      <c r="T508" s="209" t="s">
        <v>177</v>
      </c>
      <c r="U508" s="209" t="s">
        <v>178</v>
      </c>
      <c r="V508" s="209" t="s">
        <v>179</v>
      </c>
      <c r="W508" s="209" t="s">
        <v>179</v>
      </c>
      <c r="X508" s="209" t="s">
        <v>180</v>
      </c>
      <c r="Y508" s="209" t="s">
        <v>180</v>
      </c>
      <c r="Z508" s="209" t="s">
        <v>992</v>
      </c>
      <c r="AA508" s="209" t="s">
        <v>993</v>
      </c>
      <c r="AB508" s="209" t="s">
        <v>180</v>
      </c>
      <c r="AC508" s="209" t="s">
        <v>182</v>
      </c>
      <c r="AD508" s="209">
        <v>1</v>
      </c>
      <c r="AE508" s="209">
        <v>2025</v>
      </c>
      <c r="AF508" s="227">
        <v>45681</v>
      </c>
      <c r="AG508" s="227">
        <v>45688</v>
      </c>
      <c r="AH508" s="227">
        <v>45688</v>
      </c>
      <c r="AI508" s="228">
        <v>977184</v>
      </c>
      <c r="AJ508" s="228">
        <v>52</v>
      </c>
      <c r="AK508" s="228">
        <v>977184</v>
      </c>
      <c r="AL508" s="228">
        <v>52</v>
      </c>
      <c r="AM508" s="228">
        <v>0</v>
      </c>
      <c r="AN508" s="228">
        <v>0</v>
      </c>
      <c r="AO508" s="229">
        <v>5</v>
      </c>
      <c r="AP508" s="231">
        <v>1</v>
      </c>
      <c r="AQ508" s="231">
        <v>2025</v>
      </c>
      <c r="AR508" s="231" t="str">
        <f t="shared" si="65"/>
        <v>01/2025</v>
      </c>
      <c r="AS508" s="231">
        <f t="shared" si="66"/>
        <v>19.5</v>
      </c>
      <c r="AT508" s="239">
        <f>IF(G508="CERVECERIA Y MALTERIA",(AS508*AK508/1000000)*(1-VLOOKUP(N508,FCST!D:I,6,FALSE)),0)</f>
        <v>19.055088000000001</v>
      </c>
      <c r="AU508" s="232">
        <v>5.0000000000000001E-3</v>
      </c>
      <c r="AV508" s="239">
        <f t="shared" si="67"/>
        <v>19.15036344</v>
      </c>
      <c r="AW508" s="239">
        <f>(AS508*AK508/1000000)*(VLOOKUP(N508,FCST!D:I,6,FALSE))</f>
        <v>0</v>
      </c>
      <c r="AX508" s="239">
        <f t="shared" si="68"/>
        <v>0</v>
      </c>
      <c r="AY508" s="239">
        <f>IF($G508="CERVECERIA Y MALTERIA.",($AS508*$AK508/1000000)*(1-VLOOKUP($N508,FCST!D:I,6,FALSE)),0)</f>
        <v>0</v>
      </c>
      <c r="AZ508" s="239">
        <f t="shared" si="69"/>
        <v>0</v>
      </c>
    </row>
    <row r="509" spans="1:52" x14ac:dyDescent="0.25">
      <c r="A509" s="209">
        <v>1097593</v>
      </c>
      <c r="B509" s="209">
        <v>20</v>
      </c>
      <c r="C509" s="209" t="s">
        <v>994</v>
      </c>
      <c r="D509" s="209">
        <v>10</v>
      </c>
      <c r="E509" s="209">
        <v>10000002</v>
      </c>
      <c r="F509" s="209">
        <v>20000340</v>
      </c>
      <c r="G509" s="209" t="s">
        <v>117</v>
      </c>
      <c r="H509" s="209">
        <v>20000340</v>
      </c>
      <c r="I509" s="209">
        <v>2</v>
      </c>
      <c r="J509" s="209" t="s">
        <v>169</v>
      </c>
      <c r="K509" s="209" t="s">
        <v>995</v>
      </c>
      <c r="L509" s="209" t="s">
        <v>171</v>
      </c>
      <c r="M509" s="209" t="s">
        <v>184</v>
      </c>
      <c r="N509" s="209">
        <v>50027468</v>
      </c>
      <c r="O509" s="209" t="s">
        <v>285</v>
      </c>
      <c r="P509" s="209">
        <v>5101</v>
      </c>
      <c r="Q509" s="209" t="s">
        <v>186</v>
      </c>
      <c r="R509" s="209" t="s">
        <v>175</v>
      </c>
      <c r="S509" s="209" t="s">
        <v>176</v>
      </c>
      <c r="T509" s="209" t="s">
        <v>187</v>
      </c>
      <c r="U509" s="209" t="s">
        <v>188</v>
      </c>
      <c r="V509" s="209" t="s">
        <v>179</v>
      </c>
      <c r="W509" s="209" t="s">
        <v>179</v>
      </c>
      <c r="X509" s="209" t="s">
        <v>180</v>
      </c>
      <c r="Y509" s="209" t="s">
        <v>180</v>
      </c>
      <c r="Z509" s="209" t="s">
        <v>996</v>
      </c>
      <c r="AA509" s="209" t="s">
        <v>997</v>
      </c>
      <c r="AB509" s="209" t="s">
        <v>180</v>
      </c>
      <c r="AC509" s="209" t="s">
        <v>182</v>
      </c>
      <c r="AD509" s="209">
        <v>1</v>
      </c>
      <c r="AE509" s="209">
        <v>2025</v>
      </c>
      <c r="AF509" s="227">
        <v>45681</v>
      </c>
      <c r="AG509" s="227">
        <v>45685</v>
      </c>
      <c r="AH509" s="227">
        <v>45685</v>
      </c>
      <c r="AI509" s="228">
        <v>399360</v>
      </c>
      <c r="AJ509" s="228">
        <v>52</v>
      </c>
      <c r="AK509" s="228">
        <v>399360</v>
      </c>
      <c r="AL509" s="228">
        <v>52</v>
      </c>
      <c r="AM509" s="228">
        <v>0</v>
      </c>
      <c r="AN509" s="228">
        <v>0</v>
      </c>
      <c r="AO509" s="229">
        <v>5</v>
      </c>
      <c r="AP509" s="231">
        <v>1</v>
      </c>
      <c r="AQ509" s="231">
        <v>2025</v>
      </c>
      <c r="AR509" s="231" t="str">
        <f t="shared" si="65"/>
        <v>01/2025</v>
      </c>
      <c r="AS509" s="231">
        <f t="shared" si="66"/>
        <v>52</v>
      </c>
      <c r="AT509" s="239">
        <f>IF(G509="CERVECERIA Y MALTERIA",(AS509*AK509/1000000)*(1-VLOOKUP(N509,FCST!D:I,6,FALSE)),0)</f>
        <v>0</v>
      </c>
      <c r="AU509" s="232">
        <v>5.0000000000000001E-3</v>
      </c>
      <c r="AV509" s="239">
        <f t="shared" si="67"/>
        <v>0</v>
      </c>
      <c r="AW509" s="239">
        <f>(AS509*AK509/1000000)*(VLOOKUP(N509,FCST!D:I,6,FALSE))</f>
        <v>0</v>
      </c>
      <c r="AX509" s="239">
        <f t="shared" si="68"/>
        <v>0</v>
      </c>
      <c r="AY509" s="239">
        <f>IF($G509="CERVECERIA Y MALTERIA.",($AS509*$AK509/1000000)*(1-VLOOKUP($N509,FCST!D:I,6,FALSE)),0)</f>
        <v>20.766719999999999</v>
      </c>
      <c r="AZ509" s="239">
        <f t="shared" si="69"/>
        <v>20.870553599999997</v>
      </c>
    </row>
    <row r="510" spans="1:52" x14ac:dyDescent="0.25">
      <c r="A510" s="209">
        <v>1093745</v>
      </c>
      <c r="B510" s="209">
        <v>120</v>
      </c>
      <c r="C510" s="209" t="s">
        <v>998</v>
      </c>
      <c r="D510" s="209">
        <v>10</v>
      </c>
      <c r="E510" s="209">
        <v>10000002</v>
      </c>
      <c r="F510" s="209">
        <v>20000336</v>
      </c>
      <c r="G510" s="209" t="s">
        <v>105</v>
      </c>
      <c r="H510" s="209">
        <v>20000336</v>
      </c>
      <c r="I510" s="209">
        <v>2</v>
      </c>
      <c r="J510" s="209" t="s">
        <v>169</v>
      </c>
      <c r="K510" s="209" t="s">
        <v>999</v>
      </c>
      <c r="L510" s="209" t="s">
        <v>265</v>
      </c>
      <c r="M510" s="209" t="s">
        <v>172</v>
      </c>
      <c r="N510" s="209">
        <v>50034634</v>
      </c>
      <c r="O510" s="209" t="s">
        <v>219</v>
      </c>
      <c r="P510" s="209">
        <v>5121</v>
      </c>
      <c r="Q510" s="209" t="s">
        <v>174</v>
      </c>
      <c r="R510" s="209" t="s">
        <v>175</v>
      </c>
      <c r="S510" s="209" t="s">
        <v>176</v>
      </c>
      <c r="T510" s="209" t="s">
        <v>177</v>
      </c>
      <c r="U510" s="209" t="s">
        <v>178</v>
      </c>
      <c r="V510" s="209" t="s">
        <v>179</v>
      </c>
      <c r="W510" s="209" t="s">
        <v>179</v>
      </c>
      <c r="X510" s="209" t="s">
        <v>180</v>
      </c>
      <c r="Y510" s="209" t="s">
        <v>180</v>
      </c>
      <c r="Z510" s="209" t="s">
        <v>1000</v>
      </c>
      <c r="AA510" s="209" t="s">
        <v>1001</v>
      </c>
      <c r="AB510" s="209" t="s">
        <v>180</v>
      </c>
      <c r="AC510" s="209" t="s">
        <v>182</v>
      </c>
      <c r="AD510" s="209">
        <v>1</v>
      </c>
      <c r="AE510" s="209">
        <v>2025</v>
      </c>
      <c r="AF510" s="227">
        <v>45660</v>
      </c>
      <c r="AG510" s="227">
        <v>45685</v>
      </c>
      <c r="AH510" s="227">
        <v>45685</v>
      </c>
      <c r="AI510" s="228">
        <v>364416</v>
      </c>
      <c r="AJ510" s="228">
        <v>52</v>
      </c>
      <c r="AK510" s="228">
        <v>364416</v>
      </c>
      <c r="AL510" s="228">
        <v>52</v>
      </c>
      <c r="AM510" s="228">
        <v>0</v>
      </c>
      <c r="AN510" s="228">
        <v>0</v>
      </c>
      <c r="AO510" s="229">
        <v>1</v>
      </c>
      <c r="AP510" s="231">
        <v>1</v>
      </c>
      <c r="AQ510" s="231">
        <v>2025</v>
      </c>
      <c r="AR510" s="231" t="str">
        <f t="shared" si="65"/>
        <v>01/2025</v>
      </c>
      <c r="AS510" s="231">
        <f t="shared" si="66"/>
        <v>52</v>
      </c>
      <c r="AT510" s="239">
        <f>IF(G510="CERVECERIA Y MALTERIA",(AS510*AK510/1000000)*(1-VLOOKUP(N510,FCST!D:I,6,FALSE)),0)</f>
        <v>18.949632000000001</v>
      </c>
      <c r="AU510" s="232">
        <v>5.0000000000000001E-3</v>
      </c>
      <c r="AV510" s="239">
        <f t="shared" si="67"/>
        <v>19.044380159999999</v>
      </c>
      <c r="AW510" s="239">
        <f>(AS510*AK510/1000000)*(VLOOKUP(N510,FCST!D:I,6,FALSE))</f>
        <v>0</v>
      </c>
      <c r="AX510" s="239">
        <f t="shared" si="68"/>
        <v>0</v>
      </c>
      <c r="AY510" s="239">
        <f>IF($G510="CERVECERIA Y MALTERIA.",($AS510*$AK510/1000000)*(1-VLOOKUP($N510,FCST!D:I,6,FALSE)),0)</f>
        <v>0</v>
      </c>
      <c r="AZ510" s="239">
        <f t="shared" si="69"/>
        <v>0</v>
      </c>
    </row>
    <row r="511" spans="1:52" x14ac:dyDescent="0.25">
      <c r="A511" s="209">
        <v>1097592</v>
      </c>
      <c r="B511" s="209">
        <v>40</v>
      </c>
      <c r="C511" s="209" t="s">
        <v>1002</v>
      </c>
      <c r="D511" s="209">
        <v>10</v>
      </c>
      <c r="E511" s="209">
        <v>10000002</v>
      </c>
      <c r="F511" s="209">
        <v>20000335</v>
      </c>
      <c r="G511" s="209" t="s">
        <v>105</v>
      </c>
      <c r="H511" s="209">
        <v>20000335</v>
      </c>
      <c r="I511" s="209">
        <v>2</v>
      </c>
      <c r="J511" s="209" t="s">
        <v>169</v>
      </c>
      <c r="K511" s="209" t="s">
        <v>1003</v>
      </c>
      <c r="L511" s="209" t="s">
        <v>171</v>
      </c>
      <c r="M511" s="209" t="s">
        <v>199</v>
      </c>
      <c r="N511" s="209">
        <v>50034616</v>
      </c>
      <c r="O511" s="209" t="s">
        <v>191</v>
      </c>
      <c r="P511" s="209">
        <v>5121</v>
      </c>
      <c r="Q511" s="209" t="s">
        <v>200</v>
      </c>
      <c r="R511" s="209" t="s">
        <v>201</v>
      </c>
      <c r="S511" s="209" t="s">
        <v>202</v>
      </c>
      <c r="T511" s="209" t="s">
        <v>203</v>
      </c>
      <c r="U511" s="209" t="s">
        <v>201</v>
      </c>
      <c r="V511" s="209" t="s">
        <v>179</v>
      </c>
      <c r="W511" s="209" t="s">
        <v>179</v>
      </c>
      <c r="X511" s="209" t="s">
        <v>180</v>
      </c>
      <c r="Y511" s="209" t="s">
        <v>180</v>
      </c>
      <c r="Z511" s="209" t="s">
        <v>1004</v>
      </c>
      <c r="AA511" s="209" t="s">
        <v>1005</v>
      </c>
      <c r="AB511" s="209" t="s">
        <v>180</v>
      </c>
      <c r="AC511" s="209" t="s">
        <v>182</v>
      </c>
      <c r="AD511" s="209">
        <v>1</v>
      </c>
      <c r="AE511" s="209">
        <v>2025</v>
      </c>
      <c r="AF511" s="227">
        <v>45681</v>
      </c>
      <c r="AG511" s="227">
        <v>45685</v>
      </c>
      <c r="AH511" s="227">
        <v>45685</v>
      </c>
      <c r="AI511" s="228">
        <v>426816</v>
      </c>
      <c r="AJ511" s="228">
        <v>52</v>
      </c>
      <c r="AK511" s="228">
        <v>426816</v>
      </c>
      <c r="AL511" s="228">
        <v>52</v>
      </c>
      <c r="AM511" s="228">
        <v>0</v>
      </c>
      <c r="AN511" s="228">
        <v>0</v>
      </c>
      <c r="AO511" s="229">
        <v>5</v>
      </c>
      <c r="AP511" s="231">
        <v>1</v>
      </c>
      <c r="AQ511" s="231">
        <v>2025</v>
      </c>
      <c r="AR511" s="231" t="str">
        <f t="shared" si="65"/>
        <v>01/2025</v>
      </c>
      <c r="AS511" s="231">
        <f t="shared" si="66"/>
        <v>46.6</v>
      </c>
      <c r="AT511" s="239">
        <f>IF(G511="CERVECERIA Y MALTERIA",(AS511*AK511/1000000)*(1-VLOOKUP(N511,FCST!D:I,6,FALSE)),0)</f>
        <v>19.889625600000002</v>
      </c>
      <c r="AU511" s="232">
        <v>5.0000000000000001E-3</v>
      </c>
      <c r="AV511" s="239">
        <f t="shared" si="67"/>
        <v>19.989073728000001</v>
      </c>
      <c r="AW511" s="239">
        <f>(AS511*AK511/1000000)*(VLOOKUP(N511,FCST!D:I,6,FALSE))</f>
        <v>0</v>
      </c>
      <c r="AX511" s="239">
        <f t="shared" si="68"/>
        <v>0</v>
      </c>
      <c r="AY511" s="239">
        <f>IF($G511="CERVECERIA Y MALTERIA.",($AS511*$AK511/1000000)*(1-VLOOKUP($N511,FCST!D:I,6,FALSE)),0)</f>
        <v>0</v>
      </c>
      <c r="AZ511" s="239">
        <f t="shared" si="69"/>
        <v>0</v>
      </c>
    </row>
    <row r="512" spans="1:52" x14ac:dyDescent="0.25">
      <c r="A512" s="209">
        <v>1094003</v>
      </c>
      <c r="B512" s="209">
        <v>110</v>
      </c>
      <c r="C512" s="209" t="s">
        <v>1006</v>
      </c>
      <c r="D512" s="209">
        <v>10</v>
      </c>
      <c r="E512" s="209">
        <v>10000002</v>
      </c>
      <c r="F512" s="209">
        <v>20000337</v>
      </c>
      <c r="G512" s="209" t="s">
        <v>105</v>
      </c>
      <c r="H512" s="209">
        <v>20000337</v>
      </c>
      <c r="I512" s="209">
        <v>2</v>
      </c>
      <c r="J512" s="209" t="s">
        <v>169</v>
      </c>
      <c r="K512" s="209" t="s">
        <v>1007</v>
      </c>
      <c r="L512" s="209" t="s">
        <v>265</v>
      </c>
      <c r="M512" s="209" t="s">
        <v>199</v>
      </c>
      <c r="N512" s="209">
        <v>50035183</v>
      </c>
      <c r="O512" s="209" t="s">
        <v>215</v>
      </c>
      <c r="P512" s="209">
        <v>5121</v>
      </c>
      <c r="Q512" s="209" t="s">
        <v>200</v>
      </c>
      <c r="R512" s="209" t="s">
        <v>201</v>
      </c>
      <c r="S512" s="209" t="s">
        <v>202</v>
      </c>
      <c r="T512" s="209" t="s">
        <v>203</v>
      </c>
      <c r="U512" s="209" t="s">
        <v>201</v>
      </c>
      <c r="V512" s="209" t="s">
        <v>179</v>
      </c>
      <c r="W512" s="209" t="s">
        <v>179</v>
      </c>
      <c r="X512" s="209" t="s">
        <v>180</v>
      </c>
      <c r="Y512" s="209" t="s">
        <v>180</v>
      </c>
      <c r="Z512" s="209" t="s">
        <v>1008</v>
      </c>
      <c r="AA512" s="209" t="s">
        <v>1009</v>
      </c>
      <c r="AB512" s="209" t="s">
        <v>180</v>
      </c>
      <c r="AC512" s="209" t="s">
        <v>182</v>
      </c>
      <c r="AD512" s="209">
        <v>1</v>
      </c>
      <c r="AE512" s="209">
        <v>2025</v>
      </c>
      <c r="AF512" s="227">
        <v>45663</v>
      </c>
      <c r="AG512" s="227">
        <v>45685</v>
      </c>
      <c r="AH512" s="227">
        <v>45685</v>
      </c>
      <c r="AI512" s="228">
        <v>426816</v>
      </c>
      <c r="AJ512" s="228">
        <v>52</v>
      </c>
      <c r="AK512" s="228">
        <v>426816</v>
      </c>
      <c r="AL512" s="228">
        <v>52</v>
      </c>
      <c r="AM512" s="228">
        <v>0</v>
      </c>
      <c r="AN512" s="228">
        <v>0</v>
      </c>
      <c r="AO512" s="229">
        <v>2</v>
      </c>
      <c r="AP512" s="231">
        <v>1</v>
      </c>
      <c r="AQ512" s="231">
        <v>2025</v>
      </c>
      <c r="AR512" s="231" t="str">
        <f t="shared" si="65"/>
        <v>01/2025</v>
      </c>
      <c r="AS512" s="231">
        <f t="shared" si="66"/>
        <v>46.6</v>
      </c>
      <c r="AT512" s="239">
        <f>IF(G512="CERVECERIA Y MALTERIA",(AS512*AK512/1000000)*(1-VLOOKUP(N512,FCST!D:I,6,FALSE)),0)</f>
        <v>19.889625600000002</v>
      </c>
      <c r="AU512" s="232">
        <v>5.0000000000000001E-3</v>
      </c>
      <c r="AV512" s="239">
        <f t="shared" si="67"/>
        <v>19.989073728000001</v>
      </c>
      <c r="AW512" s="239">
        <f>(AS512*AK512/1000000)*(VLOOKUP(N512,FCST!D:I,6,FALSE))</f>
        <v>0</v>
      </c>
      <c r="AX512" s="239">
        <f t="shared" si="68"/>
        <v>0</v>
      </c>
      <c r="AY512" s="239">
        <f>IF($G512="CERVECERIA Y MALTERIA.",($AS512*$AK512/1000000)*(1-VLOOKUP($N512,FCST!D:I,6,FALSE)),0)</f>
        <v>0</v>
      </c>
      <c r="AZ512" s="239">
        <f t="shared" si="69"/>
        <v>0</v>
      </c>
    </row>
    <row r="513" spans="1:52" x14ac:dyDescent="0.25">
      <c r="A513" s="209">
        <v>1097592</v>
      </c>
      <c r="B513" s="209">
        <v>30</v>
      </c>
      <c r="C513" s="209" t="s">
        <v>1010</v>
      </c>
      <c r="D513" s="209">
        <v>10</v>
      </c>
      <c r="E513" s="209">
        <v>10000002</v>
      </c>
      <c r="F513" s="209">
        <v>20000335</v>
      </c>
      <c r="G513" s="209" t="s">
        <v>105</v>
      </c>
      <c r="H513" s="209">
        <v>20000335</v>
      </c>
      <c r="I513" s="209">
        <v>2</v>
      </c>
      <c r="J513" s="209" t="s">
        <v>169</v>
      </c>
      <c r="K513" s="209" t="s">
        <v>1011</v>
      </c>
      <c r="L513" s="209" t="s">
        <v>171</v>
      </c>
      <c r="M513" s="209" t="s">
        <v>172</v>
      </c>
      <c r="N513" s="209">
        <v>50035184</v>
      </c>
      <c r="O513" s="209" t="s">
        <v>672</v>
      </c>
      <c r="P513" s="209">
        <v>5121</v>
      </c>
      <c r="Q513" s="209" t="s">
        <v>174</v>
      </c>
      <c r="R513" s="209" t="s">
        <v>175</v>
      </c>
      <c r="S513" s="209" t="s">
        <v>176</v>
      </c>
      <c r="T513" s="209" t="s">
        <v>177</v>
      </c>
      <c r="U513" s="209" t="s">
        <v>178</v>
      </c>
      <c r="V513" s="209" t="s">
        <v>179</v>
      </c>
      <c r="W513" s="209" t="s">
        <v>179</v>
      </c>
      <c r="X513" s="209" t="s">
        <v>180</v>
      </c>
      <c r="Y513" s="209" t="s">
        <v>180</v>
      </c>
      <c r="Z513" s="209" t="s">
        <v>1012</v>
      </c>
      <c r="AA513" s="209" t="s">
        <v>1013</v>
      </c>
      <c r="AB513" s="209" t="s">
        <v>180</v>
      </c>
      <c r="AC513" s="209" t="s">
        <v>182</v>
      </c>
      <c r="AD513" s="209">
        <v>1</v>
      </c>
      <c r="AE513" s="209">
        <v>2025</v>
      </c>
      <c r="AF513" s="227">
        <v>45681</v>
      </c>
      <c r="AG513" s="227">
        <v>45685</v>
      </c>
      <c r="AH513" s="227">
        <v>45685</v>
      </c>
      <c r="AI513" s="228">
        <v>977184</v>
      </c>
      <c r="AJ513" s="228">
        <v>52</v>
      </c>
      <c r="AK513" s="228">
        <v>977184</v>
      </c>
      <c r="AL513" s="228">
        <v>52</v>
      </c>
      <c r="AM513" s="228">
        <v>0</v>
      </c>
      <c r="AN513" s="228">
        <v>0</v>
      </c>
      <c r="AO513" s="229">
        <v>5</v>
      </c>
      <c r="AP513" s="231">
        <v>1</v>
      </c>
      <c r="AQ513" s="231">
        <v>2025</v>
      </c>
      <c r="AR513" s="231" t="str">
        <f t="shared" si="65"/>
        <v>01/2025</v>
      </c>
      <c r="AS513" s="231">
        <f t="shared" si="66"/>
        <v>19.5</v>
      </c>
      <c r="AT513" s="239">
        <f>IF(G513="CERVECERIA Y MALTERIA",(AS513*AK513/1000000)*(1-VLOOKUP(N513,FCST!D:I,6,FALSE)),0)</f>
        <v>19.055088000000001</v>
      </c>
      <c r="AU513" s="232">
        <v>5.0000000000000001E-3</v>
      </c>
      <c r="AV513" s="239">
        <f t="shared" si="67"/>
        <v>19.15036344</v>
      </c>
      <c r="AW513" s="239">
        <f>(AS513*AK513/1000000)*(VLOOKUP(N513,FCST!D:I,6,FALSE))</f>
        <v>0</v>
      </c>
      <c r="AX513" s="239">
        <f t="shared" si="68"/>
        <v>0</v>
      </c>
      <c r="AY513" s="239">
        <f>IF($G513="CERVECERIA Y MALTERIA.",($AS513*$AK513/1000000)*(1-VLOOKUP($N513,FCST!D:I,6,FALSE)),0)</f>
        <v>0</v>
      </c>
      <c r="AZ513" s="239">
        <f t="shared" si="69"/>
        <v>0</v>
      </c>
    </row>
    <row r="514" spans="1:52" x14ac:dyDescent="0.25">
      <c r="A514" s="209">
        <v>1097593</v>
      </c>
      <c r="B514" s="209">
        <v>30</v>
      </c>
      <c r="C514" s="209" t="s">
        <v>1014</v>
      </c>
      <c r="D514" s="209">
        <v>10</v>
      </c>
      <c r="E514" s="209">
        <v>10000002</v>
      </c>
      <c r="F514" s="209">
        <v>20000340</v>
      </c>
      <c r="G514" s="209" t="s">
        <v>117</v>
      </c>
      <c r="H514" s="209">
        <v>20000340</v>
      </c>
      <c r="I514" s="209">
        <v>2</v>
      </c>
      <c r="J514" s="209" t="s">
        <v>169</v>
      </c>
      <c r="K514" s="209" t="s">
        <v>1015</v>
      </c>
      <c r="L514" s="209" t="s">
        <v>171</v>
      </c>
      <c r="M514" s="209" t="s">
        <v>172</v>
      </c>
      <c r="N514" s="209">
        <v>50027468</v>
      </c>
      <c r="O514" s="209" t="s">
        <v>285</v>
      </c>
      <c r="P514" s="209">
        <v>5101</v>
      </c>
      <c r="Q514" s="209" t="s">
        <v>186</v>
      </c>
      <c r="R514" s="209" t="s">
        <v>175</v>
      </c>
      <c r="S514" s="209" t="s">
        <v>176</v>
      </c>
      <c r="T514" s="209" t="s">
        <v>187</v>
      </c>
      <c r="U514" s="209" t="s">
        <v>188</v>
      </c>
      <c r="V514" s="209" t="s">
        <v>179</v>
      </c>
      <c r="W514" s="209" t="s">
        <v>179</v>
      </c>
      <c r="X514" s="209" t="s">
        <v>180</v>
      </c>
      <c r="Y514" s="209" t="s">
        <v>180</v>
      </c>
      <c r="Z514" s="209" t="s">
        <v>1016</v>
      </c>
      <c r="AA514" s="209" t="s">
        <v>1017</v>
      </c>
      <c r="AB514" s="209" t="s">
        <v>180</v>
      </c>
      <c r="AC514" s="209" t="s">
        <v>182</v>
      </c>
      <c r="AD514" s="209">
        <v>1</v>
      </c>
      <c r="AE514" s="209">
        <v>2025</v>
      </c>
      <c r="AF514" s="227">
        <v>45681</v>
      </c>
      <c r="AG514" s="227">
        <v>45686</v>
      </c>
      <c r="AH514" s="227">
        <v>45686</v>
      </c>
      <c r="AI514" s="228">
        <v>399360</v>
      </c>
      <c r="AJ514" s="228">
        <v>52</v>
      </c>
      <c r="AK514" s="228">
        <v>399360</v>
      </c>
      <c r="AL514" s="228">
        <v>52</v>
      </c>
      <c r="AM514" s="228">
        <v>0</v>
      </c>
      <c r="AN514" s="228">
        <v>0</v>
      </c>
      <c r="AO514" s="229">
        <v>5</v>
      </c>
      <c r="AP514" s="231">
        <v>1</v>
      </c>
      <c r="AQ514" s="231">
        <v>2025</v>
      </c>
      <c r="AR514" s="231" t="str">
        <f t="shared" si="65"/>
        <v>01/2025</v>
      </c>
      <c r="AS514" s="231">
        <f t="shared" si="66"/>
        <v>52</v>
      </c>
      <c r="AT514" s="239">
        <f>IF(G514="CERVECERIA Y MALTERIA",(AS514*AK514/1000000)*(1-VLOOKUP(N514,FCST!D:I,6,FALSE)),0)</f>
        <v>0</v>
      </c>
      <c r="AU514" s="232">
        <v>5.0000000000000001E-3</v>
      </c>
      <c r="AV514" s="239">
        <f t="shared" si="67"/>
        <v>0</v>
      </c>
      <c r="AW514" s="239">
        <f>(AS514*AK514/1000000)*(VLOOKUP(N514,FCST!D:I,6,FALSE))</f>
        <v>0</v>
      </c>
      <c r="AX514" s="239">
        <f t="shared" si="68"/>
        <v>0</v>
      </c>
      <c r="AY514" s="239">
        <f>IF($G514="CERVECERIA Y MALTERIA.",($AS514*$AK514/1000000)*(1-VLOOKUP($N514,FCST!D:I,6,FALSE)),0)</f>
        <v>20.766719999999999</v>
      </c>
      <c r="AZ514" s="239">
        <f t="shared" si="69"/>
        <v>20.870553599999997</v>
      </c>
    </row>
    <row r="515" spans="1:52" x14ac:dyDescent="0.25">
      <c r="A515" s="209">
        <v>1097592</v>
      </c>
      <c r="B515" s="209">
        <v>50</v>
      </c>
      <c r="C515" s="209" t="s">
        <v>1018</v>
      </c>
      <c r="D515" s="209">
        <v>10</v>
      </c>
      <c r="E515" s="209">
        <v>10000002</v>
      </c>
      <c r="F515" s="209">
        <v>20000335</v>
      </c>
      <c r="G515" s="209" t="s">
        <v>105</v>
      </c>
      <c r="H515" s="209">
        <v>20000335</v>
      </c>
      <c r="I515" s="209">
        <v>2</v>
      </c>
      <c r="J515" s="209" t="s">
        <v>169</v>
      </c>
      <c r="K515" s="209" t="s">
        <v>1019</v>
      </c>
      <c r="L515" s="209" t="s">
        <v>171</v>
      </c>
      <c r="M515" s="209" t="s">
        <v>184</v>
      </c>
      <c r="N515" s="209">
        <v>50037887</v>
      </c>
      <c r="O515" s="209" t="s">
        <v>679</v>
      </c>
      <c r="P515" s="209">
        <v>5121</v>
      </c>
      <c r="Q515" s="209" t="s">
        <v>174</v>
      </c>
      <c r="R515" s="209" t="s">
        <v>175</v>
      </c>
      <c r="S515" s="209" t="s">
        <v>176</v>
      </c>
      <c r="T515" s="209" t="s">
        <v>177</v>
      </c>
      <c r="U515" s="209" t="s">
        <v>178</v>
      </c>
      <c r="V515" s="209" t="s">
        <v>179</v>
      </c>
      <c r="W515" s="209" t="s">
        <v>179</v>
      </c>
      <c r="X515" s="209" t="s">
        <v>180</v>
      </c>
      <c r="Y515" s="209" t="s">
        <v>180</v>
      </c>
      <c r="Z515" s="209" t="s">
        <v>1020</v>
      </c>
      <c r="AA515" s="209" t="s">
        <v>1021</v>
      </c>
      <c r="AB515" s="209" t="s">
        <v>180</v>
      </c>
      <c r="AC515" s="209" t="s">
        <v>182</v>
      </c>
      <c r="AD515" s="209">
        <v>1</v>
      </c>
      <c r="AE515" s="209">
        <v>2025</v>
      </c>
      <c r="AF515" s="227">
        <v>45681</v>
      </c>
      <c r="AG515" s="227">
        <v>45686</v>
      </c>
      <c r="AH515" s="227">
        <v>45686</v>
      </c>
      <c r="AI515" s="228">
        <v>531648</v>
      </c>
      <c r="AJ515" s="228">
        <v>52</v>
      </c>
      <c r="AK515" s="228">
        <v>531648</v>
      </c>
      <c r="AL515" s="228">
        <v>52</v>
      </c>
      <c r="AM515" s="228">
        <v>0</v>
      </c>
      <c r="AN515" s="228">
        <v>0</v>
      </c>
      <c r="AO515" s="229">
        <v>5</v>
      </c>
      <c r="AP515" s="231">
        <v>1</v>
      </c>
      <c r="AQ515" s="231">
        <v>2025</v>
      </c>
      <c r="AR515" s="231" t="str">
        <f t="shared" si="65"/>
        <v>01/2025</v>
      </c>
      <c r="AS515" s="231">
        <f t="shared" si="66"/>
        <v>37.200000000000003</v>
      </c>
      <c r="AT515" s="239">
        <f>IF(G515="CERVECERIA Y MALTERIA",(AS515*AK515/1000000)*(1-VLOOKUP(N515,FCST!D:I,6,FALSE)),0)</f>
        <v>19.777305600000002</v>
      </c>
      <c r="AU515" s="232">
        <v>5.0000000000000001E-3</v>
      </c>
      <c r="AV515" s="239">
        <f t="shared" si="67"/>
        <v>19.876192128</v>
      </c>
      <c r="AW515" s="239">
        <f>(AS515*AK515/1000000)*(VLOOKUP(N515,FCST!D:I,6,FALSE))</f>
        <v>0</v>
      </c>
      <c r="AX515" s="239">
        <f t="shared" si="68"/>
        <v>0</v>
      </c>
      <c r="AY515" s="239">
        <f>IF($G515="CERVECERIA Y MALTERIA.",($AS515*$AK515/1000000)*(1-VLOOKUP($N515,FCST!D:I,6,FALSE)),0)</f>
        <v>0</v>
      </c>
      <c r="AZ515" s="239">
        <f t="shared" si="69"/>
        <v>0</v>
      </c>
    </row>
    <row r="516" spans="1:52" x14ac:dyDescent="0.25">
      <c r="A516" s="209">
        <v>1097592</v>
      </c>
      <c r="B516" s="209">
        <v>60</v>
      </c>
      <c r="C516" s="209" t="s">
        <v>1022</v>
      </c>
      <c r="D516" s="209">
        <v>10</v>
      </c>
      <c r="E516" s="209">
        <v>10000002</v>
      </c>
      <c r="F516" s="209">
        <v>20000335</v>
      </c>
      <c r="G516" s="209" t="s">
        <v>105</v>
      </c>
      <c r="H516" s="209">
        <v>20000335</v>
      </c>
      <c r="I516" s="209">
        <v>2</v>
      </c>
      <c r="J516" s="209" t="s">
        <v>169</v>
      </c>
      <c r="K516" s="209" t="s">
        <v>1023</v>
      </c>
      <c r="L516" s="209" t="s">
        <v>171</v>
      </c>
      <c r="M516" s="209" t="s">
        <v>199</v>
      </c>
      <c r="N516" s="209">
        <v>50034616</v>
      </c>
      <c r="O516" s="209" t="s">
        <v>191</v>
      </c>
      <c r="P516" s="209">
        <v>5121</v>
      </c>
      <c r="Q516" s="209" t="s">
        <v>200</v>
      </c>
      <c r="R516" s="209" t="s">
        <v>201</v>
      </c>
      <c r="S516" s="209" t="s">
        <v>202</v>
      </c>
      <c r="T516" s="209" t="s">
        <v>203</v>
      </c>
      <c r="U516" s="209" t="s">
        <v>201</v>
      </c>
      <c r="V516" s="209" t="s">
        <v>179</v>
      </c>
      <c r="W516" s="209" t="s">
        <v>179</v>
      </c>
      <c r="X516" s="209" t="s">
        <v>180</v>
      </c>
      <c r="Y516" s="209" t="s">
        <v>180</v>
      </c>
      <c r="Z516" s="209" t="s">
        <v>1024</v>
      </c>
      <c r="AA516" s="209" t="s">
        <v>1025</v>
      </c>
      <c r="AB516" s="209" t="s">
        <v>180</v>
      </c>
      <c r="AC516" s="209" t="s">
        <v>182</v>
      </c>
      <c r="AD516" s="209">
        <v>1</v>
      </c>
      <c r="AE516" s="209">
        <v>2025</v>
      </c>
      <c r="AF516" s="227">
        <v>45681</v>
      </c>
      <c r="AG516" s="227">
        <v>45686</v>
      </c>
      <c r="AH516" s="227">
        <v>45686</v>
      </c>
      <c r="AI516" s="228">
        <v>426816</v>
      </c>
      <c r="AJ516" s="228">
        <v>52</v>
      </c>
      <c r="AK516" s="228">
        <v>426816</v>
      </c>
      <c r="AL516" s="228">
        <v>52</v>
      </c>
      <c r="AM516" s="228">
        <v>0</v>
      </c>
      <c r="AN516" s="228">
        <v>0</v>
      </c>
      <c r="AO516" s="229">
        <v>5</v>
      </c>
      <c r="AP516" s="231">
        <v>1</v>
      </c>
      <c r="AQ516" s="231">
        <v>2025</v>
      </c>
      <c r="AR516" s="231" t="str">
        <f t="shared" si="65"/>
        <v>01/2025</v>
      </c>
      <c r="AS516" s="231">
        <f t="shared" si="66"/>
        <v>46.6</v>
      </c>
      <c r="AT516" s="239">
        <f>IF(G516="CERVECERIA Y MALTERIA",(AS516*AK516/1000000)*(1-VLOOKUP(N516,FCST!D:I,6,FALSE)),0)</f>
        <v>19.889625600000002</v>
      </c>
      <c r="AU516" s="232">
        <v>5.0000000000000001E-3</v>
      </c>
      <c r="AV516" s="239">
        <f t="shared" si="67"/>
        <v>19.989073728000001</v>
      </c>
      <c r="AW516" s="239">
        <f>(AS516*AK516/1000000)*(VLOOKUP(N516,FCST!D:I,6,FALSE))</f>
        <v>0</v>
      </c>
      <c r="AX516" s="239">
        <f t="shared" si="68"/>
        <v>0</v>
      </c>
      <c r="AY516" s="239">
        <f>IF($G516="CERVECERIA Y MALTERIA.",($AS516*$AK516/1000000)*(1-VLOOKUP($N516,FCST!D:I,6,FALSE)),0)</f>
        <v>0</v>
      </c>
      <c r="AZ516" s="239">
        <f t="shared" si="69"/>
        <v>0</v>
      </c>
    </row>
    <row r="517" spans="1:52" x14ac:dyDescent="0.25">
      <c r="A517" s="209">
        <v>1093856</v>
      </c>
      <c r="B517" s="209">
        <v>30</v>
      </c>
      <c r="C517" s="209" t="s">
        <v>1026</v>
      </c>
      <c r="D517" s="209">
        <v>10</v>
      </c>
      <c r="E517" s="209">
        <v>10000002</v>
      </c>
      <c r="F517" s="209">
        <v>20000339</v>
      </c>
      <c r="G517" s="209" t="s">
        <v>105</v>
      </c>
      <c r="H517" s="209">
        <v>20000339</v>
      </c>
      <c r="I517" s="209">
        <v>2</v>
      </c>
      <c r="J517" s="209" t="s">
        <v>169</v>
      </c>
      <c r="K517" s="209" t="s">
        <v>1027</v>
      </c>
      <c r="L517" s="209" t="s">
        <v>265</v>
      </c>
      <c r="M517" s="209" t="s">
        <v>172</v>
      </c>
      <c r="N517" s="209">
        <v>50034634</v>
      </c>
      <c r="O517" s="209" t="s">
        <v>219</v>
      </c>
      <c r="P517" s="209">
        <v>5121</v>
      </c>
      <c r="Q517" s="209" t="s">
        <v>174</v>
      </c>
      <c r="R517" s="209" t="s">
        <v>175</v>
      </c>
      <c r="S517" s="209" t="s">
        <v>176</v>
      </c>
      <c r="T517" s="209" t="s">
        <v>177</v>
      </c>
      <c r="U517" s="209" t="s">
        <v>178</v>
      </c>
      <c r="V517" s="209" t="s">
        <v>179</v>
      </c>
      <c r="W517" s="209" t="s">
        <v>179</v>
      </c>
      <c r="X517" s="209" t="s">
        <v>180</v>
      </c>
      <c r="Y517" s="209" t="s">
        <v>180</v>
      </c>
      <c r="Z517" s="209" t="s">
        <v>1028</v>
      </c>
      <c r="AA517" s="209" t="s">
        <v>1029</v>
      </c>
      <c r="AB517" s="209" t="s">
        <v>180</v>
      </c>
      <c r="AC517" s="209" t="s">
        <v>182</v>
      </c>
      <c r="AD517" s="209">
        <v>1</v>
      </c>
      <c r="AE517" s="209">
        <v>2025</v>
      </c>
      <c r="AF517" s="227">
        <v>45660</v>
      </c>
      <c r="AG517" s="227">
        <v>45665</v>
      </c>
      <c r="AH517" s="227">
        <v>45665</v>
      </c>
      <c r="AI517" s="228">
        <v>364416</v>
      </c>
      <c r="AJ517" s="228">
        <v>52</v>
      </c>
      <c r="AK517" s="228">
        <v>364416</v>
      </c>
      <c r="AL517" s="228">
        <v>52</v>
      </c>
      <c r="AM517" s="228">
        <v>0</v>
      </c>
      <c r="AN517" s="228">
        <v>0</v>
      </c>
      <c r="AO517" s="229">
        <v>2</v>
      </c>
      <c r="AP517" s="231">
        <v>1</v>
      </c>
      <c r="AQ517" s="231">
        <v>2025</v>
      </c>
      <c r="AR517" s="231" t="str">
        <f t="shared" si="65"/>
        <v>01/2025</v>
      </c>
      <c r="AS517" s="231">
        <f t="shared" si="66"/>
        <v>52</v>
      </c>
      <c r="AT517" s="239">
        <f>IF(G517="CERVECERIA Y MALTERIA",(AS517*AK517/1000000)*(1-VLOOKUP(N517,FCST!D:I,6,FALSE)),0)</f>
        <v>18.949632000000001</v>
      </c>
      <c r="AU517" s="232">
        <v>5.0000000000000001E-3</v>
      </c>
      <c r="AV517" s="239">
        <f t="shared" si="67"/>
        <v>19.044380159999999</v>
      </c>
      <c r="AW517" s="239">
        <f>(AS517*AK517/1000000)*(VLOOKUP(N517,FCST!D:I,6,FALSE))</f>
        <v>0</v>
      </c>
      <c r="AX517" s="239">
        <f t="shared" si="68"/>
        <v>0</v>
      </c>
      <c r="AY517" s="239">
        <f>IF($G517="CERVECERIA Y MALTERIA.",($AS517*$AK517/1000000)*(1-VLOOKUP($N517,FCST!D:I,6,FALSE)),0)</f>
        <v>0</v>
      </c>
      <c r="AZ517" s="239">
        <f t="shared" si="69"/>
        <v>0</v>
      </c>
    </row>
    <row r="518" spans="1:52" x14ac:dyDescent="0.25">
      <c r="A518" s="209">
        <v>1093759</v>
      </c>
      <c r="B518" s="209">
        <v>40</v>
      </c>
      <c r="C518" s="209" t="s">
        <v>1030</v>
      </c>
      <c r="D518" s="209">
        <v>10</v>
      </c>
      <c r="E518" s="209">
        <v>10000002</v>
      </c>
      <c r="F518" s="209">
        <v>20000340</v>
      </c>
      <c r="G518" s="209" t="s">
        <v>117</v>
      </c>
      <c r="H518" s="209">
        <v>20000340</v>
      </c>
      <c r="I518" s="209">
        <v>2</v>
      </c>
      <c r="J518" s="209" t="s">
        <v>169</v>
      </c>
      <c r="K518" s="209" t="s">
        <v>1031</v>
      </c>
      <c r="L518" s="209" t="s">
        <v>265</v>
      </c>
      <c r="M518" s="209" t="s">
        <v>184</v>
      </c>
      <c r="N518" s="209">
        <v>50029843</v>
      </c>
      <c r="O518" s="209" t="s">
        <v>460</v>
      </c>
      <c r="P518" s="209">
        <v>5121</v>
      </c>
      <c r="Q518" s="209" t="s">
        <v>174</v>
      </c>
      <c r="R518" s="209" t="s">
        <v>175</v>
      </c>
      <c r="S518" s="209" t="s">
        <v>176</v>
      </c>
      <c r="T518" s="209" t="s">
        <v>177</v>
      </c>
      <c r="U518" s="209" t="s">
        <v>178</v>
      </c>
      <c r="V518" s="209" t="s">
        <v>179</v>
      </c>
      <c r="W518" s="209" t="s">
        <v>179</v>
      </c>
      <c r="X518" s="209" t="s">
        <v>180</v>
      </c>
      <c r="Y518" s="209" t="s">
        <v>180</v>
      </c>
      <c r="Z518" s="209" t="s">
        <v>1032</v>
      </c>
      <c r="AA518" s="209" t="s">
        <v>1033</v>
      </c>
      <c r="AB518" s="209" t="s">
        <v>180</v>
      </c>
      <c r="AC518" s="209" t="s">
        <v>182</v>
      </c>
      <c r="AD518" s="209">
        <v>1</v>
      </c>
      <c r="AE518" s="209">
        <v>2025</v>
      </c>
      <c r="AF518" s="227">
        <v>45660</v>
      </c>
      <c r="AG518" s="227">
        <v>45666</v>
      </c>
      <c r="AH518" s="227">
        <v>45666</v>
      </c>
      <c r="AI518" s="228">
        <v>419328</v>
      </c>
      <c r="AJ518" s="228">
        <v>52</v>
      </c>
      <c r="AK518" s="228">
        <v>419328</v>
      </c>
      <c r="AL518" s="228">
        <v>52</v>
      </c>
      <c r="AM518" s="228">
        <v>0</v>
      </c>
      <c r="AN518" s="228">
        <v>0</v>
      </c>
      <c r="AO518" s="229">
        <v>2</v>
      </c>
      <c r="AP518" s="231">
        <v>1</v>
      </c>
      <c r="AQ518" s="231">
        <v>2025</v>
      </c>
      <c r="AR518" s="231" t="str">
        <f t="shared" si="65"/>
        <v>01/2025</v>
      </c>
      <c r="AS518" s="231">
        <f t="shared" si="66"/>
        <v>44.8</v>
      </c>
      <c r="AT518" s="239">
        <f>IF(G518="CERVECERIA Y MALTERIA",(AS518*AK518/1000000)*(1-VLOOKUP(N518,FCST!D:I,6,FALSE)),0)</f>
        <v>0</v>
      </c>
      <c r="AU518" s="232">
        <v>5.0000000000000001E-3</v>
      </c>
      <c r="AV518" s="239">
        <f t="shared" si="67"/>
        <v>0</v>
      </c>
      <c r="AW518" s="239">
        <f>(AS518*AK518/1000000)*(VLOOKUP(N518,FCST!D:I,6,FALSE))</f>
        <v>0</v>
      </c>
      <c r="AX518" s="239">
        <f t="shared" si="68"/>
        <v>0</v>
      </c>
      <c r="AY518" s="239">
        <f>IF($G518="CERVECERIA Y MALTERIA.",($AS518*$AK518/1000000)*(1-VLOOKUP($N518,FCST!D:I,6,FALSE)),0)</f>
        <v>18.7858944</v>
      </c>
      <c r="AZ518" s="239">
        <f t="shared" si="69"/>
        <v>18.879823871999999</v>
      </c>
    </row>
    <row r="519" spans="1:52" x14ac:dyDescent="0.25">
      <c r="A519" s="209">
        <v>1093757</v>
      </c>
      <c r="B519" s="209">
        <v>80</v>
      </c>
      <c r="C519" s="209" t="s">
        <v>1034</v>
      </c>
      <c r="D519" s="209">
        <v>10</v>
      </c>
      <c r="E519" s="209">
        <v>10000002</v>
      </c>
      <c r="F519" s="209">
        <v>20000335</v>
      </c>
      <c r="G519" s="209" t="s">
        <v>105</v>
      </c>
      <c r="H519" s="209">
        <v>20000335</v>
      </c>
      <c r="I519" s="209">
        <v>2</v>
      </c>
      <c r="J519" s="209" t="s">
        <v>169</v>
      </c>
      <c r="K519" s="209" t="s">
        <v>1035</v>
      </c>
      <c r="L519" s="209" t="s">
        <v>265</v>
      </c>
      <c r="M519" s="209" t="s">
        <v>199</v>
      </c>
      <c r="N519" s="209">
        <v>50034616</v>
      </c>
      <c r="O519" s="209" t="s">
        <v>191</v>
      </c>
      <c r="P519" s="209">
        <v>5121</v>
      </c>
      <c r="Q519" s="209" t="s">
        <v>200</v>
      </c>
      <c r="R519" s="209" t="s">
        <v>201</v>
      </c>
      <c r="S519" s="209" t="s">
        <v>202</v>
      </c>
      <c r="T519" s="209" t="s">
        <v>203</v>
      </c>
      <c r="U519" s="209" t="s">
        <v>201</v>
      </c>
      <c r="V519" s="209" t="s">
        <v>179</v>
      </c>
      <c r="W519" s="209" t="s">
        <v>179</v>
      </c>
      <c r="X519" s="209" t="s">
        <v>180</v>
      </c>
      <c r="Y519" s="209" t="s">
        <v>180</v>
      </c>
      <c r="Z519" s="209" t="s">
        <v>1036</v>
      </c>
      <c r="AA519" s="209" t="s">
        <v>1037</v>
      </c>
      <c r="AB519" s="209" t="s">
        <v>180</v>
      </c>
      <c r="AC519" s="209" t="s">
        <v>182</v>
      </c>
      <c r="AD519" s="209">
        <v>1</v>
      </c>
      <c r="AE519" s="209">
        <v>2025</v>
      </c>
      <c r="AF519" s="227">
        <v>45660</v>
      </c>
      <c r="AG519" s="227">
        <v>45666</v>
      </c>
      <c r="AH519" s="227">
        <v>45666</v>
      </c>
      <c r="AI519" s="228">
        <v>426816</v>
      </c>
      <c r="AJ519" s="228">
        <v>52</v>
      </c>
      <c r="AK519" s="228">
        <v>426816</v>
      </c>
      <c r="AL519" s="228">
        <v>52</v>
      </c>
      <c r="AM519" s="228">
        <v>0</v>
      </c>
      <c r="AN519" s="228">
        <v>0</v>
      </c>
      <c r="AO519" s="229">
        <v>2</v>
      </c>
      <c r="AP519" s="231">
        <v>1</v>
      </c>
      <c r="AQ519" s="231">
        <v>2025</v>
      </c>
      <c r="AR519" s="231" t="str">
        <f t="shared" si="65"/>
        <v>01/2025</v>
      </c>
      <c r="AS519" s="231">
        <f t="shared" si="66"/>
        <v>46.6</v>
      </c>
      <c r="AT519" s="239">
        <f>IF(G519="CERVECERIA Y MALTERIA",(AS519*AK519/1000000)*(1-VLOOKUP(N519,FCST!D:I,6,FALSE)),0)</f>
        <v>19.889625600000002</v>
      </c>
      <c r="AU519" s="232">
        <v>5.0000000000000001E-3</v>
      </c>
      <c r="AV519" s="239">
        <f t="shared" si="67"/>
        <v>19.989073728000001</v>
      </c>
      <c r="AW519" s="239">
        <f>(AS519*AK519/1000000)*(VLOOKUP(N519,FCST!D:I,6,FALSE))</f>
        <v>0</v>
      </c>
      <c r="AX519" s="239">
        <f t="shared" si="68"/>
        <v>0</v>
      </c>
      <c r="AY519" s="239">
        <f>IF($G519="CERVECERIA Y MALTERIA.",($AS519*$AK519/1000000)*(1-VLOOKUP($N519,FCST!D:I,6,FALSE)),0)</f>
        <v>0</v>
      </c>
      <c r="AZ519" s="239">
        <f t="shared" si="69"/>
        <v>0</v>
      </c>
    </row>
    <row r="520" spans="1:52" x14ac:dyDescent="0.25">
      <c r="A520" s="209">
        <v>1094003</v>
      </c>
      <c r="B520" s="209">
        <v>20</v>
      </c>
      <c r="C520" s="209" t="s">
        <v>1038</v>
      </c>
      <c r="D520" s="209">
        <v>10</v>
      </c>
      <c r="E520" s="209">
        <v>10000002</v>
      </c>
      <c r="F520" s="209">
        <v>20000337</v>
      </c>
      <c r="G520" s="209" t="s">
        <v>105</v>
      </c>
      <c r="H520" s="209">
        <v>20000337</v>
      </c>
      <c r="I520" s="209">
        <v>2</v>
      </c>
      <c r="J520" s="209" t="s">
        <v>169</v>
      </c>
      <c r="K520" s="209" t="s">
        <v>1039</v>
      </c>
      <c r="L520" s="209" t="s">
        <v>265</v>
      </c>
      <c r="M520" s="209" t="s">
        <v>199</v>
      </c>
      <c r="N520" s="209">
        <v>50034616</v>
      </c>
      <c r="O520" s="209" t="s">
        <v>191</v>
      </c>
      <c r="P520" s="209">
        <v>5121</v>
      </c>
      <c r="Q520" s="209" t="s">
        <v>200</v>
      </c>
      <c r="R520" s="209" t="s">
        <v>201</v>
      </c>
      <c r="S520" s="209" t="s">
        <v>202</v>
      </c>
      <c r="T520" s="209" t="s">
        <v>203</v>
      </c>
      <c r="U520" s="209" t="s">
        <v>201</v>
      </c>
      <c r="V520" s="209" t="s">
        <v>179</v>
      </c>
      <c r="W520" s="209" t="s">
        <v>179</v>
      </c>
      <c r="X520" s="209" t="s">
        <v>180</v>
      </c>
      <c r="Y520" s="209" t="s">
        <v>180</v>
      </c>
      <c r="Z520" s="209" t="s">
        <v>1040</v>
      </c>
      <c r="AA520" s="209" t="s">
        <v>1041</v>
      </c>
      <c r="AB520" s="209" t="s">
        <v>180</v>
      </c>
      <c r="AC520" s="209" t="s">
        <v>182</v>
      </c>
      <c r="AD520" s="209">
        <v>1</v>
      </c>
      <c r="AE520" s="209">
        <v>2025</v>
      </c>
      <c r="AF520" s="227">
        <v>45663</v>
      </c>
      <c r="AG520" s="227">
        <v>45665</v>
      </c>
      <c r="AH520" s="227">
        <v>45665</v>
      </c>
      <c r="AI520" s="228">
        <v>426816</v>
      </c>
      <c r="AJ520" s="228">
        <v>52</v>
      </c>
      <c r="AK520" s="228">
        <v>426816</v>
      </c>
      <c r="AL520" s="228">
        <v>52</v>
      </c>
      <c r="AM520" s="228">
        <v>0</v>
      </c>
      <c r="AN520" s="228">
        <v>0</v>
      </c>
      <c r="AO520" s="229">
        <v>2</v>
      </c>
      <c r="AP520" s="231">
        <v>1</v>
      </c>
      <c r="AQ520" s="231">
        <v>2025</v>
      </c>
      <c r="AR520" s="231" t="str">
        <f t="shared" si="65"/>
        <v>01/2025</v>
      </c>
      <c r="AS520" s="231">
        <f t="shared" si="66"/>
        <v>46.6</v>
      </c>
      <c r="AT520" s="239">
        <f>IF(G520="CERVECERIA Y MALTERIA",(AS520*AK520/1000000)*(1-VLOOKUP(N520,FCST!D:I,6,FALSE)),0)</f>
        <v>19.889625600000002</v>
      </c>
      <c r="AU520" s="232">
        <v>5.0000000000000001E-3</v>
      </c>
      <c r="AV520" s="239">
        <f t="shared" si="67"/>
        <v>19.989073728000001</v>
      </c>
      <c r="AW520" s="239">
        <f>(AS520*AK520/1000000)*(VLOOKUP(N520,FCST!D:I,6,FALSE))</f>
        <v>0</v>
      </c>
      <c r="AX520" s="239">
        <f t="shared" si="68"/>
        <v>0</v>
      </c>
      <c r="AY520" s="239">
        <f>IF($G520="CERVECERIA Y MALTERIA.",($AS520*$AK520/1000000)*(1-VLOOKUP($N520,FCST!D:I,6,FALSE)),0)</f>
        <v>0</v>
      </c>
      <c r="AZ520" s="239">
        <f t="shared" si="69"/>
        <v>0</v>
      </c>
    </row>
    <row r="521" spans="1:52" x14ac:dyDescent="0.25">
      <c r="A521" s="209">
        <v>1093757</v>
      </c>
      <c r="B521" s="209">
        <v>50</v>
      </c>
      <c r="C521" s="209" t="s">
        <v>1042</v>
      </c>
      <c r="D521" s="209">
        <v>10</v>
      </c>
      <c r="E521" s="209">
        <v>10000002</v>
      </c>
      <c r="F521" s="209">
        <v>20000335</v>
      </c>
      <c r="G521" s="209" t="s">
        <v>105</v>
      </c>
      <c r="H521" s="209">
        <v>20000335</v>
      </c>
      <c r="I521" s="209">
        <v>2</v>
      </c>
      <c r="J521" s="209" t="s">
        <v>169</v>
      </c>
      <c r="K521" s="209" t="s">
        <v>1043</v>
      </c>
      <c r="L521" s="209" t="s">
        <v>265</v>
      </c>
      <c r="M521" s="209" t="s">
        <v>184</v>
      </c>
      <c r="N521" s="209">
        <v>50035184</v>
      </c>
      <c r="O521" s="209" t="s">
        <v>672</v>
      </c>
      <c r="P521" s="209">
        <v>5121</v>
      </c>
      <c r="Q521" s="209" t="s">
        <v>174</v>
      </c>
      <c r="R521" s="209" t="s">
        <v>175</v>
      </c>
      <c r="S521" s="209" t="s">
        <v>176</v>
      </c>
      <c r="T521" s="209" t="s">
        <v>177</v>
      </c>
      <c r="U521" s="209" t="s">
        <v>178</v>
      </c>
      <c r="V521" s="209" t="s">
        <v>179</v>
      </c>
      <c r="W521" s="209" t="s">
        <v>179</v>
      </c>
      <c r="X521" s="209" t="s">
        <v>180</v>
      </c>
      <c r="Y521" s="209" t="s">
        <v>180</v>
      </c>
      <c r="Z521" s="209" t="s">
        <v>1044</v>
      </c>
      <c r="AA521" s="209" t="s">
        <v>1045</v>
      </c>
      <c r="AB521" s="209" t="s">
        <v>180</v>
      </c>
      <c r="AC521" s="209" t="s">
        <v>182</v>
      </c>
      <c r="AD521" s="209">
        <v>1</v>
      </c>
      <c r="AE521" s="209">
        <v>2025</v>
      </c>
      <c r="AF521" s="227">
        <v>45660</v>
      </c>
      <c r="AG521" s="227">
        <v>45665</v>
      </c>
      <c r="AH521" s="227">
        <v>45665</v>
      </c>
      <c r="AI521" s="228">
        <v>977184</v>
      </c>
      <c r="AJ521" s="228">
        <v>52</v>
      </c>
      <c r="AK521" s="228">
        <v>977184</v>
      </c>
      <c r="AL521" s="228">
        <v>52</v>
      </c>
      <c r="AM521" s="228">
        <v>0</v>
      </c>
      <c r="AN521" s="228">
        <v>0</v>
      </c>
      <c r="AO521" s="229">
        <v>2</v>
      </c>
      <c r="AP521" s="231">
        <v>1</v>
      </c>
      <c r="AQ521" s="231">
        <v>2025</v>
      </c>
      <c r="AR521" s="231" t="str">
        <f t="shared" si="65"/>
        <v>01/2025</v>
      </c>
      <c r="AS521" s="231">
        <f t="shared" si="66"/>
        <v>19.5</v>
      </c>
      <c r="AT521" s="239">
        <f>IF(G521="CERVECERIA Y MALTERIA",(AS521*AK521/1000000)*(1-VLOOKUP(N521,FCST!D:I,6,FALSE)),0)</f>
        <v>19.055088000000001</v>
      </c>
      <c r="AU521" s="232">
        <v>5.0000000000000001E-3</v>
      </c>
      <c r="AV521" s="239">
        <f t="shared" si="67"/>
        <v>19.15036344</v>
      </c>
      <c r="AW521" s="239">
        <f>(AS521*AK521/1000000)*(VLOOKUP(N521,FCST!D:I,6,FALSE))</f>
        <v>0</v>
      </c>
      <c r="AX521" s="239">
        <f t="shared" si="68"/>
        <v>0</v>
      </c>
      <c r="AY521" s="239">
        <f>IF($G521="CERVECERIA Y MALTERIA.",($AS521*$AK521/1000000)*(1-VLOOKUP($N521,FCST!D:I,6,FALSE)),0)</f>
        <v>0</v>
      </c>
      <c r="AZ521" s="239">
        <f t="shared" si="69"/>
        <v>0</v>
      </c>
    </row>
    <row r="522" spans="1:52" x14ac:dyDescent="0.25">
      <c r="A522" s="209">
        <v>1093759</v>
      </c>
      <c r="B522" s="209">
        <v>30</v>
      </c>
      <c r="C522" s="209" t="s">
        <v>1046</v>
      </c>
      <c r="D522" s="209">
        <v>10</v>
      </c>
      <c r="E522" s="209">
        <v>10000002</v>
      </c>
      <c r="F522" s="209">
        <v>20000340</v>
      </c>
      <c r="G522" s="209" t="s">
        <v>117</v>
      </c>
      <c r="H522" s="209">
        <v>20000340</v>
      </c>
      <c r="I522" s="209">
        <v>2</v>
      </c>
      <c r="J522" s="209" t="s">
        <v>169</v>
      </c>
      <c r="K522" s="209" t="s">
        <v>1047</v>
      </c>
      <c r="L522" s="209" t="s">
        <v>265</v>
      </c>
      <c r="M522" s="209" t="s">
        <v>184</v>
      </c>
      <c r="N522" s="209">
        <v>50029843</v>
      </c>
      <c r="O522" s="209" t="s">
        <v>460</v>
      </c>
      <c r="P522" s="209">
        <v>5121</v>
      </c>
      <c r="Q522" s="209" t="s">
        <v>174</v>
      </c>
      <c r="R522" s="209" t="s">
        <v>175</v>
      </c>
      <c r="S522" s="209" t="s">
        <v>176</v>
      </c>
      <c r="T522" s="209" t="s">
        <v>177</v>
      </c>
      <c r="U522" s="209" t="s">
        <v>178</v>
      </c>
      <c r="V522" s="209" t="s">
        <v>179</v>
      </c>
      <c r="W522" s="209" t="s">
        <v>179</v>
      </c>
      <c r="X522" s="209" t="s">
        <v>180</v>
      </c>
      <c r="Y522" s="209" t="s">
        <v>180</v>
      </c>
      <c r="Z522" s="209" t="s">
        <v>1032</v>
      </c>
      <c r="AA522" s="209" t="s">
        <v>1033</v>
      </c>
      <c r="AB522" s="209" t="s">
        <v>180</v>
      </c>
      <c r="AC522" s="209" t="s">
        <v>182</v>
      </c>
      <c r="AD522" s="209">
        <v>1</v>
      </c>
      <c r="AE522" s="209">
        <v>2025</v>
      </c>
      <c r="AF522" s="227">
        <v>45660</v>
      </c>
      <c r="AG522" s="227">
        <v>45665</v>
      </c>
      <c r="AH522" s="227">
        <v>45665</v>
      </c>
      <c r="AI522" s="228">
        <v>419328</v>
      </c>
      <c r="AJ522" s="228">
        <v>52</v>
      </c>
      <c r="AK522" s="228">
        <v>419328</v>
      </c>
      <c r="AL522" s="228">
        <v>52</v>
      </c>
      <c r="AM522" s="228">
        <v>0</v>
      </c>
      <c r="AN522" s="228">
        <v>0</v>
      </c>
      <c r="AO522" s="229">
        <v>2</v>
      </c>
      <c r="AP522" s="231">
        <v>1</v>
      </c>
      <c r="AQ522" s="231">
        <v>2025</v>
      </c>
      <c r="AR522" s="231" t="str">
        <f t="shared" si="65"/>
        <v>01/2025</v>
      </c>
      <c r="AS522" s="231">
        <f t="shared" si="66"/>
        <v>44.8</v>
      </c>
      <c r="AT522" s="239">
        <f>IF(G522="CERVECERIA Y MALTERIA",(AS522*AK522/1000000)*(1-VLOOKUP(N522,FCST!D:I,6,FALSE)),0)</f>
        <v>0</v>
      </c>
      <c r="AU522" s="232">
        <v>5.0000000000000001E-3</v>
      </c>
      <c r="AV522" s="239">
        <f t="shared" si="67"/>
        <v>0</v>
      </c>
      <c r="AW522" s="239">
        <f>(AS522*AK522/1000000)*(VLOOKUP(N522,FCST!D:I,6,FALSE))</f>
        <v>0</v>
      </c>
      <c r="AX522" s="239">
        <f t="shared" si="68"/>
        <v>0</v>
      </c>
      <c r="AY522" s="239">
        <f>IF($G522="CERVECERIA Y MALTERIA.",($AS522*$AK522/1000000)*(1-VLOOKUP($N522,FCST!D:I,6,FALSE)),0)</f>
        <v>18.7858944</v>
      </c>
      <c r="AZ522" s="239">
        <f t="shared" si="69"/>
        <v>18.879823871999999</v>
      </c>
    </row>
    <row r="523" spans="1:52" x14ac:dyDescent="0.25">
      <c r="A523" s="209">
        <v>1093745</v>
      </c>
      <c r="B523" s="209">
        <v>30</v>
      </c>
      <c r="C523" s="209" t="s">
        <v>1048</v>
      </c>
      <c r="D523" s="209">
        <v>10</v>
      </c>
      <c r="E523" s="209">
        <v>10000002</v>
      </c>
      <c r="F523" s="209">
        <v>20000336</v>
      </c>
      <c r="G523" s="209" t="s">
        <v>105</v>
      </c>
      <c r="H523" s="209">
        <v>20000336</v>
      </c>
      <c r="I523" s="209">
        <v>2</v>
      </c>
      <c r="J523" s="209" t="s">
        <v>169</v>
      </c>
      <c r="K523" s="209" t="s">
        <v>1049</v>
      </c>
      <c r="L523" s="209" t="s">
        <v>265</v>
      </c>
      <c r="M523" s="209" t="s">
        <v>184</v>
      </c>
      <c r="N523" s="209">
        <v>50033268</v>
      </c>
      <c r="O523" s="209" t="s">
        <v>253</v>
      </c>
      <c r="P523" s="209">
        <v>5121</v>
      </c>
      <c r="Q523" s="209" t="s">
        <v>174</v>
      </c>
      <c r="R523" s="209" t="s">
        <v>175</v>
      </c>
      <c r="S523" s="209" t="s">
        <v>176</v>
      </c>
      <c r="T523" s="209" t="s">
        <v>177</v>
      </c>
      <c r="U523" s="209" t="s">
        <v>178</v>
      </c>
      <c r="V523" s="209" t="s">
        <v>179</v>
      </c>
      <c r="W523" s="209" t="s">
        <v>179</v>
      </c>
      <c r="X523" s="209" t="s">
        <v>180</v>
      </c>
      <c r="Y523" s="209" t="s">
        <v>180</v>
      </c>
      <c r="Z523" s="209" t="s">
        <v>1050</v>
      </c>
      <c r="AA523" s="209" t="s">
        <v>1051</v>
      </c>
      <c r="AB523" s="209" t="s">
        <v>180</v>
      </c>
      <c r="AC523" s="209" t="s">
        <v>182</v>
      </c>
      <c r="AD523" s="209">
        <v>1</v>
      </c>
      <c r="AE523" s="209">
        <v>2025</v>
      </c>
      <c r="AF523" s="227">
        <v>45660</v>
      </c>
      <c r="AG523" s="227">
        <v>45664</v>
      </c>
      <c r="AH523" s="227">
        <v>45665</v>
      </c>
      <c r="AI523" s="228">
        <v>406848</v>
      </c>
      <c r="AJ523" s="228">
        <v>52</v>
      </c>
      <c r="AK523" s="228">
        <v>406848</v>
      </c>
      <c r="AL523" s="228">
        <v>52</v>
      </c>
      <c r="AM523" s="228">
        <v>0</v>
      </c>
      <c r="AN523" s="228">
        <v>0</v>
      </c>
      <c r="AO523" s="229">
        <v>1</v>
      </c>
      <c r="AP523" s="231">
        <v>1</v>
      </c>
      <c r="AQ523" s="231">
        <v>2025</v>
      </c>
      <c r="AR523" s="231" t="str">
        <f t="shared" si="65"/>
        <v>01/2025</v>
      </c>
      <c r="AS523" s="231">
        <f t="shared" si="66"/>
        <v>44</v>
      </c>
      <c r="AT523" s="239">
        <f>IF(G523="CERVECERIA Y MALTERIA",(AS523*AK523/1000000)*(1-VLOOKUP(N523,FCST!D:I,6,FALSE)),0)</f>
        <v>17.901312000000001</v>
      </c>
      <c r="AU523" s="232">
        <v>5.0000000000000001E-3</v>
      </c>
      <c r="AV523" s="239">
        <f t="shared" si="67"/>
        <v>17.990818559999997</v>
      </c>
      <c r="AW523" s="239">
        <f>(AS523*AK523/1000000)*(VLOOKUP(N523,FCST!D:I,6,FALSE))</f>
        <v>0</v>
      </c>
      <c r="AX523" s="239">
        <f t="shared" si="68"/>
        <v>0</v>
      </c>
      <c r="AY523" s="239">
        <f>IF($G523="CERVECERIA Y MALTERIA.",($AS523*$AK523/1000000)*(1-VLOOKUP($N523,FCST!D:I,6,FALSE)),0)</f>
        <v>0</v>
      </c>
      <c r="AZ523" s="239">
        <f t="shared" si="69"/>
        <v>0</v>
      </c>
    </row>
    <row r="524" spans="1:52" x14ac:dyDescent="0.25">
      <c r="A524" s="209">
        <v>1093757</v>
      </c>
      <c r="B524" s="209">
        <v>60</v>
      </c>
      <c r="C524" s="209" t="s">
        <v>1052</v>
      </c>
      <c r="D524" s="209">
        <v>10</v>
      </c>
      <c r="E524" s="209">
        <v>10000002</v>
      </c>
      <c r="F524" s="209">
        <v>20000335</v>
      </c>
      <c r="G524" s="209" t="s">
        <v>105</v>
      </c>
      <c r="H524" s="209">
        <v>20000335</v>
      </c>
      <c r="I524" s="209">
        <v>2</v>
      </c>
      <c r="J524" s="209" t="s">
        <v>169</v>
      </c>
      <c r="K524" s="209" t="s">
        <v>1053</v>
      </c>
      <c r="L524" s="209" t="s">
        <v>265</v>
      </c>
      <c r="M524" s="209" t="s">
        <v>199</v>
      </c>
      <c r="N524" s="209">
        <v>50037042</v>
      </c>
      <c r="O524" s="209" t="s">
        <v>543</v>
      </c>
      <c r="P524" s="209">
        <v>5121</v>
      </c>
      <c r="Q524" s="209" t="s">
        <v>200</v>
      </c>
      <c r="R524" s="209" t="s">
        <v>201</v>
      </c>
      <c r="S524" s="209" t="s">
        <v>202</v>
      </c>
      <c r="T524" s="209" t="s">
        <v>203</v>
      </c>
      <c r="U524" s="209" t="s">
        <v>201</v>
      </c>
      <c r="V524" s="209" t="s">
        <v>179</v>
      </c>
      <c r="W524" s="209" t="s">
        <v>179</v>
      </c>
      <c r="X524" s="209" t="s">
        <v>180</v>
      </c>
      <c r="Y524" s="209" t="s">
        <v>180</v>
      </c>
      <c r="Z524" s="209" t="s">
        <v>1054</v>
      </c>
      <c r="AA524" s="209" t="s">
        <v>1055</v>
      </c>
      <c r="AB524" s="209" t="s">
        <v>180</v>
      </c>
      <c r="AC524" s="209" t="s">
        <v>182</v>
      </c>
      <c r="AD524" s="209">
        <v>1</v>
      </c>
      <c r="AE524" s="209">
        <v>2025</v>
      </c>
      <c r="AF524" s="227">
        <v>45660</v>
      </c>
      <c r="AG524" s="227">
        <v>45665</v>
      </c>
      <c r="AH524" s="227">
        <v>45665</v>
      </c>
      <c r="AI524" s="228">
        <v>426816</v>
      </c>
      <c r="AJ524" s="228">
        <v>52</v>
      </c>
      <c r="AK524" s="228">
        <v>426816</v>
      </c>
      <c r="AL524" s="228">
        <v>52</v>
      </c>
      <c r="AM524" s="228">
        <v>0</v>
      </c>
      <c r="AN524" s="228">
        <v>0</v>
      </c>
      <c r="AO524" s="229">
        <v>2</v>
      </c>
      <c r="AP524" s="231">
        <v>1</v>
      </c>
      <c r="AQ524" s="231">
        <v>2025</v>
      </c>
      <c r="AR524" s="231" t="str">
        <f t="shared" si="65"/>
        <v>01/2025</v>
      </c>
      <c r="AS524" s="231">
        <f t="shared" si="66"/>
        <v>46.6</v>
      </c>
      <c r="AT524" s="239">
        <f>IF(G524="CERVECERIA Y MALTERIA",(AS524*AK524/1000000)*(1-VLOOKUP(N524,FCST!D:I,6,FALSE)),0)</f>
        <v>15.911700480000002</v>
      </c>
      <c r="AU524" s="232">
        <v>5.0000000000000001E-3</v>
      </c>
      <c r="AV524" s="239">
        <f t="shared" si="67"/>
        <v>15.9912589824</v>
      </c>
      <c r="AW524" s="239">
        <f>(AS524*AK524/1000000)*(VLOOKUP(N524,FCST!D:I,6,FALSE))</f>
        <v>3.9779251200000005</v>
      </c>
      <c r="AX524" s="239">
        <f t="shared" si="68"/>
        <v>3.9978147455999999</v>
      </c>
      <c r="AY524" s="239">
        <f>IF($G524="CERVECERIA Y MALTERIA.",($AS524*$AK524/1000000)*(1-VLOOKUP($N524,FCST!D:I,6,FALSE)),0)</f>
        <v>0</v>
      </c>
      <c r="AZ524" s="239">
        <f t="shared" si="69"/>
        <v>0</v>
      </c>
    </row>
    <row r="525" spans="1:52" x14ac:dyDescent="0.25">
      <c r="A525" s="209">
        <v>1094750</v>
      </c>
      <c r="B525" s="209">
        <v>10</v>
      </c>
      <c r="C525" s="209" t="s">
        <v>1056</v>
      </c>
      <c r="D525" s="209">
        <v>10</v>
      </c>
      <c r="E525" s="209">
        <v>10000002</v>
      </c>
      <c r="F525" s="209">
        <v>20000339</v>
      </c>
      <c r="G525" s="209" t="s">
        <v>105</v>
      </c>
      <c r="H525" s="209">
        <v>20000339</v>
      </c>
      <c r="I525" s="209">
        <v>2</v>
      </c>
      <c r="J525" s="209" t="s">
        <v>169</v>
      </c>
      <c r="K525" s="209" t="s">
        <v>1057</v>
      </c>
      <c r="L525" s="209" t="s">
        <v>171</v>
      </c>
      <c r="M525" s="209" t="s">
        <v>172</v>
      </c>
      <c r="N525" s="209">
        <v>50034245</v>
      </c>
      <c r="O525" s="209" t="s">
        <v>591</v>
      </c>
      <c r="P525" s="209">
        <v>5101</v>
      </c>
      <c r="Q525" s="209" t="s">
        <v>186</v>
      </c>
      <c r="R525" s="209" t="s">
        <v>175</v>
      </c>
      <c r="S525" s="209" t="s">
        <v>176</v>
      </c>
      <c r="T525" s="209" t="s">
        <v>187</v>
      </c>
      <c r="U525" s="209" t="s">
        <v>188</v>
      </c>
      <c r="V525" s="209" t="s">
        <v>179</v>
      </c>
      <c r="W525" s="209" t="s">
        <v>179</v>
      </c>
      <c r="X525" s="209" t="s">
        <v>180</v>
      </c>
      <c r="Y525" s="209" t="s">
        <v>180</v>
      </c>
      <c r="Z525" s="209" t="s">
        <v>1058</v>
      </c>
      <c r="AA525" s="209" t="s">
        <v>1059</v>
      </c>
      <c r="AB525" s="209" t="s">
        <v>180</v>
      </c>
      <c r="AC525" s="209" t="s">
        <v>182</v>
      </c>
      <c r="AD525" s="209">
        <v>1</v>
      </c>
      <c r="AE525" s="209">
        <v>2025</v>
      </c>
      <c r="AF525" s="227">
        <v>45666</v>
      </c>
      <c r="AG525" s="227">
        <v>45667</v>
      </c>
      <c r="AH525" s="227">
        <v>45668</v>
      </c>
      <c r="AI525" s="228">
        <v>85824</v>
      </c>
      <c r="AJ525" s="228">
        <v>6</v>
      </c>
      <c r="AK525" s="228">
        <v>85824</v>
      </c>
      <c r="AL525" s="228">
        <v>6</v>
      </c>
      <c r="AM525" s="228">
        <v>0</v>
      </c>
      <c r="AN525" s="228">
        <v>0</v>
      </c>
      <c r="AO525" s="229">
        <v>2</v>
      </c>
      <c r="AP525" s="231">
        <v>1</v>
      </c>
      <c r="AQ525" s="231">
        <v>2025</v>
      </c>
      <c r="AR525" s="231" t="str">
        <f t="shared" si="65"/>
        <v>01/2025</v>
      </c>
      <c r="AS525" s="231">
        <f t="shared" si="66"/>
        <v>25</v>
      </c>
      <c r="AT525" s="239">
        <f>IF(G525="CERVECERIA Y MALTERIA",(AS525*AK525/1000000)*(1-VLOOKUP(N525,FCST!D:I,6,FALSE)),0)</f>
        <v>0</v>
      </c>
      <c r="AU525" s="232">
        <v>5.0000000000000001E-3</v>
      </c>
      <c r="AV525" s="239">
        <f t="shared" si="67"/>
        <v>0</v>
      </c>
      <c r="AW525" s="239">
        <f>(AS525*AK525/1000000)*(VLOOKUP(N525,FCST!D:I,6,FALSE))</f>
        <v>2.1456</v>
      </c>
      <c r="AX525" s="239">
        <f t="shared" si="68"/>
        <v>2.1563279999999998</v>
      </c>
      <c r="AY525" s="239">
        <f>IF($G525="CERVECERIA Y MALTERIA.",($AS525*$AK525/1000000)*(1-VLOOKUP($N525,FCST!D:I,6,FALSE)),0)</f>
        <v>0</v>
      </c>
      <c r="AZ525" s="239">
        <f t="shared" si="69"/>
        <v>0</v>
      </c>
    </row>
    <row r="526" spans="1:52" x14ac:dyDescent="0.25">
      <c r="A526" s="209">
        <v>1093856</v>
      </c>
      <c r="B526" s="209">
        <v>40</v>
      </c>
      <c r="C526" s="209" t="s">
        <v>1060</v>
      </c>
      <c r="D526" s="209">
        <v>10</v>
      </c>
      <c r="E526" s="209">
        <v>10000002</v>
      </c>
      <c r="F526" s="209">
        <v>20000339</v>
      </c>
      <c r="G526" s="209" t="s">
        <v>105</v>
      </c>
      <c r="H526" s="209">
        <v>20000339</v>
      </c>
      <c r="I526" s="209">
        <v>2</v>
      </c>
      <c r="J526" s="209" t="s">
        <v>169</v>
      </c>
      <c r="K526" s="209" t="s">
        <v>1061</v>
      </c>
      <c r="L526" s="209" t="s">
        <v>265</v>
      </c>
      <c r="M526" s="209" t="s">
        <v>172</v>
      </c>
      <c r="N526" s="209">
        <v>50034634</v>
      </c>
      <c r="O526" s="209" t="s">
        <v>219</v>
      </c>
      <c r="P526" s="209">
        <v>5121</v>
      </c>
      <c r="Q526" s="209" t="s">
        <v>174</v>
      </c>
      <c r="R526" s="209" t="s">
        <v>175</v>
      </c>
      <c r="S526" s="209" t="s">
        <v>176</v>
      </c>
      <c r="T526" s="209" t="s">
        <v>177</v>
      </c>
      <c r="U526" s="209" t="s">
        <v>178</v>
      </c>
      <c r="V526" s="209" t="s">
        <v>179</v>
      </c>
      <c r="W526" s="209" t="s">
        <v>179</v>
      </c>
      <c r="X526" s="209" t="s">
        <v>180</v>
      </c>
      <c r="Y526" s="209" t="s">
        <v>180</v>
      </c>
      <c r="Z526" s="209" t="s">
        <v>1028</v>
      </c>
      <c r="AA526" s="209" t="s">
        <v>1029</v>
      </c>
      <c r="AB526" s="209" t="s">
        <v>180</v>
      </c>
      <c r="AC526" s="209" t="s">
        <v>182</v>
      </c>
      <c r="AD526" s="209">
        <v>1</v>
      </c>
      <c r="AE526" s="209">
        <v>2025</v>
      </c>
      <c r="AF526" s="227">
        <v>45660</v>
      </c>
      <c r="AG526" s="227">
        <v>45667</v>
      </c>
      <c r="AH526" s="227">
        <v>45668</v>
      </c>
      <c r="AI526" s="228">
        <v>322368</v>
      </c>
      <c r="AJ526" s="228">
        <v>46</v>
      </c>
      <c r="AK526" s="228">
        <v>322368</v>
      </c>
      <c r="AL526" s="228">
        <v>46</v>
      </c>
      <c r="AM526" s="228">
        <v>0</v>
      </c>
      <c r="AN526" s="228">
        <v>0</v>
      </c>
      <c r="AO526" s="229">
        <v>2</v>
      </c>
      <c r="AP526" s="231">
        <v>1</v>
      </c>
      <c r="AQ526" s="231">
        <v>2025</v>
      </c>
      <c r="AR526" s="231" t="str">
        <f t="shared" si="65"/>
        <v>01/2025</v>
      </c>
      <c r="AS526" s="231">
        <f t="shared" si="66"/>
        <v>52</v>
      </c>
      <c r="AT526" s="239">
        <f>IF(G526="CERVECERIA Y MALTERIA",(AS526*AK526/1000000)*(1-VLOOKUP(N526,FCST!D:I,6,FALSE)),0)</f>
        <v>16.763135999999999</v>
      </c>
      <c r="AU526" s="232">
        <v>5.0000000000000001E-3</v>
      </c>
      <c r="AV526" s="239">
        <f t="shared" si="67"/>
        <v>16.846951679999997</v>
      </c>
      <c r="AW526" s="239">
        <f>(AS526*AK526/1000000)*(VLOOKUP(N526,FCST!D:I,6,FALSE))</f>
        <v>0</v>
      </c>
      <c r="AX526" s="239">
        <f t="shared" si="68"/>
        <v>0</v>
      </c>
      <c r="AY526" s="239">
        <f>IF($G526="CERVECERIA Y MALTERIA.",($AS526*$AK526/1000000)*(1-VLOOKUP($N526,FCST!D:I,6,FALSE)),0)</f>
        <v>0</v>
      </c>
      <c r="AZ526" s="239">
        <f t="shared" si="69"/>
        <v>0</v>
      </c>
    </row>
    <row r="527" spans="1:52" x14ac:dyDescent="0.25">
      <c r="A527" s="209">
        <v>1094883</v>
      </c>
      <c r="B527" s="209">
        <v>20</v>
      </c>
      <c r="C527" s="209" t="s">
        <v>1062</v>
      </c>
      <c r="D527" s="209">
        <v>10</v>
      </c>
      <c r="E527" s="209">
        <v>10000002</v>
      </c>
      <c r="F527" s="209">
        <v>20000335</v>
      </c>
      <c r="G527" s="209" t="s">
        <v>105</v>
      </c>
      <c r="H527" s="209">
        <v>20000335</v>
      </c>
      <c r="I527" s="209">
        <v>2</v>
      </c>
      <c r="J527" s="209" t="s">
        <v>169</v>
      </c>
      <c r="K527" s="209" t="s">
        <v>1063</v>
      </c>
      <c r="L527" s="209" t="s">
        <v>171</v>
      </c>
      <c r="M527" s="209" t="s">
        <v>199</v>
      </c>
      <c r="N527" s="209">
        <v>50037042</v>
      </c>
      <c r="O527" s="209" t="s">
        <v>543</v>
      </c>
      <c r="P527" s="209">
        <v>5121</v>
      </c>
      <c r="Q527" s="209" t="s">
        <v>200</v>
      </c>
      <c r="R527" s="209" t="s">
        <v>201</v>
      </c>
      <c r="S527" s="209" t="s">
        <v>202</v>
      </c>
      <c r="T527" s="209" t="s">
        <v>203</v>
      </c>
      <c r="U527" s="209" t="s">
        <v>201</v>
      </c>
      <c r="V527" s="209" t="s">
        <v>179</v>
      </c>
      <c r="W527" s="209" t="s">
        <v>179</v>
      </c>
      <c r="X527" s="209" t="s">
        <v>180</v>
      </c>
      <c r="Y527" s="209" t="s">
        <v>180</v>
      </c>
      <c r="Z527" s="209" t="s">
        <v>1054</v>
      </c>
      <c r="AA527" s="209" t="s">
        <v>1055</v>
      </c>
      <c r="AB527" s="209" t="s">
        <v>180</v>
      </c>
      <c r="AC527" s="209" t="s">
        <v>182</v>
      </c>
      <c r="AD527" s="209">
        <v>1</v>
      </c>
      <c r="AE527" s="209">
        <v>2025</v>
      </c>
      <c r="AF527" s="227">
        <v>45666</v>
      </c>
      <c r="AG527" s="227">
        <v>45670</v>
      </c>
      <c r="AH527" s="227">
        <v>45670</v>
      </c>
      <c r="AI527" s="228">
        <v>426816</v>
      </c>
      <c r="AJ527" s="228">
        <v>52</v>
      </c>
      <c r="AK527" s="228">
        <v>426816</v>
      </c>
      <c r="AL527" s="228">
        <v>52</v>
      </c>
      <c r="AM527" s="228">
        <v>0</v>
      </c>
      <c r="AN527" s="228">
        <v>0</v>
      </c>
      <c r="AO527" s="229">
        <v>3</v>
      </c>
      <c r="AP527" s="231">
        <v>1</v>
      </c>
      <c r="AQ527" s="231">
        <v>2025</v>
      </c>
      <c r="AR527" s="231" t="str">
        <f t="shared" si="65"/>
        <v>01/2025</v>
      </c>
      <c r="AS527" s="231">
        <f t="shared" si="66"/>
        <v>46.6</v>
      </c>
      <c r="AT527" s="239">
        <f>IF(G527="CERVECERIA Y MALTERIA",(AS527*AK527/1000000)*(1-VLOOKUP(N527,FCST!D:I,6,FALSE)),0)</f>
        <v>15.911700480000002</v>
      </c>
      <c r="AU527" s="232">
        <v>5.0000000000000001E-3</v>
      </c>
      <c r="AV527" s="239">
        <f t="shared" si="67"/>
        <v>15.9912589824</v>
      </c>
      <c r="AW527" s="239">
        <f>(AS527*AK527/1000000)*(VLOOKUP(N527,FCST!D:I,6,FALSE))</f>
        <v>3.9779251200000005</v>
      </c>
      <c r="AX527" s="239">
        <f t="shared" si="68"/>
        <v>3.9978147455999999</v>
      </c>
      <c r="AY527" s="239">
        <f>IF($G527="CERVECERIA Y MALTERIA.",($AS527*$AK527/1000000)*(1-VLOOKUP($N527,FCST!D:I,6,FALSE)),0)</f>
        <v>0</v>
      </c>
      <c r="AZ527" s="239">
        <f t="shared" si="69"/>
        <v>0</v>
      </c>
    </row>
    <row r="528" spans="1:52" x14ac:dyDescent="0.25">
      <c r="A528" s="209">
        <v>1094883</v>
      </c>
      <c r="B528" s="209">
        <v>10</v>
      </c>
      <c r="C528" s="209" t="s">
        <v>1064</v>
      </c>
      <c r="D528" s="209">
        <v>10</v>
      </c>
      <c r="E528" s="209">
        <v>10000002</v>
      </c>
      <c r="F528" s="209">
        <v>20000335</v>
      </c>
      <c r="G528" s="209" t="s">
        <v>105</v>
      </c>
      <c r="H528" s="209">
        <v>20000335</v>
      </c>
      <c r="I528" s="209">
        <v>2</v>
      </c>
      <c r="J528" s="209" t="s">
        <v>169</v>
      </c>
      <c r="K528" s="209" t="s">
        <v>1065</v>
      </c>
      <c r="L528" s="209" t="s">
        <v>171</v>
      </c>
      <c r="M528" s="209" t="s">
        <v>199</v>
      </c>
      <c r="N528" s="209">
        <v>50034616</v>
      </c>
      <c r="O528" s="209" t="s">
        <v>191</v>
      </c>
      <c r="P528" s="209">
        <v>5121</v>
      </c>
      <c r="Q528" s="209" t="s">
        <v>200</v>
      </c>
      <c r="R528" s="209" t="s">
        <v>201</v>
      </c>
      <c r="S528" s="209" t="s">
        <v>202</v>
      </c>
      <c r="T528" s="209" t="s">
        <v>203</v>
      </c>
      <c r="U528" s="209" t="s">
        <v>201</v>
      </c>
      <c r="V528" s="209" t="s">
        <v>179</v>
      </c>
      <c r="W528" s="209" t="s">
        <v>179</v>
      </c>
      <c r="X528" s="209" t="s">
        <v>180</v>
      </c>
      <c r="Y528" s="209" t="s">
        <v>180</v>
      </c>
      <c r="Z528" s="209" t="s">
        <v>1036</v>
      </c>
      <c r="AA528" s="209" t="s">
        <v>1037</v>
      </c>
      <c r="AB528" s="209" t="s">
        <v>180</v>
      </c>
      <c r="AC528" s="209" t="s">
        <v>182</v>
      </c>
      <c r="AD528" s="209">
        <v>1</v>
      </c>
      <c r="AE528" s="209">
        <v>2025</v>
      </c>
      <c r="AF528" s="227">
        <v>45666</v>
      </c>
      <c r="AG528" s="227">
        <v>45670</v>
      </c>
      <c r="AH528" s="227">
        <v>45670</v>
      </c>
      <c r="AI528" s="228">
        <v>426816</v>
      </c>
      <c r="AJ528" s="228">
        <v>52</v>
      </c>
      <c r="AK528" s="228">
        <v>426816</v>
      </c>
      <c r="AL528" s="228">
        <v>52</v>
      </c>
      <c r="AM528" s="228">
        <v>0</v>
      </c>
      <c r="AN528" s="228">
        <v>0</v>
      </c>
      <c r="AO528" s="229">
        <v>3</v>
      </c>
      <c r="AP528" s="231">
        <v>1</v>
      </c>
      <c r="AQ528" s="231">
        <v>2025</v>
      </c>
      <c r="AR528" s="231" t="str">
        <f t="shared" si="65"/>
        <v>01/2025</v>
      </c>
      <c r="AS528" s="231">
        <f t="shared" si="66"/>
        <v>46.6</v>
      </c>
      <c r="AT528" s="239">
        <f>IF(G528="CERVECERIA Y MALTERIA",(AS528*AK528/1000000)*(1-VLOOKUP(N528,FCST!D:I,6,FALSE)),0)</f>
        <v>19.889625600000002</v>
      </c>
      <c r="AU528" s="232">
        <v>5.0000000000000001E-3</v>
      </c>
      <c r="AV528" s="239">
        <f t="shared" si="67"/>
        <v>19.989073728000001</v>
      </c>
      <c r="AW528" s="239">
        <f>(AS528*AK528/1000000)*(VLOOKUP(N528,FCST!D:I,6,FALSE))</f>
        <v>0</v>
      </c>
      <c r="AX528" s="239">
        <f t="shared" si="68"/>
        <v>0</v>
      </c>
      <c r="AY528" s="239">
        <f>IF($G528="CERVECERIA Y MALTERIA.",($AS528*$AK528/1000000)*(1-VLOOKUP($N528,FCST!D:I,6,FALSE)),0)</f>
        <v>0</v>
      </c>
      <c r="AZ528" s="239">
        <f t="shared" si="69"/>
        <v>0</v>
      </c>
    </row>
    <row r="529" spans="1:52" x14ac:dyDescent="0.25">
      <c r="A529" s="209">
        <v>1094884</v>
      </c>
      <c r="B529" s="209">
        <v>10</v>
      </c>
      <c r="C529" s="209" t="s">
        <v>1066</v>
      </c>
      <c r="D529" s="209">
        <v>10</v>
      </c>
      <c r="E529" s="209">
        <v>10000002</v>
      </c>
      <c r="F529" s="209">
        <v>20000340</v>
      </c>
      <c r="G529" s="209" t="s">
        <v>117</v>
      </c>
      <c r="H529" s="209">
        <v>20000340</v>
      </c>
      <c r="I529" s="209">
        <v>2</v>
      </c>
      <c r="J529" s="209" t="s">
        <v>169</v>
      </c>
      <c r="K529" s="209" t="s">
        <v>1067</v>
      </c>
      <c r="L529" s="209" t="s">
        <v>171</v>
      </c>
      <c r="M529" s="209" t="s">
        <v>172</v>
      </c>
      <c r="N529" s="209">
        <v>50029817</v>
      </c>
      <c r="O529" s="209" t="s">
        <v>396</v>
      </c>
      <c r="P529" s="209">
        <v>5101</v>
      </c>
      <c r="Q529" s="209" t="s">
        <v>186</v>
      </c>
      <c r="R529" s="209" t="s">
        <v>175</v>
      </c>
      <c r="S529" s="209" t="s">
        <v>176</v>
      </c>
      <c r="T529" s="209" t="s">
        <v>187</v>
      </c>
      <c r="U529" s="209" t="s">
        <v>188</v>
      </c>
      <c r="V529" s="209" t="s">
        <v>179</v>
      </c>
      <c r="W529" s="209" t="s">
        <v>179</v>
      </c>
      <c r="X529" s="209" t="s">
        <v>180</v>
      </c>
      <c r="Y529" s="209" t="s">
        <v>180</v>
      </c>
      <c r="Z529" s="209" t="s">
        <v>1068</v>
      </c>
      <c r="AA529" s="209" t="s">
        <v>1069</v>
      </c>
      <c r="AB529" s="209" t="s">
        <v>180</v>
      </c>
      <c r="AC529" s="209" t="s">
        <v>182</v>
      </c>
      <c r="AD529" s="209">
        <v>1</v>
      </c>
      <c r="AE529" s="209">
        <v>2025</v>
      </c>
      <c r="AF529" s="227">
        <v>45666</v>
      </c>
      <c r="AG529" s="227">
        <v>45670</v>
      </c>
      <c r="AH529" s="227">
        <v>45670</v>
      </c>
      <c r="AI529" s="228">
        <v>606528</v>
      </c>
      <c r="AJ529" s="228">
        <v>52</v>
      </c>
      <c r="AK529" s="228">
        <v>606528</v>
      </c>
      <c r="AL529" s="228">
        <v>52</v>
      </c>
      <c r="AM529" s="228">
        <v>0</v>
      </c>
      <c r="AN529" s="228">
        <v>0</v>
      </c>
      <c r="AO529" s="229">
        <v>3</v>
      </c>
      <c r="AP529" s="231">
        <v>1</v>
      </c>
      <c r="AQ529" s="231">
        <v>2025</v>
      </c>
      <c r="AR529" s="231" t="str">
        <f t="shared" si="65"/>
        <v>01/2025</v>
      </c>
      <c r="AS529" s="231">
        <f t="shared" si="66"/>
        <v>30</v>
      </c>
      <c r="AT529" s="239">
        <f>IF(G529="CERVECERIA Y MALTERIA",(AS529*AK529/1000000)*(1-VLOOKUP(N529,FCST!D:I,6,FALSE)),0)</f>
        <v>0</v>
      </c>
      <c r="AU529" s="232">
        <v>5.0000000000000001E-3</v>
      </c>
      <c r="AV529" s="239">
        <f t="shared" si="67"/>
        <v>0</v>
      </c>
      <c r="AW529" s="239">
        <f>(AS529*AK529/1000000)*(VLOOKUP(N529,FCST!D:I,6,FALSE))</f>
        <v>5.4587519999999996</v>
      </c>
      <c r="AX529" s="239">
        <f t="shared" si="68"/>
        <v>5.4860457599999988</v>
      </c>
      <c r="AY529" s="239">
        <f>IF($G529="CERVECERIA Y MALTERIA.",($AS529*$AK529/1000000)*(1-VLOOKUP($N529,FCST!D:I,6,FALSE)),0)</f>
        <v>12.737088</v>
      </c>
      <c r="AZ529" s="239">
        <f t="shared" si="69"/>
        <v>12.800773439999999</v>
      </c>
    </row>
    <row r="530" spans="1:52" x14ac:dyDescent="0.25">
      <c r="A530" s="209">
        <v>1094883</v>
      </c>
      <c r="B530" s="209">
        <v>30</v>
      </c>
      <c r="C530" s="209" t="s">
        <v>1070</v>
      </c>
      <c r="D530" s="209">
        <v>10</v>
      </c>
      <c r="E530" s="209">
        <v>10000002</v>
      </c>
      <c r="F530" s="209">
        <v>20000335</v>
      </c>
      <c r="G530" s="209" t="s">
        <v>105</v>
      </c>
      <c r="H530" s="209">
        <v>20000335</v>
      </c>
      <c r="I530" s="209">
        <v>2</v>
      </c>
      <c r="J530" s="209" t="s">
        <v>169</v>
      </c>
      <c r="K530" s="209" t="s">
        <v>1071</v>
      </c>
      <c r="L530" s="209" t="s">
        <v>171</v>
      </c>
      <c r="M530" s="209" t="s">
        <v>199</v>
      </c>
      <c r="N530" s="209">
        <v>50037042</v>
      </c>
      <c r="O530" s="209" t="s">
        <v>543</v>
      </c>
      <c r="P530" s="209">
        <v>5121</v>
      </c>
      <c r="Q530" s="209" t="s">
        <v>200</v>
      </c>
      <c r="R530" s="209" t="s">
        <v>201</v>
      </c>
      <c r="S530" s="209" t="s">
        <v>202</v>
      </c>
      <c r="T530" s="209" t="s">
        <v>203</v>
      </c>
      <c r="U530" s="209" t="s">
        <v>201</v>
      </c>
      <c r="V530" s="209" t="s">
        <v>179</v>
      </c>
      <c r="W530" s="209" t="s">
        <v>179</v>
      </c>
      <c r="X530" s="209" t="s">
        <v>180</v>
      </c>
      <c r="Y530" s="209" t="s">
        <v>180</v>
      </c>
      <c r="Z530" s="209" t="s">
        <v>1054</v>
      </c>
      <c r="AA530" s="209" t="s">
        <v>1055</v>
      </c>
      <c r="AB530" s="209" t="s">
        <v>180</v>
      </c>
      <c r="AC530" s="209" t="s">
        <v>182</v>
      </c>
      <c r="AD530" s="209">
        <v>1</v>
      </c>
      <c r="AE530" s="209">
        <v>2025</v>
      </c>
      <c r="AF530" s="227">
        <v>45666</v>
      </c>
      <c r="AG530" s="227">
        <v>45670</v>
      </c>
      <c r="AH530" s="227">
        <v>45670</v>
      </c>
      <c r="AI530" s="228">
        <v>426816</v>
      </c>
      <c r="AJ530" s="228">
        <v>52</v>
      </c>
      <c r="AK530" s="228">
        <v>426816</v>
      </c>
      <c r="AL530" s="228">
        <v>52</v>
      </c>
      <c r="AM530" s="228">
        <v>0</v>
      </c>
      <c r="AN530" s="228">
        <v>0</v>
      </c>
      <c r="AO530" s="229">
        <v>3</v>
      </c>
      <c r="AP530" s="231">
        <v>1</v>
      </c>
      <c r="AQ530" s="231">
        <v>2025</v>
      </c>
      <c r="AR530" s="231" t="str">
        <f t="shared" si="65"/>
        <v>01/2025</v>
      </c>
      <c r="AS530" s="231">
        <f t="shared" si="66"/>
        <v>46.6</v>
      </c>
      <c r="AT530" s="239">
        <f>IF(G530="CERVECERIA Y MALTERIA",(AS530*AK530/1000000)*(1-VLOOKUP(N530,FCST!D:I,6,FALSE)),0)</f>
        <v>15.911700480000002</v>
      </c>
      <c r="AU530" s="232">
        <v>5.0000000000000001E-3</v>
      </c>
      <c r="AV530" s="239">
        <f t="shared" si="67"/>
        <v>15.9912589824</v>
      </c>
      <c r="AW530" s="239">
        <f>(AS530*AK530/1000000)*(VLOOKUP(N530,FCST!D:I,6,FALSE))</f>
        <v>3.9779251200000005</v>
      </c>
      <c r="AX530" s="239">
        <f t="shared" si="68"/>
        <v>3.9978147455999999</v>
      </c>
      <c r="AY530" s="239">
        <f>IF($G530="CERVECERIA Y MALTERIA.",($AS530*$AK530/1000000)*(1-VLOOKUP($N530,FCST!D:I,6,FALSE)),0)</f>
        <v>0</v>
      </c>
      <c r="AZ530" s="239">
        <f t="shared" si="69"/>
        <v>0</v>
      </c>
    </row>
    <row r="531" spans="1:52" x14ac:dyDescent="0.25">
      <c r="A531" s="209">
        <v>1093740</v>
      </c>
      <c r="B531" s="209">
        <v>60</v>
      </c>
      <c r="C531" s="209" t="s">
        <v>1072</v>
      </c>
      <c r="D531" s="209">
        <v>10</v>
      </c>
      <c r="E531" s="209">
        <v>10000002</v>
      </c>
      <c r="F531" s="209">
        <v>20001057</v>
      </c>
      <c r="G531" s="209" t="s">
        <v>105</v>
      </c>
      <c r="H531" s="209">
        <v>20001057</v>
      </c>
      <c r="I531" s="209">
        <v>2</v>
      </c>
      <c r="J531" s="209" t="s">
        <v>169</v>
      </c>
      <c r="K531" s="209" t="s">
        <v>1073</v>
      </c>
      <c r="L531" s="209" t="s">
        <v>265</v>
      </c>
      <c r="M531" s="209" t="s">
        <v>184</v>
      </c>
      <c r="N531" s="209">
        <v>50037887</v>
      </c>
      <c r="O531" s="209" t="s">
        <v>679</v>
      </c>
      <c r="P531" s="209">
        <v>5121</v>
      </c>
      <c r="Q531" s="209" t="s">
        <v>174</v>
      </c>
      <c r="R531" s="209" t="s">
        <v>175</v>
      </c>
      <c r="S531" s="209" t="s">
        <v>176</v>
      </c>
      <c r="T531" s="209" t="s">
        <v>177</v>
      </c>
      <c r="U531" s="209" t="s">
        <v>178</v>
      </c>
      <c r="V531" s="209" t="s">
        <v>179</v>
      </c>
      <c r="W531" s="209" t="s">
        <v>179</v>
      </c>
      <c r="X531" s="209" t="s">
        <v>180</v>
      </c>
      <c r="Y531" s="209" t="s">
        <v>180</v>
      </c>
      <c r="Z531" s="209" t="s">
        <v>1074</v>
      </c>
      <c r="AA531" s="209" t="s">
        <v>1075</v>
      </c>
      <c r="AB531" s="209" t="s">
        <v>180</v>
      </c>
      <c r="AC531" s="209" t="s">
        <v>182</v>
      </c>
      <c r="AD531" s="209">
        <v>1</v>
      </c>
      <c r="AE531" s="209">
        <v>2025</v>
      </c>
      <c r="AF531" s="227">
        <v>45660</v>
      </c>
      <c r="AG531" s="227">
        <v>45667</v>
      </c>
      <c r="AH531" s="227">
        <v>45667</v>
      </c>
      <c r="AI531" s="228">
        <v>531648</v>
      </c>
      <c r="AJ531" s="228">
        <v>52</v>
      </c>
      <c r="AK531" s="228">
        <v>531648</v>
      </c>
      <c r="AL531" s="228">
        <v>52</v>
      </c>
      <c r="AM531" s="228">
        <v>0</v>
      </c>
      <c r="AN531" s="228">
        <v>0</v>
      </c>
      <c r="AO531" s="229">
        <v>1</v>
      </c>
      <c r="AP531" s="231">
        <v>1</v>
      </c>
      <c r="AQ531" s="231">
        <v>2025</v>
      </c>
      <c r="AR531" s="231" t="str">
        <f t="shared" ref="AR531:AR594" si="70">+IF(AP531&lt;10,"0"&amp;AP531&amp; "/"&amp;AQ531,AP531&amp; "/"&amp;AQ531)</f>
        <v>01/2025</v>
      </c>
      <c r="AS531" s="231">
        <f t="shared" ref="AS531:AS594" si="71">VALUE(MID(INDEX(_xlfn.TEXTSPLIT(O531, ","), 1, 3), 1,FIND("G", INDEX(_xlfn.TEXTSPLIT(O531, ","), 1, 3))-1))</f>
        <v>37.200000000000003</v>
      </c>
      <c r="AT531" s="239">
        <f>IF(G531="CERVECERIA Y MALTERIA",(AS531*AK531/1000000)*(1-VLOOKUP(N531,FCST!D:I,6,FALSE)),0)</f>
        <v>19.777305600000002</v>
      </c>
      <c r="AU531" s="232">
        <v>5.0000000000000001E-3</v>
      </c>
      <c r="AV531" s="239">
        <f t="shared" ref="AV531:AV594" si="72">+AT531*(1+AU531)</f>
        <v>19.876192128</v>
      </c>
      <c r="AW531" s="239">
        <f>(AS531*AK531/1000000)*(VLOOKUP(N531,FCST!D:I,6,FALSE))</f>
        <v>0</v>
      </c>
      <c r="AX531" s="239">
        <f t="shared" ref="AX531:AX594" si="73">+AW531*(1+AU531)</f>
        <v>0</v>
      </c>
      <c r="AY531" s="239">
        <f>IF($G531="CERVECERIA Y MALTERIA.",($AS531*$AK531/1000000)*(1-VLOOKUP($N531,FCST!D:I,6,FALSE)),0)</f>
        <v>0</v>
      </c>
      <c r="AZ531" s="239">
        <f t="shared" ref="AZ531:AZ594" si="74">+AY531*(1+AU531)</f>
        <v>0</v>
      </c>
    </row>
    <row r="532" spans="1:52" x14ac:dyDescent="0.25">
      <c r="A532" s="209">
        <v>1093757</v>
      </c>
      <c r="B532" s="209">
        <v>70</v>
      </c>
      <c r="C532" s="209" t="s">
        <v>1076</v>
      </c>
      <c r="D532" s="209">
        <v>10</v>
      </c>
      <c r="E532" s="209">
        <v>10000002</v>
      </c>
      <c r="F532" s="209">
        <v>20000335</v>
      </c>
      <c r="G532" s="209" t="s">
        <v>105</v>
      </c>
      <c r="H532" s="209">
        <v>20000335</v>
      </c>
      <c r="I532" s="209">
        <v>2</v>
      </c>
      <c r="J532" s="209" t="s">
        <v>169</v>
      </c>
      <c r="K532" s="209" t="s">
        <v>1077</v>
      </c>
      <c r="L532" s="209" t="s">
        <v>265</v>
      </c>
      <c r="M532" s="209" t="s">
        <v>199</v>
      </c>
      <c r="N532" s="209">
        <v>50037887</v>
      </c>
      <c r="O532" s="209" t="s">
        <v>679</v>
      </c>
      <c r="P532" s="209">
        <v>5121</v>
      </c>
      <c r="Q532" s="209" t="s">
        <v>200</v>
      </c>
      <c r="R532" s="209" t="s">
        <v>201</v>
      </c>
      <c r="S532" s="209" t="s">
        <v>202</v>
      </c>
      <c r="T532" s="209" t="s">
        <v>203</v>
      </c>
      <c r="U532" s="209" t="s">
        <v>201</v>
      </c>
      <c r="V532" s="209" t="s">
        <v>179</v>
      </c>
      <c r="W532" s="209" t="s">
        <v>179</v>
      </c>
      <c r="X532" s="209" t="s">
        <v>180</v>
      </c>
      <c r="Y532" s="209" t="s">
        <v>180</v>
      </c>
      <c r="Z532" s="209" t="s">
        <v>1078</v>
      </c>
      <c r="AA532" s="209" t="s">
        <v>1079</v>
      </c>
      <c r="AB532" s="209" t="s">
        <v>180</v>
      </c>
      <c r="AC532" s="209" t="s">
        <v>182</v>
      </c>
      <c r="AD532" s="209">
        <v>1</v>
      </c>
      <c r="AE532" s="209">
        <v>2025</v>
      </c>
      <c r="AF532" s="227">
        <v>45660</v>
      </c>
      <c r="AG532" s="227">
        <v>45666</v>
      </c>
      <c r="AH532" s="227">
        <v>45666</v>
      </c>
      <c r="AI532" s="228">
        <v>531648</v>
      </c>
      <c r="AJ532" s="228">
        <v>52</v>
      </c>
      <c r="AK532" s="228">
        <v>531648</v>
      </c>
      <c r="AL532" s="228">
        <v>52</v>
      </c>
      <c r="AM532" s="228">
        <v>0</v>
      </c>
      <c r="AN532" s="228">
        <v>0</v>
      </c>
      <c r="AO532" s="229">
        <v>2</v>
      </c>
      <c r="AP532" s="231">
        <v>1</v>
      </c>
      <c r="AQ532" s="231">
        <v>2025</v>
      </c>
      <c r="AR532" s="231" t="str">
        <f t="shared" si="70"/>
        <v>01/2025</v>
      </c>
      <c r="AS532" s="231">
        <f t="shared" si="71"/>
        <v>37.200000000000003</v>
      </c>
      <c r="AT532" s="239">
        <f>IF(G532="CERVECERIA Y MALTERIA",(AS532*AK532/1000000)*(1-VLOOKUP(N532,FCST!D:I,6,FALSE)),0)</f>
        <v>19.777305600000002</v>
      </c>
      <c r="AU532" s="232">
        <v>5.0000000000000001E-3</v>
      </c>
      <c r="AV532" s="239">
        <f t="shared" si="72"/>
        <v>19.876192128</v>
      </c>
      <c r="AW532" s="239">
        <f>(AS532*AK532/1000000)*(VLOOKUP(N532,FCST!D:I,6,FALSE))</f>
        <v>0</v>
      </c>
      <c r="AX532" s="239">
        <f t="shared" si="73"/>
        <v>0</v>
      </c>
      <c r="AY532" s="239">
        <f>IF($G532="CERVECERIA Y MALTERIA.",($AS532*$AK532/1000000)*(1-VLOOKUP($N532,FCST!D:I,6,FALSE)),0)</f>
        <v>0</v>
      </c>
      <c r="AZ532" s="239">
        <f t="shared" si="74"/>
        <v>0</v>
      </c>
    </row>
    <row r="533" spans="1:52" x14ac:dyDescent="0.25">
      <c r="A533" s="209">
        <v>1093740</v>
      </c>
      <c r="B533" s="209">
        <v>50</v>
      </c>
      <c r="C533" s="209" t="s">
        <v>1080</v>
      </c>
      <c r="D533" s="209">
        <v>10</v>
      </c>
      <c r="E533" s="209">
        <v>10000002</v>
      </c>
      <c r="F533" s="209">
        <v>20001057</v>
      </c>
      <c r="G533" s="209" t="s">
        <v>105</v>
      </c>
      <c r="H533" s="209">
        <v>20001057</v>
      </c>
      <c r="I533" s="209">
        <v>2</v>
      </c>
      <c r="J533" s="209" t="s">
        <v>169</v>
      </c>
      <c r="K533" s="209" t="s">
        <v>1081</v>
      </c>
      <c r="L533" s="209" t="s">
        <v>265</v>
      </c>
      <c r="M533" s="209" t="s">
        <v>199</v>
      </c>
      <c r="N533" s="209">
        <v>50034616</v>
      </c>
      <c r="O533" s="209" t="s">
        <v>191</v>
      </c>
      <c r="P533" s="209">
        <v>5121</v>
      </c>
      <c r="Q533" s="209" t="s">
        <v>200</v>
      </c>
      <c r="R533" s="209" t="s">
        <v>201</v>
      </c>
      <c r="S533" s="209" t="s">
        <v>202</v>
      </c>
      <c r="T533" s="209" t="s">
        <v>203</v>
      </c>
      <c r="U533" s="209" t="s">
        <v>201</v>
      </c>
      <c r="V533" s="209" t="s">
        <v>179</v>
      </c>
      <c r="W533" s="209" t="s">
        <v>179</v>
      </c>
      <c r="X533" s="209" t="s">
        <v>180</v>
      </c>
      <c r="Y533" s="209" t="s">
        <v>180</v>
      </c>
      <c r="Z533" s="209" t="s">
        <v>1082</v>
      </c>
      <c r="AA533" s="209" t="s">
        <v>1083</v>
      </c>
      <c r="AB533" s="209" t="s">
        <v>180</v>
      </c>
      <c r="AC533" s="209" t="s">
        <v>182</v>
      </c>
      <c r="AD533" s="209">
        <v>1</v>
      </c>
      <c r="AE533" s="209">
        <v>2025</v>
      </c>
      <c r="AF533" s="227">
        <v>45660</v>
      </c>
      <c r="AG533" s="227">
        <v>45666</v>
      </c>
      <c r="AH533" s="227">
        <v>45666</v>
      </c>
      <c r="AI533" s="228">
        <v>426816</v>
      </c>
      <c r="AJ533" s="228">
        <v>52</v>
      </c>
      <c r="AK533" s="228">
        <v>426816</v>
      </c>
      <c r="AL533" s="228">
        <v>52</v>
      </c>
      <c r="AM533" s="228">
        <v>0</v>
      </c>
      <c r="AN533" s="228">
        <v>0</v>
      </c>
      <c r="AO533" s="229">
        <v>1</v>
      </c>
      <c r="AP533" s="231">
        <v>1</v>
      </c>
      <c r="AQ533" s="231">
        <v>2025</v>
      </c>
      <c r="AR533" s="231" t="str">
        <f t="shared" si="70"/>
        <v>01/2025</v>
      </c>
      <c r="AS533" s="231">
        <f t="shared" si="71"/>
        <v>46.6</v>
      </c>
      <c r="AT533" s="239">
        <f>IF(G533="CERVECERIA Y MALTERIA",(AS533*AK533/1000000)*(1-VLOOKUP(N533,FCST!D:I,6,FALSE)),0)</f>
        <v>19.889625600000002</v>
      </c>
      <c r="AU533" s="232">
        <v>5.0000000000000001E-3</v>
      </c>
      <c r="AV533" s="239">
        <f t="shared" si="72"/>
        <v>19.989073728000001</v>
      </c>
      <c r="AW533" s="239">
        <f>(AS533*AK533/1000000)*(VLOOKUP(N533,FCST!D:I,6,FALSE))</f>
        <v>0</v>
      </c>
      <c r="AX533" s="239">
        <f t="shared" si="73"/>
        <v>0</v>
      </c>
      <c r="AY533" s="239">
        <f>IF($G533="CERVECERIA Y MALTERIA.",($AS533*$AK533/1000000)*(1-VLOOKUP($N533,FCST!D:I,6,FALSE)),0)</f>
        <v>0</v>
      </c>
      <c r="AZ533" s="239">
        <f t="shared" si="74"/>
        <v>0</v>
      </c>
    </row>
    <row r="534" spans="1:52" x14ac:dyDescent="0.25">
      <c r="A534" s="209">
        <v>1094003</v>
      </c>
      <c r="B534" s="209">
        <v>30</v>
      </c>
      <c r="C534" s="209" t="s">
        <v>1084</v>
      </c>
      <c r="D534" s="209">
        <v>10</v>
      </c>
      <c r="E534" s="209">
        <v>10000002</v>
      </c>
      <c r="F534" s="209">
        <v>20000337</v>
      </c>
      <c r="G534" s="209" t="s">
        <v>105</v>
      </c>
      <c r="H534" s="209">
        <v>20000337</v>
      </c>
      <c r="I534" s="209">
        <v>2</v>
      </c>
      <c r="J534" s="209" t="s">
        <v>169</v>
      </c>
      <c r="K534" s="209" t="s">
        <v>1085</v>
      </c>
      <c r="L534" s="209" t="s">
        <v>265</v>
      </c>
      <c r="M534" s="209" t="s">
        <v>199</v>
      </c>
      <c r="N534" s="209">
        <v>50034616</v>
      </c>
      <c r="O534" s="209" t="s">
        <v>191</v>
      </c>
      <c r="P534" s="209">
        <v>5121</v>
      </c>
      <c r="Q534" s="209" t="s">
        <v>200</v>
      </c>
      <c r="R534" s="209" t="s">
        <v>201</v>
      </c>
      <c r="S534" s="209" t="s">
        <v>202</v>
      </c>
      <c r="T534" s="209" t="s">
        <v>203</v>
      </c>
      <c r="U534" s="209" t="s">
        <v>201</v>
      </c>
      <c r="V534" s="209" t="s">
        <v>179</v>
      </c>
      <c r="W534" s="209" t="s">
        <v>179</v>
      </c>
      <c r="X534" s="209" t="s">
        <v>180</v>
      </c>
      <c r="Y534" s="209" t="s">
        <v>180</v>
      </c>
      <c r="Z534" s="209" t="s">
        <v>1040</v>
      </c>
      <c r="AA534" s="209" t="s">
        <v>1041</v>
      </c>
      <c r="AB534" s="209" t="s">
        <v>180</v>
      </c>
      <c r="AC534" s="209" t="s">
        <v>182</v>
      </c>
      <c r="AD534" s="209">
        <v>1</v>
      </c>
      <c r="AE534" s="209">
        <v>2025</v>
      </c>
      <c r="AF534" s="227">
        <v>45663</v>
      </c>
      <c r="AG534" s="227">
        <v>45666</v>
      </c>
      <c r="AH534" s="227">
        <v>45666</v>
      </c>
      <c r="AI534" s="228">
        <v>426816</v>
      </c>
      <c r="AJ534" s="228">
        <v>52</v>
      </c>
      <c r="AK534" s="228">
        <v>426816</v>
      </c>
      <c r="AL534" s="228">
        <v>52</v>
      </c>
      <c r="AM534" s="228">
        <v>0</v>
      </c>
      <c r="AN534" s="228">
        <v>0</v>
      </c>
      <c r="AO534" s="229">
        <v>2</v>
      </c>
      <c r="AP534" s="231">
        <v>1</v>
      </c>
      <c r="AQ534" s="231">
        <v>2025</v>
      </c>
      <c r="AR534" s="231" t="str">
        <f t="shared" si="70"/>
        <v>01/2025</v>
      </c>
      <c r="AS534" s="231">
        <f t="shared" si="71"/>
        <v>46.6</v>
      </c>
      <c r="AT534" s="239">
        <f>IF(G534="CERVECERIA Y MALTERIA",(AS534*AK534/1000000)*(1-VLOOKUP(N534,FCST!D:I,6,FALSE)),0)</f>
        <v>19.889625600000002</v>
      </c>
      <c r="AU534" s="232">
        <v>5.0000000000000001E-3</v>
      </c>
      <c r="AV534" s="239">
        <f t="shared" si="72"/>
        <v>19.989073728000001</v>
      </c>
      <c r="AW534" s="239">
        <f>(AS534*AK534/1000000)*(VLOOKUP(N534,FCST!D:I,6,FALSE))</f>
        <v>0</v>
      </c>
      <c r="AX534" s="239">
        <f t="shared" si="73"/>
        <v>0</v>
      </c>
      <c r="AY534" s="239">
        <f>IF($G534="CERVECERIA Y MALTERIA.",($AS534*$AK534/1000000)*(1-VLOOKUP($N534,FCST!D:I,6,FALSE)),0)</f>
        <v>0</v>
      </c>
      <c r="AZ534" s="239">
        <f t="shared" si="74"/>
        <v>0</v>
      </c>
    </row>
    <row r="535" spans="1:52" x14ac:dyDescent="0.25">
      <c r="A535" s="209">
        <v>1093757</v>
      </c>
      <c r="B535" s="209">
        <v>110</v>
      </c>
      <c r="C535" s="209" t="s">
        <v>1086</v>
      </c>
      <c r="D535" s="209">
        <v>10</v>
      </c>
      <c r="E535" s="209">
        <v>10000002</v>
      </c>
      <c r="F535" s="209">
        <v>20000335</v>
      </c>
      <c r="G535" s="209" t="s">
        <v>105</v>
      </c>
      <c r="H535" s="209">
        <v>20000335</v>
      </c>
      <c r="I535" s="209">
        <v>2</v>
      </c>
      <c r="J535" s="209" t="s">
        <v>169</v>
      </c>
      <c r="K535" s="209" t="s">
        <v>1087</v>
      </c>
      <c r="L535" s="209" t="s">
        <v>265</v>
      </c>
      <c r="M535" s="209" t="s">
        <v>184</v>
      </c>
      <c r="N535" s="209">
        <v>50034561</v>
      </c>
      <c r="O535" s="209" t="s">
        <v>307</v>
      </c>
      <c r="P535" s="209">
        <v>5121</v>
      </c>
      <c r="Q535" s="209" t="s">
        <v>174</v>
      </c>
      <c r="R535" s="209" t="s">
        <v>175</v>
      </c>
      <c r="S535" s="209" t="s">
        <v>176</v>
      </c>
      <c r="T535" s="209" t="s">
        <v>177</v>
      </c>
      <c r="U535" s="209" t="s">
        <v>178</v>
      </c>
      <c r="V535" s="209" t="s">
        <v>179</v>
      </c>
      <c r="W535" s="209" t="s">
        <v>179</v>
      </c>
      <c r="X535" s="209" t="s">
        <v>180</v>
      </c>
      <c r="Y535" s="209" t="s">
        <v>180</v>
      </c>
      <c r="Z535" s="209" t="s">
        <v>1088</v>
      </c>
      <c r="AA535" s="209" t="s">
        <v>1089</v>
      </c>
      <c r="AB535" s="209" t="s">
        <v>180</v>
      </c>
      <c r="AC535" s="209" t="s">
        <v>182</v>
      </c>
      <c r="AD535" s="209">
        <v>1</v>
      </c>
      <c r="AE535" s="209">
        <v>2025</v>
      </c>
      <c r="AF535" s="227">
        <v>45660</v>
      </c>
      <c r="AG535" s="227">
        <v>45667</v>
      </c>
      <c r="AH535" s="227">
        <v>45667</v>
      </c>
      <c r="AI535" s="228">
        <v>977184</v>
      </c>
      <c r="AJ535" s="228">
        <v>52</v>
      </c>
      <c r="AK535" s="228">
        <v>977184</v>
      </c>
      <c r="AL535" s="228">
        <v>52</v>
      </c>
      <c r="AM535" s="228">
        <v>0</v>
      </c>
      <c r="AN535" s="228">
        <v>0</v>
      </c>
      <c r="AO535" s="229">
        <v>2</v>
      </c>
      <c r="AP535" s="231">
        <v>1</v>
      </c>
      <c r="AQ535" s="231">
        <v>2025</v>
      </c>
      <c r="AR535" s="231" t="str">
        <f t="shared" si="70"/>
        <v>01/2025</v>
      </c>
      <c r="AS535" s="231">
        <f t="shared" si="71"/>
        <v>19.5</v>
      </c>
      <c r="AT535" s="239">
        <f>IF(G535="CERVECERIA Y MALTERIA",(AS535*AK535/1000000)*(1-VLOOKUP(N535,FCST!D:I,6,FALSE)),0)</f>
        <v>19.055088000000001</v>
      </c>
      <c r="AU535" s="232">
        <v>5.0000000000000001E-3</v>
      </c>
      <c r="AV535" s="239">
        <f t="shared" si="72"/>
        <v>19.15036344</v>
      </c>
      <c r="AW535" s="239">
        <f>(AS535*AK535/1000000)*(VLOOKUP(N535,FCST!D:I,6,FALSE))</f>
        <v>0</v>
      </c>
      <c r="AX535" s="239">
        <f t="shared" si="73"/>
        <v>0</v>
      </c>
      <c r="AY535" s="239">
        <f>IF($G535="CERVECERIA Y MALTERIA.",($AS535*$AK535/1000000)*(1-VLOOKUP($N535,FCST!D:I,6,FALSE)),0)</f>
        <v>0</v>
      </c>
      <c r="AZ535" s="239">
        <f t="shared" si="74"/>
        <v>0</v>
      </c>
    </row>
    <row r="536" spans="1:52" x14ac:dyDescent="0.25">
      <c r="A536" s="209">
        <v>1093757</v>
      </c>
      <c r="B536" s="209">
        <v>100</v>
      </c>
      <c r="C536" s="209" t="s">
        <v>1090</v>
      </c>
      <c r="D536" s="209">
        <v>10</v>
      </c>
      <c r="E536" s="209">
        <v>10000002</v>
      </c>
      <c r="F536" s="209">
        <v>20000335</v>
      </c>
      <c r="G536" s="209" t="s">
        <v>105</v>
      </c>
      <c r="H536" s="209">
        <v>20000335</v>
      </c>
      <c r="I536" s="209">
        <v>2</v>
      </c>
      <c r="J536" s="209" t="s">
        <v>169</v>
      </c>
      <c r="K536" s="209" t="s">
        <v>1091</v>
      </c>
      <c r="L536" s="209" t="s">
        <v>265</v>
      </c>
      <c r="M536" s="209" t="s">
        <v>199</v>
      </c>
      <c r="N536" s="209">
        <v>50037042</v>
      </c>
      <c r="O536" s="209" t="s">
        <v>543</v>
      </c>
      <c r="P536" s="209">
        <v>5121</v>
      </c>
      <c r="Q536" s="209" t="s">
        <v>200</v>
      </c>
      <c r="R536" s="209" t="s">
        <v>201</v>
      </c>
      <c r="S536" s="209" t="s">
        <v>202</v>
      </c>
      <c r="T536" s="209" t="s">
        <v>203</v>
      </c>
      <c r="U536" s="209" t="s">
        <v>201</v>
      </c>
      <c r="V536" s="209" t="s">
        <v>179</v>
      </c>
      <c r="W536" s="209" t="s">
        <v>179</v>
      </c>
      <c r="X536" s="209" t="s">
        <v>180</v>
      </c>
      <c r="Y536" s="209" t="s">
        <v>180</v>
      </c>
      <c r="Z536" s="209" t="s">
        <v>1054</v>
      </c>
      <c r="AA536" s="209" t="s">
        <v>1055</v>
      </c>
      <c r="AB536" s="209" t="s">
        <v>180</v>
      </c>
      <c r="AC536" s="209" t="s">
        <v>182</v>
      </c>
      <c r="AD536" s="209">
        <v>1</v>
      </c>
      <c r="AE536" s="209">
        <v>2025</v>
      </c>
      <c r="AF536" s="227">
        <v>45660</v>
      </c>
      <c r="AG536" s="227">
        <v>45667</v>
      </c>
      <c r="AH536" s="227">
        <v>45667</v>
      </c>
      <c r="AI536" s="228">
        <v>426816</v>
      </c>
      <c r="AJ536" s="228">
        <v>52</v>
      </c>
      <c r="AK536" s="228">
        <v>426816</v>
      </c>
      <c r="AL536" s="228">
        <v>52</v>
      </c>
      <c r="AM536" s="228">
        <v>0</v>
      </c>
      <c r="AN536" s="228">
        <v>0</v>
      </c>
      <c r="AO536" s="229">
        <v>2</v>
      </c>
      <c r="AP536" s="231">
        <v>1</v>
      </c>
      <c r="AQ536" s="231">
        <v>2025</v>
      </c>
      <c r="AR536" s="231" t="str">
        <f t="shared" si="70"/>
        <v>01/2025</v>
      </c>
      <c r="AS536" s="231">
        <f t="shared" si="71"/>
        <v>46.6</v>
      </c>
      <c r="AT536" s="239">
        <f>IF(G536="CERVECERIA Y MALTERIA",(AS536*AK536/1000000)*(1-VLOOKUP(N536,FCST!D:I,6,FALSE)),0)</f>
        <v>15.911700480000002</v>
      </c>
      <c r="AU536" s="232">
        <v>5.0000000000000001E-3</v>
      </c>
      <c r="AV536" s="239">
        <f t="shared" si="72"/>
        <v>15.9912589824</v>
      </c>
      <c r="AW536" s="239">
        <f>(AS536*AK536/1000000)*(VLOOKUP(N536,FCST!D:I,6,FALSE))</f>
        <v>3.9779251200000005</v>
      </c>
      <c r="AX536" s="239">
        <f t="shared" si="73"/>
        <v>3.9978147455999999</v>
      </c>
      <c r="AY536" s="239">
        <f>IF($G536="CERVECERIA Y MALTERIA.",($AS536*$AK536/1000000)*(1-VLOOKUP($N536,FCST!D:I,6,FALSE)),0)</f>
        <v>0</v>
      </c>
      <c r="AZ536" s="239">
        <f t="shared" si="74"/>
        <v>0</v>
      </c>
    </row>
    <row r="537" spans="1:52" x14ac:dyDescent="0.25">
      <c r="A537" s="209">
        <v>1093757</v>
      </c>
      <c r="B537" s="209">
        <v>90</v>
      </c>
      <c r="C537" s="209" t="s">
        <v>1092</v>
      </c>
      <c r="D537" s="209">
        <v>10</v>
      </c>
      <c r="E537" s="209">
        <v>10000002</v>
      </c>
      <c r="F537" s="209">
        <v>20000335</v>
      </c>
      <c r="G537" s="209" t="s">
        <v>105</v>
      </c>
      <c r="H537" s="209">
        <v>20000335</v>
      </c>
      <c r="I537" s="209">
        <v>2</v>
      </c>
      <c r="J537" s="209" t="s">
        <v>169</v>
      </c>
      <c r="K537" s="209" t="s">
        <v>1093</v>
      </c>
      <c r="L537" s="209" t="s">
        <v>265</v>
      </c>
      <c r="M537" s="209" t="s">
        <v>184</v>
      </c>
      <c r="N537" s="209">
        <v>50037887</v>
      </c>
      <c r="O537" s="209" t="s">
        <v>679</v>
      </c>
      <c r="P537" s="209">
        <v>5121</v>
      </c>
      <c r="Q537" s="209" t="s">
        <v>174</v>
      </c>
      <c r="R537" s="209" t="s">
        <v>175</v>
      </c>
      <c r="S537" s="209" t="s">
        <v>176</v>
      </c>
      <c r="T537" s="209" t="s">
        <v>177</v>
      </c>
      <c r="U537" s="209" t="s">
        <v>178</v>
      </c>
      <c r="V537" s="209" t="s">
        <v>179</v>
      </c>
      <c r="W537" s="209" t="s">
        <v>179</v>
      </c>
      <c r="X537" s="209" t="s">
        <v>180</v>
      </c>
      <c r="Y537" s="209" t="s">
        <v>180</v>
      </c>
      <c r="Z537" s="209" t="s">
        <v>1094</v>
      </c>
      <c r="AA537" s="209" t="s">
        <v>1095</v>
      </c>
      <c r="AB537" s="209" t="s">
        <v>180</v>
      </c>
      <c r="AC537" s="209" t="s">
        <v>182</v>
      </c>
      <c r="AD537" s="209">
        <v>1</v>
      </c>
      <c r="AE537" s="209">
        <v>2025</v>
      </c>
      <c r="AF537" s="227">
        <v>45660</v>
      </c>
      <c r="AG537" s="227">
        <v>45667</v>
      </c>
      <c r="AH537" s="227">
        <v>45667</v>
      </c>
      <c r="AI537" s="228">
        <v>470304</v>
      </c>
      <c r="AJ537" s="228">
        <v>46</v>
      </c>
      <c r="AK537" s="228">
        <v>470304</v>
      </c>
      <c r="AL537" s="228">
        <v>46</v>
      </c>
      <c r="AM537" s="228">
        <v>0</v>
      </c>
      <c r="AN537" s="228">
        <v>0</v>
      </c>
      <c r="AO537" s="229">
        <v>2</v>
      </c>
      <c r="AP537" s="231">
        <v>1</v>
      </c>
      <c r="AQ537" s="231">
        <v>2025</v>
      </c>
      <c r="AR537" s="231" t="str">
        <f t="shared" si="70"/>
        <v>01/2025</v>
      </c>
      <c r="AS537" s="231">
        <f t="shared" si="71"/>
        <v>37.200000000000003</v>
      </c>
      <c r="AT537" s="239">
        <f>IF(G537="CERVECERIA Y MALTERIA",(AS537*AK537/1000000)*(1-VLOOKUP(N537,FCST!D:I,6,FALSE)),0)</f>
        <v>17.4953088</v>
      </c>
      <c r="AU537" s="232">
        <v>5.0000000000000001E-3</v>
      </c>
      <c r="AV537" s="239">
        <f t="shared" si="72"/>
        <v>17.582785343999998</v>
      </c>
      <c r="AW537" s="239">
        <f>(AS537*AK537/1000000)*(VLOOKUP(N537,FCST!D:I,6,FALSE))</f>
        <v>0</v>
      </c>
      <c r="AX537" s="239">
        <f t="shared" si="73"/>
        <v>0</v>
      </c>
      <c r="AY537" s="239">
        <f>IF($G537="CERVECERIA Y MALTERIA.",($AS537*$AK537/1000000)*(1-VLOOKUP($N537,FCST!D:I,6,FALSE)),0)</f>
        <v>0</v>
      </c>
      <c r="AZ537" s="239">
        <f t="shared" si="74"/>
        <v>0</v>
      </c>
    </row>
    <row r="538" spans="1:52" x14ac:dyDescent="0.25">
      <c r="A538" s="209">
        <v>1093757</v>
      </c>
      <c r="B538" s="209">
        <v>120</v>
      </c>
      <c r="C538" s="209" t="s">
        <v>1092</v>
      </c>
      <c r="D538" s="209">
        <v>20</v>
      </c>
      <c r="E538" s="209">
        <v>10000002</v>
      </c>
      <c r="F538" s="209">
        <v>20000335</v>
      </c>
      <c r="G538" s="209" t="s">
        <v>105</v>
      </c>
      <c r="H538" s="209">
        <v>20000335</v>
      </c>
      <c r="I538" s="209">
        <v>2</v>
      </c>
      <c r="J538" s="209" t="s">
        <v>169</v>
      </c>
      <c r="K538" s="209" t="s">
        <v>1093</v>
      </c>
      <c r="L538" s="209" t="s">
        <v>265</v>
      </c>
      <c r="M538" s="209" t="s">
        <v>184</v>
      </c>
      <c r="N538" s="209">
        <v>50034561</v>
      </c>
      <c r="O538" s="209" t="s">
        <v>307</v>
      </c>
      <c r="P538" s="209">
        <v>5121</v>
      </c>
      <c r="Q538" s="209" t="s">
        <v>174</v>
      </c>
      <c r="R538" s="209" t="s">
        <v>175</v>
      </c>
      <c r="S538" s="209" t="s">
        <v>176</v>
      </c>
      <c r="T538" s="209" t="s">
        <v>177</v>
      </c>
      <c r="U538" s="209" t="s">
        <v>178</v>
      </c>
      <c r="V538" s="209" t="s">
        <v>179</v>
      </c>
      <c r="W538" s="209" t="s">
        <v>179</v>
      </c>
      <c r="X538" s="209" t="s">
        <v>180</v>
      </c>
      <c r="Y538" s="209" t="s">
        <v>180</v>
      </c>
      <c r="Z538" s="209" t="s">
        <v>1094</v>
      </c>
      <c r="AA538" s="209" t="s">
        <v>1095</v>
      </c>
      <c r="AB538" s="209" t="s">
        <v>180</v>
      </c>
      <c r="AC538" s="209" t="s">
        <v>182</v>
      </c>
      <c r="AD538" s="209">
        <v>1</v>
      </c>
      <c r="AE538" s="209">
        <v>2025</v>
      </c>
      <c r="AF538" s="227">
        <v>45660</v>
      </c>
      <c r="AG538" s="227">
        <v>45667</v>
      </c>
      <c r="AH538" s="227">
        <v>45667</v>
      </c>
      <c r="AI538" s="228">
        <v>112752</v>
      </c>
      <c r="AJ538" s="228">
        <v>6</v>
      </c>
      <c r="AK538" s="228">
        <v>112752</v>
      </c>
      <c r="AL538" s="228">
        <v>6</v>
      </c>
      <c r="AM538" s="228">
        <v>0</v>
      </c>
      <c r="AN538" s="228">
        <v>0</v>
      </c>
      <c r="AO538" s="229">
        <v>2</v>
      </c>
      <c r="AP538" s="231">
        <v>1</v>
      </c>
      <c r="AQ538" s="231">
        <v>2025</v>
      </c>
      <c r="AR538" s="231" t="str">
        <f t="shared" si="70"/>
        <v>01/2025</v>
      </c>
      <c r="AS538" s="231">
        <f t="shared" si="71"/>
        <v>19.5</v>
      </c>
      <c r="AT538" s="239">
        <f>IF(G538="CERVECERIA Y MALTERIA",(AS538*AK538/1000000)*(1-VLOOKUP(N538,FCST!D:I,6,FALSE)),0)</f>
        <v>2.198664</v>
      </c>
      <c r="AU538" s="232">
        <v>5.0000000000000001E-3</v>
      </c>
      <c r="AV538" s="239">
        <f t="shared" si="72"/>
        <v>2.2096573199999998</v>
      </c>
      <c r="AW538" s="239">
        <f>(AS538*AK538/1000000)*(VLOOKUP(N538,FCST!D:I,6,FALSE))</f>
        <v>0</v>
      </c>
      <c r="AX538" s="239">
        <f t="shared" si="73"/>
        <v>0</v>
      </c>
      <c r="AY538" s="239">
        <f>IF($G538="CERVECERIA Y MALTERIA.",($AS538*$AK538/1000000)*(1-VLOOKUP($N538,FCST!D:I,6,FALSE)),0)</f>
        <v>0</v>
      </c>
      <c r="AZ538" s="239">
        <f t="shared" si="74"/>
        <v>0</v>
      </c>
    </row>
    <row r="539" spans="1:52" x14ac:dyDescent="0.25">
      <c r="A539" s="209">
        <v>1093745</v>
      </c>
      <c r="B539" s="209">
        <v>10</v>
      </c>
      <c r="C539" s="209" t="s">
        <v>1096</v>
      </c>
      <c r="D539" s="209">
        <v>10</v>
      </c>
      <c r="E539" s="209">
        <v>10000002</v>
      </c>
      <c r="F539" s="209">
        <v>20000336</v>
      </c>
      <c r="G539" s="209" t="s">
        <v>105</v>
      </c>
      <c r="H539" s="209">
        <v>20000336</v>
      </c>
      <c r="I539" s="209">
        <v>2</v>
      </c>
      <c r="J539" s="209" t="s">
        <v>169</v>
      </c>
      <c r="K539" s="209" t="s">
        <v>1097</v>
      </c>
      <c r="L539" s="209" t="s">
        <v>265</v>
      </c>
      <c r="M539" s="209" t="s">
        <v>184</v>
      </c>
      <c r="N539" s="209">
        <v>50033268</v>
      </c>
      <c r="O539" s="209" t="s">
        <v>253</v>
      </c>
      <c r="P539" s="209">
        <v>5121</v>
      </c>
      <c r="Q539" s="209" t="s">
        <v>174</v>
      </c>
      <c r="R539" s="209" t="s">
        <v>175</v>
      </c>
      <c r="S539" s="209" t="s">
        <v>176</v>
      </c>
      <c r="T539" s="209" t="s">
        <v>177</v>
      </c>
      <c r="U539" s="209" t="s">
        <v>178</v>
      </c>
      <c r="V539" s="209" t="s">
        <v>179</v>
      </c>
      <c r="W539" s="209" t="s">
        <v>179</v>
      </c>
      <c r="X539" s="209" t="s">
        <v>180</v>
      </c>
      <c r="Y539" s="209" t="s">
        <v>180</v>
      </c>
      <c r="Z539" s="209" t="s">
        <v>1050</v>
      </c>
      <c r="AA539" s="209" t="s">
        <v>1051</v>
      </c>
      <c r="AB539" s="209" t="s">
        <v>180</v>
      </c>
      <c r="AC539" s="209" t="s">
        <v>182</v>
      </c>
      <c r="AD539" s="209">
        <v>1</v>
      </c>
      <c r="AE539" s="209">
        <v>2025</v>
      </c>
      <c r="AF539" s="227">
        <v>45660</v>
      </c>
      <c r="AG539" s="227">
        <v>45660</v>
      </c>
      <c r="AH539" s="227">
        <v>45660</v>
      </c>
      <c r="AI539" s="228">
        <v>406848</v>
      </c>
      <c r="AJ539" s="228">
        <v>52</v>
      </c>
      <c r="AK539" s="228">
        <v>406848</v>
      </c>
      <c r="AL539" s="228">
        <v>52</v>
      </c>
      <c r="AM539" s="228">
        <v>0</v>
      </c>
      <c r="AN539" s="228">
        <v>0</v>
      </c>
      <c r="AO539" s="229">
        <v>1</v>
      </c>
      <c r="AP539" s="231">
        <v>1</v>
      </c>
      <c r="AQ539" s="231">
        <v>2025</v>
      </c>
      <c r="AR539" s="231" t="str">
        <f t="shared" si="70"/>
        <v>01/2025</v>
      </c>
      <c r="AS539" s="231">
        <f t="shared" si="71"/>
        <v>44</v>
      </c>
      <c r="AT539" s="239">
        <f>IF(G539="CERVECERIA Y MALTERIA",(AS539*AK539/1000000)*(1-VLOOKUP(N539,FCST!D:I,6,FALSE)),0)</f>
        <v>17.901312000000001</v>
      </c>
      <c r="AU539" s="232">
        <v>5.0000000000000001E-3</v>
      </c>
      <c r="AV539" s="239">
        <f t="shared" si="72"/>
        <v>17.990818559999997</v>
      </c>
      <c r="AW539" s="239">
        <f>(AS539*AK539/1000000)*(VLOOKUP(N539,FCST!D:I,6,FALSE))</f>
        <v>0</v>
      </c>
      <c r="AX539" s="239">
        <f t="shared" si="73"/>
        <v>0</v>
      </c>
      <c r="AY539" s="239">
        <f>IF($G539="CERVECERIA Y MALTERIA.",($AS539*$AK539/1000000)*(1-VLOOKUP($N539,FCST!D:I,6,FALSE)),0)</f>
        <v>0</v>
      </c>
      <c r="AZ539" s="239">
        <f t="shared" si="74"/>
        <v>0</v>
      </c>
    </row>
    <row r="540" spans="1:52" x14ac:dyDescent="0.25">
      <c r="A540" s="209">
        <v>1093740</v>
      </c>
      <c r="B540" s="209">
        <v>40</v>
      </c>
      <c r="C540" s="209" t="s">
        <v>1098</v>
      </c>
      <c r="D540" s="209">
        <v>10</v>
      </c>
      <c r="E540" s="209">
        <v>10000002</v>
      </c>
      <c r="F540" s="209">
        <v>20001057</v>
      </c>
      <c r="G540" s="209" t="s">
        <v>105</v>
      </c>
      <c r="H540" s="209">
        <v>20001057</v>
      </c>
      <c r="I540" s="209">
        <v>2</v>
      </c>
      <c r="J540" s="209" t="s">
        <v>169</v>
      </c>
      <c r="K540" s="209" t="s">
        <v>1099</v>
      </c>
      <c r="L540" s="209" t="s">
        <v>265</v>
      </c>
      <c r="M540" s="209" t="s">
        <v>172</v>
      </c>
      <c r="N540" s="209">
        <v>50034616</v>
      </c>
      <c r="O540" s="209" t="s">
        <v>191</v>
      </c>
      <c r="P540" s="209">
        <v>5121</v>
      </c>
      <c r="Q540" s="209" t="s">
        <v>174</v>
      </c>
      <c r="R540" s="209" t="s">
        <v>175</v>
      </c>
      <c r="S540" s="209" t="s">
        <v>176</v>
      </c>
      <c r="T540" s="209" t="s">
        <v>177</v>
      </c>
      <c r="U540" s="209" t="s">
        <v>178</v>
      </c>
      <c r="V540" s="209" t="s">
        <v>179</v>
      </c>
      <c r="W540" s="209" t="s">
        <v>179</v>
      </c>
      <c r="X540" s="209" t="s">
        <v>180</v>
      </c>
      <c r="Y540" s="209" t="s">
        <v>180</v>
      </c>
      <c r="Z540" s="209" t="s">
        <v>1082</v>
      </c>
      <c r="AA540" s="209" t="s">
        <v>1083</v>
      </c>
      <c r="AB540" s="209" t="s">
        <v>180</v>
      </c>
      <c r="AC540" s="209" t="s">
        <v>182</v>
      </c>
      <c r="AD540" s="209">
        <v>1</v>
      </c>
      <c r="AE540" s="209">
        <v>2025</v>
      </c>
      <c r="AF540" s="227">
        <v>45660</v>
      </c>
      <c r="AG540" s="227">
        <v>45661</v>
      </c>
      <c r="AH540" s="227">
        <v>45661</v>
      </c>
      <c r="AI540" s="228">
        <v>426816</v>
      </c>
      <c r="AJ540" s="228">
        <v>52</v>
      </c>
      <c r="AK540" s="228">
        <v>426816</v>
      </c>
      <c r="AL540" s="228">
        <v>52</v>
      </c>
      <c r="AM540" s="228">
        <v>0</v>
      </c>
      <c r="AN540" s="228">
        <v>0</v>
      </c>
      <c r="AO540" s="229">
        <v>1</v>
      </c>
      <c r="AP540" s="231">
        <v>1</v>
      </c>
      <c r="AQ540" s="231">
        <v>2025</v>
      </c>
      <c r="AR540" s="231" t="str">
        <f t="shared" si="70"/>
        <v>01/2025</v>
      </c>
      <c r="AS540" s="231">
        <f t="shared" si="71"/>
        <v>46.6</v>
      </c>
      <c r="AT540" s="239">
        <f>IF(G540="CERVECERIA Y MALTERIA",(AS540*AK540/1000000)*(1-VLOOKUP(N540,FCST!D:I,6,FALSE)),0)</f>
        <v>19.889625600000002</v>
      </c>
      <c r="AU540" s="232">
        <v>5.0000000000000001E-3</v>
      </c>
      <c r="AV540" s="239">
        <f t="shared" si="72"/>
        <v>19.989073728000001</v>
      </c>
      <c r="AW540" s="239">
        <f>(AS540*AK540/1000000)*(VLOOKUP(N540,FCST!D:I,6,FALSE))</f>
        <v>0</v>
      </c>
      <c r="AX540" s="239">
        <f t="shared" si="73"/>
        <v>0</v>
      </c>
      <c r="AY540" s="239">
        <f>IF($G540="CERVECERIA Y MALTERIA.",($AS540*$AK540/1000000)*(1-VLOOKUP($N540,FCST!D:I,6,FALSE)),0)</f>
        <v>0</v>
      </c>
      <c r="AZ540" s="239">
        <f t="shared" si="74"/>
        <v>0</v>
      </c>
    </row>
    <row r="541" spans="1:52" x14ac:dyDescent="0.25">
      <c r="A541" s="209">
        <v>1093145</v>
      </c>
      <c r="B541" s="209">
        <v>10</v>
      </c>
      <c r="C541" s="209" t="s">
        <v>1100</v>
      </c>
      <c r="D541" s="209">
        <v>10</v>
      </c>
      <c r="E541" s="209">
        <v>10000002</v>
      </c>
      <c r="F541" s="209">
        <v>20000336</v>
      </c>
      <c r="G541" s="209" t="s">
        <v>105</v>
      </c>
      <c r="H541" s="209">
        <v>20000336</v>
      </c>
      <c r="I541" s="209">
        <v>2</v>
      </c>
      <c r="J541" s="209" t="s">
        <v>169</v>
      </c>
      <c r="K541" s="209" t="s">
        <v>1101</v>
      </c>
      <c r="L541" s="209" t="s">
        <v>265</v>
      </c>
      <c r="M541" s="209" t="s">
        <v>172</v>
      </c>
      <c r="N541" s="209">
        <v>50034634</v>
      </c>
      <c r="O541" s="209" t="s">
        <v>219</v>
      </c>
      <c r="P541" s="209">
        <v>5121</v>
      </c>
      <c r="Q541" s="209" t="s">
        <v>174</v>
      </c>
      <c r="R541" s="209" t="s">
        <v>175</v>
      </c>
      <c r="S541" s="209" t="s">
        <v>176</v>
      </c>
      <c r="T541" s="209" t="s">
        <v>177</v>
      </c>
      <c r="U541" s="209" t="s">
        <v>178</v>
      </c>
      <c r="V541" s="209" t="s">
        <v>180</v>
      </c>
      <c r="W541" s="209" t="s">
        <v>179</v>
      </c>
      <c r="X541" s="209" t="s">
        <v>180</v>
      </c>
      <c r="Y541" s="209" t="s">
        <v>180</v>
      </c>
      <c r="Z541" s="209" t="s">
        <v>1102</v>
      </c>
      <c r="AA541" s="209" t="s">
        <v>1103</v>
      </c>
      <c r="AB541" s="209" t="s">
        <v>180</v>
      </c>
      <c r="AC541" s="209" t="s">
        <v>182</v>
      </c>
      <c r="AD541" s="209">
        <v>1</v>
      </c>
      <c r="AE541" s="209">
        <v>2025</v>
      </c>
      <c r="AF541" s="227">
        <v>45656</v>
      </c>
      <c r="AG541" s="227">
        <v>45659</v>
      </c>
      <c r="AH541" s="227">
        <v>45659</v>
      </c>
      <c r="AI541" s="228">
        <v>364416</v>
      </c>
      <c r="AJ541" s="228">
        <v>52</v>
      </c>
      <c r="AK541" s="228">
        <v>364416</v>
      </c>
      <c r="AL541" s="228">
        <v>52</v>
      </c>
      <c r="AM541" s="228">
        <v>0</v>
      </c>
      <c r="AN541" s="228">
        <v>0</v>
      </c>
      <c r="AO541" s="229">
        <v>1</v>
      </c>
      <c r="AP541" s="231">
        <v>1</v>
      </c>
      <c r="AQ541" s="231">
        <v>2025</v>
      </c>
      <c r="AR541" s="231" t="str">
        <f t="shared" si="70"/>
        <v>01/2025</v>
      </c>
      <c r="AS541" s="231">
        <f t="shared" si="71"/>
        <v>52</v>
      </c>
      <c r="AT541" s="239">
        <f>IF(G541="CERVECERIA Y MALTERIA",(AS541*AK541/1000000)*(1-VLOOKUP(N541,FCST!D:I,6,FALSE)),0)</f>
        <v>18.949632000000001</v>
      </c>
      <c r="AU541" s="232">
        <v>5.0000000000000001E-3</v>
      </c>
      <c r="AV541" s="239">
        <f t="shared" si="72"/>
        <v>19.044380159999999</v>
      </c>
      <c r="AW541" s="239">
        <f>(AS541*AK541/1000000)*(VLOOKUP(N541,FCST!D:I,6,FALSE))</f>
        <v>0</v>
      </c>
      <c r="AX541" s="239">
        <f t="shared" si="73"/>
        <v>0</v>
      </c>
      <c r="AY541" s="239">
        <f>IF($G541="CERVECERIA Y MALTERIA.",($AS541*$AK541/1000000)*(1-VLOOKUP($N541,FCST!D:I,6,FALSE)),0)</f>
        <v>0</v>
      </c>
      <c r="AZ541" s="239">
        <f t="shared" si="74"/>
        <v>0</v>
      </c>
    </row>
    <row r="542" spans="1:52" x14ac:dyDescent="0.25">
      <c r="A542" s="209">
        <v>1093145</v>
      </c>
      <c r="B542" s="209">
        <v>20</v>
      </c>
      <c r="C542" s="209" t="s">
        <v>1104</v>
      </c>
      <c r="D542" s="209">
        <v>10</v>
      </c>
      <c r="E542" s="209">
        <v>10000002</v>
      </c>
      <c r="F542" s="209">
        <v>20000336</v>
      </c>
      <c r="G542" s="209" t="s">
        <v>105</v>
      </c>
      <c r="H542" s="209">
        <v>20000336</v>
      </c>
      <c r="I542" s="209">
        <v>2</v>
      </c>
      <c r="J542" s="209" t="s">
        <v>169</v>
      </c>
      <c r="K542" s="209" t="s">
        <v>1105</v>
      </c>
      <c r="L542" s="209" t="s">
        <v>265</v>
      </c>
      <c r="M542" s="209" t="s">
        <v>172</v>
      </c>
      <c r="N542" s="209">
        <v>50034194</v>
      </c>
      <c r="O542" s="209" t="s">
        <v>276</v>
      </c>
      <c r="P542" s="209">
        <v>5121</v>
      </c>
      <c r="Q542" s="209" t="s">
        <v>174</v>
      </c>
      <c r="R542" s="209" t="s">
        <v>175</v>
      </c>
      <c r="S542" s="209" t="s">
        <v>176</v>
      </c>
      <c r="T542" s="209" t="s">
        <v>177</v>
      </c>
      <c r="U542" s="209" t="s">
        <v>178</v>
      </c>
      <c r="V542" s="209" t="s">
        <v>180</v>
      </c>
      <c r="W542" s="209" t="s">
        <v>179</v>
      </c>
      <c r="X542" s="209" t="s">
        <v>180</v>
      </c>
      <c r="Y542" s="209" t="s">
        <v>180</v>
      </c>
      <c r="Z542" s="209" t="s">
        <v>1106</v>
      </c>
      <c r="AA542" s="209" t="s">
        <v>1107</v>
      </c>
      <c r="AB542" s="209" t="s">
        <v>180</v>
      </c>
      <c r="AC542" s="209" t="s">
        <v>182</v>
      </c>
      <c r="AD542" s="209">
        <v>1</v>
      </c>
      <c r="AE542" s="209">
        <v>2025</v>
      </c>
      <c r="AF542" s="227">
        <v>45656</v>
      </c>
      <c r="AG542" s="227">
        <v>45659</v>
      </c>
      <c r="AH542" s="227">
        <v>45659</v>
      </c>
      <c r="AI542" s="228">
        <v>316992</v>
      </c>
      <c r="AJ542" s="228">
        <v>52</v>
      </c>
      <c r="AK542" s="228">
        <v>316992</v>
      </c>
      <c r="AL542" s="228">
        <v>52</v>
      </c>
      <c r="AM542" s="228">
        <v>0</v>
      </c>
      <c r="AN542" s="228">
        <v>0</v>
      </c>
      <c r="AO542" s="229">
        <v>1</v>
      </c>
      <c r="AP542" s="231">
        <v>1</v>
      </c>
      <c r="AQ542" s="231">
        <v>2025</v>
      </c>
      <c r="AR542" s="231" t="str">
        <f t="shared" si="70"/>
        <v>01/2025</v>
      </c>
      <c r="AS542" s="231">
        <f t="shared" si="71"/>
        <v>62</v>
      </c>
      <c r="AT542" s="239">
        <f>IF(G542="CERVECERIA Y MALTERIA",(AS542*AK542/1000000)*(1-VLOOKUP(N542,FCST!D:I,6,FALSE)),0)</f>
        <v>19.653504000000002</v>
      </c>
      <c r="AU542" s="232">
        <v>5.0000000000000001E-3</v>
      </c>
      <c r="AV542" s="239">
        <f t="shared" si="72"/>
        <v>19.751771519999998</v>
      </c>
      <c r="AW542" s="239">
        <f>(AS542*AK542/1000000)*(VLOOKUP(N542,FCST!D:I,6,FALSE))</f>
        <v>0</v>
      </c>
      <c r="AX542" s="239">
        <f t="shared" si="73"/>
        <v>0</v>
      </c>
      <c r="AY542" s="239">
        <f>IF($G542="CERVECERIA Y MALTERIA.",($AS542*$AK542/1000000)*(1-VLOOKUP($N542,FCST!D:I,6,FALSE)),0)</f>
        <v>0</v>
      </c>
      <c r="AZ542" s="239">
        <f t="shared" si="74"/>
        <v>0</v>
      </c>
    </row>
    <row r="543" spans="1:52" x14ac:dyDescent="0.25">
      <c r="A543" s="209">
        <v>1093759</v>
      </c>
      <c r="B543" s="209">
        <v>20</v>
      </c>
      <c r="C543" s="209" t="s">
        <v>1108</v>
      </c>
      <c r="D543" s="209">
        <v>10</v>
      </c>
      <c r="E543" s="209">
        <v>10000002</v>
      </c>
      <c r="F543" s="209">
        <v>20000340</v>
      </c>
      <c r="G543" s="209" t="s">
        <v>117</v>
      </c>
      <c r="H543" s="209">
        <v>20000340</v>
      </c>
      <c r="I543" s="209">
        <v>2</v>
      </c>
      <c r="J543" s="209" t="s">
        <v>169</v>
      </c>
      <c r="K543" s="209" t="s">
        <v>1109</v>
      </c>
      <c r="L543" s="209" t="s">
        <v>265</v>
      </c>
      <c r="M543" s="209" t="s">
        <v>184</v>
      </c>
      <c r="N543" s="209">
        <v>50029843</v>
      </c>
      <c r="O543" s="209" t="s">
        <v>460</v>
      </c>
      <c r="P543" s="209">
        <v>5121</v>
      </c>
      <c r="Q543" s="209" t="s">
        <v>174</v>
      </c>
      <c r="R543" s="209" t="s">
        <v>175</v>
      </c>
      <c r="S543" s="209" t="s">
        <v>176</v>
      </c>
      <c r="T543" s="209" t="s">
        <v>177</v>
      </c>
      <c r="U543" s="209" t="s">
        <v>178</v>
      </c>
      <c r="V543" s="209" t="s">
        <v>179</v>
      </c>
      <c r="W543" s="209" t="s">
        <v>179</v>
      </c>
      <c r="X543" s="209" t="s">
        <v>180</v>
      </c>
      <c r="Y543" s="209" t="s">
        <v>180</v>
      </c>
      <c r="Z543" s="209" t="s">
        <v>1032</v>
      </c>
      <c r="AA543" s="209" t="s">
        <v>1033</v>
      </c>
      <c r="AB543" s="209" t="s">
        <v>180</v>
      </c>
      <c r="AC543" s="209" t="s">
        <v>182</v>
      </c>
      <c r="AD543" s="209">
        <v>1</v>
      </c>
      <c r="AE543" s="209">
        <v>2025</v>
      </c>
      <c r="AF543" s="227">
        <v>45660</v>
      </c>
      <c r="AG543" s="227">
        <v>45664</v>
      </c>
      <c r="AH543" s="227">
        <v>45664</v>
      </c>
      <c r="AI543" s="228">
        <v>419328</v>
      </c>
      <c r="AJ543" s="228">
        <v>52</v>
      </c>
      <c r="AK543" s="228">
        <v>419328</v>
      </c>
      <c r="AL543" s="228">
        <v>52</v>
      </c>
      <c r="AM543" s="228">
        <v>0</v>
      </c>
      <c r="AN543" s="228">
        <v>0</v>
      </c>
      <c r="AO543" s="229">
        <v>2</v>
      </c>
      <c r="AP543" s="231">
        <v>1</v>
      </c>
      <c r="AQ543" s="231">
        <v>2025</v>
      </c>
      <c r="AR543" s="231" t="str">
        <f t="shared" si="70"/>
        <v>01/2025</v>
      </c>
      <c r="AS543" s="231">
        <f t="shared" si="71"/>
        <v>44.8</v>
      </c>
      <c r="AT543" s="239">
        <f>IF(G543="CERVECERIA Y MALTERIA",(AS543*AK543/1000000)*(1-VLOOKUP(N543,FCST!D:I,6,FALSE)),0)</f>
        <v>0</v>
      </c>
      <c r="AU543" s="232">
        <v>5.0000000000000001E-3</v>
      </c>
      <c r="AV543" s="239">
        <f t="shared" si="72"/>
        <v>0</v>
      </c>
      <c r="AW543" s="239">
        <f>(AS543*AK543/1000000)*(VLOOKUP(N543,FCST!D:I,6,FALSE))</f>
        <v>0</v>
      </c>
      <c r="AX543" s="239">
        <f t="shared" si="73"/>
        <v>0</v>
      </c>
      <c r="AY543" s="239">
        <f>IF($G543="CERVECERIA Y MALTERIA.",($AS543*$AK543/1000000)*(1-VLOOKUP($N543,FCST!D:I,6,FALSE)),0)</f>
        <v>18.7858944</v>
      </c>
      <c r="AZ543" s="239">
        <f t="shared" si="74"/>
        <v>18.879823871999999</v>
      </c>
    </row>
    <row r="544" spans="1:52" x14ac:dyDescent="0.25">
      <c r="A544" s="209">
        <v>1093757</v>
      </c>
      <c r="B544" s="209">
        <v>40</v>
      </c>
      <c r="C544" s="209" t="s">
        <v>1110</v>
      </c>
      <c r="D544" s="209">
        <v>10</v>
      </c>
      <c r="E544" s="209">
        <v>10000002</v>
      </c>
      <c r="F544" s="209">
        <v>20000335</v>
      </c>
      <c r="G544" s="209" t="s">
        <v>105</v>
      </c>
      <c r="H544" s="209">
        <v>20000335</v>
      </c>
      <c r="I544" s="209">
        <v>2</v>
      </c>
      <c r="J544" s="209" t="s">
        <v>169</v>
      </c>
      <c r="K544" s="209" t="s">
        <v>1111</v>
      </c>
      <c r="L544" s="209" t="s">
        <v>265</v>
      </c>
      <c r="M544" s="209" t="s">
        <v>199</v>
      </c>
      <c r="N544" s="209">
        <v>50034616</v>
      </c>
      <c r="O544" s="209" t="s">
        <v>191</v>
      </c>
      <c r="P544" s="209">
        <v>5121</v>
      </c>
      <c r="Q544" s="209" t="s">
        <v>200</v>
      </c>
      <c r="R544" s="209" t="s">
        <v>201</v>
      </c>
      <c r="S544" s="209" t="s">
        <v>202</v>
      </c>
      <c r="T544" s="209" t="s">
        <v>203</v>
      </c>
      <c r="U544" s="209" t="s">
        <v>201</v>
      </c>
      <c r="V544" s="209" t="s">
        <v>179</v>
      </c>
      <c r="W544" s="209" t="s">
        <v>179</v>
      </c>
      <c r="X544" s="209" t="s">
        <v>180</v>
      </c>
      <c r="Y544" s="209" t="s">
        <v>180</v>
      </c>
      <c r="Z544" s="209" t="s">
        <v>1036</v>
      </c>
      <c r="AA544" s="209" t="s">
        <v>1037</v>
      </c>
      <c r="AB544" s="209" t="s">
        <v>180</v>
      </c>
      <c r="AC544" s="209" t="s">
        <v>182</v>
      </c>
      <c r="AD544" s="209">
        <v>1</v>
      </c>
      <c r="AE544" s="209">
        <v>2025</v>
      </c>
      <c r="AF544" s="227">
        <v>45660</v>
      </c>
      <c r="AG544" s="227">
        <v>45664</v>
      </c>
      <c r="AH544" s="227">
        <v>45664</v>
      </c>
      <c r="AI544" s="228">
        <v>426816</v>
      </c>
      <c r="AJ544" s="228">
        <v>52</v>
      </c>
      <c r="AK544" s="228">
        <v>426816</v>
      </c>
      <c r="AL544" s="228">
        <v>52</v>
      </c>
      <c r="AM544" s="228">
        <v>0</v>
      </c>
      <c r="AN544" s="228">
        <v>0</v>
      </c>
      <c r="AO544" s="229">
        <v>2</v>
      </c>
      <c r="AP544" s="231">
        <v>1</v>
      </c>
      <c r="AQ544" s="231">
        <v>2025</v>
      </c>
      <c r="AR544" s="231" t="str">
        <f t="shared" si="70"/>
        <v>01/2025</v>
      </c>
      <c r="AS544" s="231">
        <f t="shared" si="71"/>
        <v>46.6</v>
      </c>
      <c r="AT544" s="239">
        <f>IF(G544="CERVECERIA Y MALTERIA",(AS544*AK544/1000000)*(1-VLOOKUP(N544,FCST!D:I,6,FALSE)),0)</f>
        <v>19.889625600000002</v>
      </c>
      <c r="AU544" s="232">
        <v>5.0000000000000001E-3</v>
      </c>
      <c r="AV544" s="239">
        <f t="shared" si="72"/>
        <v>19.989073728000001</v>
      </c>
      <c r="AW544" s="239">
        <f>(AS544*AK544/1000000)*(VLOOKUP(N544,FCST!D:I,6,FALSE))</f>
        <v>0</v>
      </c>
      <c r="AX544" s="239">
        <f t="shared" si="73"/>
        <v>0</v>
      </c>
      <c r="AY544" s="239">
        <f>IF($G544="CERVECERIA Y MALTERIA.",($AS544*$AK544/1000000)*(1-VLOOKUP($N544,FCST!D:I,6,FALSE)),0)</f>
        <v>0</v>
      </c>
      <c r="AZ544" s="239">
        <f t="shared" si="74"/>
        <v>0</v>
      </c>
    </row>
    <row r="545" spans="1:52" x14ac:dyDescent="0.25">
      <c r="A545" s="209">
        <v>1093757</v>
      </c>
      <c r="B545" s="209">
        <v>30</v>
      </c>
      <c r="C545" s="209" t="s">
        <v>1112</v>
      </c>
      <c r="D545" s="209">
        <v>10</v>
      </c>
      <c r="E545" s="209">
        <v>10000002</v>
      </c>
      <c r="F545" s="209">
        <v>20000335</v>
      </c>
      <c r="G545" s="209" t="s">
        <v>105</v>
      </c>
      <c r="H545" s="209">
        <v>20000335</v>
      </c>
      <c r="I545" s="209">
        <v>2</v>
      </c>
      <c r="J545" s="209" t="s">
        <v>169</v>
      </c>
      <c r="K545" s="209" t="s">
        <v>1113</v>
      </c>
      <c r="L545" s="209" t="s">
        <v>265</v>
      </c>
      <c r="M545" s="209" t="s">
        <v>184</v>
      </c>
      <c r="N545" s="209">
        <v>50035184</v>
      </c>
      <c r="O545" s="209" t="s">
        <v>672</v>
      </c>
      <c r="P545" s="209">
        <v>5121</v>
      </c>
      <c r="Q545" s="209" t="s">
        <v>174</v>
      </c>
      <c r="R545" s="209" t="s">
        <v>175</v>
      </c>
      <c r="S545" s="209" t="s">
        <v>176</v>
      </c>
      <c r="T545" s="209" t="s">
        <v>177</v>
      </c>
      <c r="U545" s="209" t="s">
        <v>178</v>
      </c>
      <c r="V545" s="209" t="s">
        <v>179</v>
      </c>
      <c r="W545" s="209" t="s">
        <v>179</v>
      </c>
      <c r="X545" s="209" t="s">
        <v>180</v>
      </c>
      <c r="Y545" s="209" t="s">
        <v>180</v>
      </c>
      <c r="Z545" s="209" t="s">
        <v>1044</v>
      </c>
      <c r="AA545" s="209" t="s">
        <v>1045</v>
      </c>
      <c r="AB545" s="209" t="s">
        <v>180</v>
      </c>
      <c r="AC545" s="209" t="s">
        <v>182</v>
      </c>
      <c r="AD545" s="209">
        <v>1</v>
      </c>
      <c r="AE545" s="209">
        <v>2025</v>
      </c>
      <c r="AF545" s="227">
        <v>45660</v>
      </c>
      <c r="AG545" s="227">
        <v>45664</v>
      </c>
      <c r="AH545" s="227">
        <v>45664</v>
      </c>
      <c r="AI545" s="228">
        <v>977184</v>
      </c>
      <c r="AJ545" s="228">
        <v>52</v>
      </c>
      <c r="AK545" s="228">
        <v>977184</v>
      </c>
      <c r="AL545" s="228">
        <v>52</v>
      </c>
      <c r="AM545" s="228">
        <v>0</v>
      </c>
      <c r="AN545" s="228">
        <v>0</v>
      </c>
      <c r="AO545" s="229">
        <v>2</v>
      </c>
      <c r="AP545" s="231">
        <v>1</v>
      </c>
      <c r="AQ545" s="231">
        <v>2025</v>
      </c>
      <c r="AR545" s="231" t="str">
        <f t="shared" si="70"/>
        <v>01/2025</v>
      </c>
      <c r="AS545" s="231">
        <f t="shared" si="71"/>
        <v>19.5</v>
      </c>
      <c r="AT545" s="239">
        <f>IF(G545="CERVECERIA Y MALTERIA",(AS545*AK545/1000000)*(1-VLOOKUP(N545,FCST!D:I,6,FALSE)),0)</f>
        <v>19.055088000000001</v>
      </c>
      <c r="AU545" s="232">
        <v>5.0000000000000001E-3</v>
      </c>
      <c r="AV545" s="239">
        <f t="shared" si="72"/>
        <v>19.15036344</v>
      </c>
      <c r="AW545" s="239">
        <f>(AS545*AK545/1000000)*(VLOOKUP(N545,FCST!D:I,6,FALSE))</f>
        <v>0</v>
      </c>
      <c r="AX545" s="239">
        <f t="shared" si="73"/>
        <v>0</v>
      </c>
      <c r="AY545" s="239">
        <f>IF($G545="CERVECERIA Y MALTERIA.",($AS545*$AK545/1000000)*(1-VLOOKUP($N545,FCST!D:I,6,FALSE)),0)</f>
        <v>0</v>
      </c>
      <c r="AZ545" s="239">
        <f t="shared" si="74"/>
        <v>0</v>
      </c>
    </row>
    <row r="546" spans="1:52" x14ac:dyDescent="0.25">
      <c r="A546" s="209">
        <v>1094003</v>
      </c>
      <c r="B546" s="209">
        <v>10</v>
      </c>
      <c r="C546" s="209" t="s">
        <v>1114</v>
      </c>
      <c r="D546" s="209">
        <v>10</v>
      </c>
      <c r="E546" s="209">
        <v>10000002</v>
      </c>
      <c r="F546" s="209">
        <v>20000337</v>
      </c>
      <c r="G546" s="209" t="s">
        <v>105</v>
      </c>
      <c r="H546" s="209">
        <v>20000337</v>
      </c>
      <c r="I546" s="209">
        <v>2</v>
      </c>
      <c r="J546" s="209" t="s">
        <v>169</v>
      </c>
      <c r="K546" s="209" t="s">
        <v>1115</v>
      </c>
      <c r="L546" s="209" t="s">
        <v>265</v>
      </c>
      <c r="M546" s="209" t="s">
        <v>199</v>
      </c>
      <c r="N546" s="209">
        <v>50034616</v>
      </c>
      <c r="O546" s="209" t="s">
        <v>191</v>
      </c>
      <c r="P546" s="209">
        <v>5121</v>
      </c>
      <c r="Q546" s="209" t="s">
        <v>200</v>
      </c>
      <c r="R546" s="209" t="s">
        <v>201</v>
      </c>
      <c r="S546" s="209" t="s">
        <v>202</v>
      </c>
      <c r="T546" s="209" t="s">
        <v>203</v>
      </c>
      <c r="U546" s="209" t="s">
        <v>201</v>
      </c>
      <c r="V546" s="209" t="s">
        <v>179</v>
      </c>
      <c r="W546" s="209" t="s">
        <v>179</v>
      </c>
      <c r="X546" s="209" t="s">
        <v>180</v>
      </c>
      <c r="Y546" s="209" t="s">
        <v>180</v>
      </c>
      <c r="Z546" s="209" t="s">
        <v>1040</v>
      </c>
      <c r="AA546" s="209" t="s">
        <v>1041</v>
      </c>
      <c r="AB546" s="209" t="s">
        <v>180</v>
      </c>
      <c r="AC546" s="209" t="s">
        <v>182</v>
      </c>
      <c r="AD546" s="209">
        <v>1</v>
      </c>
      <c r="AE546" s="209">
        <v>2025</v>
      </c>
      <c r="AF546" s="227">
        <v>45663</v>
      </c>
      <c r="AG546" s="227">
        <v>45664</v>
      </c>
      <c r="AH546" s="227">
        <v>45664</v>
      </c>
      <c r="AI546" s="228">
        <v>426816</v>
      </c>
      <c r="AJ546" s="228">
        <v>52</v>
      </c>
      <c r="AK546" s="228">
        <v>426816</v>
      </c>
      <c r="AL546" s="228">
        <v>52</v>
      </c>
      <c r="AM546" s="228">
        <v>0</v>
      </c>
      <c r="AN546" s="228">
        <v>0</v>
      </c>
      <c r="AO546" s="229">
        <v>2</v>
      </c>
      <c r="AP546" s="231">
        <v>1</v>
      </c>
      <c r="AQ546" s="231">
        <v>2025</v>
      </c>
      <c r="AR546" s="231" t="str">
        <f t="shared" si="70"/>
        <v>01/2025</v>
      </c>
      <c r="AS546" s="231">
        <f t="shared" si="71"/>
        <v>46.6</v>
      </c>
      <c r="AT546" s="239">
        <f>IF(G546="CERVECERIA Y MALTERIA",(AS546*AK546/1000000)*(1-VLOOKUP(N546,FCST!D:I,6,FALSE)),0)</f>
        <v>19.889625600000002</v>
      </c>
      <c r="AU546" s="232">
        <v>5.0000000000000001E-3</v>
      </c>
      <c r="AV546" s="239">
        <f t="shared" si="72"/>
        <v>19.989073728000001</v>
      </c>
      <c r="AW546" s="239">
        <f>(AS546*AK546/1000000)*(VLOOKUP(N546,FCST!D:I,6,FALSE))</f>
        <v>0</v>
      </c>
      <c r="AX546" s="239">
        <f t="shared" si="73"/>
        <v>0</v>
      </c>
      <c r="AY546" s="239">
        <f>IF($G546="CERVECERIA Y MALTERIA.",($AS546*$AK546/1000000)*(1-VLOOKUP($N546,FCST!D:I,6,FALSE)),0)</f>
        <v>0</v>
      </c>
      <c r="AZ546" s="239">
        <f t="shared" si="74"/>
        <v>0</v>
      </c>
    </row>
    <row r="547" spans="1:52" x14ac:dyDescent="0.25">
      <c r="A547" s="209">
        <v>1093740</v>
      </c>
      <c r="B547" s="209">
        <v>20</v>
      </c>
      <c r="C547" s="209" t="s">
        <v>1116</v>
      </c>
      <c r="D547" s="209">
        <v>10</v>
      </c>
      <c r="E547" s="209">
        <v>10000002</v>
      </c>
      <c r="F547" s="209">
        <v>20001057</v>
      </c>
      <c r="G547" s="209" t="s">
        <v>105</v>
      </c>
      <c r="H547" s="209">
        <v>20001057</v>
      </c>
      <c r="I547" s="209">
        <v>2</v>
      </c>
      <c r="J547" s="209" t="s">
        <v>169</v>
      </c>
      <c r="K547" s="209" t="s">
        <v>1117</v>
      </c>
      <c r="L547" s="209" t="s">
        <v>265</v>
      </c>
      <c r="M547" s="209" t="s">
        <v>199</v>
      </c>
      <c r="N547" s="209">
        <v>50032583</v>
      </c>
      <c r="O547" s="209" t="s">
        <v>205</v>
      </c>
      <c r="P547" s="209">
        <v>5121</v>
      </c>
      <c r="Q547" s="209" t="s">
        <v>200</v>
      </c>
      <c r="R547" s="209" t="s">
        <v>201</v>
      </c>
      <c r="S547" s="209" t="s">
        <v>202</v>
      </c>
      <c r="T547" s="209" t="s">
        <v>203</v>
      </c>
      <c r="U547" s="209" t="s">
        <v>201</v>
      </c>
      <c r="V547" s="209" t="s">
        <v>179</v>
      </c>
      <c r="W547" s="209" t="s">
        <v>179</v>
      </c>
      <c r="X547" s="209" t="s">
        <v>180</v>
      </c>
      <c r="Y547" s="209" t="s">
        <v>180</v>
      </c>
      <c r="Z547" s="209" t="s">
        <v>1118</v>
      </c>
      <c r="AA547" s="209" t="s">
        <v>1119</v>
      </c>
      <c r="AB547" s="209" t="s">
        <v>180</v>
      </c>
      <c r="AC547" s="209" t="s">
        <v>182</v>
      </c>
      <c r="AD547" s="209">
        <v>1</v>
      </c>
      <c r="AE547" s="209">
        <v>2025</v>
      </c>
      <c r="AF547" s="227">
        <v>45660</v>
      </c>
      <c r="AG547" s="227">
        <v>45664</v>
      </c>
      <c r="AH547" s="227">
        <v>45664</v>
      </c>
      <c r="AI547" s="228">
        <v>135360</v>
      </c>
      <c r="AJ547" s="228">
        <v>20</v>
      </c>
      <c r="AK547" s="228">
        <v>135360</v>
      </c>
      <c r="AL547" s="228">
        <v>20</v>
      </c>
      <c r="AM547" s="228">
        <v>0</v>
      </c>
      <c r="AN547" s="228">
        <v>0</v>
      </c>
      <c r="AO547" s="229">
        <v>1</v>
      </c>
      <c r="AP547" s="231">
        <v>1</v>
      </c>
      <c r="AQ547" s="231">
        <v>2025</v>
      </c>
      <c r="AR547" s="231" t="str">
        <f t="shared" si="70"/>
        <v>01/2025</v>
      </c>
      <c r="AS547" s="231">
        <f t="shared" si="71"/>
        <v>54.7</v>
      </c>
      <c r="AT547" s="239">
        <f>IF(G547="CERVECERIA Y MALTERIA",(AS547*AK547/1000000)*(1-VLOOKUP(N547,FCST!D:I,6,FALSE)),0)</f>
        <v>7.4041920000000001</v>
      </c>
      <c r="AU547" s="232">
        <v>5.0000000000000001E-3</v>
      </c>
      <c r="AV547" s="239">
        <f t="shared" si="72"/>
        <v>7.4412129599999997</v>
      </c>
      <c r="AW547" s="239">
        <f>(AS547*AK547/1000000)*(VLOOKUP(N547,FCST!D:I,6,FALSE))</f>
        <v>0</v>
      </c>
      <c r="AX547" s="239">
        <f t="shared" si="73"/>
        <v>0</v>
      </c>
      <c r="AY547" s="239">
        <f>IF($G547="CERVECERIA Y MALTERIA.",($AS547*$AK547/1000000)*(1-VLOOKUP($N547,FCST!D:I,6,FALSE)),0)</f>
        <v>0</v>
      </c>
      <c r="AZ547" s="239">
        <f t="shared" si="74"/>
        <v>0</v>
      </c>
    </row>
    <row r="548" spans="1:52" x14ac:dyDescent="0.25">
      <c r="A548" s="209">
        <v>1093740</v>
      </c>
      <c r="B548" s="209">
        <v>30</v>
      </c>
      <c r="C548" s="209" t="s">
        <v>1116</v>
      </c>
      <c r="D548" s="209">
        <v>20</v>
      </c>
      <c r="E548" s="209">
        <v>10000002</v>
      </c>
      <c r="F548" s="209">
        <v>20001057</v>
      </c>
      <c r="G548" s="209" t="s">
        <v>105</v>
      </c>
      <c r="H548" s="209">
        <v>20001057</v>
      </c>
      <c r="I548" s="209">
        <v>2</v>
      </c>
      <c r="J548" s="209" t="s">
        <v>169</v>
      </c>
      <c r="K548" s="209" t="s">
        <v>1117</v>
      </c>
      <c r="L548" s="209" t="s">
        <v>265</v>
      </c>
      <c r="M548" s="209" t="s">
        <v>199</v>
      </c>
      <c r="N548" s="209">
        <v>50034616</v>
      </c>
      <c r="O548" s="209" t="s">
        <v>191</v>
      </c>
      <c r="P548" s="209">
        <v>5121</v>
      </c>
      <c r="Q548" s="209" t="s">
        <v>200</v>
      </c>
      <c r="R548" s="209" t="s">
        <v>201</v>
      </c>
      <c r="S548" s="209" t="s">
        <v>202</v>
      </c>
      <c r="T548" s="209" t="s">
        <v>203</v>
      </c>
      <c r="U548" s="209" t="s">
        <v>201</v>
      </c>
      <c r="V548" s="209" t="s">
        <v>179</v>
      </c>
      <c r="W548" s="209" t="s">
        <v>179</v>
      </c>
      <c r="X548" s="209" t="s">
        <v>180</v>
      </c>
      <c r="Y548" s="209" t="s">
        <v>180</v>
      </c>
      <c r="Z548" s="209" t="s">
        <v>1118</v>
      </c>
      <c r="AA548" s="209" t="s">
        <v>1119</v>
      </c>
      <c r="AB548" s="209" t="s">
        <v>180</v>
      </c>
      <c r="AC548" s="209" t="s">
        <v>182</v>
      </c>
      <c r="AD548" s="209">
        <v>1</v>
      </c>
      <c r="AE548" s="209">
        <v>2025</v>
      </c>
      <c r="AF548" s="227">
        <v>45660</v>
      </c>
      <c r="AG548" s="227">
        <v>45664</v>
      </c>
      <c r="AH548" s="227">
        <v>45664</v>
      </c>
      <c r="AI548" s="228">
        <v>262656</v>
      </c>
      <c r="AJ548" s="228">
        <v>32</v>
      </c>
      <c r="AK548" s="228">
        <v>262656</v>
      </c>
      <c r="AL548" s="228">
        <v>32</v>
      </c>
      <c r="AM548" s="228">
        <v>0</v>
      </c>
      <c r="AN548" s="228">
        <v>0</v>
      </c>
      <c r="AO548" s="229">
        <v>1</v>
      </c>
      <c r="AP548" s="231">
        <v>1</v>
      </c>
      <c r="AQ548" s="231">
        <v>2025</v>
      </c>
      <c r="AR548" s="231" t="str">
        <f t="shared" si="70"/>
        <v>01/2025</v>
      </c>
      <c r="AS548" s="231">
        <f t="shared" si="71"/>
        <v>46.6</v>
      </c>
      <c r="AT548" s="239">
        <f>IF(G548="CERVECERIA Y MALTERIA",(AS548*AK548/1000000)*(1-VLOOKUP(N548,FCST!D:I,6,FALSE)),0)</f>
        <v>12.239769599999999</v>
      </c>
      <c r="AU548" s="232">
        <v>5.0000000000000001E-3</v>
      </c>
      <c r="AV548" s="239">
        <f t="shared" si="72"/>
        <v>12.300968447999997</v>
      </c>
      <c r="AW548" s="239">
        <f>(AS548*AK548/1000000)*(VLOOKUP(N548,FCST!D:I,6,FALSE))</f>
        <v>0</v>
      </c>
      <c r="AX548" s="239">
        <f t="shared" si="73"/>
        <v>0</v>
      </c>
      <c r="AY548" s="239">
        <f>IF($G548="CERVECERIA Y MALTERIA.",($AS548*$AK548/1000000)*(1-VLOOKUP($N548,FCST!D:I,6,FALSE)),0)</f>
        <v>0</v>
      </c>
      <c r="AZ548" s="239">
        <f t="shared" si="74"/>
        <v>0</v>
      </c>
    </row>
    <row r="549" spans="1:52" x14ac:dyDescent="0.25">
      <c r="A549" s="209">
        <v>1093856</v>
      </c>
      <c r="B549" s="209">
        <v>20</v>
      </c>
      <c r="C549" s="209" t="s">
        <v>1120</v>
      </c>
      <c r="D549" s="209">
        <v>10</v>
      </c>
      <c r="E549" s="209">
        <v>10000002</v>
      </c>
      <c r="F549" s="209">
        <v>20000339</v>
      </c>
      <c r="G549" s="209" t="s">
        <v>105</v>
      </c>
      <c r="H549" s="209">
        <v>20000339</v>
      </c>
      <c r="I549" s="209">
        <v>2</v>
      </c>
      <c r="J549" s="209" t="s">
        <v>169</v>
      </c>
      <c r="K549" s="209" t="s">
        <v>1121</v>
      </c>
      <c r="L549" s="209" t="s">
        <v>265</v>
      </c>
      <c r="M549" s="209" t="s">
        <v>172</v>
      </c>
      <c r="N549" s="209">
        <v>50034634</v>
      </c>
      <c r="O549" s="209" t="s">
        <v>219</v>
      </c>
      <c r="P549" s="209">
        <v>5121</v>
      </c>
      <c r="Q549" s="209" t="s">
        <v>174</v>
      </c>
      <c r="R549" s="209" t="s">
        <v>175</v>
      </c>
      <c r="S549" s="209" t="s">
        <v>176</v>
      </c>
      <c r="T549" s="209" t="s">
        <v>177</v>
      </c>
      <c r="U549" s="209" t="s">
        <v>178</v>
      </c>
      <c r="V549" s="209" t="s">
        <v>179</v>
      </c>
      <c r="W549" s="209" t="s">
        <v>179</v>
      </c>
      <c r="X549" s="209" t="s">
        <v>180</v>
      </c>
      <c r="Y549" s="209" t="s">
        <v>180</v>
      </c>
      <c r="Z549" s="209" t="s">
        <v>1028</v>
      </c>
      <c r="AA549" s="209" t="s">
        <v>1029</v>
      </c>
      <c r="AB549" s="209" t="s">
        <v>180</v>
      </c>
      <c r="AC549" s="209" t="s">
        <v>182</v>
      </c>
      <c r="AD549" s="209">
        <v>1</v>
      </c>
      <c r="AE549" s="209">
        <v>2025</v>
      </c>
      <c r="AF549" s="227">
        <v>45660</v>
      </c>
      <c r="AG549" s="227">
        <v>45664</v>
      </c>
      <c r="AH549" s="227">
        <v>45664</v>
      </c>
      <c r="AI549" s="228">
        <v>364416</v>
      </c>
      <c r="AJ549" s="228">
        <v>52</v>
      </c>
      <c r="AK549" s="228">
        <v>364416</v>
      </c>
      <c r="AL549" s="228">
        <v>52</v>
      </c>
      <c r="AM549" s="228">
        <v>0</v>
      </c>
      <c r="AN549" s="228">
        <v>0</v>
      </c>
      <c r="AO549" s="229">
        <v>2</v>
      </c>
      <c r="AP549" s="231">
        <v>1</v>
      </c>
      <c r="AQ549" s="231">
        <v>2025</v>
      </c>
      <c r="AR549" s="231" t="str">
        <f t="shared" si="70"/>
        <v>01/2025</v>
      </c>
      <c r="AS549" s="231">
        <f t="shared" si="71"/>
        <v>52</v>
      </c>
      <c r="AT549" s="239">
        <f>IF(G549="CERVECERIA Y MALTERIA",(AS549*AK549/1000000)*(1-VLOOKUP(N549,FCST!D:I,6,FALSE)),0)</f>
        <v>18.949632000000001</v>
      </c>
      <c r="AU549" s="232">
        <v>5.0000000000000001E-3</v>
      </c>
      <c r="AV549" s="239">
        <f t="shared" si="72"/>
        <v>19.044380159999999</v>
      </c>
      <c r="AW549" s="239">
        <f>(AS549*AK549/1000000)*(VLOOKUP(N549,FCST!D:I,6,FALSE))</f>
        <v>0</v>
      </c>
      <c r="AX549" s="239">
        <f t="shared" si="73"/>
        <v>0</v>
      </c>
      <c r="AY549" s="239">
        <f>IF($G549="CERVECERIA Y MALTERIA.",($AS549*$AK549/1000000)*(1-VLOOKUP($N549,FCST!D:I,6,FALSE)),0)</f>
        <v>0</v>
      </c>
      <c r="AZ549" s="239">
        <f t="shared" si="74"/>
        <v>0</v>
      </c>
    </row>
    <row r="550" spans="1:52" x14ac:dyDescent="0.25">
      <c r="A550" s="209">
        <v>1093856</v>
      </c>
      <c r="B550" s="209">
        <v>10</v>
      </c>
      <c r="C550" s="209" t="s">
        <v>1122</v>
      </c>
      <c r="D550" s="209">
        <v>10</v>
      </c>
      <c r="E550" s="209">
        <v>10000002</v>
      </c>
      <c r="F550" s="209">
        <v>20000339</v>
      </c>
      <c r="G550" s="209" t="s">
        <v>105</v>
      </c>
      <c r="H550" s="209">
        <v>20000339</v>
      </c>
      <c r="I550" s="209">
        <v>2</v>
      </c>
      <c r="J550" s="209" t="s">
        <v>169</v>
      </c>
      <c r="K550" s="209" t="s">
        <v>1123</v>
      </c>
      <c r="L550" s="209" t="s">
        <v>265</v>
      </c>
      <c r="M550" s="209" t="s">
        <v>227</v>
      </c>
      <c r="N550" s="209">
        <v>50034634</v>
      </c>
      <c r="O550" s="209" t="s">
        <v>219</v>
      </c>
      <c r="P550" s="209">
        <v>5121</v>
      </c>
      <c r="Q550" s="209" t="s">
        <v>228</v>
      </c>
      <c r="R550" s="209" t="s">
        <v>229</v>
      </c>
      <c r="S550" s="209" t="s">
        <v>230</v>
      </c>
      <c r="T550" s="209" t="s">
        <v>231</v>
      </c>
      <c r="U550" s="209" t="s">
        <v>232</v>
      </c>
      <c r="V550" s="209" t="s">
        <v>179</v>
      </c>
      <c r="W550" s="209" t="s">
        <v>179</v>
      </c>
      <c r="X550" s="209" t="s">
        <v>180</v>
      </c>
      <c r="Y550" s="209" t="s">
        <v>180</v>
      </c>
      <c r="Z550" s="209" t="s">
        <v>1028</v>
      </c>
      <c r="AA550" s="209" t="s">
        <v>1029</v>
      </c>
      <c r="AB550" s="209" t="s">
        <v>180</v>
      </c>
      <c r="AC550" s="209" t="s">
        <v>182</v>
      </c>
      <c r="AD550" s="209">
        <v>1</v>
      </c>
      <c r="AE550" s="209">
        <v>2025</v>
      </c>
      <c r="AF550" s="227">
        <v>45660</v>
      </c>
      <c r="AG550" s="227">
        <v>45663</v>
      </c>
      <c r="AH550" s="227">
        <v>45663</v>
      </c>
      <c r="AI550" s="228">
        <v>364416</v>
      </c>
      <c r="AJ550" s="228">
        <v>52</v>
      </c>
      <c r="AK550" s="228">
        <v>364416</v>
      </c>
      <c r="AL550" s="228">
        <v>52</v>
      </c>
      <c r="AM550" s="228">
        <v>0</v>
      </c>
      <c r="AN550" s="228">
        <v>0</v>
      </c>
      <c r="AO550" s="229">
        <v>2</v>
      </c>
      <c r="AP550" s="231">
        <v>1</v>
      </c>
      <c r="AQ550" s="231">
        <v>2025</v>
      </c>
      <c r="AR550" s="231" t="str">
        <f t="shared" si="70"/>
        <v>01/2025</v>
      </c>
      <c r="AS550" s="231">
        <f t="shared" si="71"/>
        <v>52</v>
      </c>
      <c r="AT550" s="239">
        <f>IF(G550="CERVECERIA Y MALTERIA",(AS550*AK550/1000000)*(1-VLOOKUP(N550,FCST!D:I,6,FALSE)),0)</f>
        <v>18.949632000000001</v>
      </c>
      <c r="AU550" s="232">
        <v>5.0000000000000001E-3</v>
      </c>
      <c r="AV550" s="239">
        <f t="shared" si="72"/>
        <v>19.044380159999999</v>
      </c>
      <c r="AW550" s="239">
        <f>(AS550*AK550/1000000)*(VLOOKUP(N550,FCST!D:I,6,FALSE))</f>
        <v>0</v>
      </c>
      <c r="AX550" s="239">
        <f t="shared" si="73"/>
        <v>0</v>
      </c>
      <c r="AY550" s="239">
        <f>IF($G550="CERVECERIA Y MALTERIA.",($AS550*$AK550/1000000)*(1-VLOOKUP($N550,FCST!D:I,6,FALSE)),0)</f>
        <v>0</v>
      </c>
      <c r="AZ550" s="239">
        <f t="shared" si="74"/>
        <v>0</v>
      </c>
    </row>
    <row r="551" spans="1:52" x14ac:dyDescent="0.25">
      <c r="A551" s="209">
        <v>1093759</v>
      </c>
      <c r="B551" s="209">
        <v>10</v>
      </c>
      <c r="C551" s="209" t="s">
        <v>1124</v>
      </c>
      <c r="D551" s="209">
        <v>10</v>
      </c>
      <c r="E551" s="209">
        <v>10000002</v>
      </c>
      <c r="F551" s="209">
        <v>20000340</v>
      </c>
      <c r="G551" s="209" t="s">
        <v>117</v>
      </c>
      <c r="H551" s="209">
        <v>20000340</v>
      </c>
      <c r="I551" s="209">
        <v>2</v>
      </c>
      <c r="J551" s="209" t="s">
        <v>169</v>
      </c>
      <c r="K551" s="209" t="s">
        <v>1125</v>
      </c>
      <c r="L551" s="209" t="s">
        <v>265</v>
      </c>
      <c r="M551" s="209" t="s">
        <v>172</v>
      </c>
      <c r="N551" s="209">
        <v>50029843</v>
      </c>
      <c r="O551" s="209" t="s">
        <v>460</v>
      </c>
      <c r="P551" s="209">
        <v>5121</v>
      </c>
      <c r="Q551" s="209" t="s">
        <v>174</v>
      </c>
      <c r="R551" s="209" t="s">
        <v>175</v>
      </c>
      <c r="S551" s="209" t="s">
        <v>176</v>
      </c>
      <c r="T551" s="209" t="s">
        <v>177</v>
      </c>
      <c r="U551" s="209" t="s">
        <v>178</v>
      </c>
      <c r="V551" s="209" t="s">
        <v>179</v>
      </c>
      <c r="W551" s="209" t="s">
        <v>179</v>
      </c>
      <c r="X551" s="209" t="s">
        <v>180</v>
      </c>
      <c r="Y551" s="209" t="s">
        <v>180</v>
      </c>
      <c r="Z551" s="209" t="s">
        <v>1032</v>
      </c>
      <c r="AA551" s="209" t="s">
        <v>1033</v>
      </c>
      <c r="AB551" s="209" t="s">
        <v>180</v>
      </c>
      <c r="AC551" s="209" t="s">
        <v>182</v>
      </c>
      <c r="AD551" s="209">
        <v>1</v>
      </c>
      <c r="AE551" s="209">
        <v>2025</v>
      </c>
      <c r="AF551" s="227">
        <v>45660</v>
      </c>
      <c r="AG551" s="227">
        <v>45663</v>
      </c>
      <c r="AH551" s="227">
        <v>45663</v>
      </c>
      <c r="AI551" s="228">
        <v>419328</v>
      </c>
      <c r="AJ551" s="228">
        <v>52</v>
      </c>
      <c r="AK551" s="228">
        <v>419328</v>
      </c>
      <c r="AL551" s="228">
        <v>52</v>
      </c>
      <c r="AM551" s="228">
        <v>0</v>
      </c>
      <c r="AN551" s="228">
        <v>0</v>
      </c>
      <c r="AO551" s="229">
        <v>2</v>
      </c>
      <c r="AP551" s="231">
        <v>1</v>
      </c>
      <c r="AQ551" s="231">
        <v>2025</v>
      </c>
      <c r="AR551" s="231" t="str">
        <f t="shared" si="70"/>
        <v>01/2025</v>
      </c>
      <c r="AS551" s="231">
        <f t="shared" si="71"/>
        <v>44.8</v>
      </c>
      <c r="AT551" s="239">
        <f>IF(G551="CERVECERIA Y MALTERIA",(AS551*AK551/1000000)*(1-VLOOKUP(N551,FCST!D:I,6,FALSE)),0)</f>
        <v>0</v>
      </c>
      <c r="AU551" s="232">
        <v>5.0000000000000001E-3</v>
      </c>
      <c r="AV551" s="239">
        <f t="shared" si="72"/>
        <v>0</v>
      </c>
      <c r="AW551" s="239">
        <f>(AS551*AK551/1000000)*(VLOOKUP(N551,FCST!D:I,6,FALSE))</f>
        <v>0</v>
      </c>
      <c r="AX551" s="239">
        <f t="shared" si="73"/>
        <v>0</v>
      </c>
      <c r="AY551" s="239">
        <f>IF($G551="CERVECERIA Y MALTERIA.",($AS551*$AK551/1000000)*(1-VLOOKUP($N551,FCST!D:I,6,FALSE)),0)</f>
        <v>18.7858944</v>
      </c>
      <c r="AZ551" s="239">
        <f t="shared" si="74"/>
        <v>18.879823871999999</v>
      </c>
    </row>
    <row r="552" spans="1:52" x14ac:dyDescent="0.25">
      <c r="A552" s="209">
        <v>1093740</v>
      </c>
      <c r="B552" s="209">
        <v>10</v>
      </c>
      <c r="C552" s="209" t="s">
        <v>1126</v>
      </c>
      <c r="D552" s="209">
        <v>10</v>
      </c>
      <c r="E552" s="209">
        <v>10000002</v>
      </c>
      <c r="F552" s="209">
        <v>20001057</v>
      </c>
      <c r="G552" s="209" t="s">
        <v>105</v>
      </c>
      <c r="H552" s="209">
        <v>20001057</v>
      </c>
      <c r="I552" s="209">
        <v>2</v>
      </c>
      <c r="J552" s="209" t="s">
        <v>169</v>
      </c>
      <c r="K552" s="209" t="s">
        <v>1127</v>
      </c>
      <c r="L552" s="209" t="s">
        <v>265</v>
      </c>
      <c r="M552" s="209" t="s">
        <v>199</v>
      </c>
      <c r="N552" s="209">
        <v>50032583</v>
      </c>
      <c r="O552" s="209" t="s">
        <v>205</v>
      </c>
      <c r="P552" s="209">
        <v>5121</v>
      </c>
      <c r="Q552" s="209" t="s">
        <v>200</v>
      </c>
      <c r="R552" s="209" t="s">
        <v>201</v>
      </c>
      <c r="S552" s="209" t="s">
        <v>202</v>
      </c>
      <c r="T552" s="209" t="s">
        <v>203</v>
      </c>
      <c r="U552" s="209" t="s">
        <v>201</v>
      </c>
      <c r="V552" s="209" t="s">
        <v>179</v>
      </c>
      <c r="W552" s="209" t="s">
        <v>179</v>
      </c>
      <c r="X552" s="209" t="s">
        <v>180</v>
      </c>
      <c r="Y552" s="209" t="s">
        <v>180</v>
      </c>
      <c r="Z552" s="209" t="s">
        <v>1128</v>
      </c>
      <c r="AA552" s="209" t="s">
        <v>1129</v>
      </c>
      <c r="AB552" s="209" t="s">
        <v>180</v>
      </c>
      <c r="AC552" s="209" t="s">
        <v>182</v>
      </c>
      <c r="AD552" s="209">
        <v>1</v>
      </c>
      <c r="AE552" s="209">
        <v>2025</v>
      </c>
      <c r="AF552" s="227">
        <v>45660</v>
      </c>
      <c r="AG552" s="227">
        <v>45663</v>
      </c>
      <c r="AH552" s="227">
        <v>45663</v>
      </c>
      <c r="AI552" s="228">
        <v>351936</v>
      </c>
      <c r="AJ552" s="228">
        <v>52</v>
      </c>
      <c r="AK552" s="228">
        <v>351936</v>
      </c>
      <c r="AL552" s="228">
        <v>52</v>
      </c>
      <c r="AM552" s="228">
        <v>0</v>
      </c>
      <c r="AN552" s="228">
        <v>0</v>
      </c>
      <c r="AO552" s="229">
        <v>1</v>
      </c>
      <c r="AP552" s="231">
        <v>1</v>
      </c>
      <c r="AQ552" s="231">
        <v>2025</v>
      </c>
      <c r="AR552" s="231" t="str">
        <f t="shared" si="70"/>
        <v>01/2025</v>
      </c>
      <c r="AS552" s="231">
        <f t="shared" si="71"/>
        <v>54.7</v>
      </c>
      <c r="AT552" s="239">
        <f>IF(G552="CERVECERIA Y MALTERIA",(AS552*AK552/1000000)*(1-VLOOKUP(N552,FCST!D:I,6,FALSE)),0)</f>
        <v>19.250899199999999</v>
      </c>
      <c r="AU552" s="232">
        <v>5.0000000000000001E-3</v>
      </c>
      <c r="AV552" s="239">
        <f t="shared" si="72"/>
        <v>19.347153695999996</v>
      </c>
      <c r="AW552" s="239">
        <f>(AS552*AK552/1000000)*(VLOOKUP(N552,FCST!D:I,6,FALSE))</f>
        <v>0</v>
      </c>
      <c r="AX552" s="239">
        <f t="shared" si="73"/>
        <v>0</v>
      </c>
      <c r="AY552" s="239">
        <f>IF($G552="CERVECERIA Y MALTERIA.",($AS552*$AK552/1000000)*(1-VLOOKUP($N552,FCST!D:I,6,FALSE)),0)</f>
        <v>0</v>
      </c>
      <c r="AZ552" s="239">
        <f t="shared" si="74"/>
        <v>0</v>
      </c>
    </row>
    <row r="553" spans="1:52" x14ac:dyDescent="0.25">
      <c r="A553" s="209">
        <v>1093757</v>
      </c>
      <c r="B553" s="209">
        <v>10</v>
      </c>
      <c r="C553" s="209" t="s">
        <v>1130</v>
      </c>
      <c r="D553" s="209">
        <v>10</v>
      </c>
      <c r="E553" s="209">
        <v>10000002</v>
      </c>
      <c r="F553" s="209">
        <v>20000335</v>
      </c>
      <c r="G553" s="209" t="s">
        <v>105</v>
      </c>
      <c r="H553" s="209">
        <v>20000335</v>
      </c>
      <c r="I553" s="209">
        <v>2</v>
      </c>
      <c r="J553" s="209" t="s">
        <v>169</v>
      </c>
      <c r="K553" s="209" t="s">
        <v>1131</v>
      </c>
      <c r="L553" s="209" t="s">
        <v>265</v>
      </c>
      <c r="M553" s="209" t="s">
        <v>184</v>
      </c>
      <c r="N553" s="209">
        <v>50035184</v>
      </c>
      <c r="O553" s="209" t="s">
        <v>672</v>
      </c>
      <c r="P553" s="209">
        <v>5121</v>
      </c>
      <c r="Q553" s="209" t="s">
        <v>174</v>
      </c>
      <c r="R553" s="209" t="s">
        <v>175</v>
      </c>
      <c r="S553" s="209" t="s">
        <v>176</v>
      </c>
      <c r="T553" s="209" t="s">
        <v>177</v>
      </c>
      <c r="U553" s="209" t="s">
        <v>178</v>
      </c>
      <c r="V553" s="209" t="s">
        <v>179</v>
      </c>
      <c r="W553" s="209" t="s">
        <v>179</v>
      </c>
      <c r="X553" s="209" t="s">
        <v>180</v>
      </c>
      <c r="Y553" s="209" t="s">
        <v>180</v>
      </c>
      <c r="Z553" s="209" t="s">
        <v>1044</v>
      </c>
      <c r="AA553" s="209" t="s">
        <v>1045</v>
      </c>
      <c r="AB553" s="209" t="s">
        <v>180</v>
      </c>
      <c r="AC553" s="209" t="s">
        <v>182</v>
      </c>
      <c r="AD553" s="209">
        <v>1</v>
      </c>
      <c r="AE553" s="209">
        <v>2025</v>
      </c>
      <c r="AF553" s="227">
        <v>45660</v>
      </c>
      <c r="AG553" s="227">
        <v>45663</v>
      </c>
      <c r="AH553" s="227">
        <v>45663</v>
      </c>
      <c r="AI553" s="228">
        <v>977184</v>
      </c>
      <c r="AJ553" s="228">
        <v>52</v>
      </c>
      <c r="AK553" s="228">
        <v>977184</v>
      </c>
      <c r="AL553" s="228">
        <v>52</v>
      </c>
      <c r="AM553" s="228">
        <v>0</v>
      </c>
      <c r="AN553" s="228">
        <v>0</v>
      </c>
      <c r="AO553" s="229">
        <v>2</v>
      </c>
      <c r="AP553" s="231">
        <v>1</v>
      </c>
      <c r="AQ553" s="231">
        <v>2025</v>
      </c>
      <c r="AR553" s="231" t="str">
        <f t="shared" si="70"/>
        <v>01/2025</v>
      </c>
      <c r="AS553" s="231">
        <f t="shared" si="71"/>
        <v>19.5</v>
      </c>
      <c r="AT553" s="239">
        <f>IF(G553="CERVECERIA Y MALTERIA",(AS553*AK553/1000000)*(1-VLOOKUP(N553,FCST!D:I,6,FALSE)),0)</f>
        <v>19.055088000000001</v>
      </c>
      <c r="AU553" s="232">
        <v>5.0000000000000001E-3</v>
      </c>
      <c r="AV553" s="239">
        <f t="shared" si="72"/>
        <v>19.15036344</v>
      </c>
      <c r="AW553" s="239">
        <f>(AS553*AK553/1000000)*(VLOOKUP(N553,FCST!D:I,6,FALSE))</f>
        <v>0</v>
      </c>
      <c r="AX553" s="239">
        <f t="shared" si="73"/>
        <v>0</v>
      </c>
      <c r="AY553" s="239">
        <f>IF($G553="CERVECERIA Y MALTERIA.",($AS553*$AK553/1000000)*(1-VLOOKUP($N553,FCST!D:I,6,FALSE)),0)</f>
        <v>0</v>
      </c>
      <c r="AZ553" s="239">
        <f t="shared" si="74"/>
        <v>0</v>
      </c>
    </row>
    <row r="554" spans="1:52" x14ac:dyDescent="0.25">
      <c r="A554" s="209">
        <v>1093757</v>
      </c>
      <c r="B554" s="209">
        <v>20</v>
      </c>
      <c r="C554" s="209" t="s">
        <v>1132</v>
      </c>
      <c r="D554" s="209">
        <v>10</v>
      </c>
      <c r="E554" s="209">
        <v>10000002</v>
      </c>
      <c r="F554" s="209">
        <v>20000335</v>
      </c>
      <c r="G554" s="209" t="s">
        <v>105</v>
      </c>
      <c r="H554" s="209">
        <v>20000335</v>
      </c>
      <c r="I554" s="209">
        <v>2</v>
      </c>
      <c r="J554" s="209" t="s">
        <v>169</v>
      </c>
      <c r="K554" s="209" t="s">
        <v>1133</v>
      </c>
      <c r="L554" s="209" t="s">
        <v>265</v>
      </c>
      <c r="M554" s="209" t="s">
        <v>199</v>
      </c>
      <c r="N554" s="209">
        <v>50034616</v>
      </c>
      <c r="O554" s="209" t="s">
        <v>191</v>
      </c>
      <c r="P554" s="209">
        <v>5121</v>
      </c>
      <c r="Q554" s="209" t="s">
        <v>200</v>
      </c>
      <c r="R554" s="209" t="s">
        <v>201</v>
      </c>
      <c r="S554" s="209" t="s">
        <v>202</v>
      </c>
      <c r="T554" s="209" t="s">
        <v>203</v>
      </c>
      <c r="U554" s="209" t="s">
        <v>201</v>
      </c>
      <c r="V554" s="209" t="s">
        <v>179</v>
      </c>
      <c r="W554" s="209" t="s">
        <v>179</v>
      </c>
      <c r="X554" s="209" t="s">
        <v>180</v>
      </c>
      <c r="Y554" s="209" t="s">
        <v>180</v>
      </c>
      <c r="Z554" s="209" t="s">
        <v>1036</v>
      </c>
      <c r="AA554" s="209" t="s">
        <v>1037</v>
      </c>
      <c r="AB554" s="209" t="s">
        <v>180</v>
      </c>
      <c r="AC554" s="209" t="s">
        <v>182</v>
      </c>
      <c r="AD554" s="209">
        <v>1</v>
      </c>
      <c r="AE554" s="209">
        <v>2025</v>
      </c>
      <c r="AF554" s="227">
        <v>45660</v>
      </c>
      <c r="AG554" s="227">
        <v>45663</v>
      </c>
      <c r="AH554" s="227">
        <v>45663</v>
      </c>
      <c r="AI554" s="228">
        <v>426816</v>
      </c>
      <c r="AJ554" s="228">
        <v>52</v>
      </c>
      <c r="AK554" s="228">
        <v>426816</v>
      </c>
      <c r="AL554" s="228">
        <v>52</v>
      </c>
      <c r="AM554" s="228">
        <v>0</v>
      </c>
      <c r="AN554" s="228">
        <v>0</v>
      </c>
      <c r="AO554" s="229">
        <v>2</v>
      </c>
      <c r="AP554" s="231">
        <v>1</v>
      </c>
      <c r="AQ554" s="231">
        <v>2025</v>
      </c>
      <c r="AR554" s="231" t="str">
        <f t="shared" si="70"/>
        <v>01/2025</v>
      </c>
      <c r="AS554" s="231">
        <f t="shared" si="71"/>
        <v>46.6</v>
      </c>
      <c r="AT554" s="239">
        <f>IF(G554="CERVECERIA Y MALTERIA",(AS554*AK554/1000000)*(1-VLOOKUP(N554,FCST!D:I,6,FALSE)),0)</f>
        <v>19.889625600000002</v>
      </c>
      <c r="AU554" s="232">
        <v>5.0000000000000001E-3</v>
      </c>
      <c r="AV554" s="239">
        <f t="shared" si="72"/>
        <v>19.989073728000001</v>
      </c>
      <c r="AW554" s="239">
        <f>(AS554*AK554/1000000)*(VLOOKUP(N554,FCST!D:I,6,FALSE))</f>
        <v>0</v>
      </c>
      <c r="AX554" s="239">
        <f t="shared" si="73"/>
        <v>0</v>
      </c>
      <c r="AY554" s="239">
        <f>IF($G554="CERVECERIA Y MALTERIA.",($AS554*$AK554/1000000)*(1-VLOOKUP($N554,FCST!D:I,6,FALSE)),0)</f>
        <v>0</v>
      </c>
      <c r="AZ554" s="239">
        <f t="shared" si="74"/>
        <v>0</v>
      </c>
    </row>
    <row r="555" spans="1:52" x14ac:dyDescent="0.25">
      <c r="A555" s="209">
        <v>1093745</v>
      </c>
      <c r="B555" s="209">
        <v>20</v>
      </c>
      <c r="C555" s="209" t="s">
        <v>1134</v>
      </c>
      <c r="D555" s="209">
        <v>10</v>
      </c>
      <c r="E555" s="209">
        <v>10000002</v>
      </c>
      <c r="F555" s="209">
        <v>20000336</v>
      </c>
      <c r="G555" s="209" t="s">
        <v>105</v>
      </c>
      <c r="H555" s="209">
        <v>20000336</v>
      </c>
      <c r="I555" s="209">
        <v>2</v>
      </c>
      <c r="J555" s="209" t="s">
        <v>169</v>
      </c>
      <c r="K555" s="209" t="s">
        <v>1135</v>
      </c>
      <c r="L555" s="209" t="s">
        <v>265</v>
      </c>
      <c r="M555" s="209" t="s">
        <v>184</v>
      </c>
      <c r="N555" s="209">
        <v>50034634</v>
      </c>
      <c r="O555" s="209" t="s">
        <v>219</v>
      </c>
      <c r="P555" s="209">
        <v>5121</v>
      </c>
      <c r="Q555" s="209" t="s">
        <v>174</v>
      </c>
      <c r="R555" s="209" t="s">
        <v>175</v>
      </c>
      <c r="S555" s="209" t="s">
        <v>176</v>
      </c>
      <c r="T555" s="209" t="s">
        <v>177</v>
      </c>
      <c r="U555" s="209" t="s">
        <v>178</v>
      </c>
      <c r="V555" s="209" t="s">
        <v>179</v>
      </c>
      <c r="W555" s="209" t="s">
        <v>179</v>
      </c>
      <c r="X555" s="209" t="s">
        <v>180</v>
      </c>
      <c r="Y555" s="209" t="s">
        <v>180</v>
      </c>
      <c r="Z555" s="209" t="s">
        <v>1102</v>
      </c>
      <c r="AA555" s="209" t="s">
        <v>1103</v>
      </c>
      <c r="AB555" s="209" t="s">
        <v>180</v>
      </c>
      <c r="AC555" s="209" t="s">
        <v>182</v>
      </c>
      <c r="AD555" s="209">
        <v>1</v>
      </c>
      <c r="AE555" s="209">
        <v>2025</v>
      </c>
      <c r="AF555" s="227">
        <v>45660</v>
      </c>
      <c r="AG555" s="227">
        <v>45663</v>
      </c>
      <c r="AH555" s="227">
        <v>45663</v>
      </c>
      <c r="AI555" s="228">
        <v>364416</v>
      </c>
      <c r="AJ555" s="228">
        <v>52</v>
      </c>
      <c r="AK555" s="228">
        <v>364416</v>
      </c>
      <c r="AL555" s="228">
        <v>52</v>
      </c>
      <c r="AM555" s="228">
        <v>0</v>
      </c>
      <c r="AN555" s="228">
        <v>0</v>
      </c>
      <c r="AO555" s="229">
        <v>1</v>
      </c>
      <c r="AP555" s="231">
        <v>1</v>
      </c>
      <c r="AQ555" s="231">
        <v>2025</v>
      </c>
      <c r="AR555" s="231" t="str">
        <f t="shared" si="70"/>
        <v>01/2025</v>
      </c>
      <c r="AS555" s="231">
        <f t="shared" si="71"/>
        <v>52</v>
      </c>
      <c r="AT555" s="239">
        <f>IF(G555="CERVECERIA Y MALTERIA",(AS555*AK555/1000000)*(1-VLOOKUP(N555,FCST!D:I,6,FALSE)),0)</f>
        <v>18.949632000000001</v>
      </c>
      <c r="AU555" s="232">
        <v>5.0000000000000001E-3</v>
      </c>
      <c r="AV555" s="239">
        <f t="shared" si="72"/>
        <v>19.044380159999999</v>
      </c>
      <c r="AW555" s="239">
        <f>(AS555*AK555/1000000)*(VLOOKUP(N555,FCST!D:I,6,FALSE))</f>
        <v>0</v>
      </c>
      <c r="AX555" s="239">
        <f t="shared" si="73"/>
        <v>0</v>
      </c>
      <c r="AY555" s="239">
        <f>IF($G555="CERVECERIA Y MALTERIA.",($AS555*$AK555/1000000)*(1-VLOOKUP($N555,FCST!D:I,6,FALSE)),0)</f>
        <v>0</v>
      </c>
      <c r="AZ555" s="239">
        <f t="shared" si="74"/>
        <v>0</v>
      </c>
    </row>
    <row r="556" spans="1:52" x14ac:dyDescent="0.25">
      <c r="A556" s="209">
        <v>1093760</v>
      </c>
      <c r="B556" s="209">
        <v>20</v>
      </c>
      <c r="C556" s="209" t="s">
        <v>1136</v>
      </c>
      <c r="D556" s="209">
        <v>10</v>
      </c>
      <c r="E556" s="209">
        <v>10000002</v>
      </c>
      <c r="F556" s="209">
        <v>20000340</v>
      </c>
      <c r="G556" s="209" t="s">
        <v>117</v>
      </c>
      <c r="H556" s="209">
        <v>20000340</v>
      </c>
      <c r="I556" s="209">
        <v>2</v>
      </c>
      <c r="J556" s="209" t="s">
        <v>169</v>
      </c>
      <c r="K556" s="209" t="s">
        <v>1137</v>
      </c>
      <c r="L556" s="209" t="s">
        <v>265</v>
      </c>
      <c r="M556" s="209" t="s">
        <v>184</v>
      </c>
      <c r="N556" s="209">
        <v>50027468</v>
      </c>
      <c r="O556" s="209" t="s">
        <v>285</v>
      </c>
      <c r="P556" s="209">
        <v>5101</v>
      </c>
      <c r="Q556" s="209" t="s">
        <v>186</v>
      </c>
      <c r="R556" s="209" t="s">
        <v>175</v>
      </c>
      <c r="S556" s="209" t="s">
        <v>176</v>
      </c>
      <c r="T556" s="209" t="s">
        <v>187</v>
      </c>
      <c r="U556" s="209" t="s">
        <v>188</v>
      </c>
      <c r="V556" s="209" t="s">
        <v>179</v>
      </c>
      <c r="W556" s="209" t="s">
        <v>179</v>
      </c>
      <c r="X556" s="209" t="s">
        <v>180</v>
      </c>
      <c r="Y556" s="209" t="s">
        <v>180</v>
      </c>
      <c r="Z556" s="209" t="s">
        <v>1138</v>
      </c>
      <c r="AA556" s="209" t="s">
        <v>1139</v>
      </c>
      <c r="AB556" s="209" t="s">
        <v>180</v>
      </c>
      <c r="AC556" s="209" t="s">
        <v>182</v>
      </c>
      <c r="AD556" s="209">
        <v>1</v>
      </c>
      <c r="AE556" s="209">
        <v>2025</v>
      </c>
      <c r="AF556" s="227">
        <v>45660</v>
      </c>
      <c r="AG556" s="227">
        <v>45663</v>
      </c>
      <c r="AH556" s="227">
        <v>45663</v>
      </c>
      <c r="AI556" s="228">
        <v>399360</v>
      </c>
      <c r="AJ556" s="228">
        <v>52</v>
      </c>
      <c r="AK556" s="228">
        <v>399360</v>
      </c>
      <c r="AL556" s="228">
        <v>52</v>
      </c>
      <c r="AM556" s="228">
        <v>0</v>
      </c>
      <c r="AN556" s="228">
        <v>0</v>
      </c>
      <c r="AO556" s="229">
        <v>2</v>
      </c>
      <c r="AP556" s="231">
        <v>1</v>
      </c>
      <c r="AQ556" s="231">
        <v>2025</v>
      </c>
      <c r="AR556" s="231" t="str">
        <f t="shared" si="70"/>
        <v>01/2025</v>
      </c>
      <c r="AS556" s="231">
        <f t="shared" si="71"/>
        <v>52</v>
      </c>
      <c r="AT556" s="239">
        <f>IF(G556="CERVECERIA Y MALTERIA",(AS556*AK556/1000000)*(1-VLOOKUP(N556,FCST!D:I,6,FALSE)),0)</f>
        <v>0</v>
      </c>
      <c r="AU556" s="232">
        <v>5.0000000000000001E-3</v>
      </c>
      <c r="AV556" s="239">
        <f t="shared" si="72"/>
        <v>0</v>
      </c>
      <c r="AW556" s="239">
        <f>(AS556*AK556/1000000)*(VLOOKUP(N556,FCST!D:I,6,FALSE))</f>
        <v>0</v>
      </c>
      <c r="AX556" s="239">
        <f t="shared" si="73"/>
        <v>0</v>
      </c>
      <c r="AY556" s="239">
        <f>IF($G556="CERVECERIA Y MALTERIA.",($AS556*$AK556/1000000)*(1-VLOOKUP($N556,FCST!D:I,6,FALSE)),0)</f>
        <v>20.766719999999999</v>
      </c>
      <c r="AZ556" s="239">
        <f t="shared" si="74"/>
        <v>20.870553599999997</v>
      </c>
    </row>
    <row r="557" spans="1:52" x14ac:dyDescent="0.25">
      <c r="A557" s="209">
        <v>1096255</v>
      </c>
      <c r="B557" s="209">
        <v>20</v>
      </c>
      <c r="C557" s="209" t="s">
        <v>1140</v>
      </c>
      <c r="D557" s="209">
        <v>20</v>
      </c>
      <c r="E557" s="209">
        <v>10000002</v>
      </c>
      <c r="F557" s="209">
        <v>20001057</v>
      </c>
      <c r="G557" s="209" t="s">
        <v>105</v>
      </c>
      <c r="H557" s="209">
        <v>20001057</v>
      </c>
      <c r="I557" s="209">
        <v>2</v>
      </c>
      <c r="J557" s="209" t="s">
        <v>169</v>
      </c>
      <c r="K557" s="209" t="s">
        <v>1141</v>
      </c>
      <c r="L557" s="209" t="s">
        <v>171</v>
      </c>
      <c r="M557" s="209" t="s">
        <v>172</v>
      </c>
      <c r="N557" s="209">
        <v>50032578</v>
      </c>
      <c r="O557" s="209" t="s">
        <v>329</v>
      </c>
      <c r="P557" s="209">
        <v>5121</v>
      </c>
      <c r="Q557" s="209" t="s">
        <v>174</v>
      </c>
      <c r="R557" s="209" t="s">
        <v>175</v>
      </c>
      <c r="S557" s="209" t="s">
        <v>176</v>
      </c>
      <c r="T557" s="209" t="s">
        <v>177</v>
      </c>
      <c r="U557" s="209" t="s">
        <v>178</v>
      </c>
      <c r="V557" s="209" t="s">
        <v>179</v>
      </c>
      <c r="W557" s="209" t="s">
        <v>179</v>
      </c>
      <c r="X557" s="209" t="s">
        <v>180</v>
      </c>
      <c r="Y557" s="209" t="s">
        <v>180</v>
      </c>
      <c r="Z557" s="209" t="s">
        <v>1142</v>
      </c>
      <c r="AA557" s="209" t="s">
        <v>1143</v>
      </c>
      <c r="AB557" s="209" t="s">
        <v>180</v>
      </c>
      <c r="AC557" s="209" t="s">
        <v>182</v>
      </c>
      <c r="AD557" s="209">
        <v>1</v>
      </c>
      <c r="AE557" s="209">
        <v>2025</v>
      </c>
      <c r="AF557" s="227">
        <v>45673</v>
      </c>
      <c r="AG557" s="227">
        <v>45674</v>
      </c>
      <c r="AH557" s="227">
        <v>45674</v>
      </c>
      <c r="AI557" s="228">
        <v>173808</v>
      </c>
      <c r="AJ557" s="228">
        <v>17</v>
      </c>
      <c r="AK557" s="228">
        <v>173808</v>
      </c>
      <c r="AL557" s="228">
        <v>17</v>
      </c>
      <c r="AM557" s="228">
        <v>0</v>
      </c>
      <c r="AN557" s="228">
        <v>0</v>
      </c>
      <c r="AO557" s="229">
        <v>3</v>
      </c>
      <c r="AP557" s="231">
        <v>1</v>
      </c>
      <c r="AQ557" s="231">
        <v>2025</v>
      </c>
      <c r="AR557" s="231" t="str">
        <f t="shared" si="70"/>
        <v>01/2025</v>
      </c>
      <c r="AS557" s="231">
        <f t="shared" si="71"/>
        <v>37.200000000000003</v>
      </c>
      <c r="AT557" s="239">
        <f>IF(G557="CERVECERIA Y MALTERIA",(AS557*AK557/1000000)*(1-VLOOKUP(N557,FCST!D:I,6,FALSE)),0)</f>
        <v>6.4656576000000001</v>
      </c>
      <c r="AU557" s="232">
        <v>5.0000000000000001E-3</v>
      </c>
      <c r="AV557" s="239">
        <f t="shared" si="72"/>
        <v>6.4979858879999997</v>
      </c>
      <c r="AW557" s="239">
        <f>(AS557*AK557/1000000)*(VLOOKUP(N557,FCST!D:I,6,FALSE))</f>
        <v>0</v>
      </c>
      <c r="AX557" s="239">
        <f t="shared" si="73"/>
        <v>0</v>
      </c>
      <c r="AY557" s="239">
        <f>IF($G557="CERVECERIA Y MALTERIA.",($AS557*$AK557/1000000)*(1-VLOOKUP($N557,FCST!D:I,6,FALSE)),0)</f>
        <v>0</v>
      </c>
      <c r="AZ557" s="239">
        <f t="shared" si="74"/>
        <v>0</v>
      </c>
    </row>
    <row r="558" spans="1:52" x14ac:dyDescent="0.25">
      <c r="A558" s="209">
        <v>1093856</v>
      </c>
      <c r="B558" s="209">
        <v>90</v>
      </c>
      <c r="C558" s="209" t="s">
        <v>1144</v>
      </c>
      <c r="D558" s="209">
        <v>10</v>
      </c>
      <c r="E558" s="209">
        <v>10000002</v>
      </c>
      <c r="F558" s="209">
        <v>20000339</v>
      </c>
      <c r="G558" s="209" t="s">
        <v>105</v>
      </c>
      <c r="H558" s="209">
        <v>20000339</v>
      </c>
      <c r="I558" s="209">
        <v>2</v>
      </c>
      <c r="J558" s="209" t="s">
        <v>169</v>
      </c>
      <c r="K558" s="209" t="s">
        <v>1145</v>
      </c>
      <c r="L558" s="209" t="s">
        <v>265</v>
      </c>
      <c r="M558" s="209" t="s">
        <v>184</v>
      </c>
      <c r="N558" s="209">
        <v>50033268</v>
      </c>
      <c r="O558" s="209" t="s">
        <v>253</v>
      </c>
      <c r="P558" s="209">
        <v>5121</v>
      </c>
      <c r="Q558" s="209" t="s">
        <v>174</v>
      </c>
      <c r="R558" s="209" t="s">
        <v>175</v>
      </c>
      <c r="S558" s="209" t="s">
        <v>176</v>
      </c>
      <c r="T558" s="209" t="s">
        <v>177</v>
      </c>
      <c r="U558" s="209" t="s">
        <v>178</v>
      </c>
      <c r="V558" s="209" t="s">
        <v>179</v>
      </c>
      <c r="W558" s="209" t="s">
        <v>179</v>
      </c>
      <c r="X558" s="209" t="s">
        <v>180</v>
      </c>
      <c r="Y558" s="209" t="s">
        <v>180</v>
      </c>
      <c r="Z558" s="209" t="s">
        <v>1146</v>
      </c>
      <c r="AA558" s="209" t="s">
        <v>1147</v>
      </c>
      <c r="AB558" s="209" t="s">
        <v>180</v>
      </c>
      <c r="AC558" s="209" t="s">
        <v>182</v>
      </c>
      <c r="AD558" s="209">
        <v>1</v>
      </c>
      <c r="AE558" s="209">
        <v>2025</v>
      </c>
      <c r="AF558" s="227">
        <v>45660</v>
      </c>
      <c r="AG558" s="227">
        <v>45674</v>
      </c>
      <c r="AH558" s="227">
        <v>45674</v>
      </c>
      <c r="AI558" s="228">
        <v>328608</v>
      </c>
      <c r="AJ558" s="228">
        <v>42</v>
      </c>
      <c r="AK558" s="228">
        <v>328608</v>
      </c>
      <c r="AL558" s="228">
        <v>42</v>
      </c>
      <c r="AM558" s="228">
        <v>0</v>
      </c>
      <c r="AN558" s="228">
        <v>0</v>
      </c>
      <c r="AO558" s="229">
        <v>2</v>
      </c>
      <c r="AP558" s="231">
        <v>1</v>
      </c>
      <c r="AQ558" s="231">
        <v>2025</v>
      </c>
      <c r="AR558" s="231" t="str">
        <f t="shared" si="70"/>
        <v>01/2025</v>
      </c>
      <c r="AS558" s="231">
        <f t="shared" si="71"/>
        <v>44</v>
      </c>
      <c r="AT558" s="239">
        <f>IF(G558="CERVECERIA Y MALTERIA",(AS558*AK558/1000000)*(1-VLOOKUP(N558,FCST!D:I,6,FALSE)),0)</f>
        <v>14.458752</v>
      </c>
      <c r="AU558" s="232">
        <v>5.0000000000000001E-3</v>
      </c>
      <c r="AV558" s="239">
        <f t="shared" si="72"/>
        <v>14.53104576</v>
      </c>
      <c r="AW558" s="239">
        <f>(AS558*AK558/1000000)*(VLOOKUP(N558,FCST!D:I,6,FALSE))</f>
        <v>0</v>
      </c>
      <c r="AX558" s="239">
        <f t="shared" si="73"/>
        <v>0</v>
      </c>
      <c r="AY558" s="239">
        <f>IF($G558="CERVECERIA Y MALTERIA.",($AS558*$AK558/1000000)*(1-VLOOKUP($N558,FCST!D:I,6,FALSE)),0)</f>
        <v>0</v>
      </c>
      <c r="AZ558" s="239">
        <f t="shared" si="74"/>
        <v>0</v>
      </c>
    </row>
    <row r="559" spans="1:52" x14ac:dyDescent="0.25">
      <c r="A559" s="209">
        <v>1094750</v>
      </c>
      <c r="B559" s="209">
        <v>20</v>
      </c>
      <c r="C559" s="209" t="s">
        <v>1148</v>
      </c>
      <c r="D559" s="209">
        <v>10</v>
      </c>
      <c r="E559" s="209">
        <v>10000002</v>
      </c>
      <c r="F559" s="209">
        <v>20000339</v>
      </c>
      <c r="G559" s="209" t="s">
        <v>105</v>
      </c>
      <c r="H559" s="209">
        <v>20000339</v>
      </c>
      <c r="I559" s="209">
        <v>2</v>
      </c>
      <c r="J559" s="209" t="s">
        <v>169</v>
      </c>
      <c r="K559" s="209" t="s">
        <v>1149</v>
      </c>
      <c r="L559" s="209" t="s">
        <v>171</v>
      </c>
      <c r="M559" s="209" t="s">
        <v>184</v>
      </c>
      <c r="N559" s="209">
        <v>50034577</v>
      </c>
      <c r="O559" s="209" t="s">
        <v>237</v>
      </c>
      <c r="P559" s="209">
        <v>5101</v>
      </c>
      <c r="Q559" s="209" t="s">
        <v>186</v>
      </c>
      <c r="R559" s="209" t="s">
        <v>175</v>
      </c>
      <c r="S559" s="209" t="s">
        <v>176</v>
      </c>
      <c r="T559" s="209" t="s">
        <v>187</v>
      </c>
      <c r="U559" s="209" t="s">
        <v>188</v>
      </c>
      <c r="V559" s="209" t="s">
        <v>179</v>
      </c>
      <c r="W559" s="209" t="s">
        <v>179</v>
      </c>
      <c r="X559" s="209" t="s">
        <v>180</v>
      </c>
      <c r="Y559" s="209" t="s">
        <v>180</v>
      </c>
      <c r="Z559" s="209" t="s">
        <v>1150</v>
      </c>
      <c r="AA559" s="209" t="s">
        <v>1151</v>
      </c>
      <c r="AB559" s="209" t="s">
        <v>180</v>
      </c>
      <c r="AC559" s="209" t="s">
        <v>182</v>
      </c>
      <c r="AD559" s="209">
        <v>1</v>
      </c>
      <c r="AE559" s="209">
        <v>2025</v>
      </c>
      <c r="AF559" s="227">
        <v>45666</v>
      </c>
      <c r="AG559" s="227">
        <v>45674</v>
      </c>
      <c r="AH559" s="227">
        <v>45677</v>
      </c>
      <c r="AI559" s="228">
        <v>143040</v>
      </c>
      <c r="AJ559" s="228">
        <v>10</v>
      </c>
      <c r="AK559" s="228">
        <v>143040</v>
      </c>
      <c r="AL559" s="228">
        <v>10</v>
      </c>
      <c r="AM559" s="228">
        <v>0</v>
      </c>
      <c r="AN559" s="228">
        <v>0</v>
      </c>
      <c r="AO559" s="229">
        <v>2</v>
      </c>
      <c r="AP559" s="231">
        <v>1</v>
      </c>
      <c r="AQ559" s="231">
        <v>2025</v>
      </c>
      <c r="AR559" s="231" t="str">
        <f t="shared" si="70"/>
        <v>01/2025</v>
      </c>
      <c r="AS559" s="231">
        <f t="shared" si="71"/>
        <v>25</v>
      </c>
      <c r="AT559" s="239">
        <f>IF(G559="CERVECERIA Y MALTERIA",(AS559*AK559/1000000)*(1-VLOOKUP(N559,FCST!D:I,6,FALSE)),0)</f>
        <v>3.5760000000000001</v>
      </c>
      <c r="AU559" s="232">
        <v>5.0000000000000001E-3</v>
      </c>
      <c r="AV559" s="239">
        <f t="shared" si="72"/>
        <v>3.5938799999999995</v>
      </c>
      <c r="AW559" s="239">
        <f>(AS559*AK559/1000000)*(VLOOKUP(N559,FCST!D:I,6,FALSE))</f>
        <v>0</v>
      </c>
      <c r="AX559" s="239">
        <f t="shared" si="73"/>
        <v>0</v>
      </c>
      <c r="AY559" s="239">
        <f>IF($G559="CERVECERIA Y MALTERIA.",($AS559*$AK559/1000000)*(1-VLOOKUP($N559,FCST!D:I,6,FALSE)),0)</f>
        <v>0</v>
      </c>
      <c r="AZ559" s="239">
        <f t="shared" si="74"/>
        <v>0</v>
      </c>
    </row>
    <row r="560" spans="1:52" x14ac:dyDescent="0.25">
      <c r="A560" s="209">
        <v>1096382</v>
      </c>
      <c r="B560" s="209">
        <v>10</v>
      </c>
      <c r="C560" s="209" t="s">
        <v>1152</v>
      </c>
      <c r="D560" s="209">
        <v>10</v>
      </c>
      <c r="E560" s="209">
        <v>10000002</v>
      </c>
      <c r="F560" s="209">
        <v>20000335</v>
      </c>
      <c r="G560" s="209" t="s">
        <v>105</v>
      </c>
      <c r="H560" s="209">
        <v>20000335</v>
      </c>
      <c r="I560" s="209">
        <v>2</v>
      </c>
      <c r="J560" s="209" t="s">
        <v>169</v>
      </c>
      <c r="K560" s="209" t="s">
        <v>1153</v>
      </c>
      <c r="L560" s="209" t="s">
        <v>171</v>
      </c>
      <c r="M560" s="209" t="s">
        <v>184</v>
      </c>
      <c r="N560" s="209">
        <v>50037887</v>
      </c>
      <c r="O560" s="209" t="s">
        <v>679</v>
      </c>
      <c r="P560" s="209">
        <v>5121</v>
      </c>
      <c r="Q560" s="209" t="s">
        <v>174</v>
      </c>
      <c r="R560" s="209" t="s">
        <v>175</v>
      </c>
      <c r="S560" s="209" t="s">
        <v>176</v>
      </c>
      <c r="T560" s="209" t="s">
        <v>177</v>
      </c>
      <c r="U560" s="209" t="s">
        <v>178</v>
      </c>
      <c r="V560" s="209" t="s">
        <v>179</v>
      </c>
      <c r="W560" s="209" t="s">
        <v>179</v>
      </c>
      <c r="X560" s="209" t="s">
        <v>180</v>
      </c>
      <c r="Y560" s="209" t="s">
        <v>180</v>
      </c>
      <c r="Z560" s="209" t="s">
        <v>1154</v>
      </c>
      <c r="AA560" s="209" t="s">
        <v>1155</v>
      </c>
      <c r="AB560" s="209" t="s">
        <v>180</v>
      </c>
      <c r="AC560" s="209" t="s">
        <v>182</v>
      </c>
      <c r="AD560" s="209">
        <v>1</v>
      </c>
      <c r="AE560" s="209">
        <v>2025</v>
      </c>
      <c r="AF560" s="227">
        <v>45674</v>
      </c>
      <c r="AG560" s="227">
        <v>45677</v>
      </c>
      <c r="AH560" s="227">
        <v>45677</v>
      </c>
      <c r="AI560" s="228">
        <v>265824</v>
      </c>
      <c r="AJ560" s="228">
        <v>26</v>
      </c>
      <c r="AK560" s="228">
        <v>265824</v>
      </c>
      <c r="AL560" s="228">
        <v>26</v>
      </c>
      <c r="AM560" s="228">
        <v>0</v>
      </c>
      <c r="AN560" s="228">
        <v>0</v>
      </c>
      <c r="AO560" s="229">
        <v>4</v>
      </c>
      <c r="AP560" s="231">
        <v>1</v>
      </c>
      <c r="AQ560" s="231">
        <v>2025</v>
      </c>
      <c r="AR560" s="231" t="str">
        <f t="shared" si="70"/>
        <v>01/2025</v>
      </c>
      <c r="AS560" s="231">
        <f t="shared" si="71"/>
        <v>37.200000000000003</v>
      </c>
      <c r="AT560" s="239">
        <f>IF(G560="CERVECERIA Y MALTERIA",(AS560*AK560/1000000)*(1-VLOOKUP(N560,FCST!D:I,6,FALSE)),0)</f>
        <v>9.8886528000000009</v>
      </c>
      <c r="AU560" s="232">
        <v>5.0000000000000001E-3</v>
      </c>
      <c r="AV560" s="239">
        <f t="shared" si="72"/>
        <v>9.9380960639999998</v>
      </c>
      <c r="AW560" s="239">
        <f>(AS560*AK560/1000000)*(VLOOKUP(N560,FCST!D:I,6,FALSE))</f>
        <v>0</v>
      </c>
      <c r="AX560" s="239">
        <f t="shared" si="73"/>
        <v>0</v>
      </c>
      <c r="AY560" s="239">
        <f>IF($G560="CERVECERIA Y MALTERIA.",($AS560*$AK560/1000000)*(1-VLOOKUP($N560,FCST!D:I,6,FALSE)),0)</f>
        <v>0</v>
      </c>
      <c r="AZ560" s="239">
        <f t="shared" si="74"/>
        <v>0</v>
      </c>
    </row>
    <row r="561" spans="1:52" x14ac:dyDescent="0.25">
      <c r="A561" s="209">
        <v>1096382</v>
      </c>
      <c r="B561" s="209">
        <v>20</v>
      </c>
      <c r="C561" s="209" t="s">
        <v>1152</v>
      </c>
      <c r="D561" s="209">
        <v>20</v>
      </c>
      <c r="E561" s="209">
        <v>10000002</v>
      </c>
      <c r="F561" s="209">
        <v>20000335</v>
      </c>
      <c r="G561" s="209" t="s">
        <v>105</v>
      </c>
      <c r="H561" s="209">
        <v>20000335</v>
      </c>
      <c r="I561" s="209">
        <v>2</v>
      </c>
      <c r="J561" s="209" t="s">
        <v>169</v>
      </c>
      <c r="K561" s="209" t="s">
        <v>1153</v>
      </c>
      <c r="L561" s="209" t="s">
        <v>171</v>
      </c>
      <c r="M561" s="209" t="s">
        <v>184</v>
      </c>
      <c r="N561" s="209">
        <v>50034561</v>
      </c>
      <c r="O561" s="209" t="s">
        <v>307</v>
      </c>
      <c r="P561" s="209">
        <v>5121</v>
      </c>
      <c r="Q561" s="209" t="s">
        <v>174</v>
      </c>
      <c r="R561" s="209" t="s">
        <v>175</v>
      </c>
      <c r="S561" s="209" t="s">
        <v>176</v>
      </c>
      <c r="T561" s="209" t="s">
        <v>177</v>
      </c>
      <c r="U561" s="209" t="s">
        <v>178</v>
      </c>
      <c r="V561" s="209" t="s">
        <v>179</v>
      </c>
      <c r="W561" s="209" t="s">
        <v>179</v>
      </c>
      <c r="X561" s="209" t="s">
        <v>180</v>
      </c>
      <c r="Y561" s="209" t="s">
        <v>180</v>
      </c>
      <c r="Z561" s="209" t="s">
        <v>1154</v>
      </c>
      <c r="AA561" s="209" t="s">
        <v>1155</v>
      </c>
      <c r="AB561" s="209" t="s">
        <v>180</v>
      </c>
      <c r="AC561" s="209" t="s">
        <v>182</v>
      </c>
      <c r="AD561" s="209">
        <v>1</v>
      </c>
      <c r="AE561" s="209">
        <v>2025</v>
      </c>
      <c r="AF561" s="227">
        <v>45674</v>
      </c>
      <c r="AG561" s="227">
        <v>45677</v>
      </c>
      <c r="AH561" s="227">
        <v>45677</v>
      </c>
      <c r="AI561" s="228">
        <v>488592</v>
      </c>
      <c r="AJ561" s="228">
        <v>26</v>
      </c>
      <c r="AK561" s="228">
        <v>488592</v>
      </c>
      <c r="AL561" s="228">
        <v>26</v>
      </c>
      <c r="AM561" s="228">
        <v>0</v>
      </c>
      <c r="AN561" s="228">
        <v>0</v>
      </c>
      <c r="AO561" s="229">
        <v>4</v>
      </c>
      <c r="AP561" s="231">
        <v>1</v>
      </c>
      <c r="AQ561" s="231">
        <v>2025</v>
      </c>
      <c r="AR561" s="231" t="str">
        <f t="shared" si="70"/>
        <v>01/2025</v>
      </c>
      <c r="AS561" s="231">
        <f t="shared" si="71"/>
        <v>19.5</v>
      </c>
      <c r="AT561" s="239">
        <f>IF(G561="CERVECERIA Y MALTERIA",(AS561*AK561/1000000)*(1-VLOOKUP(N561,FCST!D:I,6,FALSE)),0)</f>
        <v>9.5275440000000007</v>
      </c>
      <c r="AU561" s="232">
        <v>5.0000000000000001E-3</v>
      </c>
      <c r="AV561" s="239">
        <f t="shared" si="72"/>
        <v>9.5751817199999998</v>
      </c>
      <c r="AW561" s="239">
        <f>(AS561*AK561/1000000)*(VLOOKUP(N561,FCST!D:I,6,FALSE))</f>
        <v>0</v>
      </c>
      <c r="AX561" s="239">
        <f t="shared" si="73"/>
        <v>0</v>
      </c>
      <c r="AY561" s="239">
        <f>IF($G561="CERVECERIA Y MALTERIA.",($AS561*$AK561/1000000)*(1-VLOOKUP($N561,FCST!D:I,6,FALSE)),0)</f>
        <v>0</v>
      </c>
      <c r="AZ561" s="239">
        <f t="shared" si="74"/>
        <v>0</v>
      </c>
    </row>
    <row r="562" spans="1:52" x14ac:dyDescent="0.25">
      <c r="A562" s="209">
        <v>1096255</v>
      </c>
      <c r="B562" s="209">
        <v>10</v>
      </c>
      <c r="C562" s="209" t="s">
        <v>1140</v>
      </c>
      <c r="D562" s="209">
        <v>10</v>
      </c>
      <c r="E562" s="209">
        <v>10000002</v>
      </c>
      <c r="F562" s="209">
        <v>20001057</v>
      </c>
      <c r="G562" s="209" t="s">
        <v>105</v>
      </c>
      <c r="H562" s="209">
        <v>20001057</v>
      </c>
      <c r="I562" s="209">
        <v>2</v>
      </c>
      <c r="J562" s="209" t="s">
        <v>169</v>
      </c>
      <c r="K562" s="209" t="s">
        <v>1141</v>
      </c>
      <c r="L562" s="209" t="s">
        <v>171</v>
      </c>
      <c r="M562" s="209" t="s">
        <v>172</v>
      </c>
      <c r="N562" s="209">
        <v>50032573</v>
      </c>
      <c r="O562" s="209" t="s">
        <v>173</v>
      </c>
      <c r="P562" s="209">
        <v>5121</v>
      </c>
      <c r="Q562" s="209" t="s">
        <v>174</v>
      </c>
      <c r="R562" s="209" t="s">
        <v>175</v>
      </c>
      <c r="S562" s="209" t="s">
        <v>176</v>
      </c>
      <c r="T562" s="209" t="s">
        <v>177</v>
      </c>
      <c r="U562" s="209" t="s">
        <v>178</v>
      </c>
      <c r="V562" s="209" t="s">
        <v>179</v>
      </c>
      <c r="W562" s="209" t="s">
        <v>179</v>
      </c>
      <c r="X562" s="209" t="s">
        <v>180</v>
      </c>
      <c r="Y562" s="209" t="s">
        <v>180</v>
      </c>
      <c r="Z562" s="209" t="s">
        <v>1142</v>
      </c>
      <c r="AA562" s="209" t="s">
        <v>1143</v>
      </c>
      <c r="AB562" s="209" t="s">
        <v>180</v>
      </c>
      <c r="AC562" s="209" t="s">
        <v>182</v>
      </c>
      <c r="AD562" s="209">
        <v>1</v>
      </c>
      <c r="AE562" s="209">
        <v>2025</v>
      </c>
      <c r="AF562" s="227">
        <v>45673</v>
      </c>
      <c r="AG562" s="227">
        <v>45674</v>
      </c>
      <c r="AH562" s="227">
        <v>45674</v>
      </c>
      <c r="AI562" s="228">
        <v>357840</v>
      </c>
      <c r="AJ562" s="228">
        <v>35</v>
      </c>
      <c r="AK562" s="228">
        <v>357840</v>
      </c>
      <c r="AL562" s="228">
        <v>35</v>
      </c>
      <c r="AM562" s="228">
        <v>0</v>
      </c>
      <c r="AN562" s="228">
        <v>0</v>
      </c>
      <c r="AO562" s="229">
        <v>3</v>
      </c>
      <c r="AP562" s="231">
        <v>1</v>
      </c>
      <c r="AQ562" s="231">
        <v>2025</v>
      </c>
      <c r="AR562" s="231" t="str">
        <f t="shared" si="70"/>
        <v>01/2025</v>
      </c>
      <c r="AS562" s="231">
        <f t="shared" si="71"/>
        <v>37.200000000000003</v>
      </c>
      <c r="AT562" s="239">
        <f>IF(G562="CERVECERIA Y MALTERIA",(AS562*AK562/1000000)*(1-VLOOKUP(N562,FCST!D:I,6,FALSE)),0)</f>
        <v>13.311648000000002</v>
      </c>
      <c r="AU562" s="232">
        <v>5.0000000000000001E-3</v>
      </c>
      <c r="AV562" s="239">
        <f t="shared" si="72"/>
        <v>13.378206240000001</v>
      </c>
      <c r="AW562" s="239">
        <f>(AS562*AK562/1000000)*(VLOOKUP(N562,FCST!D:I,6,FALSE))</f>
        <v>0</v>
      </c>
      <c r="AX562" s="239">
        <f t="shared" si="73"/>
        <v>0</v>
      </c>
      <c r="AY562" s="239">
        <f>IF($G562="CERVECERIA Y MALTERIA.",($AS562*$AK562/1000000)*(1-VLOOKUP($N562,FCST!D:I,6,FALSE)),0)</f>
        <v>0</v>
      </c>
      <c r="AZ562" s="239">
        <f t="shared" si="74"/>
        <v>0</v>
      </c>
    </row>
    <row r="563" spans="1:52" x14ac:dyDescent="0.25">
      <c r="A563" s="209">
        <v>1094883</v>
      </c>
      <c r="B563" s="209">
        <v>130</v>
      </c>
      <c r="C563" s="209" t="s">
        <v>1156</v>
      </c>
      <c r="D563" s="209">
        <v>10</v>
      </c>
      <c r="E563" s="209">
        <v>10000002</v>
      </c>
      <c r="F563" s="209">
        <v>20000335</v>
      </c>
      <c r="G563" s="209" t="s">
        <v>105</v>
      </c>
      <c r="H563" s="209">
        <v>20000335</v>
      </c>
      <c r="I563" s="209">
        <v>2</v>
      </c>
      <c r="J563" s="209" t="s">
        <v>169</v>
      </c>
      <c r="K563" s="209" t="s">
        <v>1157</v>
      </c>
      <c r="L563" s="209" t="s">
        <v>171</v>
      </c>
      <c r="M563" s="209" t="s">
        <v>199</v>
      </c>
      <c r="N563" s="209">
        <v>50034616</v>
      </c>
      <c r="O563" s="209" t="s">
        <v>191</v>
      </c>
      <c r="P563" s="209">
        <v>5121</v>
      </c>
      <c r="Q563" s="209" t="s">
        <v>200</v>
      </c>
      <c r="R563" s="209" t="s">
        <v>201</v>
      </c>
      <c r="S563" s="209" t="s">
        <v>202</v>
      </c>
      <c r="T563" s="209" t="s">
        <v>203</v>
      </c>
      <c r="U563" s="209" t="s">
        <v>201</v>
      </c>
      <c r="V563" s="209" t="s">
        <v>179</v>
      </c>
      <c r="W563" s="209" t="s">
        <v>179</v>
      </c>
      <c r="X563" s="209" t="s">
        <v>180</v>
      </c>
      <c r="Y563" s="209" t="s">
        <v>180</v>
      </c>
      <c r="Z563" s="209" t="s">
        <v>1158</v>
      </c>
      <c r="AA563" s="209" t="s">
        <v>1159</v>
      </c>
      <c r="AB563" s="209" t="s">
        <v>180</v>
      </c>
      <c r="AC563" s="209" t="s">
        <v>182</v>
      </c>
      <c r="AD563" s="209">
        <v>1</v>
      </c>
      <c r="AE563" s="209">
        <v>2025</v>
      </c>
      <c r="AF563" s="227">
        <v>45666</v>
      </c>
      <c r="AG563" s="227">
        <v>45674</v>
      </c>
      <c r="AH563" s="227">
        <v>45674</v>
      </c>
      <c r="AI563" s="228">
        <v>426816</v>
      </c>
      <c r="AJ563" s="228">
        <v>52</v>
      </c>
      <c r="AK563" s="228">
        <v>426816</v>
      </c>
      <c r="AL563" s="228">
        <v>52</v>
      </c>
      <c r="AM563" s="228">
        <v>0</v>
      </c>
      <c r="AN563" s="228">
        <v>0</v>
      </c>
      <c r="AO563" s="229">
        <v>3</v>
      </c>
      <c r="AP563" s="231">
        <v>1</v>
      </c>
      <c r="AQ563" s="231">
        <v>2025</v>
      </c>
      <c r="AR563" s="231" t="str">
        <f t="shared" si="70"/>
        <v>01/2025</v>
      </c>
      <c r="AS563" s="231">
        <f t="shared" si="71"/>
        <v>46.6</v>
      </c>
      <c r="AT563" s="239">
        <f>IF(G563="CERVECERIA Y MALTERIA",(AS563*AK563/1000000)*(1-VLOOKUP(N563,FCST!D:I,6,FALSE)),0)</f>
        <v>19.889625600000002</v>
      </c>
      <c r="AU563" s="232">
        <v>5.0000000000000001E-3</v>
      </c>
      <c r="AV563" s="239">
        <f t="shared" si="72"/>
        <v>19.989073728000001</v>
      </c>
      <c r="AW563" s="239">
        <f>(AS563*AK563/1000000)*(VLOOKUP(N563,FCST!D:I,6,FALSE))</f>
        <v>0</v>
      </c>
      <c r="AX563" s="239">
        <f t="shared" si="73"/>
        <v>0</v>
      </c>
      <c r="AY563" s="239">
        <f>IF($G563="CERVECERIA Y MALTERIA.",($AS563*$AK563/1000000)*(1-VLOOKUP($N563,FCST!D:I,6,FALSE)),0)</f>
        <v>0</v>
      </c>
      <c r="AZ563" s="239">
        <f t="shared" si="74"/>
        <v>0</v>
      </c>
    </row>
    <row r="564" spans="1:52" x14ac:dyDescent="0.25">
      <c r="A564" s="209">
        <v>1094884</v>
      </c>
      <c r="B564" s="209">
        <v>60</v>
      </c>
      <c r="C564" s="209" t="s">
        <v>1160</v>
      </c>
      <c r="D564" s="209">
        <v>10</v>
      </c>
      <c r="E564" s="209">
        <v>10000002</v>
      </c>
      <c r="F564" s="209">
        <v>20000340</v>
      </c>
      <c r="G564" s="209" t="s">
        <v>117</v>
      </c>
      <c r="H564" s="209">
        <v>20000340</v>
      </c>
      <c r="I564" s="209">
        <v>2</v>
      </c>
      <c r="J564" s="209" t="s">
        <v>169</v>
      </c>
      <c r="K564" s="209" t="s">
        <v>1161</v>
      </c>
      <c r="L564" s="209" t="s">
        <v>171</v>
      </c>
      <c r="M564" s="209" t="s">
        <v>172</v>
      </c>
      <c r="N564" s="209">
        <v>50029817</v>
      </c>
      <c r="O564" s="209" t="s">
        <v>396</v>
      </c>
      <c r="P564" s="209">
        <v>5101</v>
      </c>
      <c r="Q564" s="209" t="s">
        <v>186</v>
      </c>
      <c r="R564" s="209" t="s">
        <v>175</v>
      </c>
      <c r="S564" s="209" t="s">
        <v>176</v>
      </c>
      <c r="T564" s="209" t="s">
        <v>187</v>
      </c>
      <c r="U564" s="209" t="s">
        <v>188</v>
      </c>
      <c r="V564" s="209" t="s">
        <v>179</v>
      </c>
      <c r="W564" s="209" t="s">
        <v>179</v>
      </c>
      <c r="X564" s="209" t="s">
        <v>180</v>
      </c>
      <c r="Y564" s="209" t="s">
        <v>180</v>
      </c>
      <c r="Z564" s="209" t="s">
        <v>1162</v>
      </c>
      <c r="AA564" s="209" t="s">
        <v>1163</v>
      </c>
      <c r="AB564" s="209" t="s">
        <v>180</v>
      </c>
      <c r="AC564" s="209" t="s">
        <v>182</v>
      </c>
      <c r="AD564" s="209">
        <v>1</v>
      </c>
      <c r="AE564" s="209">
        <v>2025</v>
      </c>
      <c r="AF564" s="227">
        <v>45666</v>
      </c>
      <c r="AG564" s="227">
        <v>45674</v>
      </c>
      <c r="AH564" s="227">
        <v>45674</v>
      </c>
      <c r="AI564" s="228">
        <v>606528</v>
      </c>
      <c r="AJ564" s="228">
        <v>52</v>
      </c>
      <c r="AK564" s="228">
        <v>606528</v>
      </c>
      <c r="AL564" s="228">
        <v>52</v>
      </c>
      <c r="AM564" s="228">
        <v>0</v>
      </c>
      <c r="AN564" s="228">
        <v>0</v>
      </c>
      <c r="AO564" s="229">
        <v>3</v>
      </c>
      <c r="AP564" s="231">
        <v>1</v>
      </c>
      <c r="AQ564" s="231">
        <v>2025</v>
      </c>
      <c r="AR564" s="231" t="str">
        <f t="shared" si="70"/>
        <v>01/2025</v>
      </c>
      <c r="AS564" s="231">
        <f t="shared" si="71"/>
        <v>30</v>
      </c>
      <c r="AT564" s="239">
        <f>IF(G564="CERVECERIA Y MALTERIA",(AS564*AK564/1000000)*(1-VLOOKUP(N564,FCST!D:I,6,FALSE)),0)</f>
        <v>0</v>
      </c>
      <c r="AU564" s="232">
        <v>5.0000000000000001E-3</v>
      </c>
      <c r="AV564" s="239">
        <f t="shared" si="72"/>
        <v>0</v>
      </c>
      <c r="AW564" s="239">
        <f>(AS564*AK564/1000000)*(VLOOKUP(N564,FCST!D:I,6,FALSE))</f>
        <v>5.4587519999999996</v>
      </c>
      <c r="AX564" s="239">
        <f t="shared" si="73"/>
        <v>5.4860457599999988</v>
      </c>
      <c r="AY564" s="239">
        <f>IF($G564="CERVECERIA Y MALTERIA.",($AS564*$AK564/1000000)*(1-VLOOKUP($N564,FCST!D:I,6,FALSE)),0)</f>
        <v>12.737088</v>
      </c>
      <c r="AZ564" s="239">
        <f t="shared" si="74"/>
        <v>12.800773439999999</v>
      </c>
    </row>
    <row r="565" spans="1:52" x14ac:dyDescent="0.25">
      <c r="A565" s="209">
        <v>1094883</v>
      </c>
      <c r="B565" s="209">
        <v>120</v>
      </c>
      <c r="C565" s="209" t="s">
        <v>1164</v>
      </c>
      <c r="D565" s="209">
        <v>10</v>
      </c>
      <c r="E565" s="209">
        <v>10000002</v>
      </c>
      <c r="F565" s="209">
        <v>20000335</v>
      </c>
      <c r="G565" s="209" t="s">
        <v>105</v>
      </c>
      <c r="H565" s="209">
        <v>20000335</v>
      </c>
      <c r="I565" s="209">
        <v>2</v>
      </c>
      <c r="J565" s="209" t="s">
        <v>169</v>
      </c>
      <c r="K565" s="209" t="s">
        <v>1165</v>
      </c>
      <c r="L565" s="209" t="s">
        <v>171</v>
      </c>
      <c r="M565" s="209" t="s">
        <v>172</v>
      </c>
      <c r="N565" s="209">
        <v>50035184</v>
      </c>
      <c r="O565" s="209" t="s">
        <v>672</v>
      </c>
      <c r="P565" s="209">
        <v>5121</v>
      </c>
      <c r="Q565" s="209" t="s">
        <v>174</v>
      </c>
      <c r="R565" s="209" t="s">
        <v>175</v>
      </c>
      <c r="S565" s="209" t="s">
        <v>176</v>
      </c>
      <c r="T565" s="209" t="s">
        <v>177</v>
      </c>
      <c r="U565" s="209" t="s">
        <v>178</v>
      </c>
      <c r="V565" s="209" t="s">
        <v>179</v>
      </c>
      <c r="W565" s="209" t="s">
        <v>179</v>
      </c>
      <c r="X565" s="209" t="s">
        <v>180</v>
      </c>
      <c r="Y565" s="209" t="s">
        <v>180</v>
      </c>
      <c r="Z565" s="209" t="s">
        <v>1166</v>
      </c>
      <c r="AA565" s="209" t="s">
        <v>1167</v>
      </c>
      <c r="AB565" s="209" t="s">
        <v>180</v>
      </c>
      <c r="AC565" s="209" t="s">
        <v>182</v>
      </c>
      <c r="AD565" s="209">
        <v>1</v>
      </c>
      <c r="AE565" s="209">
        <v>2025</v>
      </c>
      <c r="AF565" s="227">
        <v>45666</v>
      </c>
      <c r="AG565" s="227">
        <v>45674</v>
      </c>
      <c r="AH565" s="227">
        <v>45674</v>
      </c>
      <c r="AI565" s="228">
        <v>977184</v>
      </c>
      <c r="AJ565" s="228">
        <v>52</v>
      </c>
      <c r="AK565" s="228">
        <v>977184</v>
      </c>
      <c r="AL565" s="228">
        <v>52</v>
      </c>
      <c r="AM565" s="228">
        <v>0</v>
      </c>
      <c r="AN565" s="228">
        <v>0</v>
      </c>
      <c r="AO565" s="229">
        <v>3</v>
      </c>
      <c r="AP565" s="231">
        <v>1</v>
      </c>
      <c r="AQ565" s="231">
        <v>2025</v>
      </c>
      <c r="AR565" s="231" t="str">
        <f t="shared" si="70"/>
        <v>01/2025</v>
      </c>
      <c r="AS565" s="231">
        <f t="shared" si="71"/>
        <v>19.5</v>
      </c>
      <c r="AT565" s="239">
        <f>IF(G565="CERVECERIA Y MALTERIA",(AS565*AK565/1000000)*(1-VLOOKUP(N565,FCST!D:I,6,FALSE)),0)</f>
        <v>19.055088000000001</v>
      </c>
      <c r="AU565" s="232">
        <v>5.0000000000000001E-3</v>
      </c>
      <c r="AV565" s="239">
        <f t="shared" si="72"/>
        <v>19.15036344</v>
      </c>
      <c r="AW565" s="239">
        <f>(AS565*AK565/1000000)*(VLOOKUP(N565,FCST!D:I,6,FALSE))</f>
        <v>0</v>
      </c>
      <c r="AX565" s="239">
        <f t="shared" si="73"/>
        <v>0</v>
      </c>
      <c r="AY565" s="239">
        <f>IF($G565="CERVECERIA Y MALTERIA.",($AS565*$AK565/1000000)*(1-VLOOKUP($N565,FCST!D:I,6,FALSE)),0)</f>
        <v>0</v>
      </c>
      <c r="AZ565" s="239">
        <f t="shared" si="74"/>
        <v>0</v>
      </c>
    </row>
    <row r="566" spans="1:52" x14ac:dyDescent="0.25">
      <c r="A566" s="209">
        <v>1094883</v>
      </c>
      <c r="B566" s="209">
        <v>140</v>
      </c>
      <c r="C566" s="209" t="s">
        <v>1168</v>
      </c>
      <c r="D566" s="209">
        <v>10</v>
      </c>
      <c r="E566" s="209">
        <v>10000002</v>
      </c>
      <c r="F566" s="209">
        <v>20000335</v>
      </c>
      <c r="G566" s="209" t="s">
        <v>105</v>
      </c>
      <c r="H566" s="209">
        <v>20000335</v>
      </c>
      <c r="I566" s="209">
        <v>2</v>
      </c>
      <c r="J566" s="209" t="s">
        <v>169</v>
      </c>
      <c r="K566" s="209" t="s">
        <v>1169</v>
      </c>
      <c r="L566" s="209" t="s">
        <v>171</v>
      </c>
      <c r="M566" s="209" t="s">
        <v>199</v>
      </c>
      <c r="N566" s="209">
        <v>50034616</v>
      </c>
      <c r="O566" s="209" t="s">
        <v>191</v>
      </c>
      <c r="P566" s="209">
        <v>5121</v>
      </c>
      <c r="Q566" s="209" t="s">
        <v>200</v>
      </c>
      <c r="R566" s="209" t="s">
        <v>201</v>
      </c>
      <c r="S566" s="209" t="s">
        <v>202</v>
      </c>
      <c r="T566" s="209" t="s">
        <v>203</v>
      </c>
      <c r="U566" s="209" t="s">
        <v>201</v>
      </c>
      <c r="V566" s="209" t="s">
        <v>179</v>
      </c>
      <c r="W566" s="209" t="s">
        <v>179</v>
      </c>
      <c r="X566" s="209" t="s">
        <v>180</v>
      </c>
      <c r="Y566" s="209" t="s">
        <v>180</v>
      </c>
      <c r="Z566" s="209" t="s">
        <v>1158</v>
      </c>
      <c r="AA566" s="209" t="s">
        <v>1159</v>
      </c>
      <c r="AB566" s="209" t="s">
        <v>180</v>
      </c>
      <c r="AC566" s="209" t="s">
        <v>182</v>
      </c>
      <c r="AD566" s="209">
        <v>1</v>
      </c>
      <c r="AE566" s="209">
        <v>2025</v>
      </c>
      <c r="AF566" s="227">
        <v>45666</v>
      </c>
      <c r="AG566" s="227">
        <v>45674</v>
      </c>
      <c r="AH566" s="227">
        <v>45674</v>
      </c>
      <c r="AI566" s="228">
        <v>426816</v>
      </c>
      <c r="AJ566" s="228">
        <v>52</v>
      </c>
      <c r="AK566" s="228">
        <v>426816</v>
      </c>
      <c r="AL566" s="228">
        <v>52</v>
      </c>
      <c r="AM566" s="228">
        <v>0</v>
      </c>
      <c r="AN566" s="228">
        <v>0</v>
      </c>
      <c r="AO566" s="229">
        <v>3</v>
      </c>
      <c r="AP566" s="231">
        <v>1</v>
      </c>
      <c r="AQ566" s="231">
        <v>2025</v>
      </c>
      <c r="AR566" s="231" t="str">
        <f t="shared" si="70"/>
        <v>01/2025</v>
      </c>
      <c r="AS566" s="231">
        <f t="shared" si="71"/>
        <v>46.6</v>
      </c>
      <c r="AT566" s="239">
        <f>IF(G566="CERVECERIA Y MALTERIA",(AS566*AK566/1000000)*(1-VLOOKUP(N566,FCST!D:I,6,FALSE)),0)</f>
        <v>19.889625600000002</v>
      </c>
      <c r="AU566" s="232">
        <v>5.0000000000000001E-3</v>
      </c>
      <c r="AV566" s="239">
        <f t="shared" si="72"/>
        <v>19.989073728000001</v>
      </c>
      <c r="AW566" s="239">
        <f>(AS566*AK566/1000000)*(VLOOKUP(N566,FCST!D:I,6,FALSE))</f>
        <v>0</v>
      </c>
      <c r="AX566" s="239">
        <f t="shared" si="73"/>
        <v>0</v>
      </c>
      <c r="AY566" s="239">
        <f>IF($G566="CERVECERIA Y MALTERIA.",($AS566*$AK566/1000000)*(1-VLOOKUP($N566,FCST!D:I,6,FALSE)),0)</f>
        <v>0</v>
      </c>
      <c r="AZ566" s="239">
        <f t="shared" si="74"/>
        <v>0</v>
      </c>
    </row>
    <row r="567" spans="1:52" x14ac:dyDescent="0.25">
      <c r="A567" s="209">
        <v>1094003</v>
      </c>
      <c r="B567" s="209">
        <v>70</v>
      </c>
      <c r="C567" s="209" t="s">
        <v>1170</v>
      </c>
      <c r="D567" s="209">
        <v>10</v>
      </c>
      <c r="E567" s="209">
        <v>10000002</v>
      </c>
      <c r="F567" s="209">
        <v>20000337</v>
      </c>
      <c r="G567" s="209" t="s">
        <v>105</v>
      </c>
      <c r="H567" s="209">
        <v>20000337</v>
      </c>
      <c r="I567" s="209">
        <v>2</v>
      </c>
      <c r="J567" s="209" t="s">
        <v>169</v>
      </c>
      <c r="K567" s="209" t="s">
        <v>1171</v>
      </c>
      <c r="L567" s="209" t="s">
        <v>265</v>
      </c>
      <c r="M567" s="209" t="s">
        <v>199</v>
      </c>
      <c r="N567" s="209">
        <v>50035183</v>
      </c>
      <c r="O567" s="209" t="s">
        <v>215</v>
      </c>
      <c r="P567" s="209">
        <v>5121</v>
      </c>
      <c r="Q567" s="209" t="s">
        <v>200</v>
      </c>
      <c r="R567" s="209" t="s">
        <v>201</v>
      </c>
      <c r="S567" s="209" t="s">
        <v>202</v>
      </c>
      <c r="T567" s="209" t="s">
        <v>203</v>
      </c>
      <c r="U567" s="209" t="s">
        <v>201</v>
      </c>
      <c r="V567" s="209" t="s">
        <v>179</v>
      </c>
      <c r="W567" s="209" t="s">
        <v>179</v>
      </c>
      <c r="X567" s="209" t="s">
        <v>180</v>
      </c>
      <c r="Y567" s="209" t="s">
        <v>180</v>
      </c>
      <c r="Z567" s="209" t="s">
        <v>1172</v>
      </c>
      <c r="AA567" s="209" t="s">
        <v>1173</v>
      </c>
      <c r="AB567" s="209" t="s">
        <v>180</v>
      </c>
      <c r="AC567" s="209" t="s">
        <v>182</v>
      </c>
      <c r="AD567" s="209">
        <v>1</v>
      </c>
      <c r="AE567" s="209">
        <v>2025</v>
      </c>
      <c r="AF567" s="227">
        <v>45663</v>
      </c>
      <c r="AG567" s="227">
        <v>45677</v>
      </c>
      <c r="AH567" s="227">
        <v>45677</v>
      </c>
      <c r="AI567" s="228">
        <v>426816</v>
      </c>
      <c r="AJ567" s="228">
        <v>52</v>
      </c>
      <c r="AK567" s="228">
        <v>426816</v>
      </c>
      <c r="AL567" s="228">
        <v>52</v>
      </c>
      <c r="AM567" s="228">
        <v>0</v>
      </c>
      <c r="AN567" s="228">
        <v>0</v>
      </c>
      <c r="AO567" s="229">
        <v>2</v>
      </c>
      <c r="AP567" s="231">
        <v>1</v>
      </c>
      <c r="AQ567" s="231">
        <v>2025</v>
      </c>
      <c r="AR567" s="231" t="str">
        <f t="shared" si="70"/>
        <v>01/2025</v>
      </c>
      <c r="AS567" s="231">
        <f t="shared" si="71"/>
        <v>46.6</v>
      </c>
      <c r="AT567" s="239">
        <f>IF(G567="CERVECERIA Y MALTERIA",(AS567*AK567/1000000)*(1-VLOOKUP(N567,FCST!D:I,6,FALSE)),0)</f>
        <v>19.889625600000002</v>
      </c>
      <c r="AU567" s="232">
        <v>5.0000000000000001E-3</v>
      </c>
      <c r="AV567" s="239">
        <f t="shared" si="72"/>
        <v>19.989073728000001</v>
      </c>
      <c r="AW567" s="239">
        <f>(AS567*AK567/1000000)*(VLOOKUP(N567,FCST!D:I,6,FALSE))</f>
        <v>0</v>
      </c>
      <c r="AX567" s="239">
        <f t="shared" si="73"/>
        <v>0</v>
      </c>
      <c r="AY567" s="239">
        <f>IF($G567="CERVECERIA Y MALTERIA.",($AS567*$AK567/1000000)*(1-VLOOKUP($N567,FCST!D:I,6,FALSE)),0)</f>
        <v>0</v>
      </c>
      <c r="AZ567" s="239">
        <f t="shared" si="74"/>
        <v>0</v>
      </c>
    </row>
    <row r="568" spans="1:52" x14ac:dyDescent="0.25">
      <c r="A568" s="209">
        <v>1096382</v>
      </c>
      <c r="B568" s="209">
        <v>50</v>
      </c>
      <c r="C568" s="209" t="s">
        <v>1174</v>
      </c>
      <c r="D568" s="209">
        <v>10</v>
      </c>
      <c r="E568" s="209">
        <v>10000002</v>
      </c>
      <c r="F568" s="209">
        <v>20000335</v>
      </c>
      <c r="G568" s="209" t="s">
        <v>105</v>
      </c>
      <c r="H568" s="209">
        <v>20000335</v>
      </c>
      <c r="I568" s="209">
        <v>2</v>
      </c>
      <c r="J568" s="209" t="s">
        <v>169</v>
      </c>
      <c r="K568" s="209" t="s">
        <v>1175</v>
      </c>
      <c r="L568" s="209" t="s">
        <v>171</v>
      </c>
      <c r="M568" s="209" t="s">
        <v>199</v>
      </c>
      <c r="N568" s="209">
        <v>50034616</v>
      </c>
      <c r="O568" s="209" t="s">
        <v>191</v>
      </c>
      <c r="P568" s="209">
        <v>5121</v>
      </c>
      <c r="Q568" s="209" t="s">
        <v>200</v>
      </c>
      <c r="R568" s="209" t="s">
        <v>201</v>
      </c>
      <c r="S568" s="209" t="s">
        <v>202</v>
      </c>
      <c r="T568" s="209" t="s">
        <v>203</v>
      </c>
      <c r="U568" s="209" t="s">
        <v>201</v>
      </c>
      <c r="V568" s="209" t="s">
        <v>179</v>
      </c>
      <c r="W568" s="209" t="s">
        <v>179</v>
      </c>
      <c r="X568" s="209" t="s">
        <v>180</v>
      </c>
      <c r="Y568" s="209" t="s">
        <v>180</v>
      </c>
      <c r="Z568" s="209" t="s">
        <v>924</v>
      </c>
      <c r="AA568" s="209" t="s">
        <v>925</v>
      </c>
      <c r="AB568" s="209" t="s">
        <v>180</v>
      </c>
      <c r="AC568" s="209" t="s">
        <v>182</v>
      </c>
      <c r="AD568" s="209">
        <v>1</v>
      </c>
      <c r="AE568" s="209">
        <v>2025</v>
      </c>
      <c r="AF568" s="227">
        <v>45674</v>
      </c>
      <c r="AG568" s="227">
        <v>45678</v>
      </c>
      <c r="AH568" s="227">
        <v>45678</v>
      </c>
      <c r="AI568" s="228">
        <v>426816</v>
      </c>
      <c r="AJ568" s="228">
        <v>52</v>
      </c>
      <c r="AK568" s="228">
        <v>426816</v>
      </c>
      <c r="AL568" s="228">
        <v>52</v>
      </c>
      <c r="AM568" s="228">
        <v>0</v>
      </c>
      <c r="AN568" s="228">
        <v>0</v>
      </c>
      <c r="AO568" s="229">
        <v>4</v>
      </c>
      <c r="AP568" s="231">
        <v>1</v>
      </c>
      <c r="AQ568" s="231">
        <v>2025</v>
      </c>
      <c r="AR568" s="231" t="str">
        <f t="shared" si="70"/>
        <v>01/2025</v>
      </c>
      <c r="AS568" s="231">
        <f t="shared" si="71"/>
        <v>46.6</v>
      </c>
      <c r="AT568" s="239">
        <f>IF(G568="CERVECERIA Y MALTERIA",(AS568*AK568/1000000)*(1-VLOOKUP(N568,FCST!D:I,6,FALSE)),0)</f>
        <v>19.889625600000002</v>
      </c>
      <c r="AU568" s="232">
        <v>5.0000000000000001E-3</v>
      </c>
      <c r="AV568" s="239">
        <f t="shared" si="72"/>
        <v>19.989073728000001</v>
      </c>
      <c r="AW568" s="239">
        <f>(AS568*AK568/1000000)*(VLOOKUP(N568,FCST!D:I,6,FALSE))</f>
        <v>0</v>
      </c>
      <c r="AX568" s="239">
        <f t="shared" si="73"/>
        <v>0</v>
      </c>
      <c r="AY568" s="239">
        <f>IF($G568="CERVECERIA Y MALTERIA.",($AS568*$AK568/1000000)*(1-VLOOKUP($N568,FCST!D:I,6,FALSE)),0)</f>
        <v>0</v>
      </c>
      <c r="AZ568" s="239">
        <f t="shared" si="74"/>
        <v>0</v>
      </c>
    </row>
    <row r="569" spans="1:52" x14ac:dyDescent="0.25">
      <c r="A569" s="209">
        <v>1096385</v>
      </c>
      <c r="B569" s="209">
        <v>30</v>
      </c>
      <c r="C569" s="209" t="s">
        <v>1176</v>
      </c>
      <c r="D569" s="209">
        <v>10</v>
      </c>
      <c r="E569" s="209">
        <v>10000002</v>
      </c>
      <c r="F569" s="209">
        <v>20000340</v>
      </c>
      <c r="G569" s="209" t="s">
        <v>117</v>
      </c>
      <c r="H569" s="209">
        <v>20000340</v>
      </c>
      <c r="I569" s="209">
        <v>2</v>
      </c>
      <c r="J569" s="209" t="s">
        <v>169</v>
      </c>
      <c r="K569" s="209" t="s">
        <v>1177</v>
      </c>
      <c r="L569" s="209" t="s">
        <v>171</v>
      </c>
      <c r="M569" s="209" t="s">
        <v>184</v>
      </c>
      <c r="N569" s="209">
        <v>50036718</v>
      </c>
      <c r="O569" s="209" t="s">
        <v>259</v>
      </c>
      <c r="P569" s="209">
        <v>5101</v>
      </c>
      <c r="Q569" s="209" t="s">
        <v>186</v>
      </c>
      <c r="R569" s="209" t="s">
        <v>175</v>
      </c>
      <c r="S569" s="209" t="s">
        <v>176</v>
      </c>
      <c r="T569" s="209" t="s">
        <v>187</v>
      </c>
      <c r="U569" s="209" t="s">
        <v>188</v>
      </c>
      <c r="V569" s="209" t="s">
        <v>179</v>
      </c>
      <c r="W569" s="209" t="s">
        <v>179</v>
      </c>
      <c r="X569" s="209" t="s">
        <v>180</v>
      </c>
      <c r="Y569" s="209" t="s">
        <v>180</v>
      </c>
      <c r="Z569" s="209" t="s">
        <v>1178</v>
      </c>
      <c r="AA569" s="209" t="s">
        <v>1179</v>
      </c>
      <c r="AB569" s="209" t="s">
        <v>180</v>
      </c>
      <c r="AC569" s="209" t="s">
        <v>182</v>
      </c>
      <c r="AD569" s="209">
        <v>1</v>
      </c>
      <c r="AE569" s="209">
        <v>2025</v>
      </c>
      <c r="AF569" s="227">
        <v>45674</v>
      </c>
      <c r="AG569" s="227">
        <v>45678</v>
      </c>
      <c r="AH569" s="227">
        <v>45678</v>
      </c>
      <c r="AI569" s="228">
        <v>519168</v>
      </c>
      <c r="AJ569" s="228">
        <v>52</v>
      </c>
      <c r="AK569" s="228">
        <v>519168</v>
      </c>
      <c r="AL569" s="228">
        <v>52</v>
      </c>
      <c r="AM569" s="228">
        <v>0</v>
      </c>
      <c r="AN569" s="228">
        <v>0</v>
      </c>
      <c r="AO569" s="229">
        <v>4</v>
      </c>
      <c r="AP569" s="231">
        <v>1</v>
      </c>
      <c r="AQ569" s="231">
        <v>2025</v>
      </c>
      <c r="AR569" s="231" t="str">
        <f t="shared" si="70"/>
        <v>01/2025</v>
      </c>
      <c r="AS569" s="231">
        <f t="shared" si="71"/>
        <v>34</v>
      </c>
      <c r="AT569" s="239">
        <f>IF(G569="CERVECERIA Y MALTERIA",(AS569*AK569/1000000)*(1-VLOOKUP(N569,FCST!D:I,6,FALSE)),0)</f>
        <v>0</v>
      </c>
      <c r="AU569" s="232">
        <v>5.0000000000000001E-3</v>
      </c>
      <c r="AV569" s="239">
        <f t="shared" si="72"/>
        <v>0</v>
      </c>
      <c r="AW569" s="239">
        <f>(AS569*AK569/1000000)*(VLOOKUP(N569,FCST!D:I,6,FALSE))</f>
        <v>0</v>
      </c>
      <c r="AX569" s="239">
        <f t="shared" si="73"/>
        <v>0</v>
      </c>
      <c r="AY569" s="239">
        <f>IF($G569="CERVECERIA Y MALTERIA.",($AS569*$AK569/1000000)*(1-VLOOKUP($N569,FCST!D:I,6,FALSE)),0)</f>
        <v>17.651712</v>
      </c>
      <c r="AZ569" s="239">
        <f t="shared" si="74"/>
        <v>17.73997056</v>
      </c>
    </row>
    <row r="570" spans="1:52" x14ac:dyDescent="0.25">
      <c r="A570" s="209">
        <v>1096382</v>
      </c>
      <c r="B570" s="209">
        <v>70</v>
      </c>
      <c r="C570" s="209" t="s">
        <v>1180</v>
      </c>
      <c r="D570" s="209">
        <v>10</v>
      </c>
      <c r="E570" s="209">
        <v>10000002</v>
      </c>
      <c r="F570" s="209">
        <v>20000335</v>
      </c>
      <c r="G570" s="209" t="s">
        <v>105</v>
      </c>
      <c r="H570" s="209">
        <v>20000335</v>
      </c>
      <c r="I570" s="209">
        <v>2</v>
      </c>
      <c r="J570" s="209" t="s">
        <v>169</v>
      </c>
      <c r="K570" s="209" t="s">
        <v>1181</v>
      </c>
      <c r="L570" s="209" t="s">
        <v>171</v>
      </c>
      <c r="M570" s="209" t="s">
        <v>184</v>
      </c>
      <c r="N570" s="209">
        <v>50037887</v>
      </c>
      <c r="O570" s="209" t="s">
        <v>679</v>
      </c>
      <c r="P570" s="209">
        <v>5121</v>
      </c>
      <c r="Q570" s="209" t="s">
        <v>174</v>
      </c>
      <c r="R570" s="209" t="s">
        <v>175</v>
      </c>
      <c r="S570" s="209" t="s">
        <v>176</v>
      </c>
      <c r="T570" s="209" t="s">
        <v>177</v>
      </c>
      <c r="U570" s="209" t="s">
        <v>178</v>
      </c>
      <c r="V570" s="209" t="s">
        <v>179</v>
      </c>
      <c r="W570" s="209" t="s">
        <v>179</v>
      </c>
      <c r="X570" s="209" t="s">
        <v>180</v>
      </c>
      <c r="Y570" s="209" t="s">
        <v>180</v>
      </c>
      <c r="Z570" s="209" t="s">
        <v>1182</v>
      </c>
      <c r="AA570" s="209" t="s">
        <v>1183</v>
      </c>
      <c r="AB570" s="209" t="s">
        <v>180</v>
      </c>
      <c r="AC570" s="209" t="s">
        <v>182</v>
      </c>
      <c r="AD570" s="209">
        <v>1</v>
      </c>
      <c r="AE570" s="209">
        <v>2025</v>
      </c>
      <c r="AF570" s="227">
        <v>45674</v>
      </c>
      <c r="AG570" s="227">
        <v>45679</v>
      </c>
      <c r="AH570" s="227">
        <v>45678</v>
      </c>
      <c r="AI570" s="228">
        <v>531648</v>
      </c>
      <c r="AJ570" s="228">
        <v>52</v>
      </c>
      <c r="AK570" s="228">
        <v>531648</v>
      </c>
      <c r="AL570" s="228">
        <v>52</v>
      </c>
      <c r="AM570" s="228">
        <v>0</v>
      </c>
      <c r="AN570" s="228">
        <v>0</v>
      </c>
      <c r="AO570" s="229">
        <v>4</v>
      </c>
      <c r="AP570" s="231">
        <v>1</v>
      </c>
      <c r="AQ570" s="231">
        <v>2025</v>
      </c>
      <c r="AR570" s="231" t="str">
        <f t="shared" si="70"/>
        <v>01/2025</v>
      </c>
      <c r="AS570" s="231">
        <f t="shared" si="71"/>
        <v>37.200000000000003</v>
      </c>
      <c r="AT570" s="239">
        <f>IF(G570="CERVECERIA Y MALTERIA",(AS570*AK570/1000000)*(1-VLOOKUP(N570,FCST!D:I,6,FALSE)),0)</f>
        <v>19.777305600000002</v>
      </c>
      <c r="AU570" s="232">
        <v>5.0000000000000001E-3</v>
      </c>
      <c r="AV570" s="239">
        <f t="shared" si="72"/>
        <v>19.876192128</v>
      </c>
      <c r="AW570" s="239">
        <f>(AS570*AK570/1000000)*(VLOOKUP(N570,FCST!D:I,6,FALSE))</f>
        <v>0</v>
      </c>
      <c r="AX570" s="239">
        <f t="shared" si="73"/>
        <v>0</v>
      </c>
      <c r="AY570" s="239">
        <f>IF($G570="CERVECERIA Y MALTERIA.",($AS570*$AK570/1000000)*(1-VLOOKUP($N570,FCST!D:I,6,FALSE)),0)</f>
        <v>0</v>
      </c>
      <c r="AZ570" s="239">
        <f t="shared" si="74"/>
        <v>0</v>
      </c>
    </row>
    <row r="571" spans="1:52" x14ac:dyDescent="0.25">
      <c r="A571" s="209">
        <v>1096385</v>
      </c>
      <c r="B571" s="209">
        <v>10</v>
      </c>
      <c r="C571" s="209" t="s">
        <v>1184</v>
      </c>
      <c r="D571" s="209">
        <v>10</v>
      </c>
      <c r="E571" s="209">
        <v>10000002</v>
      </c>
      <c r="F571" s="209">
        <v>20000340</v>
      </c>
      <c r="G571" s="209" t="s">
        <v>117</v>
      </c>
      <c r="H571" s="209">
        <v>20000340</v>
      </c>
      <c r="I571" s="209">
        <v>2</v>
      </c>
      <c r="J571" s="209" t="s">
        <v>169</v>
      </c>
      <c r="K571" s="209" t="s">
        <v>1185</v>
      </c>
      <c r="L571" s="209" t="s">
        <v>171</v>
      </c>
      <c r="M571" s="209" t="s">
        <v>184</v>
      </c>
      <c r="N571" s="209">
        <v>50029817</v>
      </c>
      <c r="O571" s="209" t="s">
        <v>396</v>
      </c>
      <c r="P571" s="209">
        <v>5101</v>
      </c>
      <c r="Q571" s="209" t="s">
        <v>186</v>
      </c>
      <c r="R571" s="209" t="s">
        <v>175</v>
      </c>
      <c r="S571" s="209" t="s">
        <v>176</v>
      </c>
      <c r="T571" s="209" t="s">
        <v>187</v>
      </c>
      <c r="U571" s="209" t="s">
        <v>188</v>
      </c>
      <c r="V571" s="209" t="s">
        <v>179</v>
      </c>
      <c r="W571" s="209" t="s">
        <v>179</v>
      </c>
      <c r="X571" s="209" t="s">
        <v>180</v>
      </c>
      <c r="Y571" s="209" t="s">
        <v>180</v>
      </c>
      <c r="Z571" s="209" t="s">
        <v>1186</v>
      </c>
      <c r="AA571" s="209" t="s">
        <v>1187</v>
      </c>
      <c r="AB571" s="209" t="s">
        <v>180</v>
      </c>
      <c r="AC571" s="209" t="s">
        <v>182</v>
      </c>
      <c r="AD571" s="209">
        <v>1</v>
      </c>
      <c r="AE571" s="209">
        <v>2025</v>
      </c>
      <c r="AF571" s="227">
        <v>45674</v>
      </c>
      <c r="AG571" s="227">
        <v>45677</v>
      </c>
      <c r="AH571" s="227">
        <v>45677</v>
      </c>
      <c r="AI571" s="228">
        <v>606528</v>
      </c>
      <c r="AJ571" s="228">
        <v>52</v>
      </c>
      <c r="AK571" s="228">
        <v>606528</v>
      </c>
      <c r="AL571" s="228">
        <v>52</v>
      </c>
      <c r="AM571" s="228">
        <v>0</v>
      </c>
      <c r="AN571" s="228">
        <v>0</v>
      </c>
      <c r="AO571" s="229">
        <v>4</v>
      </c>
      <c r="AP571" s="231">
        <v>1</v>
      </c>
      <c r="AQ571" s="231">
        <v>2025</v>
      </c>
      <c r="AR571" s="231" t="str">
        <f t="shared" si="70"/>
        <v>01/2025</v>
      </c>
      <c r="AS571" s="231">
        <f t="shared" si="71"/>
        <v>30</v>
      </c>
      <c r="AT571" s="239">
        <f>IF(G571="CERVECERIA Y MALTERIA",(AS571*AK571/1000000)*(1-VLOOKUP(N571,FCST!D:I,6,FALSE)),0)</f>
        <v>0</v>
      </c>
      <c r="AU571" s="232">
        <v>5.0000000000000001E-3</v>
      </c>
      <c r="AV571" s="239">
        <f t="shared" si="72"/>
        <v>0</v>
      </c>
      <c r="AW571" s="239">
        <f>(AS571*AK571/1000000)*(VLOOKUP(N571,FCST!D:I,6,FALSE))</f>
        <v>5.4587519999999996</v>
      </c>
      <c r="AX571" s="239">
        <f t="shared" si="73"/>
        <v>5.4860457599999988</v>
      </c>
      <c r="AY571" s="239">
        <f>IF($G571="CERVECERIA Y MALTERIA.",($AS571*$AK571/1000000)*(1-VLOOKUP($N571,FCST!D:I,6,FALSE)),0)</f>
        <v>12.737088</v>
      </c>
      <c r="AZ571" s="239">
        <f t="shared" si="74"/>
        <v>12.800773439999999</v>
      </c>
    </row>
    <row r="572" spans="1:52" x14ac:dyDescent="0.25">
      <c r="A572" s="209">
        <v>1096385</v>
      </c>
      <c r="B572" s="209">
        <v>20</v>
      </c>
      <c r="C572" s="209" t="s">
        <v>1188</v>
      </c>
      <c r="D572" s="209">
        <v>10</v>
      </c>
      <c r="E572" s="209">
        <v>10000002</v>
      </c>
      <c r="F572" s="209">
        <v>20000340</v>
      </c>
      <c r="G572" s="209" t="s">
        <v>117</v>
      </c>
      <c r="H572" s="209">
        <v>20000340</v>
      </c>
      <c r="I572" s="209">
        <v>2</v>
      </c>
      <c r="J572" s="209" t="s">
        <v>169</v>
      </c>
      <c r="K572" s="209" t="s">
        <v>1189</v>
      </c>
      <c r="L572" s="209" t="s">
        <v>171</v>
      </c>
      <c r="M572" s="209" t="s">
        <v>172</v>
      </c>
      <c r="N572" s="209">
        <v>50029817</v>
      </c>
      <c r="O572" s="209" t="s">
        <v>396</v>
      </c>
      <c r="P572" s="209">
        <v>5101</v>
      </c>
      <c r="Q572" s="209" t="s">
        <v>186</v>
      </c>
      <c r="R572" s="209" t="s">
        <v>175</v>
      </c>
      <c r="S572" s="209" t="s">
        <v>176</v>
      </c>
      <c r="T572" s="209" t="s">
        <v>187</v>
      </c>
      <c r="U572" s="209" t="s">
        <v>188</v>
      </c>
      <c r="V572" s="209" t="s">
        <v>179</v>
      </c>
      <c r="W572" s="209" t="s">
        <v>179</v>
      </c>
      <c r="X572" s="209" t="s">
        <v>180</v>
      </c>
      <c r="Y572" s="209" t="s">
        <v>180</v>
      </c>
      <c r="Z572" s="209" t="s">
        <v>1186</v>
      </c>
      <c r="AA572" s="209" t="s">
        <v>1187</v>
      </c>
      <c r="AB572" s="209" t="s">
        <v>180</v>
      </c>
      <c r="AC572" s="209" t="s">
        <v>182</v>
      </c>
      <c r="AD572" s="209">
        <v>1</v>
      </c>
      <c r="AE572" s="209">
        <v>2025</v>
      </c>
      <c r="AF572" s="227">
        <v>45674</v>
      </c>
      <c r="AG572" s="227">
        <v>45677</v>
      </c>
      <c r="AH572" s="227">
        <v>45677</v>
      </c>
      <c r="AI572" s="228">
        <v>606528</v>
      </c>
      <c r="AJ572" s="228">
        <v>52</v>
      </c>
      <c r="AK572" s="228">
        <v>606528</v>
      </c>
      <c r="AL572" s="228">
        <v>52</v>
      </c>
      <c r="AM572" s="228">
        <v>0</v>
      </c>
      <c r="AN572" s="228">
        <v>0</v>
      </c>
      <c r="AO572" s="229">
        <v>4</v>
      </c>
      <c r="AP572" s="231">
        <v>1</v>
      </c>
      <c r="AQ572" s="231">
        <v>2025</v>
      </c>
      <c r="AR572" s="231" t="str">
        <f t="shared" si="70"/>
        <v>01/2025</v>
      </c>
      <c r="AS572" s="231">
        <f t="shared" si="71"/>
        <v>30</v>
      </c>
      <c r="AT572" s="239">
        <f>IF(G572="CERVECERIA Y MALTERIA",(AS572*AK572/1000000)*(1-VLOOKUP(N572,FCST!D:I,6,FALSE)),0)</f>
        <v>0</v>
      </c>
      <c r="AU572" s="232">
        <v>5.0000000000000001E-3</v>
      </c>
      <c r="AV572" s="239">
        <f t="shared" si="72"/>
        <v>0</v>
      </c>
      <c r="AW572" s="239">
        <f>(AS572*AK572/1000000)*(VLOOKUP(N572,FCST!D:I,6,FALSE))</f>
        <v>5.4587519999999996</v>
      </c>
      <c r="AX572" s="239">
        <f t="shared" si="73"/>
        <v>5.4860457599999988</v>
      </c>
      <c r="AY572" s="239">
        <f>IF($G572="CERVECERIA Y MALTERIA.",($AS572*$AK572/1000000)*(1-VLOOKUP($N572,FCST!D:I,6,FALSE)),0)</f>
        <v>12.737088</v>
      </c>
      <c r="AZ572" s="239">
        <f t="shared" si="74"/>
        <v>12.800773439999999</v>
      </c>
    </row>
    <row r="573" spans="1:52" x14ac:dyDescent="0.25">
      <c r="A573" s="209">
        <v>1096382</v>
      </c>
      <c r="B573" s="209">
        <v>30</v>
      </c>
      <c r="C573" s="209" t="s">
        <v>1190</v>
      </c>
      <c r="D573" s="209">
        <v>10</v>
      </c>
      <c r="E573" s="209">
        <v>10000002</v>
      </c>
      <c r="F573" s="209">
        <v>20000335</v>
      </c>
      <c r="G573" s="209" t="s">
        <v>105</v>
      </c>
      <c r="H573" s="209">
        <v>20000335</v>
      </c>
      <c r="I573" s="209">
        <v>2</v>
      </c>
      <c r="J573" s="209" t="s">
        <v>169</v>
      </c>
      <c r="K573" s="209" t="s">
        <v>1191</v>
      </c>
      <c r="L573" s="209" t="s">
        <v>171</v>
      </c>
      <c r="M573" s="209" t="s">
        <v>199</v>
      </c>
      <c r="N573" s="209">
        <v>50034616</v>
      </c>
      <c r="O573" s="209" t="s">
        <v>191</v>
      </c>
      <c r="P573" s="209">
        <v>5121</v>
      </c>
      <c r="Q573" s="209" t="s">
        <v>200</v>
      </c>
      <c r="R573" s="209" t="s">
        <v>201</v>
      </c>
      <c r="S573" s="209" t="s">
        <v>202</v>
      </c>
      <c r="T573" s="209" t="s">
        <v>203</v>
      </c>
      <c r="U573" s="209" t="s">
        <v>201</v>
      </c>
      <c r="V573" s="209" t="s">
        <v>179</v>
      </c>
      <c r="W573" s="209" t="s">
        <v>179</v>
      </c>
      <c r="X573" s="209" t="s">
        <v>180</v>
      </c>
      <c r="Y573" s="209" t="s">
        <v>180</v>
      </c>
      <c r="Z573" s="209" t="s">
        <v>1192</v>
      </c>
      <c r="AA573" s="209" t="s">
        <v>1193</v>
      </c>
      <c r="AB573" s="209" t="s">
        <v>180</v>
      </c>
      <c r="AC573" s="209" t="s">
        <v>182</v>
      </c>
      <c r="AD573" s="209">
        <v>1</v>
      </c>
      <c r="AE573" s="209">
        <v>2025</v>
      </c>
      <c r="AF573" s="227">
        <v>45674</v>
      </c>
      <c r="AG573" s="227">
        <v>45677</v>
      </c>
      <c r="AH573" s="227">
        <v>45677</v>
      </c>
      <c r="AI573" s="228">
        <v>426816</v>
      </c>
      <c r="AJ573" s="228">
        <v>52</v>
      </c>
      <c r="AK573" s="228">
        <v>426816</v>
      </c>
      <c r="AL573" s="228">
        <v>52</v>
      </c>
      <c r="AM573" s="228">
        <v>0</v>
      </c>
      <c r="AN573" s="228">
        <v>0</v>
      </c>
      <c r="AO573" s="229">
        <v>4</v>
      </c>
      <c r="AP573" s="231">
        <v>1</v>
      </c>
      <c r="AQ573" s="231">
        <v>2025</v>
      </c>
      <c r="AR573" s="231" t="str">
        <f t="shared" si="70"/>
        <v>01/2025</v>
      </c>
      <c r="AS573" s="231">
        <f t="shared" si="71"/>
        <v>46.6</v>
      </c>
      <c r="AT573" s="239">
        <f>IF(G573="CERVECERIA Y MALTERIA",(AS573*AK573/1000000)*(1-VLOOKUP(N573,FCST!D:I,6,FALSE)),0)</f>
        <v>19.889625600000002</v>
      </c>
      <c r="AU573" s="232">
        <v>5.0000000000000001E-3</v>
      </c>
      <c r="AV573" s="239">
        <f t="shared" si="72"/>
        <v>19.989073728000001</v>
      </c>
      <c r="AW573" s="239">
        <f>(AS573*AK573/1000000)*(VLOOKUP(N573,FCST!D:I,6,FALSE))</f>
        <v>0</v>
      </c>
      <c r="AX573" s="239">
        <f t="shared" si="73"/>
        <v>0</v>
      </c>
      <c r="AY573" s="239">
        <f>IF($G573="CERVECERIA Y MALTERIA.",($AS573*$AK573/1000000)*(1-VLOOKUP($N573,FCST!D:I,6,FALSE)),0)</f>
        <v>0</v>
      </c>
      <c r="AZ573" s="239">
        <f t="shared" si="74"/>
        <v>0</v>
      </c>
    </row>
    <row r="574" spans="1:52" x14ac:dyDescent="0.25">
      <c r="A574" s="209">
        <v>1093745</v>
      </c>
      <c r="B574" s="209">
        <v>60</v>
      </c>
      <c r="C574" s="209" t="s">
        <v>1194</v>
      </c>
      <c r="D574" s="209">
        <v>10</v>
      </c>
      <c r="E574" s="209">
        <v>10000002</v>
      </c>
      <c r="F574" s="209">
        <v>20000336</v>
      </c>
      <c r="G574" s="209" t="s">
        <v>105</v>
      </c>
      <c r="H574" s="209">
        <v>20000336</v>
      </c>
      <c r="I574" s="209">
        <v>2</v>
      </c>
      <c r="J574" s="209" t="s">
        <v>169</v>
      </c>
      <c r="K574" s="209" t="s">
        <v>1195</v>
      </c>
      <c r="L574" s="209" t="s">
        <v>265</v>
      </c>
      <c r="M574" s="209" t="s">
        <v>172</v>
      </c>
      <c r="N574" s="209">
        <v>50034634</v>
      </c>
      <c r="O574" s="209" t="s">
        <v>219</v>
      </c>
      <c r="P574" s="209">
        <v>5121</v>
      </c>
      <c r="Q574" s="209" t="s">
        <v>174</v>
      </c>
      <c r="R574" s="209" t="s">
        <v>175</v>
      </c>
      <c r="S574" s="209" t="s">
        <v>176</v>
      </c>
      <c r="T574" s="209" t="s">
        <v>177</v>
      </c>
      <c r="U574" s="209" t="s">
        <v>178</v>
      </c>
      <c r="V574" s="209" t="s">
        <v>179</v>
      </c>
      <c r="W574" s="209" t="s">
        <v>179</v>
      </c>
      <c r="X574" s="209" t="s">
        <v>180</v>
      </c>
      <c r="Y574" s="209" t="s">
        <v>180</v>
      </c>
      <c r="Z574" s="209" t="s">
        <v>1196</v>
      </c>
      <c r="AA574" s="209" t="s">
        <v>1197</v>
      </c>
      <c r="AB574" s="209" t="s">
        <v>180</v>
      </c>
      <c r="AC574" s="209" t="s">
        <v>182</v>
      </c>
      <c r="AD574" s="209">
        <v>1</v>
      </c>
      <c r="AE574" s="209">
        <v>2025</v>
      </c>
      <c r="AF574" s="227">
        <v>45660</v>
      </c>
      <c r="AG574" s="227">
        <v>45677</v>
      </c>
      <c r="AH574" s="227">
        <v>45677</v>
      </c>
      <c r="AI574" s="228">
        <v>364416</v>
      </c>
      <c r="AJ574" s="228">
        <v>52</v>
      </c>
      <c r="AK574" s="228">
        <v>364416</v>
      </c>
      <c r="AL574" s="228">
        <v>52</v>
      </c>
      <c r="AM574" s="228">
        <v>0</v>
      </c>
      <c r="AN574" s="228">
        <v>0</v>
      </c>
      <c r="AO574" s="229">
        <v>1</v>
      </c>
      <c r="AP574" s="231">
        <v>1</v>
      </c>
      <c r="AQ574" s="231">
        <v>2025</v>
      </c>
      <c r="AR574" s="231" t="str">
        <f t="shared" si="70"/>
        <v>01/2025</v>
      </c>
      <c r="AS574" s="231">
        <f t="shared" si="71"/>
        <v>52</v>
      </c>
      <c r="AT574" s="239">
        <f>IF(G574="CERVECERIA Y MALTERIA",(AS574*AK574/1000000)*(1-VLOOKUP(N574,FCST!D:I,6,FALSE)),0)</f>
        <v>18.949632000000001</v>
      </c>
      <c r="AU574" s="232">
        <v>5.0000000000000001E-3</v>
      </c>
      <c r="AV574" s="239">
        <f t="shared" si="72"/>
        <v>19.044380159999999</v>
      </c>
      <c r="AW574" s="239">
        <f>(AS574*AK574/1000000)*(VLOOKUP(N574,FCST!D:I,6,FALSE))</f>
        <v>0</v>
      </c>
      <c r="AX574" s="239">
        <f t="shared" si="73"/>
        <v>0</v>
      </c>
      <c r="AY574" s="239">
        <f>IF($G574="CERVECERIA Y MALTERIA.",($AS574*$AK574/1000000)*(1-VLOOKUP($N574,FCST!D:I,6,FALSE)),0)</f>
        <v>0</v>
      </c>
      <c r="AZ574" s="239">
        <f t="shared" si="74"/>
        <v>0</v>
      </c>
    </row>
    <row r="575" spans="1:52" x14ac:dyDescent="0.25">
      <c r="A575" s="209">
        <v>1096255</v>
      </c>
      <c r="B575" s="209">
        <v>30</v>
      </c>
      <c r="C575" s="209" t="s">
        <v>1198</v>
      </c>
      <c r="D575" s="209">
        <v>10</v>
      </c>
      <c r="E575" s="209">
        <v>10000002</v>
      </c>
      <c r="F575" s="209">
        <v>20001057</v>
      </c>
      <c r="G575" s="209" t="s">
        <v>105</v>
      </c>
      <c r="H575" s="209">
        <v>20001057</v>
      </c>
      <c r="I575" s="209">
        <v>2</v>
      </c>
      <c r="J575" s="209" t="s">
        <v>169</v>
      </c>
      <c r="K575" s="209" t="s">
        <v>1199</v>
      </c>
      <c r="L575" s="209" t="s">
        <v>171</v>
      </c>
      <c r="M575" s="209" t="s">
        <v>199</v>
      </c>
      <c r="N575" s="209">
        <v>50032573</v>
      </c>
      <c r="O575" s="209" t="s">
        <v>173</v>
      </c>
      <c r="P575" s="209">
        <v>5121</v>
      </c>
      <c r="Q575" s="209" t="s">
        <v>200</v>
      </c>
      <c r="R575" s="209" t="s">
        <v>201</v>
      </c>
      <c r="S575" s="209" t="s">
        <v>202</v>
      </c>
      <c r="T575" s="209" t="s">
        <v>203</v>
      </c>
      <c r="U575" s="209" t="s">
        <v>201</v>
      </c>
      <c r="V575" s="209" t="s">
        <v>179</v>
      </c>
      <c r="W575" s="209" t="s">
        <v>179</v>
      </c>
      <c r="X575" s="209" t="s">
        <v>180</v>
      </c>
      <c r="Y575" s="209" t="s">
        <v>180</v>
      </c>
      <c r="Z575" s="209" t="s">
        <v>1200</v>
      </c>
      <c r="AA575" s="209" t="s">
        <v>1201</v>
      </c>
      <c r="AB575" s="209" t="s">
        <v>180</v>
      </c>
      <c r="AC575" s="209" t="s">
        <v>182</v>
      </c>
      <c r="AD575" s="209">
        <v>1</v>
      </c>
      <c r="AE575" s="209">
        <v>2025</v>
      </c>
      <c r="AF575" s="227">
        <v>45673</v>
      </c>
      <c r="AG575" s="227">
        <v>45677</v>
      </c>
      <c r="AH575" s="227">
        <v>45677</v>
      </c>
      <c r="AI575" s="228">
        <v>531648</v>
      </c>
      <c r="AJ575" s="228">
        <v>52</v>
      </c>
      <c r="AK575" s="228">
        <v>531648</v>
      </c>
      <c r="AL575" s="228">
        <v>52</v>
      </c>
      <c r="AM575" s="228">
        <v>0</v>
      </c>
      <c r="AN575" s="228">
        <v>0</v>
      </c>
      <c r="AO575" s="229">
        <v>3</v>
      </c>
      <c r="AP575" s="231">
        <v>1</v>
      </c>
      <c r="AQ575" s="231">
        <v>2025</v>
      </c>
      <c r="AR575" s="231" t="str">
        <f t="shared" si="70"/>
        <v>01/2025</v>
      </c>
      <c r="AS575" s="231">
        <f t="shared" si="71"/>
        <v>37.200000000000003</v>
      </c>
      <c r="AT575" s="239">
        <f>IF(G575="CERVECERIA Y MALTERIA",(AS575*AK575/1000000)*(1-VLOOKUP(N575,FCST!D:I,6,FALSE)),0)</f>
        <v>19.777305600000002</v>
      </c>
      <c r="AU575" s="232">
        <v>5.0000000000000001E-3</v>
      </c>
      <c r="AV575" s="239">
        <f t="shared" si="72"/>
        <v>19.876192128</v>
      </c>
      <c r="AW575" s="239">
        <f>(AS575*AK575/1000000)*(VLOOKUP(N575,FCST!D:I,6,FALSE))</f>
        <v>0</v>
      </c>
      <c r="AX575" s="239">
        <f t="shared" si="73"/>
        <v>0</v>
      </c>
      <c r="AY575" s="239">
        <f>IF($G575="CERVECERIA Y MALTERIA.",($AS575*$AK575/1000000)*(1-VLOOKUP($N575,FCST!D:I,6,FALSE)),0)</f>
        <v>0</v>
      </c>
      <c r="AZ575" s="239">
        <f t="shared" si="74"/>
        <v>0</v>
      </c>
    </row>
    <row r="576" spans="1:52" x14ac:dyDescent="0.25">
      <c r="A576" s="209">
        <v>1093745</v>
      </c>
      <c r="B576" s="209">
        <v>50</v>
      </c>
      <c r="C576" s="209" t="s">
        <v>1202</v>
      </c>
      <c r="D576" s="209">
        <v>10</v>
      </c>
      <c r="E576" s="209">
        <v>10000002</v>
      </c>
      <c r="F576" s="209">
        <v>20000336</v>
      </c>
      <c r="G576" s="209" t="s">
        <v>105</v>
      </c>
      <c r="H576" s="209">
        <v>20000336</v>
      </c>
      <c r="I576" s="209">
        <v>2</v>
      </c>
      <c r="J576" s="209" t="s">
        <v>169</v>
      </c>
      <c r="K576" s="209" t="s">
        <v>1203</v>
      </c>
      <c r="L576" s="209" t="s">
        <v>265</v>
      </c>
      <c r="M576" s="209" t="s">
        <v>184</v>
      </c>
      <c r="N576" s="209">
        <v>50033268</v>
      </c>
      <c r="O576" s="209" t="s">
        <v>253</v>
      </c>
      <c r="P576" s="209">
        <v>5121</v>
      </c>
      <c r="Q576" s="209" t="s">
        <v>174</v>
      </c>
      <c r="R576" s="209" t="s">
        <v>175</v>
      </c>
      <c r="S576" s="209" t="s">
        <v>176</v>
      </c>
      <c r="T576" s="209" t="s">
        <v>177</v>
      </c>
      <c r="U576" s="209" t="s">
        <v>178</v>
      </c>
      <c r="V576" s="209" t="s">
        <v>179</v>
      </c>
      <c r="W576" s="209" t="s">
        <v>179</v>
      </c>
      <c r="X576" s="209" t="s">
        <v>180</v>
      </c>
      <c r="Y576" s="209" t="s">
        <v>180</v>
      </c>
      <c r="Z576" s="209" t="s">
        <v>1204</v>
      </c>
      <c r="AA576" s="209" t="s">
        <v>1205</v>
      </c>
      <c r="AB576" s="209" t="s">
        <v>180</v>
      </c>
      <c r="AC576" s="209" t="s">
        <v>182</v>
      </c>
      <c r="AD576" s="209">
        <v>1</v>
      </c>
      <c r="AE576" s="209">
        <v>2025</v>
      </c>
      <c r="AF576" s="227">
        <v>45660</v>
      </c>
      <c r="AG576" s="227">
        <v>45671</v>
      </c>
      <c r="AH576" s="227">
        <v>45671</v>
      </c>
      <c r="AI576" s="228">
        <v>406848</v>
      </c>
      <c r="AJ576" s="228">
        <v>52</v>
      </c>
      <c r="AK576" s="228">
        <v>406848</v>
      </c>
      <c r="AL576" s="228">
        <v>52</v>
      </c>
      <c r="AM576" s="228">
        <v>0</v>
      </c>
      <c r="AN576" s="228">
        <v>0</v>
      </c>
      <c r="AO576" s="229">
        <v>1</v>
      </c>
      <c r="AP576" s="231">
        <v>1</v>
      </c>
      <c r="AQ576" s="231">
        <v>2025</v>
      </c>
      <c r="AR576" s="231" t="str">
        <f t="shared" si="70"/>
        <v>01/2025</v>
      </c>
      <c r="AS576" s="231">
        <f t="shared" si="71"/>
        <v>44</v>
      </c>
      <c r="AT576" s="239">
        <f>IF(G576="CERVECERIA Y MALTERIA",(AS576*AK576/1000000)*(1-VLOOKUP(N576,FCST!D:I,6,FALSE)),0)</f>
        <v>17.901312000000001</v>
      </c>
      <c r="AU576" s="232">
        <v>5.0000000000000001E-3</v>
      </c>
      <c r="AV576" s="239">
        <f t="shared" si="72"/>
        <v>17.990818559999997</v>
      </c>
      <c r="AW576" s="239">
        <f>(AS576*AK576/1000000)*(VLOOKUP(N576,FCST!D:I,6,FALSE))</f>
        <v>0</v>
      </c>
      <c r="AX576" s="239">
        <f t="shared" si="73"/>
        <v>0</v>
      </c>
      <c r="AY576" s="239">
        <f>IF($G576="CERVECERIA Y MALTERIA.",($AS576*$AK576/1000000)*(1-VLOOKUP($N576,FCST!D:I,6,FALSE)),0)</f>
        <v>0</v>
      </c>
      <c r="AZ576" s="239">
        <f t="shared" si="74"/>
        <v>0</v>
      </c>
    </row>
    <row r="577" spans="1:52" x14ac:dyDescent="0.25">
      <c r="A577" s="209">
        <v>1094883</v>
      </c>
      <c r="B577" s="209">
        <v>60</v>
      </c>
      <c r="C577" s="209" t="s">
        <v>1206</v>
      </c>
      <c r="D577" s="209">
        <v>10</v>
      </c>
      <c r="E577" s="209">
        <v>10000002</v>
      </c>
      <c r="F577" s="209">
        <v>20000335</v>
      </c>
      <c r="G577" s="209" t="s">
        <v>105</v>
      </c>
      <c r="H577" s="209">
        <v>20000335</v>
      </c>
      <c r="I577" s="209">
        <v>2</v>
      </c>
      <c r="J577" s="209" t="s">
        <v>169</v>
      </c>
      <c r="K577" s="209" t="s">
        <v>1207</v>
      </c>
      <c r="L577" s="209" t="s">
        <v>171</v>
      </c>
      <c r="M577" s="209" t="s">
        <v>199</v>
      </c>
      <c r="N577" s="209">
        <v>50034616</v>
      </c>
      <c r="O577" s="209" t="s">
        <v>191</v>
      </c>
      <c r="P577" s="209">
        <v>5121</v>
      </c>
      <c r="Q577" s="209" t="s">
        <v>200</v>
      </c>
      <c r="R577" s="209" t="s">
        <v>201</v>
      </c>
      <c r="S577" s="209" t="s">
        <v>202</v>
      </c>
      <c r="T577" s="209" t="s">
        <v>203</v>
      </c>
      <c r="U577" s="209" t="s">
        <v>201</v>
      </c>
      <c r="V577" s="209" t="s">
        <v>179</v>
      </c>
      <c r="W577" s="209" t="s">
        <v>179</v>
      </c>
      <c r="X577" s="209" t="s">
        <v>180</v>
      </c>
      <c r="Y577" s="209" t="s">
        <v>180</v>
      </c>
      <c r="Z577" s="209" t="s">
        <v>1158</v>
      </c>
      <c r="AA577" s="209" t="s">
        <v>1159</v>
      </c>
      <c r="AB577" s="209" t="s">
        <v>180</v>
      </c>
      <c r="AC577" s="209" t="s">
        <v>182</v>
      </c>
      <c r="AD577" s="209">
        <v>1</v>
      </c>
      <c r="AE577" s="209">
        <v>2025</v>
      </c>
      <c r="AF577" s="227">
        <v>45666</v>
      </c>
      <c r="AG577" s="227">
        <v>45671</v>
      </c>
      <c r="AH577" s="227">
        <v>45671</v>
      </c>
      <c r="AI577" s="228">
        <v>426816</v>
      </c>
      <c r="AJ577" s="228">
        <v>52</v>
      </c>
      <c r="AK577" s="228">
        <v>426816</v>
      </c>
      <c r="AL577" s="228">
        <v>52</v>
      </c>
      <c r="AM577" s="228">
        <v>0</v>
      </c>
      <c r="AN577" s="228">
        <v>0</v>
      </c>
      <c r="AO577" s="229">
        <v>3</v>
      </c>
      <c r="AP577" s="231">
        <v>1</v>
      </c>
      <c r="AQ577" s="231">
        <v>2025</v>
      </c>
      <c r="AR577" s="231" t="str">
        <f t="shared" si="70"/>
        <v>01/2025</v>
      </c>
      <c r="AS577" s="231">
        <f t="shared" si="71"/>
        <v>46.6</v>
      </c>
      <c r="AT577" s="239">
        <f>IF(G577="CERVECERIA Y MALTERIA",(AS577*AK577/1000000)*(1-VLOOKUP(N577,FCST!D:I,6,FALSE)),0)</f>
        <v>19.889625600000002</v>
      </c>
      <c r="AU577" s="232">
        <v>5.0000000000000001E-3</v>
      </c>
      <c r="AV577" s="239">
        <f t="shared" si="72"/>
        <v>19.989073728000001</v>
      </c>
      <c r="AW577" s="239">
        <f>(AS577*AK577/1000000)*(VLOOKUP(N577,FCST!D:I,6,FALSE))</f>
        <v>0</v>
      </c>
      <c r="AX577" s="239">
        <f t="shared" si="73"/>
        <v>0</v>
      </c>
      <c r="AY577" s="239">
        <f>IF($G577="CERVECERIA Y MALTERIA.",($AS577*$AK577/1000000)*(1-VLOOKUP($N577,FCST!D:I,6,FALSE)),0)</f>
        <v>0</v>
      </c>
      <c r="AZ577" s="239">
        <f t="shared" si="74"/>
        <v>0</v>
      </c>
    </row>
    <row r="578" spans="1:52" x14ac:dyDescent="0.25">
      <c r="A578" s="209">
        <v>1094884</v>
      </c>
      <c r="B578" s="209">
        <v>20</v>
      </c>
      <c r="C578" s="209" t="s">
        <v>1208</v>
      </c>
      <c r="D578" s="209">
        <v>10</v>
      </c>
      <c r="E578" s="209">
        <v>10000002</v>
      </c>
      <c r="F578" s="209">
        <v>20000340</v>
      </c>
      <c r="G578" s="209" t="s">
        <v>117</v>
      </c>
      <c r="H578" s="209">
        <v>20000340</v>
      </c>
      <c r="I578" s="209">
        <v>2</v>
      </c>
      <c r="J578" s="209" t="s">
        <v>169</v>
      </c>
      <c r="K578" s="209" t="s">
        <v>1209</v>
      </c>
      <c r="L578" s="209" t="s">
        <v>171</v>
      </c>
      <c r="M578" s="209" t="s">
        <v>172</v>
      </c>
      <c r="N578" s="209">
        <v>50029817</v>
      </c>
      <c r="O578" s="209" t="s">
        <v>396</v>
      </c>
      <c r="P578" s="209">
        <v>5101</v>
      </c>
      <c r="Q578" s="209" t="s">
        <v>186</v>
      </c>
      <c r="R578" s="209" t="s">
        <v>175</v>
      </c>
      <c r="S578" s="209" t="s">
        <v>176</v>
      </c>
      <c r="T578" s="209" t="s">
        <v>187</v>
      </c>
      <c r="U578" s="209" t="s">
        <v>188</v>
      </c>
      <c r="V578" s="209" t="s">
        <v>179</v>
      </c>
      <c r="W578" s="209" t="s">
        <v>179</v>
      </c>
      <c r="X578" s="209" t="s">
        <v>180</v>
      </c>
      <c r="Y578" s="209" t="s">
        <v>180</v>
      </c>
      <c r="Z578" s="209" t="s">
        <v>1162</v>
      </c>
      <c r="AA578" s="209" t="s">
        <v>1163</v>
      </c>
      <c r="AB578" s="209" t="s">
        <v>180</v>
      </c>
      <c r="AC578" s="209" t="s">
        <v>182</v>
      </c>
      <c r="AD578" s="209">
        <v>1</v>
      </c>
      <c r="AE578" s="209">
        <v>2025</v>
      </c>
      <c r="AF578" s="227">
        <v>45666</v>
      </c>
      <c r="AG578" s="227">
        <v>45671</v>
      </c>
      <c r="AH578" s="227">
        <v>45671</v>
      </c>
      <c r="AI578" s="228">
        <v>606528</v>
      </c>
      <c r="AJ578" s="228">
        <v>52</v>
      </c>
      <c r="AK578" s="228">
        <v>606528</v>
      </c>
      <c r="AL578" s="228">
        <v>52</v>
      </c>
      <c r="AM578" s="228">
        <v>0</v>
      </c>
      <c r="AN578" s="228">
        <v>0</v>
      </c>
      <c r="AO578" s="229">
        <v>3</v>
      </c>
      <c r="AP578" s="231">
        <v>1</v>
      </c>
      <c r="AQ578" s="231">
        <v>2025</v>
      </c>
      <c r="AR578" s="231" t="str">
        <f t="shared" si="70"/>
        <v>01/2025</v>
      </c>
      <c r="AS578" s="231">
        <f t="shared" si="71"/>
        <v>30</v>
      </c>
      <c r="AT578" s="239">
        <f>IF(G578="CERVECERIA Y MALTERIA",(AS578*AK578/1000000)*(1-VLOOKUP(N578,FCST!D:I,6,FALSE)),0)</f>
        <v>0</v>
      </c>
      <c r="AU578" s="232">
        <v>5.0000000000000001E-3</v>
      </c>
      <c r="AV578" s="239">
        <f t="shared" si="72"/>
        <v>0</v>
      </c>
      <c r="AW578" s="239">
        <f>(AS578*AK578/1000000)*(VLOOKUP(N578,FCST!D:I,6,FALSE))</f>
        <v>5.4587519999999996</v>
      </c>
      <c r="AX578" s="239">
        <f t="shared" si="73"/>
        <v>5.4860457599999988</v>
      </c>
      <c r="AY578" s="239">
        <f>IF($G578="CERVECERIA Y MALTERIA.",($AS578*$AK578/1000000)*(1-VLOOKUP($N578,FCST!D:I,6,FALSE)),0)</f>
        <v>12.737088</v>
      </c>
      <c r="AZ578" s="239">
        <f t="shared" si="74"/>
        <v>12.800773439999999</v>
      </c>
    </row>
    <row r="579" spans="1:52" x14ac:dyDescent="0.25">
      <c r="A579" s="209">
        <v>1094883</v>
      </c>
      <c r="B579" s="209">
        <v>40</v>
      </c>
      <c r="C579" s="209" t="s">
        <v>1210</v>
      </c>
      <c r="D579" s="209">
        <v>10</v>
      </c>
      <c r="E579" s="209">
        <v>10000002</v>
      </c>
      <c r="F579" s="209">
        <v>20000335</v>
      </c>
      <c r="G579" s="209" t="s">
        <v>105</v>
      </c>
      <c r="H579" s="209">
        <v>20000335</v>
      </c>
      <c r="I579" s="209">
        <v>2</v>
      </c>
      <c r="J579" s="209" t="s">
        <v>169</v>
      </c>
      <c r="K579" s="209" t="s">
        <v>1211</v>
      </c>
      <c r="L579" s="209" t="s">
        <v>171</v>
      </c>
      <c r="M579" s="209" t="s">
        <v>172</v>
      </c>
      <c r="N579" s="209">
        <v>50034561</v>
      </c>
      <c r="O579" s="209" t="s">
        <v>307</v>
      </c>
      <c r="P579" s="209">
        <v>5121</v>
      </c>
      <c r="Q579" s="209" t="s">
        <v>174</v>
      </c>
      <c r="R579" s="209" t="s">
        <v>175</v>
      </c>
      <c r="S579" s="209" t="s">
        <v>176</v>
      </c>
      <c r="T579" s="209" t="s">
        <v>177</v>
      </c>
      <c r="U579" s="209" t="s">
        <v>178</v>
      </c>
      <c r="V579" s="209" t="s">
        <v>179</v>
      </c>
      <c r="W579" s="209" t="s">
        <v>179</v>
      </c>
      <c r="X579" s="209" t="s">
        <v>180</v>
      </c>
      <c r="Y579" s="209" t="s">
        <v>180</v>
      </c>
      <c r="Z579" s="209" t="s">
        <v>1212</v>
      </c>
      <c r="AA579" s="209" t="s">
        <v>1213</v>
      </c>
      <c r="AB579" s="209" t="s">
        <v>180</v>
      </c>
      <c r="AC579" s="209" t="s">
        <v>182</v>
      </c>
      <c r="AD579" s="209">
        <v>1</v>
      </c>
      <c r="AE579" s="209">
        <v>2025</v>
      </c>
      <c r="AF579" s="227">
        <v>45666</v>
      </c>
      <c r="AG579" s="227">
        <v>45671</v>
      </c>
      <c r="AH579" s="227">
        <v>45671</v>
      </c>
      <c r="AI579" s="228">
        <v>977184</v>
      </c>
      <c r="AJ579" s="228">
        <v>52</v>
      </c>
      <c r="AK579" s="228">
        <v>977184</v>
      </c>
      <c r="AL579" s="228">
        <v>52</v>
      </c>
      <c r="AM579" s="228">
        <v>0</v>
      </c>
      <c r="AN579" s="228">
        <v>0</v>
      </c>
      <c r="AO579" s="229">
        <v>3</v>
      </c>
      <c r="AP579" s="231">
        <v>1</v>
      </c>
      <c r="AQ579" s="231">
        <v>2025</v>
      </c>
      <c r="AR579" s="231" t="str">
        <f t="shared" si="70"/>
        <v>01/2025</v>
      </c>
      <c r="AS579" s="231">
        <f t="shared" si="71"/>
        <v>19.5</v>
      </c>
      <c r="AT579" s="239">
        <f>IF(G579="CERVECERIA Y MALTERIA",(AS579*AK579/1000000)*(1-VLOOKUP(N579,FCST!D:I,6,FALSE)),0)</f>
        <v>19.055088000000001</v>
      </c>
      <c r="AU579" s="232">
        <v>5.0000000000000001E-3</v>
      </c>
      <c r="AV579" s="239">
        <f t="shared" si="72"/>
        <v>19.15036344</v>
      </c>
      <c r="AW579" s="239">
        <f>(AS579*AK579/1000000)*(VLOOKUP(N579,FCST!D:I,6,FALSE))</f>
        <v>0</v>
      </c>
      <c r="AX579" s="239">
        <f t="shared" si="73"/>
        <v>0</v>
      </c>
      <c r="AY579" s="239">
        <f>IF($G579="CERVECERIA Y MALTERIA.",($AS579*$AK579/1000000)*(1-VLOOKUP($N579,FCST!D:I,6,FALSE)),0)</f>
        <v>0</v>
      </c>
      <c r="AZ579" s="239">
        <f t="shared" si="74"/>
        <v>0</v>
      </c>
    </row>
    <row r="580" spans="1:52" x14ac:dyDescent="0.25">
      <c r="A580" s="209">
        <v>1094883</v>
      </c>
      <c r="B580" s="209">
        <v>50</v>
      </c>
      <c r="C580" s="209" t="s">
        <v>1214</v>
      </c>
      <c r="D580" s="209">
        <v>10</v>
      </c>
      <c r="E580" s="209">
        <v>10000002</v>
      </c>
      <c r="F580" s="209">
        <v>20000335</v>
      </c>
      <c r="G580" s="209" t="s">
        <v>105</v>
      </c>
      <c r="H580" s="209">
        <v>20000335</v>
      </c>
      <c r="I580" s="209">
        <v>2</v>
      </c>
      <c r="J580" s="209" t="s">
        <v>169</v>
      </c>
      <c r="K580" s="209" t="s">
        <v>1215</v>
      </c>
      <c r="L580" s="209" t="s">
        <v>171</v>
      </c>
      <c r="M580" s="209" t="s">
        <v>172</v>
      </c>
      <c r="N580" s="209">
        <v>50037887</v>
      </c>
      <c r="O580" s="209" t="s">
        <v>679</v>
      </c>
      <c r="P580" s="209">
        <v>5121</v>
      </c>
      <c r="Q580" s="209" t="s">
        <v>174</v>
      </c>
      <c r="R580" s="209" t="s">
        <v>175</v>
      </c>
      <c r="S580" s="209" t="s">
        <v>176</v>
      </c>
      <c r="T580" s="209" t="s">
        <v>177</v>
      </c>
      <c r="U580" s="209" t="s">
        <v>178</v>
      </c>
      <c r="V580" s="209" t="s">
        <v>179</v>
      </c>
      <c r="W580" s="209" t="s">
        <v>179</v>
      </c>
      <c r="X580" s="209" t="s">
        <v>180</v>
      </c>
      <c r="Y580" s="209" t="s">
        <v>180</v>
      </c>
      <c r="Z580" s="209" t="s">
        <v>1216</v>
      </c>
      <c r="AA580" s="209" t="s">
        <v>1217</v>
      </c>
      <c r="AB580" s="209" t="s">
        <v>180</v>
      </c>
      <c r="AC580" s="209" t="s">
        <v>182</v>
      </c>
      <c r="AD580" s="209">
        <v>1</v>
      </c>
      <c r="AE580" s="209">
        <v>2025</v>
      </c>
      <c r="AF580" s="227">
        <v>45666</v>
      </c>
      <c r="AG580" s="227">
        <v>45671</v>
      </c>
      <c r="AH580" s="227">
        <v>45671</v>
      </c>
      <c r="AI580" s="228">
        <v>531648</v>
      </c>
      <c r="AJ580" s="228">
        <v>52</v>
      </c>
      <c r="AK580" s="228">
        <v>531648</v>
      </c>
      <c r="AL580" s="228">
        <v>52</v>
      </c>
      <c r="AM580" s="228">
        <v>0</v>
      </c>
      <c r="AN580" s="228">
        <v>0</v>
      </c>
      <c r="AO580" s="229">
        <v>3</v>
      </c>
      <c r="AP580" s="231">
        <v>1</v>
      </c>
      <c r="AQ580" s="231">
        <v>2025</v>
      </c>
      <c r="AR580" s="231" t="str">
        <f t="shared" si="70"/>
        <v>01/2025</v>
      </c>
      <c r="AS580" s="231">
        <f t="shared" si="71"/>
        <v>37.200000000000003</v>
      </c>
      <c r="AT580" s="239">
        <f>IF(G580="CERVECERIA Y MALTERIA",(AS580*AK580/1000000)*(1-VLOOKUP(N580,FCST!D:I,6,FALSE)),0)</f>
        <v>19.777305600000002</v>
      </c>
      <c r="AU580" s="232">
        <v>5.0000000000000001E-3</v>
      </c>
      <c r="AV580" s="239">
        <f t="shared" si="72"/>
        <v>19.876192128</v>
      </c>
      <c r="AW580" s="239">
        <f>(AS580*AK580/1000000)*(VLOOKUP(N580,FCST!D:I,6,FALSE))</f>
        <v>0</v>
      </c>
      <c r="AX580" s="239">
        <f t="shared" si="73"/>
        <v>0</v>
      </c>
      <c r="AY580" s="239">
        <f>IF($G580="CERVECERIA Y MALTERIA.",($AS580*$AK580/1000000)*(1-VLOOKUP($N580,FCST!D:I,6,FALSE)),0)</f>
        <v>0</v>
      </c>
      <c r="AZ580" s="239">
        <f t="shared" si="74"/>
        <v>0</v>
      </c>
    </row>
    <row r="581" spans="1:52" x14ac:dyDescent="0.25">
      <c r="A581" s="209">
        <v>1093745</v>
      </c>
      <c r="B581" s="209">
        <v>40</v>
      </c>
      <c r="C581" s="209" t="s">
        <v>1218</v>
      </c>
      <c r="D581" s="209">
        <v>10</v>
      </c>
      <c r="E581" s="209">
        <v>10000002</v>
      </c>
      <c r="F581" s="209">
        <v>20000336</v>
      </c>
      <c r="G581" s="209" t="s">
        <v>105</v>
      </c>
      <c r="H581" s="209">
        <v>20000336</v>
      </c>
      <c r="I581" s="209">
        <v>2</v>
      </c>
      <c r="J581" s="209" t="s">
        <v>169</v>
      </c>
      <c r="K581" s="209" t="s">
        <v>1219</v>
      </c>
      <c r="L581" s="209" t="s">
        <v>265</v>
      </c>
      <c r="M581" s="209" t="s">
        <v>184</v>
      </c>
      <c r="N581" s="209">
        <v>50033268</v>
      </c>
      <c r="O581" s="209" t="s">
        <v>253</v>
      </c>
      <c r="P581" s="209">
        <v>5121</v>
      </c>
      <c r="Q581" s="209" t="s">
        <v>174</v>
      </c>
      <c r="R581" s="209" t="s">
        <v>175</v>
      </c>
      <c r="S581" s="209" t="s">
        <v>176</v>
      </c>
      <c r="T581" s="209" t="s">
        <v>177</v>
      </c>
      <c r="U581" s="209" t="s">
        <v>178</v>
      </c>
      <c r="V581" s="209" t="s">
        <v>179</v>
      </c>
      <c r="W581" s="209" t="s">
        <v>179</v>
      </c>
      <c r="X581" s="209" t="s">
        <v>180</v>
      </c>
      <c r="Y581" s="209" t="s">
        <v>180</v>
      </c>
      <c r="Z581" s="209" t="s">
        <v>1204</v>
      </c>
      <c r="AA581" s="209" t="s">
        <v>1205</v>
      </c>
      <c r="AB581" s="209" t="s">
        <v>180</v>
      </c>
      <c r="AC581" s="209" t="s">
        <v>182</v>
      </c>
      <c r="AD581" s="209">
        <v>1</v>
      </c>
      <c r="AE581" s="209">
        <v>2025</v>
      </c>
      <c r="AF581" s="227">
        <v>45660</v>
      </c>
      <c r="AG581" s="227">
        <v>45671</v>
      </c>
      <c r="AH581" s="227">
        <v>45671</v>
      </c>
      <c r="AI581" s="228">
        <v>406848</v>
      </c>
      <c r="AJ581" s="228">
        <v>52</v>
      </c>
      <c r="AK581" s="228">
        <v>406848</v>
      </c>
      <c r="AL581" s="228">
        <v>52</v>
      </c>
      <c r="AM581" s="228">
        <v>0</v>
      </c>
      <c r="AN581" s="228">
        <v>0</v>
      </c>
      <c r="AO581" s="229">
        <v>1</v>
      </c>
      <c r="AP581" s="231">
        <v>1</v>
      </c>
      <c r="AQ581" s="231">
        <v>2025</v>
      </c>
      <c r="AR581" s="231" t="str">
        <f t="shared" si="70"/>
        <v>01/2025</v>
      </c>
      <c r="AS581" s="231">
        <f t="shared" si="71"/>
        <v>44</v>
      </c>
      <c r="AT581" s="239">
        <f>IF(G581="CERVECERIA Y MALTERIA",(AS581*AK581/1000000)*(1-VLOOKUP(N581,FCST!D:I,6,FALSE)),0)</f>
        <v>17.901312000000001</v>
      </c>
      <c r="AU581" s="232">
        <v>5.0000000000000001E-3</v>
      </c>
      <c r="AV581" s="239">
        <f t="shared" si="72"/>
        <v>17.990818559999997</v>
      </c>
      <c r="AW581" s="239">
        <f>(AS581*AK581/1000000)*(VLOOKUP(N581,FCST!D:I,6,FALSE))</f>
        <v>0</v>
      </c>
      <c r="AX581" s="239">
        <f t="shared" si="73"/>
        <v>0</v>
      </c>
      <c r="AY581" s="239">
        <f>IF($G581="CERVECERIA Y MALTERIA.",($AS581*$AK581/1000000)*(1-VLOOKUP($N581,FCST!D:I,6,FALSE)),0)</f>
        <v>0</v>
      </c>
      <c r="AZ581" s="239">
        <f t="shared" si="74"/>
        <v>0</v>
      </c>
    </row>
    <row r="582" spans="1:52" x14ac:dyDescent="0.25">
      <c r="A582" s="209">
        <v>1093856</v>
      </c>
      <c r="B582" s="209">
        <v>50</v>
      </c>
      <c r="C582" s="209" t="s">
        <v>1220</v>
      </c>
      <c r="D582" s="209">
        <v>10</v>
      </c>
      <c r="E582" s="209">
        <v>10000002</v>
      </c>
      <c r="F582" s="209">
        <v>20000339</v>
      </c>
      <c r="G582" s="209" t="s">
        <v>105</v>
      </c>
      <c r="H582" s="209">
        <v>20000339</v>
      </c>
      <c r="I582" s="209">
        <v>2</v>
      </c>
      <c r="J582" s="209" t="s">
        <v>169</v>
      </c>
      <c r="K582" s="209" t="s">
        <v>1221</v>
      </c>
      <c r="L582" s="209" t="s">
        <v>265</v>
      </c>
      <c r="M582" s="209" t="s">
        <v>227</v>
      </c>
      <c r="N582" s="209">
        <v>50034634</v>
      </c>
      <c r="O582" s="209" t="s">
        <v>219</v>
      </c>
      <c r="P582" s="209">
        <v>5121</v>
      </c>
      <c r="Q582" s="209" t="s">
        <v>228</v>
      </c>
      <c r="R582" s="209" t="s">
        <v>229</v>
      </c>
      <c r="S582" s="209" t="s">
        <v>230</v>
      </c>
      <c r="T582" s="209" t="s">
        <v>231</v>
      </c>
      <c r="U582" s="209" t="s">
        <v>232</v>
      </c>
      <c r="V582" s="209" t="s">
        <v>179</v>
      </c>
      <c r="W582" s="209" t="s">
        <v>179</v>
      </c>
      <c r="X582" s="209" t="s">
        <v>180</v>
      </c>
      <c r="Y582" s="209" t="s">
        <v>180</v>
      </c>
      <c r="Z582" s="209" t="s">
        <v>1028</v>
      </c>
      <c r="AA582" s="209" t="s">
        <v>1029</v>
      </c>
      <c r="AB582" s="209" t="s">
        <v>180</v>
      </c>
      <c r="AC582" s="209" t="s">
        <v>182</v>
      </c>
      <c r="AD582" s="209">
        <v>1</v>
      </c>
      <c r="AE582" s="209">
        <v>2025</v>
      </c>
      <c r="AF582" s="227">
        <v>45660</v>
      </c>
      <c r="AG582" s="227">
        <v>45670</v>
      </c>
      <c r="AH582" s="227">
        <v>45670</v>
      </c>
      <c r="AI582" s="228">
        <v>364416</v>
      </c>
      <c r="AJ582" s="228">
        <v>52</v>
      </c>
      <c r="AK582" s="228">
        <v>364416</v>
      </c>
      <c r="AL582" s="228">
        <v>52</v>
      </c>
      <c r="AM582" s="228">
        <v>0</v>
      </c>
      <c r="AN582" s="228">
        <v>0</v>
      </c>
      <c r="AO582" s="229">
        <v>2</v>
      </c>
      <c r="AP582" s="231">
        <v>1</v>
      </c>
      <c r="AQ582" s="231">
        <v>2025</v>
      </c>
      <c r="AR582" s="231" t="str">
        <f t="shared" si="70"/>
        <v>01/2025</v>
      </c>
      <c r="AS582" s="231">
        <f t="shared" si="71"/>
        <v>52</v>
      </c>
      <c r="AT582" s="239">
        <f>IF(G582="CERVECERIA Y MALTERIA",(AS582*AK582/1000000)*(1-VLOOKUP(N582,FCST!D:I,6,FALSE)),0)</f>
        <v>18.949632000000001</v>
      </c>
      <c r="AU582" s="232">
        <v>5.0000000000000001E-3</v>
      </c>
      <c r="AV582" s="239">
        <f t="shared" si="72"/>
        <v>19.044380159999999</v>
      </c>
      <c r="AW582" s="239">
        <f>(AS582*AK582/1000000)*(VLOOKUP(N582,FCST!D:I,6,FALSE))</f>
        <v>0</v>
      </c>
      <c r="AX582" s="239">
        <f t="shared" si="73"/>
        <v>0</v>
      </c>
      <c r="AY582" s="239">
        <f>IF($G582="CERVECERIA Y MALTERIA.",($AS582*$AK582/1000000)*(1-VLOOKUP($N582,FCST!D:I,6,FALSE)),0)</f>
        <v>0</v>
      </c>
      <c r="AZ582" s="239">
        <f t="shared" si="74"/>
        <v>0</v>
      </c>
    </row>
    <row r="583" spans="1:52" x14ac:dyDescent="0.25">
      <c r="A583" s="209">
        <v>1094003</v>
      </c>
      <c r="B583" s="209">
        <v>40</v>
      </c>
      <c r="C583" s="209" t="s">
        <v>1222</v>
      </c>
      <c r="D583" s="209">
        <v>10</v>
      </c>
      <c r="E583" s="209">
        <v>10000002</v>
      </c>
      <c r="F583" s="209">
        <v>20000337</v>
      </c>
      <c r="G583" s="209" t="s">
        <v>105</v>
      </c>
      <c r="H583" s="209">
        <v>20000337</v>
      </c>
      <c r="I583" s="209">
        <v>2</v>
      </c>
      <c r="J583" s="209" t="s">
        <v>169</v>
      </c>
      <c r="K583" s="209" t="s">
        <v>1223</v>
      </c>
      <c r="L583" s="209" t="s">
        <v>265</v>
      </c>
      <c r="M583" s="209" t="s">
        <v>199</v>
      </c>
      <c r="N583" s="209">
        <v>50034616</v>
      </c>
      <c r="O583" s="209" t="s">
        <v>191</v>
      </c>
      <c r="P583" s="209">
        <v>5121</v>
      </c>
      <c r="Q583" s="209" t="s">
        <v>200</v>
      </c>
      <c r="R583" s="209" t="s">
        <v>201</v>
      </c>
      <c r="S583" s="209" t="s">
        <v>202</v>
      </c>
      <c r="T583" s="209" t="s">
        <v>203</v>
      </c>
      <c r="U583" s="209" t="s">
        <v>201</v>
      </c>
      <c r="V583" s="209" t="s">
        <v>179</v>
      </c>
      <c r="W583" s="209" t="s">
        <v>179</v>
      </c>
      <c r="X583" s="209" t="s">
        <v>180</v>
      </c>
      <c r="Y583" s="209" t="s">
        <v>180</v>
      </c>
      <c r="Z583" s="209" t="s">
        <v>1040</v>
      </c>
      <c r="AA583" s="209" t="s">
        <v>1041</v>
      </c>
      <c r="AB583" s="209" t="s">
        <v>180</v>
      </c>
      <c r="AC583" s="209" t="s">
        <v>182</v>
      </c>
      <c r="AD583" s="209">
        <v>1</v>
      </c>
      <c r="AE583" s="209">
        <v>2025</v>
      </c>
      <c r="AF583" s="227">
        <v>45663</v>
      </c>
      <c r="AG583" s="227">
        <v>45670</v>
      </c>
      <c r="AH583" s="227">
        <v>45670</v>
      </c>
      <c r="AI583" s="228">
        <v>426816</v>
      </c>
      <c r="AJ583" s="228">
        <v>52</v>
      </c>
      <c r="AK583" s="228">
        <v>426816</v>
      </c>
      <c r="AL583" s="228">
        <v>52</v>
      </c>
      <c r="AM583" s="228">
        <v>0</v>
      </c>
      <c r="AN583" s="228">
        <v>0</v>
      </c>
      <c r="AO583" s="229">
        <v>2</v>
      </c>
      <c r="AP583" s="231">
        <v>1</v>
      </c>
      <c r="AQ583" s="231">
        <v>2025</v>
      </c>
      <c r="AR583" s="231" t="str">
        <f t="shared" si="70"/>
        <v>01/2025</v>
      </c>
      <c r="AS583" s="231">
        <f t="shared" si="71"/>
        <v>46.6</v>
      </c>
      <c r="AT583" s="239">
        <f>IF(G583="CERVECERIA Y MALTERIA",(AS583*AK583/1000000)*(1-VLOOKUP(N583,FCST!D:I,6,FALSE)),0)</f>
        <v>19.889625600000002</v>
      </c>
      <c r="AU583" s="232">
        <v>5.0000000000000001E-3</v>
      </c>
      <c r="AV583" s="239">
        <f t="shared" si="72"/>
        <v>19.989073728000001</v>
      </c>
      <c r="AW583" s="239">
        <f>(AS583*AK583/1000000)*(VLOOKUP(N583,FCST!D:I,6,FALSE))</f>
        <v>0</v>
      </c>
      <c r="AX583" s="239">
        <f t="shared" si="73"/>
        <v>0</v>
      </c>
      <c r="AY583" s="239">
        <f>IF($G583="CERVECERIA Y MALTERIA.",($AS583*$AK583/1000000)*(1-VLOOKUP($N583,FCST!D:I,6,FALSE)),0)</f>
        <v>0</v>
      </c>
      <c r="AZ583" s="239">
        <f t="shared" si="74"/>
        <v>0</v>
      </c>
    </row>
    <row r="584" spans="1:52" x14ac:dyDescent="0.25">
      <c r="A584" s="209">
        <v>1093856</v>
      </c>
      <c r="B584" s="209">
        <v>60</v>
      </c>
      <c r="C584" s="209" t="s">
        <v>1224</v>
      </c>
      <c r="D584" s="209">
        <v>10</v>
      </c>
      <c r="E584" s="209">
        <v>10000002</v>
      </c>
      <c r="F584" s="209">
        <v>20000339</v>
      </c>
      <c r="G584" s="209" t="s">
        <v>105</v>
      </c>
      <c r="H584" s="209">
        <v>20000339</v>
      </c>
      <c r="I584" s="209">
        <v>2</v>
      </c>
      <c r="J584" s="209" t="s">
        <v>169</v>
      </c>
      <c r="K584" s="209" t="s">
        <v>1225</v>
      </c>
      <c r="L584" s="209" t="s">
        <v>265</v>
      </c>
      <c r="M584" s="209" t="s">
        <v>172</v>
      </c>
      <c r="N584" s="209">
        <v>50034634</v>
      </c>
      <c r="O584" s="209" t="s">
        <v>219</v>
      </c>
      <c r="P584" s="209">
        <v>5121</v>
      </c>
      <c r="Q584" s="209" t="s">
        <v>174</v>
      </c>
      <c r="R584" s="209" t="s">
        <v>175</v>
      </c>
      <c r="S584" s="209" t="s">
        <v>176</v>
      </c>
      <c r="T584" s="209" t="s">
        <v>177</v>
      </c>
      <c r="U584" s="209" t="s">
        <v>178</v>
      </c>
      <c r="V584" s="209" t="s">
        <v>179</v>
      </c>
      <c r="W584" s="209" t="s">
        <v>179</v>
      </c>
      <c r="X584" s="209" t="s">
        <v>180</v>
      </c>
      <c r="Y584" s="209" t="s">
        <v>180</v>
      </c>
      <c r="Z584" s="209" t="s">
        <v>1226</v>
      </c>
      <c r="AA584" s="209" t="s">
        <v>1227</v>
      </c>
      <c r="AB584" s="209" t="s">
        <v>180</v>
      </c>
      <c r="AC584" s="209" t="s">
        <v>182</v>
      </c>
      <c r="AD584" s="209">
        <v>1</v>
      </c>
      <c r="AE584" s="209">
        <v>2025</v>
      </c>
      <c r="AF584" s="227">
        <v>45660</v>
      </c>
      <c r="AG584" s="227">
        <v>45671</v>
      </c>
      <c r="AH584" s="227">
        <v>45671</v>
      </c>
      <c r="AI584" s="228">
        <v>364416</v>
      </c>
      <c r="AJ584" s="228">
        <v>52</v>
      </c>
      <c r="AK584" s="228">
        <v>364416</v>
      </c>
      <c r="AL584" s="228">
        <v>52</v>
      </c>
      <c r="AM584" s="228">
        <v>0</v>
      </c>
      <c r="AN584" s="228">
        <v>0</v>
      </c>
      <c r="AO584" s="229">
        <v>2</v>
      </c>
      <c r="AP584" s="231">
        <v>1</v>
      </c>
      <c r="AQ584" s="231">
        <v>2025</v>
      </c>
      <c r="AR584" s="231" t="str">
        <f t="shared" si="70"/>
        <v>01/2025</v>
      </c>
      <c r="AS584" s="231">
        <f t="shared" si="71"/>
        <v>52</v>
      </c>
      <c r="AT584" s="239">
        <f>IF(G584="CERVECERIA Y MALTERIA",(AS584*AK584/1000000)*(1-VLOOKUP(N584,FCST!D:I,6,FALSE)),0)</f>
        <v>18.949632000000001</v>
      </c>
      <c r="AU584" s="232">
        <v>5.0000000000000001E-3</v>
      </c>
      <c r="AV584" s="239">
        <f t="shared" si="72"/>
        <v>19.044380159999999</v>
      </c>
      <c r="AW584" s="239">
        <f>(AS584*AK584/1000000)*(VLOOKUP(N584,FCST!D:I,6,FALSE))</f>
        <v>0</v>
      </c>
      <c r="AX584" s="239">
        <f t="shared" si="73"/>
        <v>0</v>
      </c>
      <c r="AY584" s="239">
        <f>IF($G584="CERVECERIA Y MALTERIA.",($AS584*$AK584/1000000)*(1-VLOOKUP($N584,FCST!D:I,6,FALSE)),0)</f>
        <v>0</v>
      </c>
      <c r="AZ584" s="239">
        <f t="shared" si="74"/>
        <v>0</v>
      </c>
    </row>
    <row r="585" spans="1:52" x14ac:dyDescent="0.25">
      <c r="A585" s="209">
        <v>1094884</v>
      </c>
      <c r="B585" s="209">
        <v>50</v>
      </c>
      <c r="C585" s="209" t="s">
        <v>1228</v>
      </c>
      <c r="D585" s="209">
        <v>10</v>
      </c>
      <c r="E585" s="209">
        <v>10000002</v>
      </c>
      <c r="F585" s="209">
        <v>20000340</v>
      </c>
      <c r="G585" s="209" t="s">
        <v>117</v>
      </c>
      <c r="H585" s="209">
        <v>20000340</v>
      </c>
      <c r="I585" s="209">
        <v>2</v>
      </c>
      <c r="J585" s="209" t="s">
        <v>169</v>
      </c>
      <c r="K585" s="209" t="s">
        <v>1229</v>
      </c>
      <c r="L585" s="209" t="s">
        <v>171</v>
      </c>
      <c r="M585" s="209" t="s">
        <v>172</v>
      </c>
      <c r="N585" s="209">
        <v>50029817</v>
      </c>
      <c r="O585" s="209" t="s">
        <v>396</v>
      </c>
      <c r="P585" s="209">
        <v>5101</v>
      </c>
      <c r="Q585" s="209" t="s">
        <v>186</v>
      </c>
      <c r="R585" s="209" t="s">
        <v>175</v>
      </c>
      <c r="S585" s="209" t="s">
        <v>176</v>
      </c>
      <c r="T585" s="209" t="s">
        <v>187</v>
      </c>
      <c r="U585" s="209" t="s">
        <v>188</v>
      </c>
      <c r="V585" s="209" t="s">
        <v>179</v>
      </c>
      <c r="W585" s="209" t="s">
        <v>179</v>
      </c>
      <c r="X585" s="209" t="s">
        <v>180</v>
      </c>
      <c r="Y585" s="209" t="s">
        <v>180</v>
      </c>
      <c r="Z585" s="209" t="s">
        <v>1162</v>
      </c>
      <c r="AA585" s="209" t="s">
        <v>1163</v>
      </c>
      <c r="AB585" s="209" t="s">
        <v>180</v>
      </c>
      <c r="AC585" s="209" t="s">
        <v>182</v>
      </c>
      <c r="AD585" s="209">
        <v>1</v>
      </c>
      <c r="AE585" s="209">
        <v>2025</v>
      </c>
      <c r="AF585" s="227">
        <v>45666</v>
      </c>
      <c r="AG585" s="227">
        <v>45673</v>
      </c>
      <c r="AH585" s="227">
        <v>45673</v>
      </c>
      <c r="AI585" s="228">
        <v>606528</v>
      </c>
      <c r="AJ585" s="228">
        <v>52</v>
      </c>
      <c r="AK585" s="228">
        <v>606528</v>
      </c>
      <c r="AL585" s="228">
        <v>52</v>
      </c>
      <c r="AM585" s="228">
        <v>0</v>
      </c>
      <c r="AN585" s="228">
        <v>0</v>
      </c>
      <c r="AO585" s="229">
        <v>3</v>
      </c>
      <c r="AP585" s="231">
        <v>1</v>
      </c>
      <c r="AQ585" s="231">
        <v>2025</v>
      </c>
      <c r="AR585" s="231" t="str">
        <f t="shared" si="70"/>
        <v>01/2025</v>
      </c>
      <c r="AS585" s="231">
        <f t="shared" si="71"/>
        <v>30</v>
      </c>
      <c r="AT585" s="239">
        <f>IF(G585="CERVECERIA Y MALTERIA",(AS585*AK585/1000000)*(1-VLOOKUP(N585,FCST!D:I,6,FALSE)),0)</f>
        <v>0</v>
      </c>
      <c r="AU585" s="232">
        <v>5.0000000000000001E-3</v>
      </c>
      <c r="AV585" s="239">
        <f t="shared" si="72"/>
        <v>0</v>
      </c>
      <c r="AW585" s="239">
        <f>(AS585*AK585/1000000)*(VLOOKUP(N585,FCST!D:I,6,FALSE))</f>
        <v>5.4587519999999996</v>
      </c>
      <c r="AX585" s="239">
        <f t="shared" si="73"/>
        <v>5.4860457599999988</v>
      </c>
      <c r="AY585" s="239">
        <f>IF($G585="CERVECERIA Y MALTERIA.",($AS585*$AK585/1000000)*(1-VLOOKUP($N585,FCST!D:I,6,FALSE)),0)</f>
        <v>12.737088</v>
      </c>
      <c r="AZ585" s="239">
        <f t="shared" si="74"/>
        <v>12.800773439999999</v>
      </c>
    </row>
    <row r="586" spans="1:52" x14ac:dyDescent="0.25">
      <c r="A586" s="209">
        <v>1094883</v>
      </c>
      <c r="B586" s="209">
        <v>110</v>
      </c>
      <c r="C586" s="209" t="s">
        <v>1230</v>
      </c>
      <c r="D586" s="209">
        <v>10</v>
      </c>
      <c r="E586" s="209">
        <v>10000002</v>
      </c>
      <c r="F586" s="209">
        <v>20000335</v>
      </c>
      <c r="G586" s="209" t="s">
        <v>105</v>
      </c>
      <c r="H586" s="209">
        <v>20000335</v>
      </c>
      <c r="I586" s="209">
        <v>2</v>
      </c>
      <c r="J586" s="209" t="s">
        <v>169</v>
      </c>
      <c r="K586" s="209" t="s">
        <v>1231</v>
      </c>
      <c r="L586" s="209" t="s">
        <v>171</v>
      </c>
      <c r="M586" s="209" t="s">
        <v>199</v>
      </c>
      <c r="N586" s="209">
        <v>50034616</v>
      </c>
      <c r="O586" s="209" t="s">
        <v>191</v>
      </c>
      <c r="P586" s="209">
        <v>5121</v>
      </c>
      <c r="Q586" s="209" t="s">
        <v>200</v>
      </c>
      <c r="R586" s="209" t="s">
        <v>201</v>
      </c>
      <c r="S586" s="209" t="s">
        <v>202</v>
      </c>
      <c r="T586" s="209" t="s">
        <v>203</v>
      </c>
      <c r="U586" s="209" t="s">
        <v>201</v>
      </c>
      <c r="V586" s="209" t="s">
        <v>179</v>
      </c>
      <c r="W586" s="209" t="s">
        <v>179</v>
      </c>
      <c r="X586" s="209" t="s">
        <v>180</v>
      </c>
      <c r="Y586" s="209" t="s">
        <v>180</v>
      </c>
      <c r="Z586" s="209" t="s">
        <v>1158</v>
      </c>
      <c r="AA586" s="209" t="s">
        <v>1159</v>
      </c>
      <c r="AB586" s="209" t="s">
        <v>180</v>
      </c>
      <c r="AC586" s="209" t="s">
        <v>182</v>
      </c>
      <c r="AD586" s="209">
        <v>1</v>
      </c>
      <c r="AE586" s="209">
        <v>2025</v>
      </c>
      <c r="AF586" s="227">
        <v>45666</v>
      </c>
      <c r="AG586" s="227">
        <v>45673</v>
      </c>
      <c r="AH586" s="227">
        <v>45673</v>
      </c>
      <c r="AI586" s="228">
        <v>426816</v>
      </c>
      <c r="AJ586" s="228">
        <v>52</v>
      </c>
      <c r="AK586" s="228">
        <v>426816</v>
      </c>
      <c r="AL586" s="228">
        <v>52</v>
      </c>
      <c r="AM586" s="228">
        <v>0</v>
      </c>
      <c r="AN586" s="228">
        <v>0</v>
      </c>
      <c r="AO586" s="229">
        <v>3</v>
      </c>
      <c r="AP586" s="231">
        <v>1</v>
      </c>
      <c r="AQ586" s="231">
        <v>2025</v>
      </c>
      <c r="AR586" s="231" t="str">
        <f t="shared" si="70"/>
        <v>01/2025</v>
      </c>
      <c r="AS586" s="231">
        <f t="shared" si="71"/>
        <v>46.6</v>
      </c>
      <c r="AT586" s="239">
        <f>IF(G586="CERVECERIA Y MALTERIA",(AS586*AK586/1000000)*(1-VLOOKUP(N586,FCST!D:I,6,FALSE)),0)</f>
        <v>19.889625600000002</v>
      </c>
      <c r="AU586" s="232">
        <v>5.0000000000000001E-3</v>
      </c>
      <c r="AV586" s="239">
        <f t="shared" si="72"/>
        <v>19.989073728000001</v>
      </c>
      <c r="AW586" s="239">
        <f>(AS586*AK586/1000000)*(VLOOKUP(N586,FCST!D:I,6,FALSE))</f>
        <v>0</v>
      </c>
      <c r="AX586" s="239">
        <f t="shared" si="73"/>
        <v>0</v>
      </c>
      <c r="AY586" s="239">
        <f>IF($G586="CERVECERIA Y MALTERIA.",($AS586*$AK586/1000000)*(1-VLOOKUP($N586,FCST!D:I,6,FALSE)),0)</f>
        <v>0</v>
      </c>
      <c r="AZ586" s="239">
        <f t="shared" si="74"/>
        <v>0</v>
      </c>
    </row>
    <row r="587" spans="1:52" x14ac:dyDescent="0.25">
      <c r="A587" s="209">
        <v>1094884</v>
      </c>
      <c r="B587" s="209">
        <v>40</v>
      </c>
      <c r="C587" s="209" t="s">
        <v>1232</v>
      </c>
      <c r="D587" s="209">
        <v>10</v>
      </c>
      <c r="E587" s="209">
        <v>10000002</v>
      </c>
      <c r="F587" s="209">
        <v>20000340</v>
      </c>
      <c r="G587" s="209" t="s">
        <v>117</v>
      </c>
      <c r="H587" s="209">
        <v>20000340</v>
      </c>
      <c r="I587" s="209">
        <v>2</v>
      </c>
      <c r="J587" s="209" t="s">
        <v>169</v>
      </c>
      <c r="K587" s="209" t="s">
        <v>1233</v>
      </c>
      <c r="L587" s="209" t="s">
        <v>171</v>
      </c>
      <c r="M587" s="209" t="s">
        <v>172</v>
      </c>
      <c r="N587" s="209">
        <v>50029817</v>
      </c>
      <c r="O587" s="209" t="s">
        <v>396</v>
      </c>
      <c r="P587" s="209">
        <v>5101</v>
      </c>
      <c r="Q587" s="209" t="s">
        <v>186</v>
      </c>
      <c r="R587" s="209" t="s">
        <v>175</v>
      </c>
      <c r="S587" s="209" t="s">
        <v>176</v>
      </c>
      <c r="T587" s="209" t="s">
        <v>187</v>
      </c>
      <c r="U587" s="209" t="s">
        <v>188</v>
      </c>
      <c r="V587" s="209" t="s">
        <v>179</v>
      </c>
      <c r="W587" s="209" t="s">
        <v>179</v>
      </c>
      <c r="X587" s="209" t="s">
        <v>180</v>
      </c>
      <c r="Y587" s="209" t="s">
        <v>180</v>
      </c>
      <c r="Z587" s="209" t="s">
        <v>1162</v>
      </c>
      <c r="AA587" s="209" t="s">
        <v>1163</v>
      </c>
      <c r="AB587" s="209" t="s">
        <v>180</v>
      </c>
      <c r="AC587" s="209" t="s">
        <v>182</v>
      </c>
      <c r="AD587" s="209">
        <v>1</v>
      </c>
      <c r="AE587" s="209">
        <v>2025</v>
      </c>
      <c r="AF587" s="227">
        <v>45666</v>
      </c>
      <c r="AG587" s="227">
        <v>45673</v>
      </c>
      <c r="AH587" s="227">
        <v>45673</v>
      </c>
      <c r="AI587" s="228">
        <v>606528</v>
      </c>
      <c r="AJ587" s="228">
        <v>52</v>
      </c>
      <c r="AK587" s="228">
        <v>606528</v>
      </c>
      <c r="AL587" s="228">
        <v>52</v>
      </c>
      <c r="AM587" s="228">
        <v>0</v>
      </c>
      <c r="AN587" s="228">
        <v>0</v>
      </c>
      <c r="AO587" s="229">
        <v>3</v>
      </c>
      <c r="AP587" s="231">
        <v>1</v>
      </c>
      <c r="AQ587" s="231">
        <v>2025</v>
      </c>
      <c r="AR587" s="231" t="str">
        <f t="shared" si="70"/>
        <v>01/2025</v>
      </c>
      <c r="AS587" s="231">
        <f t="shared" si="71"/>
        <v>30</v>
      </c>
      <c r="AT587" s="239">
        <f>IF(G587="CERVECERIA Y MALTERIA",(AS587*AK587/1000000)*(1-VLOOKUP(N587,FCST!D:I,6,FALSE)),0)</f>
        <v>0</v>
      </c>
      <c r="AU587" s="232">
        <v>5.0000000000000001E-3</v>
      </c>
      <c r="AV587" s="239">
        <f t="shared" si="72"/>
        <v>0</v>
      </c>
      <c r="AW587" s="239">
        <f>(AS587*AK587/1000000)*(VLOOKUP(N587,FCST!D:I,6,FALSE))</f>
        <v>5.4587519999999996</v>
      </c>
      <c r="AX587" s="239">
        <f t="shared" si="73"/>
        <v>5.4860457599999988</v>
      </c>
      <c r="AY587" s="239">
        <f>IF($G587="CERVECERIA Y MALTERIA.",($AS587*$AK587/1000000)*(1-VLOOKUP($N587,FCST!D:I,6,FALSE)),0)</f>
        <v>12.737088</v>
      </c>
      <c r="AZ587" s="239">
        <f t="shared" si="74"/>
        <v>12.800773439999999</v>
      </c>
    </row>
    <row r="588" spans="1:52" x14ac:dyDescent="0.25">
      <c r="A588" s="209">
        <v>1094003</v>
      </c>
      <c r="B588" s="209">
        <v>60</v>
      </c>
      <c r="C588" s="209" t="s">
        <v>1234</v>
      </c>
      <c r="D588" s="209">
        <v>10</v>
      </c>
      <c r="E588" s="209">
        <v>10000002</v>
      </c>
      <c r="F588" s="209">
        <v>20000337</v>
      </c>
      <c r="G588" s="209" t="s">
        <v>105</v>
      </c>
      <c r="H588" s="209">
        <v>20000337</v>
      </c>
      <c r="I588" s="209">
        <v>2</v>
      </c>
      <c r="J588" s="209" t="s">
        <v>169</v>
      </c>
      <c r="K588" s="209" t="s">
        <v>1235</v>
      </c>
      <c r="L588" s="209" t="s">
        <v>265</v>
      </c>
      <c r="M588" s="209" t="s">
        <v>199</v>
      </c>
      <c r="N588" s="209">
        <v>50034616</v>
      </c>
      <c r="O588" s="209" t="s">
        <v>191</v>
      </c>
      <c r="P588" s="209">
        <v>5121</v>
      </c>
      <c r="Q588" s="209" t="s">
        <v>200</v>
      </c>
      <c r="R588" s="209" t="s">
        <v>201</v>
      </c>
      <c r="S588" s="209" t="s">
        <v>202</v>
      </c>
      <c r="T588" s="209" t="s">
        <v>203</v>
      </c>
      <c r="U588" s="209" t="s">
        <v>201</v>
      </c>
      <c r="V588" s="209" t="s">
        <v>179</v>
      </c>
      <c r="W588" s="209" t="s">
        <v>179</v>
      </c>
      <c r="X588" s="209" t="s">
        <v>180</v>
      </c>
      <c r="Y588" s="209" t="s">
        <v>180</v>
      </c>
      <c r="Z588" s="209" t="s">
        <v>1236</v>
      </c>
      <c r="AA588" s="209" t="s">
        <v>1237</v>
      </c>
      <c r="AB588" s="209" t="s">
        <v>180</v>
      </c>
      <c r="AC588" s="209" t="s">
        <v>182</v>
      </c>
      <c r="AD588" s="209">
        <v>1</v>
      </c>
      <c r="AE588" s="209">
        <v>2025</v>
      </c>
      <c r="AF588" s="227">
        <v>45663</v>
      </c>
      <c r="AG588" s="227">
        <v>45673</v>
      </c>
      <c r="AH588" s="227">
        <v>45673</v>
      </c>
      <c r="AI588" s="228">
        <v>426816</v>
      </c>
      <c r="AJ588" s="228">
        <v>52</v>
      </c>
      <c r="AK588" s="228">
        <v>426816</v>
      </c>
      <c r="AL588" s="228">
        <v>52</v>
      </c>
      <c r="AM588" s="228">
        <v>0</v>
      </c>
      <c r="AN588" s="228">
        <v>0</v>
      </c>
      <c r="AO588" s="229">
        <v>2</v>
      </c>
      <c r="AP588" s="231">
        <v>1</v>
      </c>
      <c r="AQ588" s="231">
        <v>2025</v>
      </c>
      <c r="AR588" s="231" t="str">
        <f t="shared" si="70"/>
        <v>01/2025</v>
      </c>
      <c r="AS588" s="231">
        <f t="shared" si="71"/>
        <v>46.6</v>
      </c>
      <c r="AT588" s="239">
        <f>IF(G588="CERVECERIA Y MALTERIA",(AS588*AK588/1000000)*(1-VLOOKUP(N588,FCST!D:I,6,FALSE)),0)</f>
        <v>19.889625600000002</v>
      </c>
      <c r="AU588" s="232">
        <v>5.0000000000000001E-3</v>
      </c>
      <c r="AV588" s="239">
        <f t="shared" si="72"/>
        <v>19.989073728000001</v>
      </c>
      <c r="AW588" s="239">
        <f>(AS588*AK588/1000000)*(VLOOKUP(N588,FCST!D:I,6,FALSE))</f>
        <v>0</v>
      </c>
      <c r="AX588" s="239">
        <f t="shared" si="73"/>
        <v>0</v>
      </c>
      <c r="AY588" s="239">
        <f>IF($G588="CERVECERIA Y MALTERIA.",($AS588*$AK588/1000000)*(1-VLOOKUP($N588,FCST!D:I,6,FALSE)),0)</f>
        <v>0</v>
      </c>
      <c r="AZ588" s="239">
        <f t="shared" si="74"/>
        <v>0</v>
      </c>
    </row>
    <row r="589" spans="1:52" x14ac:dyDescent="0.25">
      <c r="A589" s="209">
        <v>1093856</v>
      </c>
      <c r="B589" s="209">
        <v>70</v>
      </c>
      <c r="C589" s="209" t="s">
        <v>1238</v>
      </c>
      <c r="D589" s="209">
        <v>10</v>
      </c>
      <c r="E589" s="209">
        <v>10000002</v>
      </c>
      <c r="F589" s="209">
        <v>20000339</v>
      </c>
      <c r="G589" s="209" t="s">
        <v>105</v>
      </c>
      <c r="H589" s="209">
        <v>20000339</v>
      </c>
      <c r="I589" s="209">
        <v>2</v>
      </c>
      <c r="J589" s="209" t="s">
        <v>169</v>
      </c>
      <c r="K589" s="209" t="s">
        <v>1239</v>
      </c>
      <c r="L589" s="209" t="s">
        <v>265</v>
      </c>
      <c r="M589" s="209" t="s">
        <v>172</v>
      </c>
      <c r="N589" s="209">
        <v>50034634</v>
      </c>
      <c r="O589" s="209" t="s">
        <v>219</v>
      </c>
      <c r="P589" s="209">
        <v>5121</v>
      </c>
      <c r="Q589" s="209" t="s">
        <v>174</v>
      </c>
      <c r="R589" s="209" t="s">
        <v>175</v>
      </c>
      <c r="S589" s="209" t="s">
        <v>176</v>
      </c>
      <c r="T589" s="209" t="s">
        <v>177</v>
      </c>
      <c r="U589" s="209" t="s">
        <v>178</v>
      </c>
      <c r="V589" s="209" t="s">
        <v>179</v>
      </c>
      <c r="W589" s="209" t="s">
        <v>179</v>
      </c>
      <c r="X589" s="209" t="s">
        <v>180</v>
      </c>
      <c r="Y589" s="209" t="s">
        <v>180</v>
      </c>
      <c r="Z589" s="209" t="s">
        <v>1240</v>
      </c>
      <c r="AA589" s="209" t="s">
        <v>1241</v>
      </c>
      <c r="AB589" s="209" t="s">
        <v>180</v>
      </c>
      <c r="AC589" s="209" t="s">
        <v>182</v>
      </c>
      <c r="AD589" s="209">
        <v>1</v>
      </c>
      <c r="AE589" s="209">
        <v>2025</v>
      </c>
      <c r="AF589" s="227">
        <v>45660</v>
      </c>
      <c r="AG589" s="227">
        <v>45674</v>
      </c>
      <c r="AH589" s="227">
        <v>45673</v>
      </c>
      <c r="AI589" s="228">
        <v>112128</v>
      </c>
      <c r="AJ589" s="228">
        <v>16</v>
      </c>
      <c r="AK589" s="228">
        <v>112128</v>
      </c>
      <c r="AL589" s="228">
        <v>16</v>
      </c>
      <c r="AM589" s="228">
        <v>0</v>
      </c>
      <c r="AN589" s="228">
        <v>0</v>
      </c>
      <c r="AO589" s="229">
        <v>2</v>
      </c>
      <c r="AP589" s="231">
        <v>1</v>
      </c>
      <c r="AQ589" s="231">
        <v>2025</v>
      </c>
      <c r="AR589" s="231" t="str">
        <f t="shared" si="70"/>
        <v>01/2025</v>
      </c>
      <c r="AS589" s="231">
        <f t="shared" si="71"/>
        <v>52</v>
      </c>
      <c r="AT589" s="239">
        <f>IF(G589="CERVECERIA Y MALTERIA",(AS589*AK589/1000000)*(1-VLOOKUP(N589,FCST!D:I,6,FALSE)),0)</f>
        <v>5.8306560000000003</v>
      </c>
      <c r="AU589" s="232">
        <v>5.0000000000000001E-3</v>
      </c>
      <c r="AV589" s="239">
        <f t="shared" si="72"/>
        <v>5.8598092799999995</v>
      </c>
      <c r="AW589" s="239">
        <f>(AS589*AK589/1000000)*(VLOOKUP(N589,FCST!D:I,6,FALSE))</f>
        <v>0</v>
      </c>
      <c r="AX589" s="239">
        <f t="shared" si="73"/>
        <v>0</v>
      </c>
      <c r="AY589" s="239">
        <f>IF($G589="CERVECERIA Y MALTERIA.",($AS589*$AK589/1000000)*(1-VLOOKUP($N589,FCST!D:I,6,FALSE)),0)</f>
        <v>0</v>
      </c>
      <c r="AZ589" s="239">
        <f t="shared" si="74"/>
        <v>0</v>
      </c>
    </row>
    <row r="590" spans="1:52" x14ac:dyDescent="0.25">
      <c r="A590" s="209">
        <v>1093856</v>
      </c>
      <c r="B590" s="209">
        <v>80</v>
      </c>
      <c r="C590" s="209" t="s">
        <v>1238</v>
      </c>
      <c r="D590" s="209">
        <v>20</v>
      </c>
      <c r="E590" s="209">
        <v>10000002</v>
      </c>
      <c r="F590" s="209">
        <v>20000339</v>
      </c>
      <c r="G590" s="209" t="s">
        <v>105</v>
      </c>
      <c r="H590" s="209">
        <v>20000339</v>
      </c>
      <c r="I590" s="209">
        <v>2</v>
      </c>
      <c r="J590" s="209" t="s">
        <v>169</v>
      </c>
      <c r="K590" s="209" t="s">
        <v>1239</v>
      </c>
      <c r="L590" s="209" t="s">
        <v>265</v>
      </c>
      <c r="M590" s="209" t="s">
        <v>172</v>
      </c>
      <c r="N590" s="209">
        <v>50033268</v>
      </c>
      <c r="O590" s="209" t="s">
        <v>253</v>
      </c>
      <c r="P590" s="209">
        <v>5121</v>
      </c>
      <c r="Q590" s="209" t="s">
        <v>174</v>
      </c>
      <c r="R590" s="209" t="s">
        <v>175</v>
      </c>
      <c r="S590" s="209" t="s">
        <v>176</v>
      </c>
      <c r="T590" s="209" t="s">
        <v>177</v>
      </c>
      <c r="U590" s="209" t="s">
        <v>178</v>
      </c>
      <c r="V590" s="209" t="s">
        <v>179</v>
      </c>
      <c r="W590" s="209" t="s">
        <v>179</v>
      </c>
      <c r="X590" s="209" t="s">
        <v>180</v>
      </c>
      <c r="Y590" s="209" t="s">
        <v>180</v>
      </c>
      <c r="Z590" s="209" t="s">
        <v>1240</v>
      </c>
      <c r="AA590" s="209" t="s">
        <v>1241</v>
      </c>
      <c r="AB590" s="209" t="s">
        <v>180</v>
      </c>
      <c r="AC590" s="209" t="s">
        <v>182</v>
      </c>
      <c r="AD590" s="209">
        <v>1</v>
      </c>
      <c r="AE590" s="209">
        <v>2025</v>
      </c>
      <c r="AF590" s="227">
        <v>45660</v>
      </c>
      <c r="AG590" s="227">
        <v>45674</v>
      </c>
      <c r="AH590" s="227">
        <v>45673</v>
      </c>
      <c r="AI590" s="228">
        <v>281664</v>
      </c>
      <c r="AJ590" s="228">
        <v>36</v>
      </c>
      <c r="AK590" s="228">
        <v>281664</v>
      </c>
      <c r="AL590" s="228">
        <v>36</v>
      </c>
      <c r="AM590" s="228">
        <v>0</v>
      </c>
      <c r="AN590" s="228">
        <v>0</v>
      </c>
      <c r="AO590" s="229">
        <v>2</v>
      </c>
      <c r="AP590" s="231">
        <v>1</v>
      </c>
      <c r="AQ590" s="231">
        <v>2025</v>
      </c>
      <c r="AR590" s="231" t="str">
        <f t="shared" si="70"/>
        <v>01/2025</v>
      </c>
      <c r="AS590" s="231">
        <f t="shared" si="71"/>
        <v>44</v>
      </c>
      <c r="AT590" s="239">
        <f>IF(G590="CERVECERIA Y MALTERIA",(AS590*AK590/1000000)*(1-VLOOKUP(N590,FCST!D:I,6,FALSE)),0)</f>
        <v>12.393216000000001</v>
      </c>
      <c r="AU590" s="232">
        <v>5.0000000000000001E-3</v>
      </c>
      <c r="AV590" s="239">
        <f t="shared" si="72"/>
        <v>12.45518208</v>
      </c>
      <c r="AW590" s="239">
        <f>(AS590*AK590/1000000)*(VLOOKUP(N590,FCST!D:I,6,FALSE))</f>
        <v>0</v>
      </c>
      <c r="AX590" s="239">
        <f t="shared" si="73"/>
        <v>0</v>
      </c>
      <c r="AY590" s="239">
        <f>IF($G590="CERVECERIA Y MALTERIA.",($AS590*$AK590/1000000)*(1-VLOOKUP($N590,FCST!D:I,6,FALSE)),0)</f>
        <v>0</v>
      </c>
      <c r="AZ590" s="239">
        <f t="shared" si="74"/>
        <v>0</v>
      </c>
    </row>
    <row r="591" spans="1:52" x14ac:dyDescent="0.25">
      <c r="A591" s="209">
        <v>1094883</v>
      </c>
      <c r="B591" s="209">
        <v>100</v>
      </c>
      <c r="C591" s="209" t="s">
        <v>1242</v>
      </c>
      <c r="D591" s="209">
        <v>10</v>
      </c>
      <c r="E591" s="209">
        <v>10000002</v>
      </c>
      <c r="F591" s="209">
        <v>20000335</v>
      </c>
      <c r="G591" s="209" t="s">
        <v>105</v>
      </c>
      <c r="H591" s="209">
        <v>20000335</v>
      </c>
      <c r="I591" s="209">
        <v>2</v>
      </c>
      <c r="J591" s="209" t="s">
        <v>169</v>
      </c>
      <c r="K591" s="209" t="s">
        <v>1243</v>
      </c>
      <c r="L591" s="209" t="s">
        <v>171</v>
      </c>
      <c r="M591" s="209" t="s">
        <v>172</v>
      </c>
      <c r="N591" s="209">
        <v>50037887</v>
      </c>
      <c r="O591" s="209" t="s">
        <v>679</v>
      </c>
      <c r="P591" s="209">
        <v>5121</v>
      </c>
      <c r="Q591" s="209" t="s">
        <v>174</v>
      </c>
      <c r="R591" s="209" t="s">
        <v>175</v>
      </c>
      <c r="S591" s="209" t="s">
        <v>176</v>
      </c>
      <c r="T591" s="209" t="s">
        <v>177</v>
      </c>
      <c r="U591" s="209" t="s">
        <v>178</v>
      </c>
      <c r="V591" s="209" t="s">
        <v>179</v>
      </c>
      <c r="W591" s="209" t="s">
        <v>179</v>
      </c>
      <c r="X591" s="209" t="s">
        <v>180</v>
      </c>
      <c r="Y591" s="209" t="s">
        <v>180</v>
      </c>
      <c r="Z591" s="209" t="s">
        <v>1216</v>
      </c>
      <c r="AA591" s="209" t="s">
        <v>1217</v>
      </c>
      <c r="AB591" s="209" t="s">
        <v>180</v>
      </c>
      <c r="AC591" s="209" t="s">
        <v>182</v>
      </c>
      <c r="AD591" s="209">
        <v>1</v>
      </c>
      <c r="AE591" s="209">
        <v>2025</v>
      </c>
      <c r="AF591" s="227">
        <v>45666</v>
      </c>
      <c r="AG591" s="227">
        <v>45673</v>
      </c>
      <c r="AH591" s="227">
        <v>45673</v>
      </c>
      <c r="AI591" s="228">
        <v>531648</v>
      </c>
      <c r="AJ591" s="228">
        <v>52</v>
      </c>
      <c r="AK591" s="228">
        <v>531648</v>
      </c>
      <c r="AL591" s="228">
        <v>52</v>
      </c>
      <c r="AM591" s="228">
        <v>0</v>
      </c>
      <c r="AN591" s="228">
        <v>0</v>
      </c>
      <c r="AO591" s="229">
        <v>3</v>
      </c>
      <c r="AP591" s="231">
        <v>1</v>
      </c>
      <c r="AQ591" s="231">
        <v>2025</v>
      </c>
      <c r="AR591" s="231" t="str">
        <f t="shared" si="70"/>
        <v>01/2025</v>
      </c>
      <c r="AS591" s="231">
        <f t="shared" si="71"/>
        <v>37.200000000000003</v>
      </c>
      <c r="AT591" s="239">
        <f>IF(G591="CERVECERIA Y MALTERIA",(AS591*AK591/1000000)*(1-VLOOKUP(N591,FCST!D:I,6,FALSE)),0)</f>
        <v>19.777305600000002</v>
      </c>
      <c r="AU591" s="232">
        <v>5.0000000000000001E-3</v>
      </c>
      <c r="AV591" s="239">
        <f t="shared" si="72"/>
        <v>19.876192128</v>
      </c>
      <c r="AW591" s="239">
        <f>(AS591*AK591/1000000)*(VLOOKUP(N591,FCST!D:I,6,FALSE))</f>
        <v>0</v>
      </c>
      <c r="AX591" s="239">
        <f t="shared" si="73"/>
        <v>0</v>
      </c>
      <c r="AY591" s="239">
        <f>IF($G591="CERVECERIA Y MALTERIA.",($AS591*$AK591/1000000)*(1-VLOOKUP($N591,FCST!D:I,6,FALSE)),0)</f>
        <v>0</v>
      </c>
      <c r="AZ591" s="239">
        <f t="shared" si="74"/>
        <v>0</v>
      </c>
    </row>
    <row r="592" spans="1:52" x14ac:dyDescent="0.25">
      <c r="A592" s="209">
        <v>1094883</v>
      </c>
      <c r="B592" s="209">
        <v>80</v>
      </c>
      <c r="C592" s="209" t="s">
        <v>1244</v>
      </c>
      <c r="D592" s="209">
        <v>10</v>
      </c>
      <c r="E592" s="209">
        <v>10000002</v>
      </c>
      <c r="F592" s="209">
        <v>20000335</v>
      </c>
      <c r="G592" s="209" t="s">
        <v>105</v>
      </c>
      <c r="H592" s="209">
        <v>20000335</v>
      </c>
      <c r="I592" s="209">
        <v>2</v>
      </c>
      <c r="J592" s="209" t="s">
        <v>169</v>
      </c>
      <c r="K592" s="209" t="s">
        <v>1245</v>
      </c>
      <c r="L592" s="209" t="s">
        <v>171</v>
      </c>
      <c r="M592" s="209" t="s">
        <v>199</v>
      </c>
      <c r="N592" s="209">
        <v>50034616</v>
      </c>
      <c r="O592" s="209" t="s">
        <v>191</v>
      </c>
      <c r="P592" s="209">
        <v>5121</v>
      </c>
      <c r="Q592" s="209" t="s">
        <v>200</v>
      </c>
      <c r="R592" s="209" t="s">
        <v>201</v>
      </c>
      <c r="S592" s="209" t="s">
        <v>202</v>
      </c>
      <c r="T592" s="209" t="s">
        <v>203</v>
      </c>
      <c r="U592" s="209" t="s">
        <v>201</v>
      </c>
      <c r="V592" s="209" t="s">
        <v>179</v>
      </c>
      <c r="W592" s="209" t="s">
        <v>179</v>
      </c>
      <c r="X592" s="209" t="s">
        <v>180</v>
      </c>
      <c r="Y592" s="209" t="s">
        <v>180</v>
      </c>
      <c r="Z592" s="209" t="s">
        <v>1158</v>
      </c>
      <c r="AA592" s="209" t="s">
        <v>1159</v>
      </c>
      <c r="AB592" s="209" t="s">
        <v>180</v>
      </c>
      <c r="AC592" s="209" t="s">
        <v>182</v>
      </c>
      <c r="AD592" s="209">
        <v>1</v>
      </c>
      <c r="AE592" s="209">
        <v>2025</v>
      </c>
      <c r="AF592" s="227">
        <v>45666</v>
      </c>
      <c r="AG592" s="227">
        <v>45672</v>
      </c>
      <c r="AH592" s="227">
        <v>45672</v>
      </c>
      <c r="AI592" s="228">
        <v>426816</v>
      </c>
      <c r="AJ592" s="228">
        <v>52</v>
      </c>
      <c r="AK592" s="228">
        <v>426816</v>
      </c>
      <c r="AL592" s="228">
        <v>52</v>
      </c>
      <c r="AM592" s="228">
        <v>0</v>
      </c>
      <c r="AN592" s="228">
        <v>0</v>
      </c>
      <c r="AO592" s="229">
        <v>3</v>
      </c>
      <c r="AP592" s="231">
        <v>1</v>
      </c>
      <c r="AQ592" s="231">
        <v>2025</v>
      </c>
      <c r="AR592" s="231" t="str">
        <f t="shared" si="70"/>
        <v>01/2025</v>
      </c>
      <c r="AS592" s="231">
        <f t="shared" si="71"/>
        <v>46.6</v>
      </c>
      <c r="AT592" s="239">
        <f>IF(G592="CERVECERIA Y MALTERIA",(AS592*AK592/1000000)*(1-VLOOKUP(N592,FCST!D:I,6,FALSE)),0)</f>
        <v>19.889625600000002</v>
      </c>
      <c r="AU592" s="232">
        <v>5.0000000000000001E-3</v>
      </c>
      <c r="AV592" s="239">
        <f t="shared" si="72"/>
        <v>19.989073728000001</v>
      </c>
      <c r="AW592" s="239">
        <f>(AS592*AK592/1000000)*(VLOOKUP(N592,FCST!D:I,6,FALSE))</f>
        <v>0</v>
      </c>
      <c r="AX592" s="239">
        <f t="shared" si="73"/>
        <v>0</v>
      </c>
      <c r="AY592" s="239">
        <f>IF($G592="CERVECERIA Y MALTERIA.",($AS592*$AK592/1000000)*(1-VLOOKUP($N592,FCST!D:I,6,FALSE)),0)</f>
        <v>0</v>
      </c>
      <c r="AZ592" s="239">
        <f t="shared" si="74"/>
        <v>0</v>
      </c>
    </row>
    <row r="593" spans="1:52" x14ac:dyDescent="0.25">
      <c r="A593" s="209">
        <v>1094884</v>
      </c>
      <c r="B593" s="209">
        <v>30</v>
      </c>
      <c r="C593" s="209" t="s">
        <v>1246</v>
      </c>
      <c r="D593" s="209">
        <v>10</v>
      </c>
      <c r="E593" s="209">
        <v>10000002</v>
      </c>
      <c r="F593" s="209">
        <v>20000340</v>
      </c>
      <c r="G593" s="209" t="s">
        <v>117</v>
      </c>
      <c r="H593" s="209">
        <v>20000340</v>
      </c>
      <c r="I593" s="209">
        <v>2</v>
      </c>
      <c r="J593" s="209" t="s">
        <v>169</v>
      </c>
      <c r="K593" s="209" t="s">
        <v>1247</v>
      </c>
      <c r="L593" s="209" t="s">
        <v>171</v>
      </c>
      <c r="M593" s="209" t="s">
        <v>184</v>
      </c>
      <c r="N593" s="209">
        <v>50029817</v>
      </c>
      <c r="O593" s="209" t="s">
        <v>396</v>
      </c>
      <c r="P593" s="209">
        <v>5101</v>
      </c>
      <c r="Q593" s="209" t="s">
        <v>186</v>
      </c>
      <c r="R593" s="209" t="s">
        <v>175</v>
      </c>
      <c r="S593" s="209" t="s">
        <v>176</v>
      </c>
      <c r="T593" s="209" t="s">
        <v>187</v>
      </c>
      <c r="U593" s="209" t="s">
        <v>188</v>
      </c>
      <c r="V593" s="209" t="s">
        <v>179</v>
      </c>
      <c r="W593" s="209" t="s">
        <v>179</v>
      </c>
      <c r="X593" s="209" t="s">
        <v>180</v>
      </c>
      <c r="Y593" s="209" t="s">
        <v>180</v>
      </c>
      <c r="Z593" s="209" t="s">
        <v>1162</v>
      </c>
      <c r="AA593" s="209" t="s">
        <v>1163</v>
      </c>
      <c r="AB593" s="209" t="s">
        <v>180</v>
      </c>
      <c r="AC593" s="209" t="s">
        <v>182</v>
      </c>
      <c r="AD593" s="209">
        <v>1</v>
      </c>
      <c r="AE593" s="209">
        <v>2025</v>
      </c>
      <c r="AF593" s="227">
        <v>45666</v>
      </c>
      <c r="AG593" s="227">
        <v>45672</v>
      </c>
      <c r="AH593" s="227">
        <v>45672</v>
      </c>
      <c r="AI593" s="228">
        <v>606528</v>
      </c>
      <c r="AJ593" s="228">
        <v>52</v>
      </c>
      <c r="AK593" s="228">
        <v>606528</v>
      </c>
      <c r="AL593" s="228">
        <v>52</v>
      </c>
      <c r="AM593" s="228">
        <v>0</v>
      </c>
      <c r="AN593" s="228">
        <v>0</v>
      </c>
      <c r="AO593" s="229">
        <v>3</v>
      </c>
      <c r="AP593" s="231">
        <v>1</v>
      </c>
      <c r="AQ593" s="231">
        <v>2025</v>
      </c>
      <c r="AR593" s="231" t="str">
        <f t="shared" si="70"/>
        <v>01/2025</v>
      </c>
      <c r="AS593" s="231">
        <f t="shared" si="71"/>
        <v>30</v>
      </c>
      <c r="AT593" s="239">
        <f>IF(G593="CERVECERIA Y MALTERIA",(AS593*AK593/1000000)*(1-VLOOKUP(N593,FCST!D:I,6,FALSE)),0)</f>
        <v>0</v>
      </c>
      <c r="AU593" s="232">
        <v>5.0000000000000001E-3</v>
      </c>
      <c r="AV593" s="239">
        <f t="shared" si="72"/>
        <v>0</v>
      </c>
      <c r="AW593" s="239">
        <f>(AS593*AK593/1000000)*(VLOOKUP(N593,FCST!D:I,6,FALSE))</f>
        <v>5.4587519999999996</v>
      </c>
      <c r="AX593" s="239">
        <f t="shared" si="73"/>
        <v>5.4860457599999988</v>
      </c>
      <c r="AY593" s="239">
        <f>IF($G593="CERVECERIA Y MALTERIA.",($AS593*$AK593/1000000)*(1-VLOOKUP($N593,FCST!D:I,6,FALSE)),0)</f>
        <v>12.737088</v>
      </c>
      <c r="AZ593" s="239">
        <f t="shared" si="74"/>
        <v>12.800773439999999</v>
      </c>
    </row>
    <row r="594" spans="1:52" x14ac:dyDescent="0.25">
      <c r="A594" s="209">
        <v>1094883</v>
      </c>
      <c r="B594" s="209">
        <v>90</v>
      </c>
      <c r="C594" s="209" t="s">
        <v>1248</v>
      </c>
      <c r="D594" s="209">
        <v>10</v>
      </c>
      <c r="E594" s="209">
        <v>10000002</v>
      </c>
      <c r="F594" s="209">
        <v>20000335</v>
      </c>
      <c r="G594" s="209" t="s">
        <v>105</v>
      </c>
      <c r="H594" s="209">
        <v>20000335</v>
      </c>
      <c r="I594" s="209">
        <v>2</v>
      </c>
      <c r="J594" s="209" t="s">
        <v>169</v>
      </c>
      <c r="K594" s="209" t="s">
        <v>1249</v>
      </c>
      <c r="L594" s="209" t="s">
        <v>171</v>
      </c>
      <c r="M594" s="209" t="s">
        <v>199</v>
      </c>
      <c r="N594" s="209">
        <v>50034616</v>
      </c>
      <c r="O594" s="209" t="s">
        <v>191</v>
      </c>
      <c r="P594" s="209">
        <v>5121</v>
      </c>
      <c r="Q594" s="209" t="s">
        <v>200</v>
      </c>
      <c r="R594" s="209" t="s">
        <v>201</v>
      </c>
      <c r="S594" s="209" t="s">
        <v>202</v>
      </c>
      <c r="T594" s="209" t="s">
        <v>203</v>
      </c>
      <c r="U594" s="209" t="s">
        <v>201</v>
      </c>
      <c r="V594" s="209" t="s">
        <v>179</v>
      </c>
      <c r="W594" s="209" t="s">
        <v>179</v>
      </c>
      <c r="X594" s="209" t="s">
        <v>180</v>
      </c>
      <c r="Y594" s="209" t="s">
        <v>180</v>
      </c>
      <c r="Z594" s="209" t="s">
        <v>1158</v>
      </c>
      <c r="AA594" s="209" t="s">
        <v>1159</v>
      </c>
      <c r="AB594" s="209" t="s">
        <v>180</v>
      </c>
      <c r="AC594" s="209" t="s">
        <v>182</v>
      </c>
      <c r="AD594" s="209">
        <v>1</v>
      </c>
      <c r="AE594" s="209">
        <v>2025</v>
      </c>
      <c r="AF594" s="227">
        <v>45666</v>
      </c>
      <c r="AG594" s="227">
        <v>45672</v>
      </c>
      <c r="AH594" s="227">
        <v>45672</v>
      </c>
      <c r="AI594" s="228">
        <v>426816</v>
      </c>
      <c r="AJ594" s="228">
        <v>52</v>
      </c>
      <c r="AK594" s="228">
        <v>426816</v>
      </c>
      <c r="AL594" s="228">
        <v>52</v>
      </c>
      <c r="AM594" s="228">
        <v>0</v>
      </c>
      <c r="AN594" s="228">
        <v>0</v>
      </c>
      <c r="AO594" s="229">
        <v>3</v>
      </c>
      <c r="AP594" s="231">
        <v>1</v>
      </c>
      <c r="AQ594" s="231">
        <v>2025</v>
      </c>
      <c r="AR594" s="231" t="str">
        <f t="shared" si="70"/>
        <v>01/2025</v>
      </c>
      <c r="AS594" s="231">
        <f t="shared" si="71"/>
        <v>46.6</v>
      </c>
      <c r="AT594" s="239">
        <f>IF(G594="CERVECERIA Y MALTERIA",(AS594*AK594/1000000)*(1-VLOOKUP(N594,FCST!D:I,6,FALSE)),0)</f>
        <v>19.889625600000002</v>
      </c>
      <c r="AU594" s="232">
        <v>5.0000000000000001E-3</v>
      </c>
      <c r="AV594" s="239">
        <f t="shared" si="72"/>
        <v>19.989073728000001</v>
      </c>
      <c r="AW594" s="239">
        <f>(AS594*AK594/1000000)*(VLOOKUP(N594,FCST!D:I,6,FALSE))</f>
        <v>0</v>
      </c>
      <c r="AX594" s="239">
        <f t="shared" si="73"/>
        <v>0</v>
      </c>
      <c r="AY594" s="239">
        <f>IF($G594="CERVECERIA Y MALTERIA.",($AS594*$AK594/1000000)*(1-VLOOKUP($N594,FCST!D:I,6,FALSE)),0)</f>
        <v>0</v>
      </c>
      <c r="AZ594" s="239">
        <f t="shared" si="74"/>
        <v>0</v>
      </c>
    </row>
    <row r="595" spans="1:52" x14ac:dyDescent="0.25">
      <c r="A595" s="209">
        <v>1094883</v>
      </c>
      <c r="B595" s="209">
        <v>70</v>
      </c>
      <c r="C595" s="209" t="s">
        <v>1250</v>
      </c>
      <c r="D595" s="209">
        <v>10</v>
      </c>
      <c r="E595" s="209">
        <v>10000002</v>
      </c>
      <c r="F595" s="209">
        <v>20000335</v>
      </c>
      <c r="G595" s="209" t="s">
        <v>105</v>
      </c>
      <c r="H595" s="209">
        <v>20000335</v>
      </c>
      <c r="I595" s="209">
        <v>2</v>
      </c>
      <c r="J595" s="209" t="s">
        <v>169</v>
      </c>
      <c r="K595" s="209" t="s">
        <v>1251</v>
      </c>
      <c r="L595" s="209" t="s">
        <v>171</v>
      </c>
      <c r="M595" s="209" t="s">
        <v>184</v>
      </c>
      <c r="N595" s="209">
        <v>50037887</v>
      </c>
      <c r="O595" s="209" t="s">
        <v>679</v>
      </c>
      <c r="P595" s="209">
        <v>5121</v>
      </c>
      <c r="Q595" s="209" t="s">
        <v>174</v>
      </c>
      <c r="R595" s="209" t="s">
        <v>175</v>
      </c>
      <c r="S595" s="209" t="s">
        <v>176</v>
      </c>
      <c r="T595" s="209" t="s">
        <v>177</v>
      </c>
      <c r="U595" s="209" t="s">
        <v>178</v>
      </c>
      <c r="V595" s="209" t="s">
        <v>179</v>
      </c>
      <c r="W595" s="209" t="s">
        <v>179</v>
      </c>
      <c r="X595" s="209" t="s">
        <v>180</v>
      </c>
      <c r="Y595" s="209" t="s">
        <v>180</v>
      </c>
      <c r="Z595" s="209" t="s">
        <v>1216</v>
      </c>
      <c r="AA595" s="209" t="s">
        <v>1217</v>
      </c>
      <c r="AB595" s="209" t="s">
        <v>180</v>
      </c>
      <c r="AC595" s="209" t="s">
        <v>182</v>
      </c>
      <c r="AD595" s="209">
        <v>1</v>
      </c>
      <c r="AE595" s="209">
        <v>2025</v>
      </c>
      <c r="AF595" s="227">
        <v>45666</v>
      </c>
      <c r="AG595" s="227">
        <v>45672</v>
      </c>
      <c r="AH595" s="227">
        <v>45672</v>
      </c>
      <c r="AI595" s="228">
        <v>531648</v>
      </c>
      <c r="AJ595" s="228">
        <v>52</v>
      </c>
      <c r="AK595" s="228">
        <v>531648</v>
      </c>
      <c r="AL595" s="228">
        <v>52</v>
      </c>
      <c r="AM595" s="228">
        <v>0</v>
      </c>
      <c r="AN595" s="228">
        <v>0</v>
      </c>
      <c r="AO595" s="229">
        <v>3</v>
      </c>
      <c r="AP595" s="231">
        <v>1</v>
      </c>
      <c r="AQ595" s="231">
        <v>2025</v>
      </c>
      <c r="AR595" s="231" t="str">
        <f t="shared" ref="AR595:AR606" si="75">+IF(AP595&lt;10,"0"&amp;AP595&amp; "/"&amp;AQ595,AP595&amp; "/"&amp;AQ595)</f>
        <v>01/2025</v>
      </c>
      <c r="AS595" s="231">
        <f t="shared" ref="AS595:AS606" si="76">VALUE(MID(INDEX(_xlfn.TEXTSPLIT(O595, ","), 1, 3), 1,FIND("G", INDEX(_xlfn.TEXTSPLIT(O595, ","), 1, 3))-1))</f>
        <v>37.200000000000003</v>
      </c>
      <c r="AT595" s="239">
        <f>IF(G595="CERVECERIA Y MALTERIA",(AS595*AK595/1000000)*(1-VLOOKUP(N595,FCST!D:I,6,FALSE)),0)</f>
        <v>19.777305600000002</v>
      </c>
      <c r="AU595" s="232">
        <v>5.0000000000000001E-3</v>
      </c>
      <c r="AV595" s="239">
        <f t="shared" ref="AV595:AV606" si="77">+AT595*(1+AU595)</f>
        <v>19.876192128</v>
      </c>
      <c r="AW595" s="239">
        <f>(AS595*AK595/1000000)*(VLOOKUP(N595,FCST!D:I,6,FALSE))</f>
        <v>0</v>
      </c>
      <c r="AX595" s="239">
        <f t="shared" ref="AX595:AX606" si="78">+AW595*(1+AU595)</f>
        <v>0</v>
      </c>
      <c r="AY595" s="239">
        <f>IF($G595="CERVECERIA Y MALTERIA.",($AS595*$AK595/1000000)*(1-VLOOKUP($N595,FCST!D:I,6,FALSE)),0)</f>
        <v>0</v>
      </c>
      <c r="AZ595" s="239">
        <f t="shared" ref="AZ595:AZ606" si="79">+AY595*(1+AU595)</f>
        <v>0</v>
      </c>
    </row>
    <row r="596" spans="1:52" x14ac:dyDescent="0.25">
      <c r="A596" s="209">
        <v>1093745</v>
      </c>
      <c r="B596" s="209">
        <v>70</v>
      </c>
      <c r="C596" s="209" t="s">
        <v>1252</v>
      </c>
      <c r="D596" s="209">
        <v>10</v>
      </c>
      <c r="E596" s="209">
        <v>10000002</v>
      </c>
      <c r="F596" s="209">
        <v>20000336</v>
      </c>
      <c r="G596" s="209" t="s">
        <v>105</v>
      </c>
      <c r="H596" s="209">
        <v>20000336</v>
      </c>
      <c r="I596" s="209">
        <v>2</v>
      </c>
      <c r="J596" s="209" t="s">
        <v>169</v>
      </c>
      <c r="K596" s="209" t="s">
        <v>1253</v>
      </c>
      <c r="L596" s="209" t="s">
        <v>265</v>
      </c>
      <c r="M596" s="209" t="s">
        <v>184</v>
      </c>
      <c r="N596" s="209">
        <v>50033268</v>
      </c>
      <c r="O596" s="209" t="s">
        <v>253</v>
      </c>
      <c r="P596" s="209">
        <v>5121</v>
      </c>
      <c r="Q596" s="209" t="s">
        <v>174</v>
      </c>
      <c r="R596" s="209" t="s">
        <v>175</v>
      </c>
      <c r="S596" s="209" t="s">
        <v>176</v>
      </c>
      <c r="T596" s="209" t="s">
        <v>177</v>
      </c>
      <c r="U596" s="209" t="s">
        <v>178</v>
      </c>
      <c r="V596" s="209" t="s">
        <v>179</v>
      </c>
      <c r="W596" s="209" t="s">
        <v>179</v>
      </c>
      <c r="X596" s="209" t="s">
        <v>180</v>
      </c>
      <c r="Y596" s="209" t="s">
        <v>180</v>
      </c>
      <c r="Z596" s="209" t="s">
        <v>1254</v>
      </c>
      <c r="AA596" s="209" t="s">
        <v>1255</v>
      </c>
      <c r="AB596" s="209" t="s">
        <v>180</v>
      </c>
      <c r="AC596" s="209" t="s">
        <v>182</v>
      </c>
      <c r="AD596" s="209">
        <v>1</v>
      </c>
      <c r="AE596" s="209">
        <v>2025</v>
      </c>
      <c r="AF596" s="227">
        <v>45660</v>
      </c>
      <c r="AG596" s="227">
        <v>45672</v>
      </c>
      <c r="AH596" s="227">
        <v>45672</v>
      </c>
      <c r="AI596" s="228">
        <v>203424</v>
      </c>
      <c r="AJ596" s="228">
        <v>26</v>
      </c>
      <c r="AK596" s="228">
        <v>203424</v>
      </c>
      <c r="AL596" s="228">
        <v>26</v>
      </c>
      <c r="AM596" s="228">
        <v>0</v>
      </c>
      <c r="AN596" s="228">
        <v>0</v>
      </c>
      <c r="AO596" s="229">
        <v>1</v>
      </c>
      <c r="AP596" s="231">
        <v>1</v>
      </c>
      <c r="AQ596" s="231">
        <v>2025</v>
      </c>
      <c r="AR596" s="231" t="str">
        <f t="shared" si="75"/>
        <v>01/2025</v>
      </c>
      <c r="AS596" s="231">
        <f t="shared" si="76"/>
        <v>44</v>
      </c>
      <c r="AT596" s="239">
        <f>IF(G596="CERVECERIA Y MALTERIA",(AS596*AK596/1000000)*(1-VLOOKUP(N596,FCST!D:I,6,FALSE)),0)</f>
        <v>8.9506560000000004</v>
      </c>
      <c r="AU596" s="232">
        <v>5.0000000000000001E-3</v>
      </c>
      <c r="AV596" s="239">
        <f t="shared" si="77"/>
        <v>8.9954092799999987</v>
      </c>
      <c r="AW596" s="239">
        <f>(AS596*AK596/1000000)*(VLOOKUP(N596,FCST!D:I,6,FALSE))</f>
        <v>0</v>
      </c>
      <c r="AX596" s="239">
        <f t="shared" si="78"/>
        <v>0</v>
      </c>
      <c r="AY596" s="239">
        <f>IF($G596="CERVECERIA Y MALTERIA.",($AS596*$AK596/1000000)*(1-VLOOKUP($N596,FCST!D:I,6,FALSE)),0)</f>
        <v>0</v>
      </c>
      <c r="AZ596" s="239">
        <f t="shared" si="79"/>
        <v>0</v>
      </c>
    </row>
    <row r="597" spans="1:52" x14ac:dyDescent="0.25">
      <c r="A597" s="209">
        <v>1093745</v>
      </c>
      <c r="B597" s="209">
        <v>80</v>
      </c>
      <c r="C597" s="209" t="s">
        <v>1252</v>
      </c>
      <c r="D597" s="209">
        <v>20</v>
      </c>
      <c r="E597" s="209">
        <v>10000002</v>
      </c>
      <c r="F597" s="209">
        <v>20000336</v>
      </c>
      <c r="G597" s="209" t="s">
        <v>105</v>
      </c>
      <c r="H597" s="209">
        <v>20000336</v>
      </c>
      <c r="I597" s="209">
        <v>2</v>
      </c>
      <c r="J597" s="209" t="s">
        <v>169</v>
      </c>
      <c r="K597" s="209" t="s">
        <v>1253</v>
      </c>
      <c r="L597" s="209" t="s">
        <v>265</v>
      </c>
      <c r="M597" s="209" t="s">
        <v>184</v>
      </c>
      <c r="N597" s="209">
        <v>50034194</v>
      </c>
      <c r="O597" s="209" t="s">
        <v>276</v>
      </c>
      <c r="P597" s="209">
        <v>5121</v>
      </c>
      <c r="Q597" s="209" t="s">
        <v>174</v>
      </c>
      <c r="R597" s="209" t="s">
        <v>175</v>
      </c>
      <c r="S597" s="209" t="s">
        <v>176</v>
      </c>
      <c r="T597" s="209" t="s">
        <v>177</v>
      </c>
      <c r="U597" s="209" t="s">
        <v>178</v>
      </c>
      <c r="V597" s="209" t="s">
        <v>179</v>
      </c>
      <c r="W597" s="209" t="s">
        <v>179</v>
      </c>
      <c r="X597" s="209" t="s">
        <v>180</v>
      </c>
      <c r="Y597" s="209" t="s">
        <v>180</v>
      </c>
      <c r="Z597" s="209" t="s">
        <v>1254</v>
      </c>
      <c r="AA597" s="209" t="s">
        <v>1255</v>
      </c>
      <c r="AB597" s="209" t="s">
        <v>180</v>
      </c>
      <c r="AC597" s="209" t="s">
        <v>182</v>
      </c>
      <c r="AD597" s="209">
        <v>1</v>
      </c>
      <c r="AE597" s="209">
        <v>2025</v>
      </c>
      <c r="AF597" s="227">
        <v>45660</v>
      </c>
      <c r="AG597" s="227">
        <v>45672</v>
      </c>
      <c r="AH597" s="227">
        <v>45672</v>
      </c>
      <c r="AI597" s="228">
        <v>158496</v>
      </c>
      <c r="AJ597" s="228">
        <v>26</v>
      </c>
      <c r="AK597" s="228">
        <v>158496</v>
      </c>
      <c r="AL597" s="228">
        <v>26</v>
      </c>
      <c r="AM597" s="228">
        <v>0</v>
      </c>
      <c r="AN597" s="228">
        <v>0</v>
      </c>
      <c r="AO597" s="229">
        <v>1</v>
      </c>
      <c r="AP597" s="231">
        <v>1</v>
      </c>
      <c r="AQ597" s="231">
        <v>2025</v>
      </c>
      <c r="AR597" s="231" t="str">
        <f t="shared" si="75"/>
        <v>01/2025</v>
      </c>
      <c r="AS597" s="231">
        <f t="shared" si="76"/>
        <v>62</v>
      </c>
      <c r="AT597" s="239">
        <f>IF(G597="CERVECERIA Y MALTERIA",(AS597*AK597/1000000)*(1-VLOOKUP(N597,FCST!D:I,6,FALSE)),0)</f>
        <v>9.8267520000000008</v>
      </c>
      <c r="AU597" s="232">
        <v>5.0000000000000001E-3</v>
      </c>
      <c r="AV597" s="239">
        <f t="shared" si="77"/>
        <v>9.8758857599999992</v>
      </c>
      <c r="AW597" s="239">
        <f>(AS597*AK597/1000000)*(VLOOKUP(N597,FCST!D:I,6,FALSE))</f>
        <v>0</v>
      </c>
      <c r="AX597" s="239">
        <f t="shared" si="78"/>
        <v>0</v>
      </c>
      <c r="AY597" s="239">
        <f>IF($G597="CERVECERIA Y MALTERIA.",($AS597*$AK597/1000000)*(1-VLOOKUP($N597,FCST!D:I,6,FALSE)),0)</f>
        <v>0</v>
      </c>
      <c r="AZ597" s="239">
        <f t="shared" si="79"/>
        <v>0</v>
      </c>
    </row>
    <row r="598" spans="1:52" x14ac:dyDescent="0.25">
      <c r="A598" s="209">
        <v>1094003</v>
      </c>
      <c r="B598" s="209">
        <v>50</v>
      </c>
      <c r="C598" s="209" t="s">
        <v>1256</v>
      </c>
      <c r="D598" s="209">
        <v>10</v>
      </c>
      <c r="E598" s="209">
        <v>10000002</v>
      </c>
      <c r="F598" s="209">
        <v>20000337</v>
      </c>
      <c r="G598" s="209" t="s">
        <v>105</v>
      </c>
      <c r="H598" s="209">
        <v>20000337</v>
      </c>
      <c r="I598" s="209">
        <v>2</v>
      </c>
      <c r="J598" s="209" t="s">
        <v>169</v>
      </c>
      <c r="K598" s="209" t="s">
        <v>1257</v>
      </c>
      <c r="L598" s="209" t="s">
        <v>265</v>
      </c>
      <c r="M598" s="209" t="s">
        <v>199</v>
      </c>
      <c r="N598" s="209">
        <v>50034616</v>
      </c>
      <c r="O598" s="209" t="s">
        <v>191</v>
      </c>
      <c r="P598" s="209">
        <v>5121</v>
      </c>
      <c r="Q598" s="209" t="s">
        <v>200</v>
      </c>
      <c r="R598" s="209" t="s">
        <v>201</v>
      </c>
      <c r="S598" s="209" t="s">
        <v>202</v>
      </c>
      <c r="T598" s="209" t="s">
        <v>203</v>
      </c>
      <c r="U598" s="209" t="s">
        <v>201</v>
      </c>
      <c r="V598" s="209" t="s">
        <v>179</v>
      </c>
      <c r="W598" s="209" t="s">
        <v>179</v>
      </c>
      <c r="X598" s="209" t="s">
        <v>180</v>
      </c>
      <c r="Y598" s="209" t="s">
        <v>180</v>
      </c>
      <c r="Z598" s="209" t="s">
        <v>1236</v>
      </c>
      <c r="AA598" s="209" t="s">
        <v>1237</v>
      </c>
      <c r="AB598" s="209" t="s">
        <v>180</v>
      </c>
      <c r="AC598" s="209" t="s">
        <v>182</v>
      </c>
      <c r="AD598" s="209">
        <v>1</v>
      </c>
      <c r="AE598" s="209">
        <v>2025</v>
      </c>
      <c r="AF598" s="227">
        <v>45663</v>
      </c>
      <c r="AG598" s="227">
        <v>45672</v>
      </c>
      <c r="AH598" s="227">
        <v>45672</v>
      </c>
      <c r="AI598" s="228">
        <v>393984</v>
      </c>
      <c r="AJ598" s="228">
        <v>48</v>
      </c>
      <c r="AK598" s="228">
        <v>393984</v>
      </c>
      <c r="AL598" s="228">
        <v>48</v>
      </c>
      <c r="AM598" s="228">
        <v>0</v>
      </c>
      <c r="AN598" s="228">
        <v>0</v>
      </c>
      <c r="AO598" s="229">
        <v>2</v>
      </c>
      <c r="AP598" s="231">
        <v>1</v>
      </c>
      <c r="AQ598" s="231">
        <v>2025</v>
      </c>
      <c r="AR598" s="231" t="str">
        <f t="shared" si="75"/>
        <v>01/2025</v>
      </c>
      <c r="AS598" s="231">
        <f t="shared" si="76"/>
        <v>46.6</v>
      </c>
      <c r="AT598" s="239">
        <f>IF(G598="CERVECERIA Y MALTERIA",(AS598*AK598/1000000)*(1-VLOOKUP(N598,FCST!D:I,6,FALSE)),0)</f>
        <v>18.359654400000004</v>
      </c>
      <c r="AU598" s="232">
        <v>5.0000000000000001E-3</v>
      </c>
      <c r="AV598" s="239">
        <f t="shared" si="77"/>
        <v>18.451452672000002</v>
      </c>
      <c r="AW598" s="239">
        <f>(AS598*AK598/1000000)*(VLOOKUP(N598,FCST!D:I,6,FALSE))</f>
        <v>0</v>
      </c>
      <c r="AX598" s="239">
        <f t="shared" si="78"/>
        <v>0</v>
      </c>
      <c r="AY598" s="239">
        <f>IF($G598="CERVECERIA Y MALTERIA.",($AS598*$AK598/1000000)*(1-VLOOKUP($N598,FCST!D:I,6,FALSE)),0)</f>
        <v>0</v>
      </c>
      <c r="AZ598" s="239">
        <f t="shared" si="79"/>
        <v>0</v>
      </c>
    </row>
    <row r="599" spans="1:52" x14ac:dyDescent="0.25">
      <c r="A599" s="209">
        <v>1092699</v>
      </c>
      <c r="B599" s="209">
        <v>90</v>
      </c>
      <c r="C599" s="209" t="s">
        <v>1258</v>
      </c>
      <c r="D599" s="209">
        <v>10</v>
      </c>
      <c r="E599" s="209">
        <v>10000002</v>
      </c>
      <c r="F599" s="209">
        <v>20000335</v>
      </c>
      <c r="G599" s="209" t="s">
        <v>105</v>
      </c>
      <c r="H599" s="209">
        <v>20000335</v>
      </c>
      <c r="I599" s="209">
        <v>2</v>
      </c>
      <c r="J599" s="209" t="s">
        <v>169</v>
      </c>
      <c r="K599" s="209" t="s">
        <v>1259</v>
      </c>
      <c r="L599" s="209" t="s">
        <v>171</v>
      </c>
      <c r="M599" s="209" t="s">
        <v>199</v>
      </c>
      <c r="N599" s="209">
        <v>50037042</v>
      </c>
      <c r="O599" s="209" t="s">
        <v>543</v>
      </c>
      <c r="P599" s="209">
        <v>5121</v>
      </c>
      <c r="Q599" s="209" t="s">
        <v>200</v>
      </c>
      <c r="R599" s="209" t="s">
        <v>201</v>
      </c>
      <c r="S599" s="209" t="s">
        <v>202</v>
      </c>
      <c r="T599" s="209" t="s">
        <v>203</v>
      </c>
      <c r="U599" s="209" t="s">
        <v>201</v>
      </c>
      <c r="V599" s="209" t="s">
        <v>179</v>
      </c>
      <c r="W599" s="209" t="s">
        <v>179</v>
      </c>
      <c r="X599" s="209" t="s">
        <v>180</v>
      </c>
      <c r="Y599" s="209" t="s">
        <v>180</v>
      </c>
      <c r="Z599" s="209" t="s">
        <v>1054</v>
      </c>
      <c r="AA599" s="209" t="s">
        <v>1055</v>
      </c>
      <c r="AB599" s="209" t="s">
        <v>180</v>
      </c>
      <c r="AC599" s="209" t="s">
        <v>182</v>
      </c>
      <c r="AD599" s="209">
        <v>12</v>
      </c>
      <c r="AE599" s="209">
        <v>2024</v>
      </c>
      <c r="AF599" s="227">
        <v>45652</v>
      </c>
      <c r="AG599" s="227">
        <v>45660</v>
      </c>
      <c r="AH599" s="227">
        <v>45660</v>
      </c>
      <c r="AI599" s="228">
        <v>426816</v>
      </c>
      <c r="AJ599" s="228">
        <v>52</v>
      </c>
      <c r="AK599" s="228">
        <v>426816</v>
      </c>
      <c r="AL599" s="228">
        <v>52</v>
      </c>
      <c r="AM599" s="228">
        <v>0</v>
      </c>
      <c r="AN599" s="228">
        <v>0</v>
      </c>
      <c r="AO599" s="229">
        <v>1</v>
      </c>
      <c r="AP599" s="231">
        <v>1</v>
      </c>
      <c r="AQ599" s="231">
        <v>2025</v>
      </c>
      <c r="AR599" s="231" t="str">
        <f t="shared" si="75"/>
        <v>01/2025</v>
      </c>
      <c r="AS599" s="231">
        <f t="shared" si="76"/>
        <v>46.6</v>
      </c>
      <c r="AT599" s="239">
        <f>IF(G599="CERVECERIA Y MALTERIA",(AS599*AK599/1000000)*(1-VLOOKUP(N599,FCST!D:I,6,FALSE)),0)</f>
        <v>15.911700480000002</v>
      </c>
      <c r="AU599" s="232">
        <v>5.0000000000000001E-3</v>
      </c>
      <c r="AV599" s="239">
        <f t="shared" si="77"/>
        <v>15.9912589824</v>
      </c>
      <c r="AW599" s="239">
        <f>(AS599*AK599/1000000)*(VLOOKUP(N599,FCST!D:I,6,FALSE))</f>
        <v>3.9779251200000005</v>
      </c>
      <c r="AX599" s="239">
        <f t="shared" si="78"/>
        <v>3.9978147455999999</v>
      </c>
      <c r="AY599" s="239">
        <f>IF($G599="CERVECERIA Y MALTERIA.",($AS599*$AK599/1000000)*(1-VLOOKUP($N599,FCST!D:I,6,FALSE)),0)</f>
        <v>0</v>
      </c>
      <c r="AZ599" s="239">
        <f t="shared" si="79"/>
        <v>0</v>
      </c>
    </row>
    <row r="600" spans="1:52" x14ac:dyDescent="0.25">
      <c r="A600" s="209">
        <v>1092699</v>
      </c>
      <c r="B600" s="209">
        <v>100</v>
      </c>
      <c r="C600" s="209" t="s">
        <v>1260</v>
      </c>
      <c r="D600" s="209">
        <v>10</v>
      </c>
      <c r="E600" s="209">
        <v>10000002</v>
      </c>
      <c r="F600" s="209">
        <v>20000335</v>
      </c>
      <c r="G600" s="209" t="s">
        <v>105</v>
      </c>
      <c r="H600" s="209">
        <v>20000335</v>
      </c>
      <c r="I600" s="209">
        <v>2</v>
      </c>
      <c r="J600" s="209" t="s">
        <v>169</v>
      </c>
      <c r="K600" s="209" t="s">
        <v>1261</v>
      </c>
      <c r="L600" s="209" t="s">
        <v>171</v>
      </c>
      <c r="M600" s="209" t="s">
        <v>199</v>
      </c>
      <c r="N600" s="209">
        <v>50037042</v>
      </c>
      <c r="O600" s="209" t="s">
        <v>543</v>
      </c>
      <c r="P600" s="209">
        <v>5121</v>
      </c>
      <c r="Q600" s="209" t="s">
        <v>200</v>
      </c>
      <c r="R600" s="209" t="s">
        <v>201</v>
      </c>
      <c r="S600" s="209" t="s">
        <v>202</v>
      </c>
      <c r="T600" s="209" t="s">
        <v>203</v>
      </c>
      <c r="U600" s="209" t="s">
        <v>201</v>
      </c>
      <c r="V600" s="209" t="s">
        <v>179</v>
      </c>
      <c r="W600" s="209" t="s">
        <v>179</v>
      </c>
      <c r="X600" s="209" t="s">
        <v>180</v>
      </c>
      <c r="Y600" s="209" t="s">
        <v>180</v>
      </c>
      <c r="Z600" s="209" t="s">
        <v>1054</v>
      </c>
      <c r="AA600" s="209" t="s">
        <v>1055</v>
      </c>
      <c r="AB600" s="209" t="s">
        <v>180</v>
      </c>
      <c r="AC600" s="209" t="s">
        <v>182</v>
      </c>
      <c r="AD600" s="209">
        <v>12</v>
      </c>
      <c r="AE600" s="209">
        <v>2024</v>
      </c>
      <c r="AF600" s="227">
        <v>45652</v>
      </c>
      <c r="AG600" s="227">
        <v>45660</v>
      </c>
      <c r="AH600" s="227">
        <v>45660</v>
      </c>
      <c r="AI600" s="228">
        <v>426816</v>
      </c>
      <c r="AJ600" s="228">
        <v>52</v>
      </c>
      <c r="AK600" s="228">
        <v>426816</v>
      </c>
      <c r="AL600" s="228">
        <v>52</v>
      </c>
      <c r="AM600" s="228">
        <v>0</v>
      </c>
      <c r="AN600" s="228">
        <v>0</v>
      </c>
      <c r="AO600" s="229">
        <v>1</v>
      </c>
      <c r="AP600" s="231">
        <v>1</v>
      </c>
      <c r="AQ600" s="231">
        <v>2025</v>
      </c>
      <c r="AR600" s="231" t="str">
        <f t="shared" si="75"/>
        <v>01/2025</v>
      </c>
      <c r="AS600" s="231">
        <f t="shared" si="76"/>
        <v>46.6</v>
      </c>
      <c r="AT600" s="239">
        <f>IF(G600="CERVECERIA Y MALTERIA",(AS600*AK600/1000000)*(1-VLOOKUP(N600,FCST!D:I,6,FALSE)),0)</f>
        <v>15.911700480000002</v>
      </c>
      <c r="AU600" s="232">
        <v>5.0000000000000001E-3</v>
      </c>
      <c r="AV600" s="239">
        <f t="shared" si="77"/>
        <v>15.9912589824</v>
      </c>
      <c r="AW600" s="239">
        <f>(AS600*AK600/1000000)*(VLOOKUP(N600,FCST!D:I,6,FALSE))</f>
        <v>3.9779251200000005</v>
      </c>
      <c r="AX600" s="239">
        <f t="shared" si="78"/>
        <v>3.9978147455999999</v>
      </c>
      <c r="AY600" s="239">
        <f>IF($G600="CERVECERIA Y MALTERIA.",($AS600*$AK600/1000000)*(1-VLOOKUP($N600,FCST!D:I,6,FALSE)),0)</f>
        <v>0</v>
      </c>
      <c r="AZ600" s="239">
        <f t="shared" si="79"/>
        <v>0</v>
      </c>
    </row>
    <row r="601" spans="1:52" x14ac:dyDescent="0.25">
      <c r="A601" s="209">
        <v>1092699</v>
      </c>
      <c r="B601" s="209">
        <v>70</v>
      </c>
      <c r="C601" s="209" t="s">
        <v>1262</v>
      </c>
      <c r="D601" s="209">
        <v>10</v>
      </c>
      <c r="E601" s="209">
        <v>10000002</v>
      </c>
      <c r="F601" s="209">
        <v>20000335</v>
      </c>
      <c r="G601" s="209" t="s">
        <v>105</v>
      </c>
      <c r="H601" s="209">
        <v>20000335</v>
      </c>
      <c r="I601" s="209">
        <v>2</v>
      </c>
      <c r="J601" s="209" t="s">
        <v>169</v>
      </c>
      <c r="K601" s="209" t="s">
        <v>1263</v>
      </c>
      <c r="L601" s="209" t="s">
        <v>171</v>
      </c>
      <c r="M601" s="209" t="s">
        <v>172</v>
      </c>
      <c r="N601" s="209">
        <v>50035184</v>
      </c>
      <c r="O601" s="209" t="s">
        <v>672</v>
      </c>
      <c r="P601" s="209">
        <v>5121</v>
      </c>
      <c r="Q601" s="209" t="s">
        <v>174</v>
      </c>
      <c r="R601" s="209" t="s">
        <v>175</v>
      </c>
      <c r="S601" s="209" t="s">
        <v>176</v>
      </c>
      <c r="T601" s="209" t="s">
        <v>177</v>
      </c>
      <c r="U601" s="209" t="s">
        <v>178</v>
      </c>
      <c r="V601" s="209" t="s">
        <v>179</v>
      </c>
      <c r="W601" s="209" t="s">
        <v>179</v>
      </c>
      <c r="X601" s="209" t="s">
        <v>180</v>
      </c>
      <c r="Y601" s="209" t="s">
        <v>180</v>
      </c>
      <c r="Z601" s="209" t="s">
        <v>1044</v>
      </c>
      <c r="AA601" s="209" t="s">
        <v>1045</v>
      </c>
      <c r="AB601" s="209" t="s">
        <v>180</v>
      </c>
      <c r="AC601" s="209" t="s">
        <v>182</v>
      </c>
      <c r="AD601" s="209">
        <v>12</v>
      </c>
      <c r="AE601" s="209">
        <v>2024</v>
      </c>
      <c r="AF601" s="227">
        <v>45652</v>
      </c>
      <c r="AG601" s="227">
        <v>45660</v>
      </c>
      <c r="AH601" s="227">
        <v>45660</v>
      </c>
      <c r="AI601" s="228">
        <v>977184</v>
      </c>
      <c r="AJ601" s="228">
        <v>52</v>
      </c>
      <c r="AK601" s="228">
        <v>977184</v>
      </c>
      <c r="AL601" s="228">
        <v>52</v>
      </c>
      <c r="AM601" s="228">
        <v>0</v>
      </c>
      <c r="AN601" s="228">
        <v>0</v>
      </c>
      <c r="AO601" s="229">
        <v>1</v>
      </c>
      <c r="AP601" s="231">
        <v>1</v>
      </c>
      <c r="AQ601" s="231">
        <v>2025</v>
      </c>
      <c r="AR601" s="231" t="str">
        <f t="shared" si="75"/>
        <v>01/2025</v>
      </c>
      <c r="AS601" s="231">
        <f t="shared" si="76"/>
        <v>19.5</v>
      </c>
      <c r="AT601" s="239">
        <f>IF(G601="CERVECERIA Y MALTERIA",(AS601*AK601/1000000)*(1-VLOOKUP(N601,FCST!D:I,6,FALSE)),0)</f>
        <v>19.055088000000001</v>
      </c>
      <c r="AU601" s="232">
        <v>5.0000000000000001E-3</v>
      </c>
      <c r="AV601" s="239">
        <f t="shared" si="77"/>
        <v>19.15036344</v>
      </c>
      <c r="AW601" s="239">
        <f>(AS601*AK601/1000000)*(VLOOKUP(N601,FCST!D:I,6,FALSE))</f>
        <v>0</v>
      </c>
      <c r="AX601" s="239">
        <f t="shared" si="78"/>
        <v>0</v>
      </c>
      <c r="AY601" s="239">
        <f>IF($G601="CERVECERIA Y MALTERIA.",($AS601*$AK601/1000000)*(1-VLOOKUP($N601,FCST!D:I,6,FALSE)),0)</f>
        <v>0</v>
      </c>
      <c r="AZ601" s="239">
        <f t="shared" si="79"/>
        <v>0</v>
      </c>
    </row>
    <row r="602" spans="1:52" x14ac:dyDescent="0.25">
      <c r="A602" s="209">
        <v>1092699</v>
      </c>
      <c r="B602" s="209">
        <v>80</v>
      </c>
      <c r="C602" s="209" t="s">
        <v>1264</v>
      </c>
      <c r="D602" s="209">
        <v>10</v>
      </c>
      <c r="E602" s="209">
        <v>10000002</v>
      </c>
      <c r="F602" s="209">
        <v>20000335</v>
      </c>
      <c r="G602" s="209" t="s">
        <v>105</v>
      </c>
      <c r="H602" s="209">
        <v>20000335</v>
      </c>
      <c r="I602" s="209">
        <v>2</v>
      </c>
      <c r="J602" s="209" t="s">
        <v>169</v>
      </c>
      <c r="K602" s="209" t="s">
        <v>1265</v>
      </c>
      <c r="L602" s="209" t="s">
        <v>171</v>
      </c>
      <c r="M602" s="209" t="s">
        <v>172</v>
      </c>
      <c r="N602" s="209">
        <v>50037887</v>
      </c>
      <c r="O602" s="209" t="s">
        <v>679</v>
      </c>
      <c r="P602" s="209">
        <v>5121</v>
      </c>
      <c r="Q602" s="209" t="s">
        <v>174</v>
      </c>
      <c r="R602" s="209" t="s">
        <v>175</v>
      </c>
      <c r="S602" s="209" t="s">
        <v>176</v>
      </c>
      <c r="T602" s="209" t="s">
        <v>177</v>
      </c>
      <c r="U602" s="209" t="s">
        <v>178</v>
      </c>
      <c r="V602" s="209" t="s">
        <v>179</v>
      </c>
      <c r="W602" s="209" t="s">
        <v>179</v>
      </c>
      <c r="X602" s="209" t="s">
        <v>180</v>
      </c>
      <c r="Y602" s="209" t="s">
        <v>180</v>
      </c>
      <c r="Z602" s="209" t="s">
        <v>1078</v>
      </c>
      <c r="AA602" s="209" t="s">
        <v>1079</v>
      </c>
      <c r="AB602" s="209" t="s">
        <v>180</v>
      </c>
      <c r="AC602" s="209" t="s">
        <v>182</v>
      </c>
      <c r="AD602" s="209">
        <v>12</v>
      </c>
      <c r="AE602" s="209">
        <v>2024</v>
      </c>
      <c r="AF602" s="227">
        <v>45652</v>
      </c>
      <c r="AG602" s="227">
        <v>45660</v>
      </c>
      <c r="AH602" s="227">
        <v>45660</v>
      </c>
      <c r="AI602" s="228">
        <v>531648</v>
      </c>
      <c r="AJ602" s="228">
        <v>52</v>
      </c>
      <c r="AK602" s="228">
        <v>531648</v>
      </c>
      <c r="AL602" s="228">
        <v>52</v>
      </c>
      <c r="AM602" s="228">
        <v>0</v>
      </c>
      <c r="AN602" s="228">
        <v>0</v>
      </c>
      <c r="AO602" s="229">
        <v>1</v>
      </c>
      <c r="AP602" s="231">
        <v>1</v>
      </c>
      <c r="AQ602" s="231">
        <v>2025</v>
      </c>
      <c r="AR602" s="231" t="str">
        <f t="shared" si="75"/>
        <v>01/2025</v>
      </c>
      <c r="AS602" s="231">
        <f t="shared" si="76"/>
        <v>37.200000000000003</v>
      </c>
      <c r="AT602" s="239">
        <f>IF(G602="CERVECERIA Y MALTERIA",(AS602*AK602/1000000)*(1-VLOOKUP(N602,FCST!D:I,6,FALSE)),0)</f>
        <v>19.777305600000002</v>
      </c>
      <c r="AU602" s="232">
        <v>5.0000000000000001E-3</v>
      </c>
      <c r="AV602" s="239">
        <f t="shared" si="77"/>
        <v>19.876192128</v>
      </c>
      <c r="AW602" s="239">
        <f>(AS602*AK602/1000000)*(VLOOKUP(N602,FCST!D:I,6,FALSE))</f>
        <v>0</v>
      </c>
      <c r="AX602" s="239">
        <f t="shared" si="78"/>
        <v>0</v>
      </c>
      <c r="AY602" s="239">
        <f>IF($G602="CERVECERIA Y MALTERIA.",($AS602*$AK602/1000000)*(1-VLOOKUP($N602,FCST!D:I,6,FALSE)),0)</f>
        <v>0</v>
      </c>
      <c r="AZ602" s="239">
        <f t="shared" si="79"/>
        <v>0</v>
      </c>
    </row>
    <row r="603" spans="1:52" x14ac:dyDescent="0.25">
      <c r="A603" s="209">
        <v>1092699</v>
      </c>
      <c r="B603" s="209">
        <v>50</v>
      </c>
      <c r="C603" s="209" t="s">
        <v>1266</v>
      </c>
      <c r="D603" s="209">
        <v>10</v>
      </c>
      <c r="E603" s="209">
        <v>10000002</v>
      </c>
      <c r="F603" s="209">
        <v>20000335</v>
      </c>
      <c r="G603" s="209" t="s">
        <v>105</v>
      </c>
      <c r="H603" s="209">
        <v>20000335</v>
      </c>
      <c r="I603" s="209">
        <v>2</v>
      </c>
      <c r="J603" s="209" t="s">
        <v>169</v>
      </c>
      <c r="K603" s="209" t="s">
        <v>1267</v>
      </c>
      <c r="L603" s="209" t="s">
        <v>171</v>
      </c>
      <c r="M603" s="209" t="s">
        <v>172</v>
      </c>
      <c r="N603" s="209">
        <v>50037887</v>
      </c>
      <c r="O603" s="209" t="s">
        <v>679</v>
      </c>
      <c r="P603" s="209">
        <v>5121</v>
      </c>
      <c r="Q603" s="209" t="s">
        <v>174</v>
      </c>
      <c r="R603" s="209" t="s">
        <v>175</v>
      </c>
      <c r="S603" s="209" t="s">
        <v>176</v>
      </c>
      <c r="T603" s="209" t="s">
        <v>177</v>
      </c>
      <c r="U603" s="209" t="s">
        <v>178</v>
      </c>
      <c r="V603" s="209" t="s">
        <v>179</v>
      </c>
      <c r="W603" s="209" t="s">
        <v>179</v>
      </c>
      <c r="X603" s="209" t="s">
        <v>180</v>
      </c>
      <c r="Y603" s="209" t="s">
        <v>180</v>
      </c>
      <c r="Z603" s="209" t="s">
        <v>1078</v>
      </c>
      <c r="AA603" s="209" t="s">
        <v>1079</v>
      </c>
      <c r="AB603" s="209" t="s">
        <v>180</v>
      </c>
      <c r="AC603" s="209" t="s">
        <v>182</v>
      </c>
      <c r="AD603" s="209">
        <v>12</v>
      </c>
      <c r="AE603" s="209">
        <v>2024</v>
      </c>
      <c r="AF603" s="227">
        <v>45652</v>
      </c>
      <c r="AG603" s="227">
        <v>45659</v>
      </c>
      <c r="AH603" s="227">
        <v>45659</v>
      </c>
      <c r="AI603" s="228">
        <v>531648</v>
      </c>
      <c r="AJ603" s="228">
        <v>52</v>
      </c>
      <c r="AK603" s="228">
        <v>531648</v>
      </c>
      <c r="AL603" s="228">
        <v>52</v>
      </c>
      <c r="AM603" s="228">
        <v>0</v>
      </c>
      <c r="AN603" s="228">
        <v>0</v>
      </c>
      <c r="AO603" s="229">
        <v>1</v>
      </c>
      <c r="AP603" s="231">
        <v>1</v>
      </c>
      <c r="AQ603" s="231">
        <v>2025</v>
      </c>
      <c r="AR603" s="231" t="str">
        <f t="shared" si="75"/>
        <v>01/2025</v>
      </c>
      <c r="AS603" s="231">
        <f t="shared" si="76"/>
        <v>37.200000000000003</v>
      </c>
      <c r="AT603" s="239">
        <f>IF(G603="CERVECERIA Y MALTERIA",(AS603*AK603/1000000)*(1-VLOOKUP(N603,FCST!D:I,6,FALSE)),0)</f>
        <v>19.777305600000002</v>
      </c>
      <c r="AU603" s="232">
        <v>5.0000000000000001E-3</v>
      </c>
      <c r="AV603" s="239">
        <f t="shared" si="77"/>
        <v>19.876192128</v>
      </c>
      <c r="AW603" s="239">
        <f>(AS603*AK603/1000000)*(VLOOKUP(N603,FCST!D:I,6,FALSE))</f>
        <v>0</v>
      </c>
      <c r="AX603" s="239">
        <f t="shared" si="78"/>
        <v>0</v>
      </c>
      <c r="AY603" s="239">
        <f>IF($G603="CERVECERIA Y MALTERIA.",($AS603*$AK603/1000000)*(1-VLOOKUP($N603,FCST!D:I,6,FALSE)),0)</f>
        <v>0</v>
      </c>
      <c r="AZ603" s="239">
        <f t="shared" si="79"/>
        <v>0</v>
      </c>
    </row>
    <row r="604" spans="1:52" x14ac:dyDescent="0.25">
      <c r="A604" s="209">
        <v>1092701</v>
      </c>
      <c r="B604" s="209">
        <v>30</v>
      </c>
      <c r="C604" s="209" t="s">
        <v>1268</v>
      </c>
      <c r="D604" s="209">
        <v>10</v>
      </c>
      <c r="E604" s="209">
        <v>10000002</v>
      </c>
      <c r="F604" s="209">
        <v>20000340</v>
      </c>
      <c r="G604" s="209" t="s">
        <v>117</v>
      </c>
      <c r="H604" s="209">
        <v>20000340</v>
      </c>
      <c r="I604" s="209">
        <v>2</v>
      </c>
      <c r="J604" s="209" t="s">
        <v>169</v>
      </c>
      <c r="K604" s="209" t="s">
        <v>1269</v>
      </c>
      <c r="L604" s="209" t="s">
        <v>171</v>
      </c>
      <c r="M604" s="209" t="s">
        <v>172</v>
      </c>
      <c r="N604" s="209">
        <v>50027468</v>
      </c>
      <c r="O604" s="209" t="s">
        <v>285</v>
      </c>
      <c r="P604" s="209">
        <v>5101</v>
      </c>
      <c r="Q604" s="209" t="s">
        <v>186</v>
      </c>
      <c r="R604" s="209" t="s">
        <v>175</v>
      </c>
      <c r="S604" s="209" t="s">
        <v>176</v>
      </c>
      <c r="T604" s="209" t="s">
        <v>187</v>
      </c>
      <c r="U604" s="209" t="s">
        <v>188</v>
      </c>
      <c r="V604" s="209" t="s">
        <v>179</v>
      </c>
      <c r="W604" s="209" t="s">
        <v>179</v>
      </c>
      <c r="X604" s="209" t="s">
        <v>180</v>
      </c>
      <c r="Y604" s="209" t="s">
        <v>180</v>
      </c>
      <c r="Z604" s="209" t="s">
        <v>1138</v>
      </c>
      <c r="AA604" s="209" t="s">
        <v>1139</v>
      </c>
      <c r="AB604" s="209" t="s">
        <v>180</v>
      </c>
      <c r="AC604" s="209" t="s">
        <v>182</v>
      </c>
      <c r="AD604" s="209">
        <v>12</v>
      </c>
      <c r="AE604" s="209">
        <v>2024</v>
      </c>
      <c r="AF604" s="227">
        <v>45652</v>
      </c>
      <c r="AG604" s="227">
        <v>45659</v>
      </c>
      <c r="AH604" s="227">
        <v>45659</v>
      </c>
      <c r="AI604" s="228">
        <v>399360</v>
      </c>
      <c r="AJ604" s="228">
        <v>52</v>
      </c>
      <c r="AK604" s="228">
        <v>399360</v>
      </c>
      <c r="AL604" s="228">
        <v>52</v>
      </c>
      <c r="AM604" s="228">
        <v>0</v>
      </c>
      <c r="AN604" s="228">
        <v>0</v>
      </c>
      <c r="AO604" s="229">
        <v>1</v>
      </c>
      <c r="AP604" s="231">
        <v>1</v>
      </c>
      <c r="AQ604" s="231">
        <v>2025</v>
      </c>
      <c r="AR604" s="231" t="str">
        <f t="shared" si="75"/>
        <v>01/2025</v>
      </c>
      <c r="AS604" s="231">
        <f t="shared" si="76"/>
        <v>52</v>
      </c>
      <c r="AT604" s="239">
        <f>IF(G604="CERVECERIA Y MALTERIA",(AS604*AK604/1000000)*(1-VLOOKUP(N604,FCST!D:I,6,FALSE)),0)</f>
        <v>0</v>
      </c>
      <c r="AU604" s="232">
        <v>5.0000000000000001E-3</v>
      </c>
      <c r="AV604" s="239">
        <f t="shared" si="77"/>
        <v>0</v>
      </c>
      <c r="AW604" s="239">
        <f>(AS604*AK604/1000000)*(VLOOKUP(N604,FCST!D:I,6,FALSE))</f>
        <v>0</v>
      </c>
      <c r="AX604" s="239">
        <f t="shared" si="78"/>
        <v>0</v>
      </c>
      <c r="AY604" s="239">
        <f>IF($G604="CERVECERIA Y MALTERIA.",($AS604*$AK604/1000000)*(1-VLOOKUP($N604,FCST!D:I,6,FALSE)),0)</f>
        <v>20.766719999999999</v>
      </c>
      <c r="AZ604" s="239">
        <f t="shared" si="79"/>
        <v>20.870553599999997</v>
      </c>
    </row>
    <row r="605" spans="1:52" x14ac:dyDescent="0.25">
      <c r="A605" s="209">
        <v>1092699</v>
      </c>
      <c r="B605" s="209">
        <v>20</v>
      </c>
      <c r="C605" s="209" t="s">
        <v>1270</v>
      </c>
      <c r="D605" s="209">
        <v>10</v>
      </c>
      <c r="E605" s="209">
        <v>10000002</v>
      </c>
      <c r="F605" s="209">
        <v>20000335</v>
      </c>
      <c r="G605" s="209" t="s">
        <v>105</v>
      </c>
      <c r="H605" s="209">
        <v>20000335</v>
      </c>
      <c r="I605" s="209">
        <v>2</v>
      </c>
      <c r="J605" s="209" t="s">
        <v>169</v>
      </c>
      <c r="K605" s="209" t="s">
        <v>1271</v>
      </c>
      <c r="L605" s="209" t="s">
        <v>171</v>
      </c>
      <c r="M605" s="209" t="s">
        <v>199</v>
      </c>
      <c r="N605" s="209">
        <v>50037887</v>
      </c>
      <c r="O605" s="209" t="s">
        <v>679</v>
      </c>
      <c r="P605" s="209">
        <v>5121</v>
      </c>
      <c r="Q605" s="209" t="s">
        <v>200</v>
      </c>
      <c r="R605" s="209" t="s">
        <v>201</v>
      </c>
      <c r="S605" s="209" t="s">
        <v>202</v>
      </c>
      <c r="T605" s="209" t="s">
        <v>203</v>
      </c>
      <c r="U605" s="209" t="s">
        <v>201</v>
      </c>
      <c r="V605" s="209" t="s">
        <v>179</v>
      </c>
      <c r="W605" s="209" t="s">
        <v>179</v>
      </c>
      <c r="X605" s="209" t="s">
        <v>180</v>
      </c>
      <c r="Y605" s="209" t="s">
        <v>180</v>
      </c>
      <c r="Z605" s="209" t="s">
        <v>1078</v>
      </c>
      <c r="AA605" s="209" t="s">
        <v>1079</v>
      </c>
      <c r="AB605" s="209" t="s">
        <v>180</v>
      </c>
      <c r="AC605" s="209" t="s">
        <v>182</v>
      </c>
      <c r="AD605" s="209">
        <v>12</v>
      </c>
      <c r="AE605" s="209">
        <v>2024</v>
      </c>
      <c r="AF605" s="227">
        <v>45652</v>
      </c>
      <c r="AG605" s="227">
        <v>45659</v>
      </c>
      <c r="AH605" s="227">
        <v>45659</v>
      </c>
      <c r="AI605" s="228">
        <v>531648</v>
      </c>
      <c r="AJ605" s="228">
        <v>52</v>
      </c>
      <c r="AK605" s="228">
        <v>531648</v>
      </c>
      <c r="AL605" s="228">
        <v>52</v>
      </c>
      <c r="AM605" s="228">
        <v>0</v>
      </c>
      <c r="AN605" s="228">
        <v>0</v>
      </c>
      <c r="AO605" s="229">
        <v>1</v>
      </c>
      <c r="AP605" s="231">
        <v>1</v>
      </c>
      <c r="AQ605" s="231">
        <v>2025</v>
      </c>
      <c r="AR605" s="231" t="str">
        <f t="shared" si="75"/>
        <v>01/2025</v>
      </c>
      <c r="AS605" s="231">
        <f t="shared" si="76"/>
        <v>37.200000000000003</v>
      </c>
      <c r="AT605" s="239">
        <f>IF(G605="CERVECERIA Y MALTERIA",(AS605*AK605/1000000)*(1-VLOOKUP(N605,FCST!D:I,6,FALSE)),0)</f>
        <v>19.777305600000002</v>
      </c>
      <c r="AU605" s="232">
        <v>5.0000000000000001E-3</v>
      </c>
      <c r="AV605" s="239">
        <f t="shared" si="77"/>
        <v>19.876192128</v>
      </c>
      <c r="AW605" s="239">
        <f>(AS605*AK605/1000000)*(VLOOKUP(N605,FCST!D:I,6,FALSE))</f>
        <v>0</v>
      </c>
      <c r="AX605" s="239">
        <f t="shared" si="78"/>
        <v>0</v>
      </c>
      <c r="AY605" s="239">
        <f>IF($G605="CERVECERIA Y MALTERIA.",($AS605*$AK605/1000000)*(1-VLOOKUP($N605,FCST!D:I,6,FALSE)),0)</f>
        <v>0</v>
      </c>
      <c r="AZ605" s="239">
        <f t="shared" si="79"/>
        <v>0</v>
      </c>
    </row>
    <row r="606" spans="1:52" x14ac:dyDescent="0.25">
      <c r="A606" s="209">
        <v>1092699</v>
      </c>
      <c r="B606" s="209">
        <v>60</v>
      </c>
      <c r="C606" s="209" t="s">
        <v>1272</v>
      </c>
      <c r="D606" s="209">
        <v>10</v>
      </c>
      <c r="E606" s="209">
        <v>10000002</v>
      </c>
      <c r="F606" s="209">
        <v>20000335</v>
      </c>
      <c r="G606" s="209" t="s">
        <v>105</v>
      </c>
      <c r="H606" s="209">
        <v>20000335</v>
      </c>
      <c r="I606" s="209">
        <v>2</v>
      </c>
      <c r="J606" s="209" t="s">
        <v>169</v>
      </c>
      <c r="K606" s="209" t="s">
        <v>1273</v>
      </c>
      <c r="L606" s="209" t="s">
        <v>171</v>
      </c>
      <c r="M606" s="209" t="s">
        <v>172</v>
      </c>
      <c r="N606" s="209">
        <v>50034616</v>
      </c>
      <c r="O606" s="209" t="s">
        <v>191</v>
      </c>
      <c r="P606" s="209">
        <v>5121</v>
      </c>
      <c r="Q606" s="209" t="s">
        <v>174</v>
      </c>
      <c r="R606" s="209" t="s">
        <v>175</v>
      </c>
      <c r="S606" s="209" t="s">
        <v>176</v>
      </c>
      <c r="T606" s="209" t="s">
        <v>177</v>
      </c>
      <c r="U606" s="209" t="s">
        <v>178</v>
      </c>
      <c r="V606" s="209" t="s">
        <v>179</v>
      </c>
      <c r="W606" s="209" t="s">
        <v>179</v>
      </c>
      <c r="X606" s="209" t="s">
        <v>180</v>
      </c>
      <c r="Y606" s="209" t="s">
        <v>180</v>
      </c>
      <c r="Z606" s="209" t="s">
        <v>1036</v>
      </c>
      <c r="AA606" s="209" t="s">
        <v>1037</v>
      </c>
      <c r="AB606" s="209" t="s">
        <v>180</v>
      </c>
      <c r="AC606" s="209" t="s">
        <v>182</v>
      </c>
      <c r="AD606" s="209">
        <v>12</v>
      </c>
      <c r="AE606" s="209">
        <v>2024</v>
      </c>
      <c r="AF606" s="227">
        <v>45652</v>
      </c>
      <c r="AG606" s="227">
        <v>45659</v>
      </c>
      <c r="AH606" s="227">
        <v>45659</v>
      </c>
      <c r="AI606" s="228">
        <v>426816</v>
      </c>
      <c r="AJ606" s="228">
        <v>52</v>
      </c>
      <c r="AK606" s="228">
        <v>426816</v>
      </c>
      <c r="AL606" s="228">
        <v>52</v>
      </c>
      <c r="AM606" s="228">
        <v>0</v>
      </c>
      <c r="AN606" s="228">
        <v>0</v>
      </c>
      <c r="AO606" s="229">
        <v>1</v>
      </c>
      <c r="AP606" s="231">
        <v>1</v>
      </c>
      <c r="AQ606" s="231">
        <v>2025</v>
      </c>
      <c r="AR606" s="231" t="str">
        <f t="shared" si="75"/>
        <v>01/2025</v>
      </c>
      <c r="AS606" s="231">
        <f t="shared" si="76"/>
        <v>46.6</v>
      </c>
      <c r="AT606" s="239">
        <f>IF(G606="CERVECERIA Y MALTERIA",(AS606*AK606/1000000)*(1-VLOOKUP(N606,FCST!D:I,6,FALSE)),0)</f>
        <v>19.889625600000002</v>
      </c>
      <c r="AU606" s="232">
        <v>5.0000000000000001E-3</v>
      </c>
      <c r="AV606" s="239">
        <f t="shared" si="77"/>
        <v>19.989073728000001</v>
      </c>
      <c r="AW606" s="239">
        <f>(AS606*AK606/1000000)*(VLOOKUP(N606,FCST!D:I,6,FALSE))</f>
        <v>0</v>
      </c>
      <c r="AX606" s="239">
        <f t="shared" si="78"/>
        <v>0</v>
      </c>
      <c r="AY606" s="239">
        <f>IF($G606="CERVECERIA Y MALTERIA.",($AS606*$AK606/1000000)*(1-VLOOKUP($N606,FCST!D:I,6,FALSE)),0)</f>
        <v>0</v>
      </c>
      <c r="AZ606" s="239">
        <f t="shared" si="79"/>
        <v>0</v>
      </c>
    </row>
    <row r="608" spans="1:52" x14ac:dyDescent="0.25">
      <c r="A608" s="209">
        <v>1102660</v>
      </c>
      <c r="B608" s="209">
        <v>10</v>
      </c>
      <c r="C608" s="209" t="s">
        <v>1274</v>
      </c>
      <c r="D608" s="209">
        <v>10</v>
      </c>
      <c r="E608" s="209">
        <v>10000002</v>
      </c>
      <c r="F608" s="209">
        <v>20000335</v>
      </c>
      <c r="G608" s="209" t="s">
        <v>105</v>
      </c>
      <c r="H608" s="209">
        <v>20000335</v>
      </c>
      <c r="I608" s="209">
        <v>2</v>
      </c>
      <c r="J608" s="209" t="s">
        <v>169</v>
      </c>
      <c r="K608" s="209" t="s">
        <v>1275</v>
      </c>
      <c r="L608" s="209" t="s">
        <v>171</v>
      </c>
      <c r="M608" s="209" t="s">
        <v>184</v>
      </c>
      <c r="N608" s="209">
        <v>50037887</v>
      </c>
      <c r="O608" s="209" t="s">
        <v>679</v>
      </c>
      <c r="P608" s="209">
        <v>5121</v>
      </c>
      <c r="Q608" s="209" t="s">
        <v>174</v>
      </c>
      <c r="R608" s="209" t="s">
        <v>175</v>
      </c>
      <c r="S608" s="209" t="s">
        <v>176</v>
      </c>
      <c r="T608" s="209" t="s">
        <v>177</v>
      </c>
      <c r="U608" s="209" t="s">
        <v>178</v>
      </c>
      <c r="V608" s="209" t="s">
        <v>179</v>
      </c>
      <c r="W608" s="209" t="s">
        <v>179</v>
      </c>
      <c r="X608" s="209" t="s">
        <v>180</v>
      </c>
      <c r="Y608" s="209" t="s">
        <v>180</v>
      </c>
      <c r="Z608" s="209" t="s">
        <v>1276</v>
      </c>
      <c r="AA608" s="209" t="s">
        <v>1277</v>
      </c>
      <c r="AB608" s="209" t="s">
        <v>180</v>
      </c>
      <c r="AC608" s="209" t="s">
        <v>182</v>
      </c>
      <c r="AD608" s="209">
        <v>2</v>
      </c>
      <c r="AE608" s="209">
        <v>2025</v>
      </c>
      <c r="AF608" s="227">
        <v>45708</v>
      </c>
      <c r="AG608" s="227">
        <v>45712</v>
      </c>
      <c r="AH608" s="227">
        <v>45712</v>
      </c>
      <c r="AI608" s="228">
        <v>531648</v>
      </c>
      <c r="AJ608" s="228">
        <v>52</v>
      </c>
      <c r="AK608" s="228">
        <v>531648</v>
      </c>
      <c r="AL608" s="228">
        <v>52</v>
      </c>
      <c r="AM608" s="228">
        <v>0</v>
      </c>
      <c r="AN608" s="228">
        <v>0</v>
      </c>
      <c r="AO608" s="229">
        <v>9</v>
      </c>
      <c r="AP608" s="231">
        <v>2</v>
      </c>
      <c r="AQ608" s="231">
        <v>2025</v>
      </c>
      <c r="AR608" s="231" t="str">
        <f t="shared" ref="AR608" si="80">+IF(AP608&lt;10,"0"&amp;AP608&amp; "/"&amp;AQ608,AP608&amp; "/"&amp;AQ608)</f>
        <v>02/2025</v>
      </c>
      <c r="AS608" s="231">
        <f t="shared" ref="AS608" si="81">VALUE(MID(INDEX(_xlfn.TEXTSPLIT(O608, ","), 1, 3), 1,FIND("G", INDEX(_xlfn.TEXTSPLIT(O608, ","), 1, 3))-1))</f>
        <v>37.200000000000003</v>
      </c>
      <c r="AT608" s="239">
        <f>IF(G608="CERVECERIA Y MALTERIA",(AS608*AK608/1000000)*(1-VLOOKUP(N608,FCST!D:I,6,FALSE)),0)</f>
        <v>19.777305600000002</v>
      </c>
      <c r="AU608" s="232">
        <v>5.0000000000000001E-3</v>
      </c>
      <c r="AV608" s="239">
        <f t="shared" ref="AV608" si="82">+AT608*(1+AU608)</f>
        <v>19.876192128</v>
      </c>
      <c r="AW608" s="239">
        <f>(AS608*AK608/1000000)*(VLOOKUP(N608,FCST!D:I,6,FALSE))</f>
        <v>0</v>
      </c>
      <c r="AX608" s="239">
        <f t="shared" ref="AX608" si="83">+AW608*(1+AU608)</f>
        <v>0</v>
      </c>
      <c r="AY608" s="239">
        <f>IF($G608="CERVECERIA Y MALTERIA.",($AS608*$AK608/1000000)*(1-VLOOKUP($N608,FCST!D:I,6,FALSE)),0)</f>
        <v>0</v>
      </c>
      <c r="AZ608" s="239">
        <f t="shared" ref="AZ608" si="84">+AY608*(1+AU608)</f>
        <v>0</v>
      </c>
    </row>
    <row r="609" spans="1:52" x14ac:dyDescent="0.25">
      <c r="A609" s="209">
        <v>1103078</v>
      </c>
      <c r="B609" s="209">
        <v>10</v>
      </c>
      <c r="C609" s="209" t="s">
        <v>1278</v>
      </c>
      <c r="D609" s="209">
        <v>10</v>
      </c>
      <c r="E609" s="209">
        <v>10000002</v>
      </c>
      <c r="F609" s="209">
        <v>20000339</v>
      </c>
      <c r="G609" s="209" t="s">
        <v>105</v>
      </c>
      <c r="H609" s="209">
        <v>20000339</v>
      </c>
      <c r="I609" s="209">
        <v>2</v>
      </c>
      <c r="J609" s="209" t="s">
        <v>169</v>
      </c>
      <c r="K609" s="209" t="s">
        <v>1279</v>
      </c>
      <c r="L609" s="209" t="s">
        <v>265</v>
      </c>
      <c r="M609" s="209" t="s">
        <v>184</v>
      </c>
      <c r="N609" s="209">
        <v>50034194</v>
      </c>
      <c r="O609" s="209" t="s">
        <v>276</v>
      </c>
      <c r="P609" s="209">
        <v>5121</v>
      </c>
      <c r="Q609" s="209" t="s">
        <v>174</v>
      </c>
      <c r="R609" s="209" t="s">
        <v>175</v>
      </c>
      <c r="S609" s="209" t="s">
        <v>176</v>
      </c>
      <c r="T609" s="209" t="s">
        <v>177</v>
      </c>
      <c r="U609" s="209" t="s">
        <v>178</v>
      </c>
      <c r="V609" s="209" t="s">
        <v>179</v>
      </c>
      <c r="W609" s="209" t="s">
        <v>179</v>
      </c>
      <c r="X609" s="209" t="s">
        <v>180</v>
      </c>
      <c r="Y609" s="209" t="s">
        <v>180</v>
      </c>
      <c r="Z609" s="209" t="s">
        <v>1280</v>
      </c>
      <c r="AA609" s="209" t="s">
        <v>1281</v>
      </c>
      <c r="AB609" s="209" t="s">
        <v>180</v>
      </c>
      <c r="AC609" s="209" t="s">
        <v>182</v>
      </c>
      <c r="AD609" s="209">
        <v>2</v>
      </c>
      <c r="AE609" s="209">
        <v>2025</v>
      </c>
      <c r="AF609" s="227">
        <v>45712</v>
      </c>
      <c r="AG609" s="227">
        <v>45712</v>
      </c>
      <c r="AH609" s="227">
        <v>45712</v>
      </c>
      <c r="AI609" s="228">
        <v>195072</v>
      </c>
      <c r="AJ609" s="228">
        <v>32</v>
      </c>
      <c r="AK609" s="228">
        <v>195072</v>
      </c>
      <c r="AL609" s="228">
        <v>32</v>
      </c>
      <c r="AM609" s="228">
        <v>0</v>
      </c>
      <c r="AN609" s="228">
        <v>0</v>
      </c>
      <c r="AO609" s="229">
        <v>9</v>
      </c>
      <c r="AP609" s="231">
        <v>2</v>
      </c>
      <c r="AQ609" s="231">
        <v>2025</v>
      </c>
      <c r="AR609" s="231" t="str">
        <f t="shared" ref="AR609:AR672" si="85">+IF(AP609&lt;10,"0"&amp;AP609&amp; "/"&amp;AQ609,AP609&amp; "/"&amp;AQ609)</f>
        <v>02/2025</v>
      </c>
      <c r="AS609" s="231">
        <f t="shared" ref="AS609:AS672" si="86">VALUE(MID(INDEX(_xlfn.TEXTSPLIT(O609, ","), 1, 3), 1,FIND("G", INDEX(_xlfn.TEXTSPLIT(O609, ","), 1, 3))-1))</f>
        <v>62</v>
      </c>
      <c r="AT609" s="239">
        <f>IF(G609="CERVECERIA Y MALTERIA",(AS609*AK609/1000000)*(1-VLOOKUP(N609,FCST!D:I,6,FALSE)),0)</f>
        <v>12.094464</v>
      </c>
      <c r="AU609" s="232">
        <v>5.0000000000000001E-3</v>
      </c>
      <c r="AV609" s="239">
        <f t="shared" ref="AV609:AV672" si="87">+AT609*(1+AU609)</f>
        <v>12.154936319999999</v>
      </c>
      <c r="AW609" s="239">
        <f>(AS609*AK609/1000000)*(VLOOKUP(N609,FCST!D:I,6,FALSE))</f>
        <v>0</v>
      </c>
      <c r="AX609" s="239">
        <f t="shared" ref="AX609:AX672" si="88">+AW609*(1+AU609)</f>
        <v>0</v>
      </c>
      <c r="AY609" s="239">
        <f>IF($G609="CERVECERIA Y MALTERIA.",($AS609*$AK609/1000000)*(1-VLOOKUP($N609,FCST!D:I,6,FALSE)),0)</f>
        <v>0</v>
      </c>
      <c r="AZ609" s="239">
        <f t="shared" ref="AZ609:AZ672" si="89">+AY609*(1+AU609)</f>
        <v>0</v>
      </c>
    </row>
    <row r="610" spans="1:52" x14ac:dyDescent="0.25">
      <c r="A610" s="209">
        <v>1103078</v>
      </c>
      <c r="B610" s="209">
        <v>20</v>
      </c>
      <c r="C610" s="209" t="s">
        <v>1278</v>
      </c>
      <c r="D610" s="209">
        <v>20</v>
      </c>
      <c r="E610" s="209">
        <v>10000002</v>
      </c>
      <c r="F610" s="209">
        <v>20000339</v>
      </c>
      <c r="G610" s="209" t="s">
        <v>105</v>
      </c>
      <c r="H610" s="209">
        <v>20000339</v>
      </c>
      <c r="I610" s="209">
        <v>2</v>
      </c>
      <c r="J610" s="209" t="s">
        <v>169</v>
      </c>
      <c r="K610" s="209" t="s">
        <v>1279</v>
      </c>
      <c r="L610" s="209" t="s">
        <v>265</v>
      </c>
      <c r="M610" s="209" t="s">
        <v>184</v>
      </c>
      <c r="N610" s="209">
        <v>50034634</v>
      </c>
      <c r="O610" s="209" t="s">
        <v>219</v>
      </c>
      <c r="P610" s="209">
        <v>5121</v>
      </c>
      <c r="Q610" s="209" t="s">
        <v>174</v>
      </c>
      <c r="R610" s="209" t="s">
        <v>175</v>
      </c>
      <c r="S610" s="209" t="s">
        <v>176</v>
      </c>
      <c r="T610" s="209" t="s">
        <v>177</v>
      </c>
      <c r="U610" s="209" t="s">
        <v>178</v>
      </c>
      <c r="V610" s="209" t="s">
        <v>179</v>
      </c>
      <c r="W610" s="209" t="s">
        <v>179</v>
      </c>
      <c r="X610" s="209" t="s">
        <v>180</v>
      </c>
      <c r="Y610" s="209" t="s">
        <v>180</v>
      </c>
      <c r="Z610" s="209" t="s">
        <v>1280</v>
      </c>
      <c r="AA610" s="209" t="s">
        <v>1281</v>
      </c>
      <c r="AB610" s="209" t="s">
        <v>180</v>
      </c>
      <c r="AC610" s="209" t="s">
        <v>182</v>
      </c>
      <c r="AD610" s="209">
        <v>2</v>
      </c>
      <c r="AE610" s="209">
        <v>2025</v>
      </c>
      <c r="AF610" s="227">
        <v>45712</v>
      </c>
      <c r="AG610" s="227">
        <v>45712</v>
      </c>
      <c r="AH610" s="227">
        <v>45712</v>
      </c>
      <c r="AI610" s="228">
        <v>140160</v>
      </c>
      <c r="AJ610" s="228">
        <v>20</v>
      </c>
      <c r="AK610" s="228">
        <v>140160</v>
      </c>
      <c r="AL610" s="228">
        <v>20</v>
      </c>
      <c r="AM610" s="228">
        <v>0</v>
      </c>
      <c r="AN610" s="228">
        <v>0</v>
      </c>
      <c r="AO610" s="229">
        <v>9</v>
      </c>
      <c r="AP610" s="231">
        <v>2</v>
      </c>
      <c r="AQ610" s="231">
        <v>2025</v>
      </c>
      <c r="AR610" s="231" t="str">
        <f t="shared" si="85"/>
        <v>02/2025</v>
      </c>
      <c r="AS610" s="231">
        <f t="shared" si="86"/>
        <v>52</v>
      </c>
      <c r="AT610" s="239">
        <f>IF(G610="CERVECERIA Y MALTERIA",(AS610*AK610/1000000)*(1-VLOOKUP(N610,FCST!D:I,6,FALSE)),0)</f>
        <v>7.2883199999999997</v>
      </c>
      <c r="AU610" s="232">
        <v>5.0000000000000001E-3</v>
      </c>
      <c r="AV610" s="239">
        <f t="shared" si="87"/>
        <v>7.3247615999999987</v>
      </c>
      <c r="AW610" s="239">
        <f>(AS610*AK610/1000000)*(VLOOKUP(N610,FCST!D:I,6,FALSE))</f>
        <v>0</v>
      </c>
      <c r="AX610" s="239">
        <f t="shared" si="88"/>
        <v>0</v>
      </c>
      <c r="AY610" s="239">
        <f>IF($G610="CERVECERIA Y MALTERIA.",($AS610*$AK610/1000000)*(1-VLOOKUP($N610,FCST!D:I,6,FALSE)),0)</f>
        <v>0</v>
      </c>
      <c r="AZ610" s="239">
        <f t="shared" si="89"/>
        <v>0</v>
      </c>
    </row>
    <row r="611" spans="1:52" x14ac:dyDescent="0.25">
      <c r="A611" s="209">
        <v>1100264</v>
      </c>
      <c r="B611" s="209">
        <v>80</v>
      </c>
      <c r="C611" s="209" t="s">
        <v>1282</v>
      </c>
      <c r="D611" s="209">
        <v>20</v>
      </c>
      <c r="E611" s="209">
        <v>10000002</v>
      </c>
      <c r="F611" s="209">
        <v>20001057</v>
      </c>
      <c r="G611" s="209" t="s">
        <v>105</v>
      </c>
      <c r="H611" s="209">
        <v>20001057</v>
      </c>
      <c r="I611" s="209">
        <v>2</v>
      </c>
      <c r="J611" s="209" t="s">
        <v>169</v>
      </c>
      <c r="K611" s="209" t="s">
        <v>1283</v>
      </c>
      <c r="L611" s="209" t="s">
        <v>265</v>
      </c>
      <c r="M611" s="209" t="s">
        <v>184</v>
      </c>
      <c r="N611" s="209">
        <v>50032583</v>
      </c>
      <c r="O611" s="209" t="s">
        <v>205</v>
      </c>
      <c r="P611" s="209">
        <v>5121</v>
      </c>
      <c r="Q611" s="209" t="s">
        <v>174</v>
      </c>
      <c r="R611" s="209" t="s">
        <v>175</v>
      </c>
      <c r="S611" s="209" t="s">
        <v>176</v>
      </c>
      <c r="T611" s="209" t="s">
        <v>177</v>
      </c>
      <c r="U611" s="209" t="s">
        <v>178</v>
      </c>
      <c r="V611" s="209" t="s">
        <v>179</v>
      </c>
      <c r="W611" s="209" t="s">
        <v>179</v>
      </c>
      <c r="X611" s="209" t="s">
        <v>180</v>
      </c>
      <c r="Y611" s="209" t="s">
        <v>180</v>
      </c>
      <c r="Z611" s="209" t="s">
        <v>1284</v>
      </c>
      <c r="AA611" s="209" t="s">
        <v>1285</v>
      </c>
      <c r="AB611" s="209" t="s">
        <v>180</v>
      </c>
      <c r="AC611" s="209" t="s">
        <v>182</v>
      </c>
      <c r="AD611" s="209">
        <v>2</v>
      </c>
      <c r="AE611" s="209">
        <v>2025</v>
      </c>
      <c r="AF611" s="227">
        <v>45695</v>
      </c>
      <c r="AG611" s="227">
        <v>45709</v>
      </c>
      <c r="AH611" s="227">
        <v>45710</v>
      </c>
      <c r="AI611" s="228">
        <v>67680</v>
      </c>
      <c r="AJ611" s="228">
        <v>10</v>
      </c>
      <c r="AK611" s="228">
        <v>67680</v>
      </c>
      <c r="AL611" s="228">
        <v>10</v>
      </c>
      <c r="AM611" s="228">
        <v>0</v>
      </c>
      <c r="AN611" s="228">
        <v>0</v>
      </c>
      <c r="AO611" s="229">
        <v>7</v>
      </c>
      <c r="AP611" s="231">
        <v>2</v>
      </c>
      <c r="AQ611" s="231">
        <v>2025</v>
      </c>
      <c r="AR611" s="231" t="str">
        <f t="shared" si="85"/>
        <v>02/2025</v>
      </c>
      <c r="AS611" s="231">
        <f t="shared" si="86"/>
        <v>54.7</v>
      </c>
      <c r="AT611" s="239">
        <f>IF(G611="CERVECERIA Y MALTERIA",(AS611*AK611/1000000)*(1-VLOOKUP(N611,FCST!D:I,6,FALSE)),0)</f>
        <v>3.7020960000000001</v>
      </c>
      <c r="AU611" s="232">
        <v>5.0000000000000001E-3</v>
      </c>
      <c r="AV611" s="239">
        <f t="shared" si="87"/>
        <v>3.7206064799999998</v>
      </c>
      <c r="AW611" s="239">
        <f>(AS611*AK611/1000000)*(VLOOKUP(N611,FCST!D:I,6,FALSE))</f>
        <v>0</v>
      </c>
      <c r="AX611" s="239">
        <f t="shared" si="88"/>
        <v>0</v>
      </c>
      <c r="AY611" s="239">
        <f>IF($G611="CERVECERIA Y MALTERIA.",($AS611*$AK611/1000000)*(1-VLOOKUP($N611,FCST!D:I,6,FALSE)),0)</f>
        <v>0</v>
      </c>
      <c r="AZ611" s="239">
        <f t="shared" si="89"/>
        <v>0</v>
      </c>
    </row>
    <row r="612" spans="1:52" x14ac:dyDescent="0.25">
      <c r="A612" s="209">
        <v>1100264</v>
      </c>
      <c r="B612" s="209">
        <v>70</v>
      </c>
      <c r="C612" s="209" t="s">
        <v>1282</v>
      </c>
      <c r="D612" s="209">
        <v>10</v>
      </c>
      <c r="E612" s="209">
        <v>10000002</v>
      </c>
      <c r="F612" s="209">
        <v>20001057</v>
      </c>
      <c r="G612" s="209" t="s">
        <v>105</v>
      </c>
      <c r="H612" s="209">
        <v>20001057</v>
      </c>
      <c r="I612" s="209">
        <v>2</v>
      </c>
      <c r="J612" s="209" t="s">
        <v>169</v>
      </c>
      <c r="K612" s="209" t="s">
        <v>1283</v>
      </c>
      <c r="L612" s="209" t="s">
        <v>265</v>
      </c>
      <c r="M612" s="209" t="s">
        <v>184</v>
      </c>
      <c r="N612" s="209">
        <v>50034616</v>
      </c>
      <c r="O612" s="209" t="s">
        <v>191</v>
      </c>
      <c r="P612" s="209">
        <v>5121</v>
      </c>
      <c r="Q612" s="209" t="s">
        <v>174</v>
      </c>
      <c r="R612" s="209" t="s">
        <v>175</v>
      </c>
      <c r="S612" s="209" t="s">
        <v>176</v>
      </c>
      <c r="T612" s="209" t="s">
        <v>177</v>
      </c>
      <c r="U612" s="209" t="s">
        <v>178</v>
      </c>
      <c r="V612" s="209" t="s">
        <v>179</v>
      </c>
      <c r="W612" s="209" t="s">
        <v>179</v>
      </c>
      <c r="X612" s="209" t="s">
        <v>180</v>
      </c>
      <c r="Y612" s="209" t="s">
        <v>180</v>
      </c>
      <c r="Z612" s="209" t="s">
        <v>1284</v>
      </c>
      <c r="AA612" s="209" t="s">
        <v>1285</v>
      </c>
      <c r="AB612" s="209" t="s">
        <v>180</v>
      </c>
      <c r="AC612" s="209" t="s">
        <v>182</v>
      </c>
      <c r="AD612" s="209">
        <v>2</v>
      </c>
      <c r="AE612" s="209">
        <v>2025</v>
      </c>
      <c r="AF612" s="227">
        <v>45695</v>
      </c>
      <c r="AG612" s="227">
        <v>45709</v>
      </c>
      <c r="AH612" s="227">
        <v>45710</v>
      </c>
      <c r="AI612" s="228">
        <v>344736</v>
      </c>
      <c r="AJ612" s="228">
        <v>42</v>
      </c>
      <c r="AK612" s="228">
        <v>344736</v>
      </c>
      <c r="AL612" s="228">
        <v>42</v>
      </c>
      <c r="AM612" s="228">
        <v>0</v>
      </c>
      <c r="AN612" s="228">
        <v>0</v>
      </c>
      <c r="AO612" s="229">
        <v>7</v>
      </c>
      <c r="AP612" s="231">
        <v>2</v>
      </c>
      <c r="AQ612" s="231">
        <v>2025</v>
      </c>
      <c r="AR612" s="231" t="str">
        <f t="shared" si="85"/>
        <v>02/2025</v>
      </c>
      <c r="AS612" s="231">
        <f t="shared" si="86"/>
        <v>46.6</v>
      </c>
      <c r="AT612" s="239">
        <f>IF(G612="CERVECERIA Y MALTERIA",(AS612*AK612/1000000)*(1-VLOOKUP(N612,FCST!D:I,6,FALSE)),0)</f>
        <v>16.064697599999999</v>
      </c>
      <c r="AU612" s="232">
        <v>5.0000000000000001E-3</v>
      </c>
      <c r="AV612" s="239">
        <f t="shared" si="87"/>
        <v>16.145021087999996</v>
      </c>
      <c r="AW612" s="239">
        <f>(AS612*AK612/1000000)*(VLOOKUP(N612,FCST!D:I,6,FALSE))</f>
        <v>0</v>
      </c>
      <c r="AX612" s="239">
        <f t="shared" si="88"/>
        <v>0</v>
      </c>
      <c r="AY612" s="239">
        <f>IF($G612="CERVECERIA Y MALTERIA.",($AS612*$AK612/1000000)*(1-VLOOKUP($N612,FCST!D:I,6,FALSE)),0)</f>
        <v>0</v>
      </c>
      <c r="AZ612" s="239">
        <f t="shared" si="89"/>
        <v>0</v>
      </c>
    </row>
    <row r="613" spans="1:52" x14ac:dyDescent="0.25">
      <c r="A613" s="209">
        <v>1101550</v>
      </c>
      <c r="B613" s="209">
        <v>50</v>
      </c>
      <c r="C613" s="209" t="s">
        <v>1286</v>
      </c>
      <c r="D613" s="209">
        <v>10</v>
      </c>
      <c r="E613" s="209">
        <v>10000002</v>
      </c>
      <c r="F613" s="209">
        <v>20000339</v>
      </c>
      <c r="G613" s="209" t="s">
        <v>105</v>
      </c>
      <c r="H613" s="209">
        <v>20000339</v>
      </c>
      <c r="I613" s="209">
        <v>2</v>
      </c>
      <c r="J613" s="209" t="s">
        <v>169</v>
      </c>
      <c r="K613" s="209" t="s">
        <v>1287</v>
      </c>
      <c r="L613" s="209" t="s">
        <v>171</v>
      </c>
      <c r="M613" s="209" t="s">
        <v>184</v>
      </c>
      <c r="N613" s="209">
        <v>50034634</v>
      </c>
      <c r="O613" s="209" t="s">
        <v>219</v>
      </c>
      <c r="P613" s="209">
        <v>5121</v>
      </c>
      <c r="Q613" s="209" t="s">
        <v>174</v>
      </c>
      <c r="R613" s="209" t="s">
        <v>175</v>
      </c>
      <c r="S613" s="209" t="s">
        <v>176</v>
      </c>
      <c r="T613" s="209" t="s">
        <v>177</v>
      </c>
      <c r="U613" s="209" t="s">
        <v>178</v>
      </c>
      <c r="V613" s="209" t="s">
        <v>179</v>
      </c>
      <c r="W613" s="209" t="s">
        <v>179</v>
      </c>
      <c r="X613" s="209" t="s">
        <v>180</v>
      </c>
      <c r="Y613" s="209" t="s">
        <v>180</v>
      </c>
      <c r="Z613" s="209" t="s">
        <v>1288</v>
      </c>
      <c r="AA613" s="209" t="s">
        <v>1289</v>
      </c>
      <c r="AB613" s="209" t="s">
        <v>180</v>
      </c>
      <c r="AC613" s="209" t="s">
        <v>182</v>
      </c>
      <c r="AD613" s="209">
        <v>2</v>
      </c>
      <c r="AE613" s="209">
        <v>2025</v>
      </c>
      <c r="AF613" s="227">
        <v>45701</v>
      </c>
      <c r="AG613" s="227">
        <v>45709</v>
      </c>
      <c r="AH613" s="227">
        <v>45709</v>
      </c>
      <c r="AI613" s="228">
        <v>364416</v>
      </c>
      <c r="AJ613" s="228">
        <v>52</v>
      </c>
      <c r="AK613" s="228">
        <v>364416</v>
      </c>
      <c r="AL613" s="228">
        <v>52</v>
      </c>
      <c r="AM613" s="228">
        <v>0</v>
      </c>
      <c r="AN613" s="228">
        <v>0</v>
      </c>
      <c r="AO613" s="229">
        <v>7</v>
      </c>
      <c r="AP613" s="231">
        <v>2</v>
      </c>
      <c r="AQ613" s="231">
        <v>2025</v>
      </c>
      <c r="AR613" s="231" t="str">
        <f t="shared" si="85"/>
        <v>02/2025</v>
      </c>
      <c r="AS613" s="231">
        <f t="shared" si="86"/>
        <v>52</v>
      </c>
      <c r="AT613" s="239">
        <f>IF(G613="CERVECERIA Y MALTERIA",(AS613*AK613/1000000)*(1-VLOOKUP(N613,FCST!D:I,6,FALSE)),0)</f>
        <v>18.949632000000001</v>
      </c>
      <c r="AU613" s="232">
        <v>5.0000000000000001E-3</v>
      </c>
      <c r="AV613" s="239">
        <f t="shared" si="87"/>
        <v>19.044380159999999</v>
      </c>
      <c r="AW613" s="239">
        <f>(AS613*AK613/1000000)*(VLOOKUP(N613,FCST!D:I,6,FALSE))</f>
        <v>0</v>
      </c>
      <c r="AX613" s="239">
        <f t="shared" si="88"/>
        <v>0</v>
      </c>
      <c r="AY613" s="239">
        <f>IF($G613="CERVECERIA Y MALTERIA.",($AS613*$AK613/1000000)*(1-VLOOKUP($N613,FCST!D:I,6,FALSE)),0)</f>
        <v>0</v>
      </c>
      <c r="AZ613" s="239">
        <f t="shared" si="89"/>
        <v>0</v>
      </c>
    </row>
    <row r="614" spans="1:52" x14ac:dyDescent="0.25">
      <c r="A614" s="209">
        <v>1101563</v>
      </c>
      <c r="B614" s="209">
        <v>120</v>
      </c>
      <c r="C614" s="209" t="s">
        <v>1290</v>
      </c>
      <c r="D614" s="209">
        <v>10</v>
      </c>
      <c r="E614" s="209">
        <v>10000002</v>
      </c>
      <c r="F614" s="209">
        <v>20000335</v>
      </c>
      <c r="G614" s="209" t="s">
        <v>105</v>
      </c>
      <c r="H614" s="209">
        <v>20000335</v>
      </c>
      <c r="I614" s="209">
        <v>2</v>
      </c>
      <c r="J614" s="209" t="s">
        <v>169</v>
      </c>
      <c r="K614" s="209" t="s">
        <v>1291</v>
      </c>
      <c r="L614" s="209" t="s">
        <v>171</v>
      </c>
      <c r="M614" s="209" t="s">
        <v>199</v>
      </c>
      <c r="N614" s="209">
        <v>50035184</v>
      </c>
      <c r="O614" s="209" t="s">
        <v>672</v>
      </c>
      <c r="P614" s="209">
        <v>5121</v>
      </c>
      <c r="Q614" s="209" t="s">
        <v>200</v>
      </c>
      <c r="R614" s="209" t="s">
        <v>201</v>
      </c>
      <c r="S614" s="209" t="s">
        <v>202</v>
      </c>
      <c r="T614" s="209" t="s">
        <v>203</v>
      </c>
      <c r="U614" s="209" t="s">
        <v>201</v>
      </c>
      <c r="V614" s="209" t="s">
        <v>179</v>
      </c>
      <c r="W614" s="209" t="s">
        <v>179</v>
      </c>
      <c r="X614" s="209" t="s">
        <v>180</v>
      </c>
      <c r="Y614" s="209" t="s">
        <v>180</v>
      </c>
      <c r="Z614" s="209" t="s">
        <v>1292</v>
      </c>
      <c r="AA614" s="209" t="s">
        <v>1293</v>
      </c>
      <c r="AB614" s="209" t="s">
        <v>180</v>
      </c>
      <c r="AC614" s="209" t="s">
        <v>182</v>
      </c>
      <c r="AD614" s="209">
        <v>2</v>
      </c>
      <c r="AE614" s="209">
        <v>2025</v>
      </c>
      <c r="AF614" s="227">
        <v>45701</v>
      </c>
      <c r="AG614" s="227">
        <v>45709</v>
      </c>
      <c r="AH614" s="227">
        <v>45709</v>
      </c>
      <c r="AI614" s="228">
        <v>977184</v>
      </c>
      <c r="AJ614" s="228">
        <v>52</v>
      </c>
      <c r="AK614" s="228">
        <v>977184</v>
      </c>
      <c r="AL614" s="228">
        <v>52</v>
      </c>
      <c r="AM614" s="228">
        <v>0</v>
      </c>
      <c r="AN614" s="228">
        <v>0</v>
      </c>
      <c r="AO614" s="229">
        <v>8</v>
      </c>
      <c r="AP614" s="231">
        <v>2</v>
      </c>
      <c r="AQ614" s="231">
        <v>2025</v>
      </c>
      <c r="AR614" s="231" t="str">
        <f t="shared" si="85"/>
        <v>02/2025</v>
      </c>
      <c r="AS614" s="231">
        <f t="shared" si="86"/>
        <v>19.5</v>
      </c>
      <c r="AT614" s="239">
        <f>IF(G614="CERVECERIA Y MALTERIA",(AS614*AK614/1000000)*(1-VLOOKUP(N614,FCST!D:I,6,FALSE)),0)</f>
        <v>19.055088000000001</v>
      </c>
      <c r="AU614" s="232">
        <v>5.0000000000000001E-3</v>
      </c>
      <c r="AV614" s="239">
        <f t="shared" si="87"/>
        <v>19.15036344</v>
      </c>
      <c r="AW614" s="239">
        <f>(AS614*AK614/1000000)*(VLOOKUP(N614,FCST!D:I,6,FALSE))</f>
        <v>0</v>
      </c>
      <c r="AX614" s="239">
        <f t="shared" si="88"/>
        <v>0</v>
      </c>
      <c r="AY614" s="239">
        <f>IF($G614="CERVECERIA Y MALTERIA.",($AS614*$AK614/1000000)*(1-VLOOKUP($N614,FCST!D:I,6,FALSE)),0)</f>
        <v>0</v>
      </c>
      <c r="AZ614" s="239">
        <f t="shared" si="89"/>
        <v>0</v>
      </c>
    </row>
    <row r="615" spans="1:52" x14ac:dyDescent="0.25">
      <c r="A615" s="209">
        <v>1102660</v>
      </c>
      <c r="B615" s="209">
        <v>40</v>
      </c>
      <c r="C615" s="209" t="s">
        <v>1294</v>
      </c>
      <c r="D615" s="209">
        <v>10</v>
      </c>
      <c r="E615" s="209">
        <v>10000002</v>
      </c>
      <c r="F615" s="209">
        <v>20000335</v>
      </c>
      <c r="G615" s="209" t="s">
        <v>105</v>
      </c>
      <c r="H615" s="209">
        <v>20000335</v>
      </c>
      <c r="I615" s="209">
        <v>2</v>
      </c>
      <c r="J615" s="209" t="s">
        <v>169</v>
      </c>
      <c r="K615" s="209" t="s">
        <v>1295</v>
      </c>
      <c r="L615" s="209" t="s">
        <v>171</v>
      </c>
      <c r="M615" s="209" t="s">
        <v>199</v>
      </c>
      <c r="N615" s="209">
        <v>50034616</v>
      </c>
      <c r="O615" s="209" t="s">
        <v>191</v>
      </c>
      <c r="P615" s="209">
        <v>5121</v>
      </c>
      <c r="Q615" s="209" t="s">
        <v>200</v>
      </c>
      <c r="R615" s="209" t="s">
        <v>201</v>
      </c>
      <c r="S615" s="209" t="s">
        <v>202</v>
      </c>
      <c r="T615" s="209" t="s">
        <v>203</v>
      </c>
      <c r="U615" s="209" t="s">
        <v>201</v>
      </c>
      <c r="V615" s="209" t="s">
        <v>179</v>
      </c>
      <c r="W615" s="209" t="s">
        <v>179</v>
      </c>
      <c r="X615" s="209" t="s">
        <v>180</v>
      </c>
      <c r="Y615" s="209" t="s">
        <v>180</v>
      </c>
      <c r="Z615" s="209" t="s">
        <v>1296</v>
      </c>
      <c r="AA615" s="209" t="s">
        <v>1297</v>
      </c>
      <c r="AB615" s="209" t="s">
        <v>180</v>
      </c>
      <c r="AC615" s="209" t="s">
        <v>182</v>
      </c>
      <c r="AD615" s="209">
        <v>2</v>
      </c>
      <c r="AE615" s="209">
        <v>2025</v>
      </c>
      <c r="AF615" s="227">
        <v>45708</v>
      </c>
      <c r="AG615" s="227">
        <v>45713</v>
      </c>
      <c r="AH615" s="227">
        <v>45713</v>
      </c>
      <c r="AI615" s="228">
        <v>426816</v>
      </c>
      <c r="AJ615" s="228">
        <v>52</v>
      </c>
      <c r="AK615" s="228">
        <v>426816</v>
      </c>
      <c r="AL615" s="228">
        <v>52</v>
      </c>
      <c r="AM615" s="228">
        <v>0</v>
      </c>
      <c r="AN615" s="228">
        <v>0</v>
      </c>
      <c r="AO615" s="229">
        <v>9</v>
      </c>
      <c r="AP615" s="231">
        <v>2</v>
      </c>
      <c r="AQ615" s="231">
        <v>2025</v>
      </c>
      <c r="AR615" s="231" t="str">
        <f t="shared" si="85"/>
        <v>02/2025</v>
      </c>
      <c r="AS615" s="231">
        <f t="shared" si="86"/>
        <v>46.6</v>
      </c>
      <c r="AT615" s="239">
        <f>IF(G615="CERVECERIA Y MALTERIA",(AS615*AK615/1000000)*(1-VLOOKUP(N615,FCST!D:I,6,FALSE)),0)</f>
        <v>19.889625600000002</v>
      </c>
      <c r="AU615" s="232">
        <v>5.0000000000000001E-3</v>
      </c>
      <c r="AV615" s="239">
        <f t="shared" si="87"/>
        <v>19.989073728000001</v>
      </c>
      <c r="AW615" s="239">
        <f>(AS615*AK615/1000000)*(VLOOKUP(N615,FCST!D:I,6,FALSE))</f>
        <v>0</v>
      </c>
      <c r="AX615" s="239">
        <f t="shared" si="88"/>
        <v>0</v>
      </c>
      <c r="AY615" s="239">
        <f>IF($G615="CERVECERIA Y MALTERIA.",($AS615*$AK615/1000000)*(1-VLOOKUP($N615,FCST!D:I,6,FALSE)),0)</f>
        <v>0</v>
      </c>
      <c r="AZ615" s="239">
        <f t="shared" si="89"/>
        <v>0</v>
      </c>
    </row>
    <row r="616" spans="1:52" x14ac:dyDescent="0.25">
      <c r="A616" s="209">
        <v>1102660</v>
      </c>
      <c r="B616" s="209">
        <v>30</v>
      </c>
      <c r="C616" s="209" t="s">
        <v>1298</v>
      </c>
      <c r="D616" s="209">
        <v>10</v>
      </c>
      <c r="E616" s="209">
        <v>10000002</v>
      </c>
      <c r="F616" s="209">
        <v>20000335</v>
      </c>
      <c r="G616" s="209" t="s">
        <v>105</v>
      </c>
      <c r="H616" s="209">
        <v>20000335</v>
      </c>
      <c r="I616" s="209">
        <v>2</v>
      </c>
      <c r="J616" s="209" t="s">
        <v>169</v>
      </c>
      <c r="K616" s="209" t="s">
        <v>1299</v>
      </c>
      <c r="L616" s="209" t="s">
        <v>171</v>
      </c>
      <c r="M616" s="209" t="s">
        <v>199</v>
      </c>
      <c r="N616" s="209">
        <v>50035184</v>
      </c>
      <c r="O616" s="209" t="s">
        <v>672</v>
      </c>
      <c r="P616" s="209">
        <v>5121</v>
      </c>
      <c r="Q616" s="209" t="s">
        <v>200</v>
      </c>
      <c r="R616" s="209" t="s">
        <v>201</v>
      </c>
      <c r="S616" s="209" t="s">
        <v>202</v>
      </c>
      <c r="T616" s="209" t="s">
        <v>203</v>
      </c>
      <c r="U616" s="209" t="s">
        <v>201</v>
      </c>
      <c r="V616" s="209" t="s">
        <v>179</v>
      </c>
      <c r="W616" s="209" t="s">
        <v>179</v>
      </c>
      <c r="X616" s="209" t="s">
        <v>180</v>
      </c>
      <c r="Y616" s="209" t="s">
        <v>180</v>
      </c>
      <c r="Z616" s="209" t="s">
        <v>1300</v>
      </c>
      <c r="AA616" s="209" t="s">
        <v>1301</v>
      </c>
      <c r="AB616" s="209" t="s">
        <v>180</v>
      </c>
      <c r="AC616" s="209" t="s">
        <v>182</v>
      </c>
      <c r="AD616" s="209">
        <v>2</v>
      </c>
      <c r="AE616" s="209">
        <v>2025</v>
      </c>
      <c r="AF616" s="227">
        <v>45708</v>
      </c>
      <c r="AG616" s="227">
        <v>45713</v>
      </c>
      <c r="AH616" s="227">
        <v>45713</v>
      </c>
      <c r="AI616" s="228">
        <v>977184</v>
      </c>
      <c r="AJ616" s="228">
        <v>52</v>
      </c>
      <c r="AK616" s="228">
        <v>977184</v>
      </c>
      <c r="AL616" s="228">
        <v>52</v>
      </c>
      <c r="AM616" s="228">
        <v>0</v>
      </c>
      <c r="AN616" s="228">
        <v>0</v>
      </c>
      <c r="AO616" s="229">
        <v>9</v>
      </c>
      <c r="AP616" s="231">
        <v>2</v>
      </c>
      <c r="AQ616" s="231">
        <v>2025</v>
      </c>
      <c r="AR616" s="231" t="str">
        <f t="shared" si="85"/>
        <v>02/2025</v>
      </c>
      <c r="AS616" s="231">
        <f t="shared" si="86"/>
        <v>19.5</v>
      </c>
      <c r="AT616" s="239">
        <f>IF(G616="CERVECERIA Y MALTERIA",(AS616*AK616/1000000)*(1-VLOOKUP(N616,FCST!D:I,6,FALSE)),0)</f>
        <v>19.055088000000001</v>
      </c>
      <c r="AU616" s="232">
        <v>5.0000000000000001E-3</v>
      </c>
      <c r="AV616" s="239">
        <f t="shared" si="87"/>
        <v>19.15036344</v>
      </c>
      <c r="AW616" s="239">
        <f>(AS616*AK616/1000000)*(VLOOKUP(N616,FCST!D:I,6,FALSE))</f>
        <v>0</v>
      </c>
      <c r="AX616" s="239">
        <f t="shared" si="88"/>
        <v>0</v>
      </c>
      <c r="AY616" s="239">
        <f>IF($G616="CERVECERIA Y MALTERIA.",($AS616*$AK616/1000000)*(1-VLOOKUP($N616,FCST!D:I,6,FALSE)),0)</f>
        <v>0</v>
      </c>
      <c r="AZ616" s="239">
        <f t="shared" si="89"/>
        <v>0</v>
      </c>
    </row>
    <row r="617" spans="1:52" x14ac:dyDescent="0.25">
      <c r="A617" s="209">
        <v>1102660</v>
      </c>
      <c r="B617" s="209">
        <v>20</v>
      </c>
      <c r="C617" s="209" t="s">
        <v>1302</v>
      </c>
      <c r="D617" s="209">
        <v>10</v>
      </c>
      <c r="E617" s="209">
        <v>10000002</v>
      </c>
      <c r="F617" s="209">
        <v>20000335</v>
      </c>
      <c r="G617" s="209" t="s">
        <v>105</v>
      </c>
      <c r="H617" s="209">
        <v>20000335</v>
      </c>
      <c r="I617" s="209">
        <v>2</v>
      </c>
      <c r="J617" s="209" t="s">
        <v>169</v>
      </c>
      <c r="K617" s="209" t="s">
        <v>1303</v>
      </c>
      <c r="L617" s="209" t="s">
        <v>171</v>
      </c>
      <c r="M617" s="209" t="s">
        <v>199</v>
      </c>
      <c r="N617" s="209">
        <v>50034616</v>
      </c>
      <c r="O617" s="209" t="s">
        <v>191</v>
      </c>
      <c r="P617" s="209">
        <v>5121</v>
      </c>
      <c r="Q617" s="209" t="s">
        <v>200</v>
      </c>
      <c r="R617" s="209" t="s">
        <v>201</v>
      </c>
      <c r="S617" s="209" t="s">
        <v>202</v>
      </c>
      <c r="T617" s="209" t="s">
        <v>203</v>
      </c>
      <c r="U617" s="209" t="s">
        <v>201</v>
      </c>
      <c r="V617" s="209" t="s">
        <v>179</v>
      </c>
      <c r="W617" s="209" t="s">
        <v>179</v>
      </c>
      <c r="X617" s="209" t="s">
        <v>180</v>
      </c>
      <c r="Y617" s="209" t="s">
        <v>180</v>
      </c>
      <c r="Z617" s="209" t="s">
        <v>1304</v>
      </c>
      <c r="AA617" s="209" t="s">
        <v>1305</v>
      </c>
      <c r="AB617" s="209" t="s">
        <v>180</v>
      </c>
      <c r="AC617" s="209" t="s">
        <v>182</v>
      </c>
      <c r="AD617" s="209">
        <v>2</v>
      </c>
      <c r="AE617" s="209">
        <v>2025</v>
      </c>
      <c r="AF617" s="227">
        <v>45708</v>
      </c>
      <c r="AG617" s="227">
        <v>45712</v>
      </c>
      <c r="AH617" s="227">
        <v>45713</v>
      </c>
      <c r="AI617" s="228">
        <v>426816</v>
      </c>
      <c r="AJ617" s="228">
        <v>52</v>
      </c>
      <c r="AK617" s="228">
        <v>426816</v>
      </c>
      <c r="AL617" s="228">
        <v>52</v>
      </c>
      <c r="AM617" s="228">
        <v>0</v>
      </c>
      <c r="AN617" s="228">
        <v>0</v>
      </c>
      <c r="AO617" s="229">
        <v>9</v>
      </c>
      <c r="AP617" s="231">
        <v>2</v>
      </c>
      <c r="AQ617" s="231">
        <v>2025</v>
      </c>
      <c r="AR617" s="231" t="str">
        <f t="shared" si="85"/>
        <v>02/2025</v>
      </c>
      <c r="AS617" s="231">
        <f t="shared" si="86"/>
        <v>46.6</v>
      </c>
      <c r="AT617" s="239">
        <f>IF(G617="CERVECERIA Y MALTERIA",(AS617*AK617/1000000)*(1-VLOOKUP(N617,FCST!D:I,6,FALSE)),0)</f>
        <v>19.889625600000002</v>
      </c>
      <c r="AU617" s="232">
        <v>5.0000000000000001E-3</v>
      </c>
      <c r="AV617" s="239">
        <f t="shared" si="87"/>
        <v>19.989073728000001</v>
      </c>
      <c r="AW617" s="239">
        <f>(AS617*AK617/1000000)*(VLOOKUP(N617,FCST!D:I,6,FALSE))</f>
        <v>0</v>
      </c>
      <c r="AX617" s="239">
        <f t="shared" si="88"/>
        <v>0</v>
      </c>
      <c r="AY617" s="239">
        <f>IF($G617="CERVECERIA Y MALTERIA.",($AS617*$AK617/1000000)*(1-VLOOKUP($N617,FCST!D:I,6,FALSE)),0)</f>
        <v>0</v>
      </c>
      <c r="AZ617" s="239">
        <f t="shared" si="89"/>
        <v>0</v>
      </c>
    </row>
    <row r="618" spans="1:52" x14ac:dyDescent="0.25">
      <c r="A618" s="209">
        <v>1099150</v>
      </c>
      <c r="B618" s="209">
        <v>120</v>
      </c>
      <c r="C618" s="209" t="s">
        <v>1306</v>
      </c>
      <c r="D618" s="209">
        <v>10</v>
      </c>
      <c r="E618" s="209">
        <v>10000002</v>
      </c>
      <c r="F618" s="209">
        <v>20000337</v>
      </c>
      <c r="G618" s="209" t="s">
        <v>105</v>
      </c>
      <c r="H618" s="209">
        <v>20000337</v>
      </c>
      <c r="I618" s="209">
        <v>2</v>
      </c>
      <c r="J618" s="209" t="s">
        <v>169</v>
      </c>
      <c r="K618" s="209" t="s">
        <v>1307</v>
      </c>
      <c r="L618" s="209" t="s">
        <v>171</v>
      </c>
      <c r="M618" s="209" t="s">
        <v>199</v>
      </c>
      <c r="N618" s="209">
        <v>50035183</v>
      </c>
      <c r="O618" s="209" t="s">
        <v>215</v>
      </c>
      <c r="P618" s="209">
        <v>5121</v>
      </c>
      <c r="Q618" s="209" t="s">
        <v>200</v>
      </c>
      <c r="R618" s="209" t="s">
        <v>201</v>
      </c>
      <c r="S618" s="209" t="s">
        <v>202</v>
      </c>
      <c r="T618" s="209" t="s">
        <v>203</v>
      </c>
      <c r="U618" s="209" t="s">
        <v>201</v>
      </c>
      <c r="V618" s="209" t="s">
        <v>179</v>
      </c>
      <c r="W618" s="209" t="s">
        <v>179</v>
      </c>
      <c r="X618" s="209" t="s">
        <v>180</v>
      </c>
      <c r="Y618" s="209" t="s">
        <v>180</v>
      </c>
      <c r="Z618" s="209" t="s">
        <v>1308</v>
      </c>
      <c r="AA618" s="209" t="s">
        <v>1309</v>
      </c>
      <c r="AB618" s="209" t="s">
        <v>180</v>
      </c>
      <c r="AC618" s="209" t="s">
        <v>182</v>
      </c>
      <c r="AD618" s="209">
        <v>2</v>
      </c>
      <c r="AE618" s="209">
        <v>2025</v>
      </c>
      <c r="AF618" s="227">
        <v>45691</v>
      </c>
      <c r="AG618" s="227">
        <v>45709</v>
      </c>
      <c r="AH618" s="227">
        <v>45709</v>
      </c>
      <c r="AI618" s="228">
        <v>426816</v>
      </c>
      <c r="AJ618" s="228">
        <v>52</v>
      </c>
      <c r="AK618" s="228">
        <v>426816</v>
      </c>
      <c r="AL618" s="228">
        <v>52</v>
      </c>
      <c r="AM618" s="228">
        <v>0</v>
      </c>
      <c r="AN618" s="228">
        <v>0</v>
      </c>
      <c r="AO618" s="229">
        <v>6</v>
      </c>
      <c r="AP618" s="231">
        <v>2</v>
      </c>
      <c r="AQ618" s="231">
        <v>2025</v>
      </c>
      <c r="AR618" s="231" t="str">
        <f t="shared" si="85"/>
        <v>02/2025</v>
      </c>
      <c r="AS618" s="231">
        <f t="shared" si="86"/>
        <v>46.6</v>
      </c>
      <c r="AT618" s="239">
        <f>IF(G618="CERVECERIA Y MALTERIA",(AS618*AK618/1000000)*(1-VLOOKUP(N618,FCST!D:I,6,FALSE)),0)</f>
        <v>19.889625600000002</v>
      </c>
      <c r="AU618" s="232">
        <v>5.0000000000000001E-3</v>
      </c>
      <c r="AV618" s="239">
        <f t="shared" si="87"/>
        <v>19.989073728000001</v>
      </c>
      <c r="AW618" s="239">
        <f>(AS618*AK618/1000000)*(VLOOKUP(N618,FCST!D:I,6,FALSE))</f>
        <v>0</v>
      </c>
      <c r="AX618" s="239">
        <f t="shared" si="88"/>
        <v>0</v>
      </c>
      <c r="AY618" s="239">
        <f>IF($G618="CERVECERIA Y MALTERIA.",($AS618*$AK618/1000000)*(1-VLOOKUP($N618,FCST!D:I,6,FALSE)),0)</f>
        <v>0</v>
      </c>
      <c r="AZ618" s="239">
        <f t="shared" si="89"/>
        <v>0</v>
      </c>
    </row>
    <row r="619" spans="1:52" x14ac:dyDescent="0.25">
      <c r="A619" s="209">
        <v>1099150</v>
      </c>
      <c r="B619" s="209">
        <v>130</v>
      </c>
      <c r="C619" s="209" t="s">
        <v>1310</v>
      </c>
      <c r="D619" s="209">
        <v>30</v>
      </c>
      <c r="E619" s="209">
        <v>10000002</v>
      </c>
      <c r="F619" s="209">
        <v>20000337</v>
      </c>
      <c r="G619" s="209" t="s">
        <v>105</v>
      </c>
      <c r="H619" s="209">
        <v>20000337</v>
      </c>
      <c r="I619" s="209">
        <v>2</v>
      </c>
      <c r="J619" s="209" t="s">
        <v>169</v>
      </c>
      <c r="K619" s="209" t="s">
        <v>1311</v>
      </c>
      <c r="L619" s="209" t="s">
        <v>171</v>
      </c>
      <c r="M619" s="209" t="s">
        <v>199</v>
      </c>
      <c r="N619" s="209">
        <v>50037887</v>
      </c>
      <c r="O619" s="209" t="s">
        <v>679</v>
      </c>
      <c r="P619" s="209">
        <v>5121</v>
      </c>
      <c r="Q619" s="209" t="s">
        <v>200</v>
      </c>
      <c r="R619" s="209" t="s">
        <v>201</v>
      </c>
      <c r="S619" s="209" t="s">
        <v>202</v>
      </c>
      <c r="T619" s="209" t="s">
        <v>203</v>
      </c>
      <c r="U619" s="209" t="s">
        <v>201</v>
      </c>
      <c r="V619" s="209" t="s">
        <v>179</v>
      </c>
      <c r="W619" s="209" t="s">
        <v>179</v>
      </c>
      <c r="X619" s="209" t="s">
        <v>180</v>
      </c>
      <c r="Y619" s="209" t="s">
        <v>180</v>
      </c>
      <c r="Z619" s="209" t="s">
        <v>1312</v>
      </c>
      <c r="AA619" s="209" t="s">
        <v>1313</v>
      </c>
      <c r="AB619" s="209" t="s">
        <v>180</v>
      </c>
      <c r="AC619" s="209" t="s">
        <v>182</v>
      </c>
      <c r="AD619" s="209">
        <v>2</v>
      </c>
      <c r="AE619" s="209">
        <v>2025</v>
      </c>
      <c r="AF619" s="227">
        <v>45691</v>
      </c>
      <c r="AG619" s="227">
        <v>45707</v>
      </c>
      <c r="AH619" s="227">
        <v>45707</v>
      </c>
      <c r="AI619" s="228">
        <v>10224</v>
      </c>
      <c r="AJ619" s="228">
        <v>1</v>
      </c>
      <c r="AK619" s="228">
        <v>10224</v>
      </c>
      <c r="AL619" s="228">
        <v>1</v>
      </c>
      <c r="AM619" s="228">
        <v>0</v>
      </c>
      <c r="AN619" s="228">
        <v>0</v>
      </c>
      <c r="AO619" s="229">
        <v>6</v>
      </c>
      <c r="AP619" s="231">
        <v>2</v>
      </c>
      <c r="AQ619" s="231">
        <v>2025</v>
      </c>
      <c r="AR619" s="231" t="str">
        <f t="shared" si="85"/>
        <v>02/2025</v>
      </c>
      <c r="AS619" s="231">
        <f t="shared" si="86"/>
        <v>37.200000000000003</v>
      </c>
      <c r="AT619" s="239">
        <f>IF(G619="CERVECERIA Y MALTERIA",(AS619*AK619/1000000)*(1-VLOOKUP(N619,FCST!D:I,6,FALSE)),0)</f>
        <v>0.38033280000000003</v>
      </c>
      <c r="AU619" s="232">
        <v>5.0000000000000001E-3</v>
      </c>
      <c r="AV619" s="239">
        <f t="shared" si="87"/>
        <v>0.382234464</v>
      </c>
      <c r="AW619" s="239">
        <f>(AS619*AK619/1000000)*(VLOOKUP(N619,FCST!D:I,6,FALSE))</f>
        <v>0</v>
      </c>
      <c r="AX619" s="239">
        <f t="shared" si="88"/>
        <v>0</v>
      </c>
      <c r="AY619" s="239">
        <f>IF($G619="CERVECERIA Y MALTERIA.",($AS619*$AK619/1000000)*(1-VLOOKUP($N619,FCST!D:I,6,FALSE)),0)</f>
        <v>0</v>
      </c>
      <c r="AZ619" s="239">
        <f t="shared" si="89"/>
        <v>0</v>
      </c>
    </row>
    <row r="620" spans="1:52" x14ac:dyDescent="0.25">
      <c r="A620" s="209">
        <v>1099150</v>
      </c>
      <c r="B620" s="209">
        <v>110</v>
      </c>
      <c r="C620" s="209" t="s">
        <v>1310</v>
      </c>
      <c r="D620" s="209">
        <v>20</v>
      </c>
      <c r="E620" s="209">
        <v>10000002</v>
      </c>
      <c r="F620" s="209">
        <v>20000337</v>
      </c>
      <c r="G620" s="209" t="s">
        <v>105</v>
      </c>
      <c r="H620" s="209">
        <v>20000337</v>
      </c>
      <c r="I620" s="209">
        <v>2</v>
      </c>
      <c r="J620" s="209" t="s">
        <v>169</v>
      </c>
      <c r="K620" s="209" t="s">
        <v>1311</v>
      </c>
      <c r="L620" s="209" t="s">
        <v>171</v>
      </c>
      <c r="M620" s="209" t="s">
        <v>199</v>
      </c>
      <c r="N620" s="209">
        <v>50032573</v>
      </c>
      <c r="O620" s="209" t="s">
        <v>173</v>
      </c>
      <c r="P620" s="209">
        <v>5121</v>
      </c>
      <c r="Q620" s="209" t="s">
        <v>200</v>
      </c>
      <c r="R620" s="209" t="s">
        <v>201</v>
      </c>
      <c r="S620" s="209" t="s">
        <v>202</v>
      </c>
      <c r="T620" s="209" t="s">
        <v>203</v>
      </c>
      <c r="U620" s="209" t="s">
        <v>201</v>
      </c>
      <c r="V620" s="209" t="s">
        <v>179</v>
      </c>
      <c r="W620" s="209" t="s">
        <v>179</v>
      </c>
      <c r="X620" s="209" t="s">
        <v>180</v>
      </c>
      <c r="Y620" s="209" t="s">
        <v>180</v>
      </c>
      <c r="Z620" s="209" t="s">
        <v>1312</v>
      </c>
      <c r="AA620" s="209" t="s">
        <v>1313</v>
      </c>
      <c r="AB620" s="209" t="s">
        <v>180</v>
      </c>
      <c r="AC620" s="209" t="s">
        <v>182</v>
      </c>
      <c r="AD620" s="209">
        <v>2</v>
      </c>
      <c r="AE620" s="209">
        <v>2025</v>
      </c>
      <c r="AF620" s="227">
        <v>45691</v>
      </c>
      <c r="AG620" s="227">
        <v>45707</v>
      </c>
      <c r="AH620" s="227">
        <v>45707</v>
      </c>
      <c r="AI620" s="228">
        <v>316944</v>
      </c>
      <c r="AJ620" s="228">
        <v>31</v>
      </c>
      <c r="AK620" s="228">
        <v>316944</v>
      </c>
      <c r="AL620" s="228">
        <v>31</v>
      </c>
      <c r="AM620" s="228">
        <v>0</v>
      </c>
      <c r="AN620" s="228">
        <v>0</v>
      </c>
      <c r="AO620" s="229">
        <v>6</v>
      </c>
      <c r="AP620" s="231">
        <v>2</v>
      </c>
      <c r="AQ620" s="231">
        <v>2025</v>
      </c>
      <c r="AR620" s="231" t="str">
        <f t="shared" si="85"/>
        <v>02/2025</v>
      </c>
      <c r="AS620" s="231">
        <f t="shared" si="86"/>
        <v>37.200000000000003</v>
      </c>
      <c r="AT620" s="239">
        <f>IF(G620="CERVECERIA Y MALTERIA",(AS620*AK620/1000000)*(1-VLOOKUP(N620,FCST!D:I,6,FALSE)),0)</f>
        <v>11.790316800000001</v>
      </c>
      <c r="AU620" s="232">
        <v>5.0000000000000001E-3</v>
      </c>
      <c r="AV620" s="239">
        <f t="shared" si="87"/>
        <v>11.849268384</v>
      </c>
      <c r="AW620" s="239">
        <f>(AS620*AK620/1000000)*(VLOOKUP(N620,FCST!D:I,6,FALSE))</f>
        <v>0</v>
      </c>
      <c r="AX620" s="239">
        <f t="shared" si="88"/>
        <v>0</v>
      </c>
      <c r="AY620" s="239">
        <f>IF($G620="CERVECERIA Y MALTERIA.",($AS620*$AK620/1000000)*(1-VLOOKUP($N620,FCST!D:I,6,FALSE)),0)</f>
        <v>0</v>
      </c>
      <c r="AZ620" s="239">
        <f t="shared" si="89"/>
        <v>0</v>
      </c>
    </row>
    <row r="621" spans="1:52" x14ac:dyDescent="0.25">
      <c r="A621" s="209">
        <v>1099150</v>
      </c>
      <c r="B621" s="209">
        <v>100</v>
      </c>
      <c r="C621" s="209" t="s">
        <v>1310</v>
      </c>
      <c r="D621" s="209">
        <v>10</v>
      </c>
      <c r="E621" s="209">
        <v>10000002</v>
      </c>
      <c r="F621" s="209">
        <v>20000337</v>
      </c>
      <c r="G621" s="209" t="s">
        <v>105</v>
      </c>
      <c r="H621" s="209">
        <v>20000337</v>
      </c>
      <c r="I621" s="209">
        <v>2</v>
      </c>
      <c r="J621" s="209" t="s">
        <v>169</v>
      </c>
      <c r="K621" s="209" t="s">
        <v>1311</v>
      </c>
      <c r="L621" s="209" t="s">
        <v>171</v>
      </c>
      <c r="M621" s="209" t="s">
        <v>199</v>
      </c>
      <c r="N621" s="209">
        <v>50035183</v>
      </c>
      <c r="O621" s="209" t="s">
        <v>215</v>
      </c>
      <c r="P621" s="209">
        <v>5121</v>
      </c>
      <c r="Q621" s="209" t="s">
        <v>200</v>
      </c>
      <c r="R621" s="209" t="s">
        <v>201</v>
      </c>
      <c r="S621" s="209" t="s">
        <v>202</v>
      </c>
      <c r="T621" s="209" t="s">
        <v>203</v>
      </c>
      <c r="U621" s="209" t="s">
        <v>201</v>
      </c>
      <c r="V621" s="209" t="s">
        <v>179</v>
      </c>
      <c r="W621" s="209" t="s">
        <v>179</v>
      </c>
      <c r="X621" s="209" t="s">
        <v>180</v>
      </c>
      <c r="Y621" s="209" t="s">
        <v>180</v>
      </c>
      <c r="Z621" s="209" t="s">
        <v>1312</v>
      </c>
      <c r="AA621" s="209" t="s">
        <v>1313</v>
      </c>
      <c r="AB621" s="209" t="s">
        <v>180</v>
      </c>
      <c r="AC621" s="209" t="s">
        <v>182</v>
      </c>
      <c r="AD621" s="209">
        <v>2</v>
      </c>
      <c r="AE621" s="209">
        <v>2025</v>
      </c>
      <c r="AF621" s="227">
        <v>45691</v>
      </c>
      <c r="AG621" s="227">
        <v>45707</v>
      </c>
      <c r="AH621" s="227">
        <v>45707</v>
      </c>
      <c r="AI621" s="228">
        <v>164160</v>
      </c>
      <c r="AJ621" s="228">
        <v>20</v>
      </c>
      <c r="AK621" s="228">
        <v>164160</v>
      </c>
      <c r="AL621" s="228">
        <v>20</v>
      </c>
      <c r="AM621" s="228">
        <v>0</v>
      </c>
      <c r="AN621" s="228">
        <v>0</v>
      </c>
      <c r="AO621" s="229">
        <v>6</v>
      </c>
      <c r="AP621" s="231">
        <v>2</v>
      </c>
      <c r="AQ621" s="231">
        <v>2025</v>
      </c>
      <c r="AR621" s="231" t="str">
        <f t="shared" si="85"/>
        <v>02/2025</v>
      </c>
      <c r="AS621" s="231">
        <f t="shared" si="86"/>
        <v>46.6</v>
      </c>
      <c r="AT621" s="239">
        <f>IF(G621="CERVECERIA Y MALTERIA",(AS621*AK621/1000000)*(1-VLOOKUP(N621,FCST!D:I,6,FALSE)),0)</f>
        <v>7.6498559999999998</v>
      </c>
      <c r="AU621" s="232">
        <v>5.0000000000000001E-3</v>
      </c>
      <c r="AV621" s="239">
        <f t="shared" si="87"/>
        <v>7.6881052799999994</v>
      </c>
      <c r="AW621" s="239">
        <f>(AS621*AK621/1000000)*(VLOOKUP(N621,FCST!D:I,6,FALSE))</f>
        <v>0</v>
      </c>
      <c r="AX621" s="239">
        <f t="shared" si="88"/>
        <v>0</v>
      </c>
      <c r="AY621" s="239">
        <f>IF($G621="CERVECERIA Y MALTERIA.",($AS621*$AK621/1000000)*(1-VLOOKUP($N621,FCST!D:I,6,FALSE)),0)</f>
        <v>0</v>
      </c>
      <c r="AZ621" s="239">
        <f t="shared" si="89"/>
        <v>0</v>
      </c>
    </row>
    <row r="622" spans="1:52" x14ac:dyDescent="0.25">
      <c r="A622" s="209">
        <v>1101563</v>
      </c>
      <c r="B622" s="209">
        <v>70</v>
      </c>
      <c r="C622" s="209" t="s">
        <v>1314</v>
      </c>
      <c r="D622" s="209">
        <v>10</v>
      </c>
      <c r="E622" s="209">
        <v>10000002</v>
      </c>
      <c r="F622" s="209">
        <v>20000335</v>
      </c>
      <c r="G622" s="209" t="s">
        <v>105</v>
      </c>
      <c r="H622" s="209">
        <v>20000335</v>
      </c>
      <c r="I622" s="209">
        <v>2</v>
      </c>
      <c r="J622" s="209" t="s">
        <v>169</v>
      </c>
      <c r="K622" s="209" t="s">
        <v>1315</v>
      </c>
      <c r="L622" s="209" t="s">
        <v>171</v>
      </c>
      <c r="M622" s="209" t="s">
        <v>199</v>
      </c>
      <c r="N622" s="209">
        <v>50037887</v>
      </c>
      <c r="O622" s="209" t="s">
        <v>679</v>
      </c>
      <c r="P622" s="209">
        <v>5121</v>
      </c>
      <c r="Q622" s="209" t="s">
        <v>200</v>
      </c>
      <c r="R622" s="209" t="s">
        <v>201</v>
      </c>
      <c r="S622" s="209" t="s">
        <v>202</v>
      </c>
      <c r="T622" s="209" t="s">
        <v>203</v>
      </c>
      <c r="U622" s="209" t="s">
        <v>201</v>
      </c>
      <c r="V622" s="209" t="s">
        <v>179</v>
      </c>
      <c r="W622" s="209" t="s">
        <v>179</v>
      </c>
      <c r="X622" s="209" t="s">
        <v>180</v>
      </c>
      <c r="Y622" s="209" t="s">
        <v>180</v>
      </c>
      <c r="Z622" s="209" t="s">
        <v>1316</v>
      </c>
      <c r="AA622" s="209" t="s">
        <v>1317</v>
      </c>
      <c r="AB622" s="209" t="s">
        <v>180</v>
      </c>
      <c r="AC622" s="209" t="s">
        <v>182</v>
      </c>
      <c r="AD622" s="209">
        <v>2</v>
      </c>
      <c r="AE622" s="209">
        <v>2025</v>
      </c>
      <c r="AF622" s="227">
        <v>45701</v>
      </c>
      <c r="AG622" s="227">
        <v>45707</v>
      </c>
      <c r="AH622" s="227">
        <v>45707</v>
      </c>
      <c r="AI622" s="228">
        <v>531648</v>
      </c>
      <c r="AJ622" s="228">
        <v>52</v>
      </c>
      <c r="AK622" s="228">
        <v>531648</v>
      </c>
      <c r="AL622" s="228">
        <v>52</v>
      </c>
      <c r="AM622" s="228">
        <v>0</v>
      </c>
      <c r="AN622" s="228">
        <v>0</v>
      </c>
      <c r="AO622" s="229">
        <v>8</v>
      </c>
      <c r="AP622" s="231">
        <v>2</v>
      </c>
      <c r="AQ622" s="231">
        <v>2025</v>
      </c>
      <c r="AR622" s="231" t="str">
        <f t="shared" si="85"/>
        <v>02/2025</v>
      </c>
      <c r="AS622" s="231">
        <f t="shared" si="86"/>
        <v>37.200000000000003</v>
      </c>
      <c r="AT622" s="239">
        <f>IF(G622="CERVECERIA Y MALTERIA",(AS622*AK622/1000000)*(1-VLOOKUP(N622,FCST!D:I,6,FALSE)),0)</f>
        <v>19.777305600000002</v>
      </c>
      <c r="AU622" s="232">
        <v>5.0000000000000001E-3</v>
      </c>
      <c r="AV622" s="239">
        <f t="shared" si="87"/>
        <v>19.876192128</v>
      </c>
      <c r="AW622" s="239">
        <f>(AS622*AK622/1000000)*(VLOOKUP(N622,FCST!D:I,6,FALSE))</f>
        <v>0</v>
      </c>
      <c r="AX622" s="239">
        <f t="shared" si="88"/>
        <v>0</v>
      </c>
      <c r="AY622" s="239">
        <f>IF($G622="CERVECERIA Y MALTERIA.",($AS622*$AK622/1000000)*(1-VLOOKUP($N622,FCST!D:I,6,FALSE)),0)</f>
        <v>0</v>
      </c>
      <c r="AZ622" s="239">
        <f t="shared" si="89"/>
        <v>0</v>
      </c>
    </row>
    <row r="623" spans="1:52" x14ac:dyDescent="0.25">
      <c r="A623" s="209">
        <v>1100790</v>
      </c>
      <c r="B623" s="209">
        <v>60</v>
      </c>
      <c r="C623" s="209" t="s">
        <v>1318</v>
      </c>
      <c r="D623" s="209">
        <v>10</v>
      </c>
      <c r="E623" s="209">
        <v>10000002</v>
      </c>
      <c r="F623" s="209">
        <v>20000336</v>
      </c>
      <c r="G623" s="209" t="s">
        <v>105</v>
      </c>
      <c r="H623" s="209">
        <v>20000336</v>
      </c>
      <c r="I623" s="209">
        <v>2</v>
      </c>
      <c r="J623" s="209" t="s">
        <v>169</v>
      </c>
      <c r="K623" s="209" t="s">
        <v>1319</v>
      </c>
      <c r="L623" s="209" t="s">
        <v>171</v>
      </c>
      <c r="M623" s="209" t="s">
        <v>184</v>
      </c>
      <c r="N623" s="209">
        <v>50035183</v>
      </c>
      <c r="O623" s="209" t="s">
        <v>215</v>
      </c>
      <c r="P623" s="209">
        <v>5121</v>
      </c>
      <c r="Q623" s="209" t="s">
        <v>174</v>
      </c>
      <c r="R623" s="209" t="s">
        <v>175</v>
      </c>
      <c r="S623" s="209" t="s">
        <v>176</v>
      </c>
      <c r="T623" s="209" t="s">
        <v>177</v>
      </c>
      <c r="U623" s="209" t="s">
        <v>178</v>
      </c>
      <c r="V623" s="209" t="s">
        <v>179</v>
      </c>
      <c r="W623" s="209" t="s">
        <v>179</v>
      </c>
      <c r="X623" s="209" t="s">
        <v>180</v>
      </c>
      <c r="Y623" s="209" t="s">
        <v>180</v>
      </c>
      <c r="Z623" s="209" t="s">
        <v>1320</v>
      </c>
      <c r="AA623" s="209" t="s">
        <v>1321</v>
      </c>
      <c r="AB623" s="209" t="s">
        <v>180</v>
      </c>
      <c r="AC623" s="209" t="s">
        <v>182</v>
      </c>
      <c r="AD623" s="209">
        <v>2</v>
      </c>
      <c r="AE623" s="209">
        <v>2025</v>
      </c>
      <c r="AF623" s="227">
        <v>45699</v>
      </c>
      <c r="AG623" s="227">
        <v>45707</v>
      </c>
      <c r="AH623" s="227">
        <v>45707</v>
      </c>
      <c r="AI623" s="228">
        <v>426816</v>
      </c>
      <c r="AJ623" s="228">
        <v>52</v>
      </c>
      <c r="AK623" s="228">
        <v>426816</v>
      </c>
      <c r="AL623" s="228">
        <v>52</v>
      </c>
      <c r="AM623" s="228">
        <v>0</v>
      </c>
      <c r="AN623" s="228">
        <v>0</v>
      </c>
      <c r="AO623" s="229">
        <v>7</v>
      </c>
      <c r="AP623" s="231">
        <v>2</v>
      </c>
      <c r="AQ623" s="231">
        <v>2025</v>
      </c>
      <c r="AR623" s="231" t="str">
        <f t="shared" si="85"/>
        <v>02/2025</v>
      </c>
      <c r="AS623" s="231">
        <f t="shared" si="86"/>
        <v>46.6</v>
      </c>
      <c r="AT623" s="239">
        <f>IF(G623="CERVECERIA Y MALTERIA",(AS623*AK623/1000000)*(1-VLOOKUP(N623,FCST!D:I,6,FALSE)),0)</f>
        <v>19.889625600000002</v>
      </c>
      <c r="AU623" s="232">
        <v>5.0000000000000001E-3</v>
      </c>
      <c r="AV623" s="239">
        <f t="shared" si="87"/>
        <v>19.989073728000001</v>
      </c>
      <c r="AW623" s="239">
        <f>(AS623*AK623/1000000)*(VLOOKUP(N623,FCST!D:I,6,FALSE))</f>
        <v>0</v>
      </c>
      <c r="AX623" s="239">
        <f t="shared" si="88"/>
        <v>0</v>
      </c>
      <c r="AY623" s="239">
        <f>IF($G623="CERVECERIA Y MALTERIA.",($AS623*$AK623/1000000)*(1-VLOOKUP($N623,FCST!D:I,6,FALSE)),0)</f>
        <v>0</v>
      </c>
      <c r="AZ623" s="239">
        <f t="shared" si="89"/>
        <v>0</v>
      </c>
    </row>
    <row r="624" spans="1:52" x14ac:dyDescent="0.25">
      <c r="A624" s="209">
        <v>1101550</v>
      </c>
      <c r="B624" s="209">
        <v>40</v>
      </c>
      <c r="C624" s="209" t="s">
        <v>1322</v>
      </c>
      <c r="D624" s="209">
        <v>20</v>
      </c>
      <c r="E624" s="209">
        <v>10000002</v>
      </c>
      <c r="F624" s="209">
        <v>20000339</v>
      </c>
      <c r="G624" s="209" t="s">
        <v>105</v>
      </c>
      <c r="H624" s="209">
        <v>20000339</v>
      </c>
      <c r="I624" s="209">
        <v>2</v>
      </c>
      <c r="J624" s="209" t="s">
        <v>169</v>
      </c>
      <c r="K624" s="209" t="s">
        <v>1323</v>
      </c>
      <c r="L624" s="209" t="s">
        <v>171</v>
      </c>
      <c r="M624" s="209" t="s">
        <v>328</v>
      </c>
      <c r="N624" s="209">
        <v>50034194</v>
      </c>
      <c r="O624" s="209" t="s">
        <v>276</v>
      </c>
      <c r="P624" s="209">
        <v>5121</v>
      </c>
      <c r="Q624" s="209" t="s">
        <v>174</v>
      </c>
      <c r="R624" s="209" t="s">
        <v>175</v>
      </c>
      <c r="S624" s="209" t="s">
        <v>176</v>
      </c>
      <c r="T624" s="209" t="s">
        <v>177</v>
      </c>
      <c r="U624" s="209" t="s">
        <v>178</v>
      </c>
      <c r="V624" s="209" t="s">
        <v>179</v>
      </c>
      <c r="W624" s="209" t="s">
        <v>179</v>
      </c>
      <c r="X624" s="209" t="s">
        <v>180</v>
      </c>
      <c r="Y624" s="209" t="s">
        <v>180</v>
      </c>
      <c r="Z624" s="209" t="s">
        <v>1324</v>
      </c>
      <c r="AA624" s="209" t="s">
        <v>1325</v>
      </c>
      <c r="AB624" s="209" t="s">
        <v>180</v>
      </c>
      <c r="AC624" s="209" t="s">
        <v>182</v>
      </c>
      <c r="AD624" s="209">
        <v>2</v>
      </c>
      <c r="AE624" s="209">
        <v>2025</v>
      </c>
      <c r="AF624" s="227">
        <v>45701</v>
      </c>
      <c r="AG624" s="227">
        <v>45707</v>
      </c>
      <c r="AH624" s="227">
        <v>45707</v>
      </c>
      <c r="AI624" s="228">
        <v>24384</v>
      </c>
      <c r="AJ624" s="228">
        <v>4</v>
      </c>
      <c r="AK624" s="228">
        <v>24384</v>
      </c>
      <c r="AL624" s="228">
        <v>4</v>
      </c>
      <c r="AM624" s="228">
        <v>0</v>
      </c>
      <c r="AN624" s="228">
        <v>0</v>
      </c>
      <c r="AO624" s="229">
        <v>7</v>
      </c>
      <c r="AP624" s="231">
        <v>2</v>
      </c>
      <c r="AQ624" s="231">
        <v>2025</v>
      </c>
      <c r="AR624" s="231" t="str">
        <f t="shared" si="85"/>
        <v>02/2025</v>
      </c>
      <c r="AS624" s="231">
        <f t="shared" si="86"/>
        <v>62</v>
      </c>
      <c r="AT624" s="239">
        <f>IF(G624="CERVECERIA Y MALTERIA",(AS624*AK624/1000000)*(1-VLOOKUP(N624,FCST!D:I,6,FALSE)),0)</f>
        <v>1.511808</v>
      </c>
      <c r="AU624" s="232">
        <v>5.0000000000000001E-3</v>
      </c>
      <c r="AV624" s="239">
        <f t="shared" si="87"/>
        <v>1.5193670399999999</v>
      </c>
      <c r="AW624" s="239">
        <f>(AS624*AK624/1000000)*(VLOOKUP(N624,FCST!D:I,6,FALSE))</f>
        <v>0</v>
      </c>
      <c r="AX624" s="239">
        <f t="shared" si="88"/>
        <v>0</v>
      </c>
      <c r="AY624" s="239">
        <f>IF($G624="CERVECERIA Y MALTERIA.",($AS624*$AK624/1000000)*(1-VLOOKUP($N624,FCST!D:I,6,FALSE)),0)</f>
        <v>0</v>
      </c>
      <c r="AZ624" s="239">
        <f t="shared" si="89"/>
        <v>0</v>
      </c>
    </row>
    <row r="625" spans="1:52" x14ac:dyDescent="0.25">
      <c r="A625" s="209">
        <v>1101550</v>
      </c>
      <c r="B625" s="209">
        <v>30</v>
      </c>
      <c r="C625" s="209" t="s">
        <v>1322</v>
      </c>
      <c r="D625" s="209">
        <v>10</v>
      </c>
      <c r="E625" s="209">
        <v>10000002</v>
      </c>
      <c r="F625" s="209">
        <v>20000339</v>
      </c>
      <c r="G625" s="209" t="s">
        <v>105</v>
      </c>
      <c r="H625" s="209">
        <v>20000339</v>
      </c>
      <c r="I625" s="209">
        <v>2</v>
      </c>
      <c r="J625" s="209" t="s">
        <v>169</v>
      </c>
      <c r="K625" s="209" t="s">
        <v>1323</v>
      </c>
      <c r="L625" s="209" t="s">
        <v>171</v>
      </c>
      <c r="M625" s="209" t="s">
        <v>328</v>
      </c>
      <c r="N625" s="209">
        <v>50034634</v>
      </c>
      <c r="O625" s="209" t="s">
        <v>219</v>
      </c>
      <c r="P625" s="209">
        <v>5121</v>
      </c>
      <c r="Q625" s="209" t="s">
        <v>174</v>
      </c>
      <c r="R625" s="209" t="s">
        <v>175</v>
      </c>
      <c r="S625" s="209" t="s">
        <v>176</v>
      </c>
      <c r="T625" s="209" t="s">
        <v>177</v>
      </c>
      <c r="U625" s="209" t="s">
        <v>178</v>
      </c>
      <c r="V625" s="209" t="s">
        <v>179</v>
      </c>
      <c r="W625" s="209" t="s">
        <v>179</v>
      </c>
      <c r="X625" s="209" t="s">
        <v>180</v>
      </c>
      <c r="Y625" s="209" t="s">
        <v>180</v>
      </c>
      <c r="Z625" s="209" t="s">
        <v>1324</v>
      </c>
      <c r="AA625" s="209" t="s">
        <v>1325</v>
      </c>
      <c r="AB625" s="209" t="s">
        <v>180</v>
      </c>
      <c r="AC625" s="209" t="s">
        <v>182</v>
      </c>
      <c r="AD625" s="209">
        <v>2</v>
      </c>
      <c r="AE625" s="209">
        <v>2025</v>
      </c>
      <c r="AF625" s="227">
        <v>45701</v>
      </c>
      <c r="AG625" s="227">
        <v>45707</v>
      </c>
      <c r="AH625" s="227">
        <v>45707</v>
      </c>
      <c r="AI625" s="228">
        <v>336384</v>
      </c>
      <c r="AJ625" s="228">
        <v>48</v>
      </c>
      <c r="AK625" s="228">
        <v>336384</v>
      </c>
      <c r="AL625" s="228">
        <v>48</v>
      </c>
      <c r="AM625" s="228">
        <v>0</v>
      </c>
      <c r="AN625" s="228">
        <v>0</v>
      </c>
      <c r="AO625" s="229">
        <v>7</v>
      </c>
      <c r="AP625" s="231">
        <v>2</v>
      </c>
      <c r="AQ625" s="231">
        <v>2025</v>
      </c>
      <c r="AR625" s="231" t="str">
        <f t="shared" si="85"/>
        <v>02/2025</v>
      </c>
      <c r="AS625" s="231">
        <f t="shared" si="86"/>
        <v>52</v>
      </c>
      <c r="AT625" s="239">
        <f>IF(G625="CERVECERIA Y MALTERIA",(AS625*AK625/1000000)*(1-VLOOKUP(N625,FCST!D:I,6,FALSE)),0)</f>
        <v>17.491968</v>
      </c>
      <c r="AU625" s="232">
        <v>5.0000000000000001E-3</v>
      </c>
      <c r="AV625" s="239">
        <f t="shared" si="87"/>
        <v>17.579427839999997</v>
      </c>
      <c r="AW625" s="239">
        <f>(AS625*AK625/1000000)*(VLOOKUP(N625,FCST!D:I,6,FALSE))</f>
        <v>0</v>
      </c>
      <c r="AX625" s="239">
        <f t="shared" si="88"/>
        <v>0</v>
      </c>
      <c r="AY625" s="239">
        <f>IF($G625="CERVECERIA Y MALTERIA.",($AS625*$AK625/1000000)*(1-VLOOKUP($N625,FCST!D:I,6,FALSE)),0)</f>
        <v>0</v>
      </c>
      <c r="AZ625" s="239">
        <f t="shared" si="89"/>
        <v>0</v>
      </c>
    </row>
    <row r="626" spans="1:52" x14ac:dyDescent="0.25">
      <c r="A626" s="209">
        <v>1101563</v>
      </c>
      <c r="B626" s="209">
        <v>60</v>
      </c>
      <c r="C626" s="209" t="s">
        <v>1326</v>
      </c>
      <c r="D626" s="209">
        <v>10</v>
      </c>
      <c r="E626" s="209">
        <v>10000002</v>
      </c>
      <c r="F626" s="209">
        <v>20000335</v>
      </c>
      <c r="G626" s="209" t="s">
        <v>105</v>
      </c>
      <c r="H626" s="209">
        <v>20000335</v>
      </c>
      <c r="I626" s="209">
        <v>2</v>
      </c>
      <c r="J626" s="209" t="s">
        <v>169</v>
      </c>
      <c r="K626" s="209" t="s">
        <v>1327</v>
      </c>
      <c r="L626" s="209" t="s">
        <v>171</v>
      </c>
      <c r="M626" s="209" t="s">
        <v>328</v>
      </c>
      <c r="N626" s="209">
        <v>50035184</v>
      </c>
      <c r="O626" s="209" t="s">
        <v>672</v>
      </c>
      <c r="P626" s="209">
        <v>5121</v>
      </c>
      <c r="Q626" s="209" t="s">
        <v>174</v>
      </c>
      <c r="R626" s="209" t="s">
        <v>175</v>
      </c>
      <c r="S626" s="209" t="s">
        <v>176</v>
      </c>
      <c r="T626" s="209" t="s">
        <v>177</v>
      </c>
      <c r="U626" s="209" t="s">
        <v>178</v>
      </c>
      <c r="V626" s="209" t="s">
        <v>179</v>
      </c>
      <c r="W626" s="209" t="s">
        <v>179</v>
      </c>
      <c r="X626" s="209" t="s">
        <v>180</v>
      </c>
      <c r="Y626" s="209" t="s">
        <v>180</v>
      </c>
      <c r="Z626" s="209" t="s">
        <v>1328</v>
      </c>
      <c r="AA626" s="209" t="s">
        <v>1329</v>
      </c>
      <c r="AB626" s="209" t="s">
        <v>180</v>
      </c>
      <c r="AC626" s="209" t="s">
        <v>182</v>
      </c>
      <c r="AD626" s="209">
        <v>2</v>
      </c>
      <c r="AE626" s="209">
        <v>2025</v>
      </c>
      <c r="AF626" s="227">
        <v>45701</v>
      </c>
      <c r="AG626" s="227">
        <v>45707</v>
      </c>
      <c r="AH626" s="227">
        <v>45707</v>
      </c>
      <c r="AI626" s="228">
        <v>977184</v>
      </c>
      <c r="AJ626" s="228">
        <v>52</v>
      </c>
      <c r="AK626" s="228">
        <v>977184</v>
      </c>
      <c r="AL626" s="228">
        <v>52</v>
      </c>
      <c r="AM626" s="228">
        <v>0</v>
      </c>
      <c r="AN626" s="228">
        <v>0</v>
      </c>
      <c r="AO626" s="229">
        <v>8</v>
      </c>
      <c r="AP626" s="231">
        <v>2</v>
      </c>
      <c r="AQ626" s="231">
        <v>2025</v>
      </c>
      <c r="AR626" s="231" t="str">
        <f t="shared" si="85"/>
        <v>02/2025</v>
      </c>
      <c r="AS626" s="231">
        <f t="shared" si="86"/>
        <v>19.5</v>
      </c>
      <c r="AT626" s="239">
        <f>IF(G626="CERVECERIA Y MALTERIA",(AS626*AK626/1000000)*(1-VLOOKUP(N626,FCST!D:I,6,FALSE)),0)</f>
        <v>19.055088000000001</v>
      </c>
      <c r="AU626" s="232">
        <v>5.0000000000000001E-3</v>
      </c>
      <c r="AV626" s="239">
        <f t="shared" si="87"/>
        <v>19.15036344</v>
      </c>
      <c r="AW626" s="239">
        <f>(AS626*AK626/1000000)*(VLOOKUP(N626,FCST!D:I,6,FALSE))</f>
        <v>0</v>
      </c>
      <c r="AX626" s="239">
        <f t="shared" si="88"/>
        <v>0</v>
      </c>
      <c r="AY626" s="239">
        <f>IF($G626="CERVECERIA Y MALTERIA.",($AS626*$AK626/1000000)*(1-VLOOKUP($N626,FCST!D:I,6,FALSE)),0)</f>
        <v>0</v>
      </c>
      <c r="AZ626" s="239">
        <f t="shared" si="89"/>
        <v>0</v>
      </c>
    </row>
    <row r="627" spans="1:52" x14ac:dyDescent="0.25">
      <c r="A627" s="209">
        <v>1101563</v>
      </c>
      <c r="B627" s="209">
        <v>80</v>
      </c>
      <c r="C627" s="209" t="s">
        <v>1330</v>
      </c>
      <c r="D627" s="209">
        <v>10</v>
      </c>
      <c r="E627" s="209">
        <v>10000002</v>
      </c>
      <c r="F627" s="209">
        <v>20000335</v>
      </c>
      <c r="G627" s="209" t="s">
        <v>105</v>
      </c>
      <c r="H627" s="209">
        <v>20000335</v>
      </c>
      <c r="I627" s="209">
        <v>2</v>
      </c>
      <c r="J627" s="209" t="s">
        <v>169</v>
      </c>
      <c r="K627" s="209" t="s">
        <v>1331</v>
      </c>
      <c r="L627" s="209" t="s">
        <v>171</v>
      </c>
      <c r="M627" s="209" t="s">
        <v>199</v>
      </c>
      <c r="N627" s="209">
        <v>50035183</v>
      </c>
      <c r="O627" s="209" t="s">
        <v>215</v>
      </c>
      <c r="P627" s="209">
        <v>5121</v>
      </c>
      <c r="Q627" s="209" t="s">
        <v>200</v>
      </c>
      <c r="R627" s="209" t="s">
        <v>201</v>
      </c>
      <c r="S627" s="209" t="s">
        <v>202</v>
      </c>
      <c r="T627" s="209" t="s">
        <v>203</v>
      </c>
      <c r="U627" s="209" t="s">
        <v>201</v>
      </c>
      <c r="V627" s="209" t="s">
        <v>179</v>
      </c>
      <c r="W627" s="209" t="s">
        <v>179</v>
      </c>
      <c r="X627" s="209" t="s">
        <v>180</v>
      </c>
      <c r="Y627" s="209" t="s">
        <v>180</v>
      </c>
      <c r="Z627" s="209" t="s">
        <v>1332</v>
      </c>
      <c r="AA627" s="209" t="s">
        <v>1333</v>
      </c>
      <c r="AB627" s="209" t="s">
        <v>180</v>
      </c>
      <c r="AC627" s="209" t="s">
        <v>182</v>
      </c>
      <c r="AD627" s="209">
        <v>2</v>
      </c>
      <c r="AE627" s="209">
        <v>2025</v>
      </c>
      <c r="AF627" s="227">
        <v>45701</v>
      </c>
      <c r="AG627" s="227">
        <v>45707</v>
      </c>
      <c r="AH627" s="227">
        <v>45707</v>
      </c>
      <c r="AI627" s="228">
        <v>426816</v>
      </c>
      <c r="AJ627" s="228">
        <v>52</v>
      </c>
      <c r="AK627" s="228">
        <v>426816</v>
      </c>
      <c r="AL627" s="228">
        <v>52</v>
      </c>
      <c r="AM627" s="228">
        <v>0</v>
      </c>
      <c r="AN627" s="228">
        <v>0</v>
      </c>
      <c r="AO627" s="229">
        <v>8</v>
      </c>
      <c r="AP627" s="231">
        <v>2</v>
      </c>
      <c r="AQ627" s="231">
        <v>2025</v>
      </c>
      <c r="AR627" s="231" t="str">
        <f t="shared" si="85"/>
        <v>02/2025</v>
      </c>
      <c r="AS627" s="231">
        <f t="shared" si="86"/>
        <v>46.6</v>
      </c>
      <c r="AT627" s="239">
        <f>IF(G627="CERVECERIA Y MALTERIA",(AS627*AK627/1000000)*(1-VLOOKUP(N627,FCST!D:I,6,FALSE)),0)</f>
        <v>19.889625600000002</v>
      </c>
      <c r="AU627" s="232">
        <v>5.0000000000000001E-3</v>
      </c>
      <c r="AV627" s="239">
        <f t="shared" si="87"/>
        <v>19.989073728000001</v>
      </c>
      <c r="AW627" s="239">
        <f>(AS627*AK627/1000000)*(VLOOKUP(N627,FCST!D:I,6,FALSE))</f>
        <v>0</v>
      </c>
      <c r="AX627" s="239">
        <f t="shared" si="88"/>
        <v>0</v>
      </c>
      <c r="AY627" s="239">
        <f>IF($G627="CERVECERIA Y MALTERIA.",($AS627*$AK627/1000000)*(1-VLOOKUP($N627,FCST!D:I,6,FALSE)),0)</f>
        <v>0</v>
      </c>
      <c r="AZ627" s="239">
        <f t="shared" si="89"/>
        <v>0</v>
      </c>
    </row>
    <row r="628" spans="1:52" x14ac:dyDescent="0.25">
      <c r="A628" s="209">
        <v>1100790</v>
      </c>
      <c r="B628" s="209">
        <v>50</v>
      </c>
      <c r="C628" s="209" t="s">
        <v>1334</v>
      </c>
      <c r="D628" s="209">
        <v>20</v>
      </c>
      <c r="E628" s="209">
        <v>10000002</v>
      </c>
      <c r="F628" s="209">
        <v>20000336</v>
      </c>
      <c r="G628" s="209" t="s">
        <v>105</v>
      </c>
      <c r="H628" s="209">
        <v>20000336</v>
      </c>
      <c r="I628" s="209">
        <v>2</v>
      </c>
      <c r="J628" s="209" t="s">
        <v>169</v>
      </c>
      <c r="K628" s="209" t="s">
        <v>1335</v>
      </c>
      <c r="L628" s="209" t="s">
        <v>171</v>
      </c>
      <c r="M628" s="209" t="s">
        <v>184</v>
      </c>
      <c r="N628" s="209">
        <v>50034194</v>
      </c>
      <c r="O628" s="209" t="s">
        <v>276</v>
      </c>
      <c r="P628" s="209">
        <v>5121</v>
      </c>
      <c r="Q628" s="209" t="s">
        <v>174</v>
      </c>
      <c r="R628" s="209" t="s">
        <v>175</v>
      </c>
      <c r="S628" s="209" t="s">
        <v>176</v>
      </c>
      <c r="T628" s="209" t="s">
        <v>177</v>
      </c>
      <c r="U628" s="209" t="s">
        <v>178</v>
      </c>
      <c r="V628" s="209" t="s">
        <v>179</v>
      </c>
      <c r="W628" s="209" t="s">
        <v>179</v>
      </c>
      <c r="X628" s="209" t="s">
        <v>180</v>
      </c>
      <c r="Y628" s="209" t="s">
        <v>180</v>
      </c>
      <c r="Z628" s="209" t="s">
        <v>1336</v>
      </c>
      <c r="AA628" s="209" t="s">
        <v>1337</v>
      </c>
      <c r="AB628" s="209" t="s">
        <v>180</v>
      </c>
      <c r="AC628" s="209" t="s">
        <v>182</v>
      </c>
      <c r="AD628" s="209">
        <v>2</v>
      </c>
      <c r="AE628" s="209">
        <v>2025</v>
      </c>
      <c r="AF628" s="227">
        <v>45699</v>
      </c>
      <c r="AG628" s="227">
        <v>45706</v>
      </c>
      <c r="AH628" s="227">
        <v>45706</v>
      </c>
      <c r="AI628" s="228">
        <v>286512</v>
      </c>
      <c r="AJ628" s="228">
        <v>47</v>
      </c>
      <c r="AK628" s="228">
        <v>286512</v>
      </c>
      <c r="AL628" s="228">
        <v>47</v>
      </c>
      <c r="AM628" s="228">
        <v>0</v>
      </c>
      <c r="AN628" s="228">
        <v>0</v>
      </c>
      <c r="AO628" s="229">
        <v>7</v>
      </c>
      <c r="AP628" s="231">
        <v>2</v>
      </c>
      <c r="AQ628" s="231">
        <v>2025</v>
      </c>
      <c r="AR628" s="231" t="str">
        <f t="shared" si="85"/>
        <v>02/2025</v>
      </c>
      <c r="AS628" s="231">
        <f t="shared" si="86"/>
        <v>62</v>
      </c>
      <c r="AT628" s="239">
        <f>IF(G628="CERVECERIA Y MALTERIA",(AS628*AK628/1000000)*(1-VLOOKUP(N628,FCST!D:I,6,FALSE)),0)</f>
        <v>17.763743999999999</v>
      </c>
      <c r="AU628" s="232">
        <v>5.0000000000000001E-3</v>
      </c>
      <c r="AV628" s="239">
        <f t="shared" si="87"/>
        <v>17.852562719999998</v>
      </c>
      <c r="AW628" s="239">
        <f>(AS628*AK628/1000000)*(VLOOKUP(N628,FCST!D:I,6,FALSE))</f>
        <v>0</v>
      </c>
      <c r="AX628" s="239">
        <f t="shared" si="88"/>
        <v>0</v>
      </c>
      <c r="AY628" s="239">
        <f>IF($G628="CERVECERIA Y MALTERIA.",($AS628*$AK628/1000000)*(1-VLOOKUP($N628,FCST!D:I,6,FALSE)),0)</f>
        <v>0</v>
      </c>
      <c r="AZ628" s="239">
        <f t="shared" si="89"/>
        <v>0</v>
      </c>
    </row>
    <row r="629" spans="1:52" x14ac:dyDescent="0.25">
      <c r="A629" s="209">
        <v>1100790</v>
      </c>
      <c r="B629" s="209">
        <v>40</v>
      </c>
      <c r="C629" s="209" t="s">
        <v>1334</v>
      </c>
      <c r="D629" s="209">
        <v>10</v>
      </c>
      <c r="E629" s="209">
        <v>10000002</v>
      </c>
      <c r="F629" s="209">
        <v>20000336</v>
      </c>
      <c r="G629" s="209" t="s">
        <v>105</v>
      </c>
      <c r="H629" s="209">
        <v>20000336</v>
      </c>
      <c r="I629" s="209">
        <v>2</v>
      </c>
      <c r="J629" s="209" t="s">
        <v>169</v>
      </c>
      <c r="K629" s="209" t="s">
        <v>1335</v>
      </c>
      <c r="L629" s="209" t="s">
        <v>171</v>
      </c>
      <c r="M629" s="209" t="s">
        <v>184</v>
      </c>
      <c r="N629" s="209">
        <v>50037887</v>
      </c>
      <c r="O629" s="209" t="s">
        <v>679</v>
      </c>
      <c r="P629" s="209">
        <v>5121</v>
      </c>
      <c r="Q629" s="209" t="s">
        <v>174</v>
      </c>
      <c r="R629" s="209" t="s">
        <v>175</v>
      </c>
      <c r="S629" s="209" t="s">
        <v>176</v>
      </c>
      <c r="T629" s="209" t="s">
        <v>177</v>
      </c>
      <c r="U629" s="209" t="s">
        <v>178</v>
      </c>
      <c r="V629" s="209" t="s">
        <v>179</v>
      </c>
      <c r="W629" s="209" t="s">
        <v>179</v>
      </c>
      <c r="X629" s="209" t="s">
        <v>180</v>
      </c>
      <c r="Y629" s="209" t="s">
        <v>180</v>
      </c>
      <c r="Z629" s="209" t="s">
        <v>1336</v>
      </c>
      <c r="AA629" s="209" t="s">
        <v>1337</v>
      </c>
      <c r="AB629" s="209" t="s">
        <v>180</v>
      </c>
      <c r="AC629" s="209" t="s">
        <v>182</v>
      </c>
      <c r="AD629" s="209">
        <v>2</v>
      </c>
      <c r="AE629" s="209">
        <v>2025</v>
      </c>
      <c r="AF629" s="227">
        <v>45699</v>
      </c>
      <c r="AG629" s="227">
        <v>45706</v>
      </c>
      <c r="AH629" s="227">
        <v>45706</v>
      </c>
      <c r="AI629" s="228">
        <v>51120</v>
      </c>
      <c r="AJ629" s="228">
        <v>5</v>
      </c>
      <c r="AK629" s="228">
        <v>51120</v>
      </c>
      <c r="AL629" s="228">
        <v>5</v>
      </c>
      <c r="AM629" s="228">
        <v>0</v>
      </c>
      <c r="AN629" s="228">
        <v>0</v>
      </c>
      <c r="AO629" s="229">
        <v>7</v>
      </c>
      <c r="AP629" s="231">
        <v>2</v>
      </c>
      <c r="AQ629" s="231">
        <v>2025</v>
      </c>
      <c r="AR629" s="231" t="str">
        <f t="shared" si="85"/>
        <v>02/2025</v>
      </c>
      <c r="AS629" s="231">
        <f t="shared" si="86"/>
        <v>37.200000000000003</v>
      </c>
      <c r="AT629" s="239">
        <f>IF(G629="CERVECERIA Y MALTERIA",(AS629*AK629/1000000)*(1-VLOOKUP(N629,FCST!D:I,6,FALSE)),0)</f>
        <v>1.9016640000000002</v>
      </c>
      <c r="AU629" s="232">
        <v>5.0000000000000001E-3</v>
      </c>
      <c r="AV629" s="239">
        <f t="shared" si="87"/>
        <v>1.9111723200000001</v>
      </c>
      <c r="AW629" s="239">
        <f>(AS629*AK629/1000000)*(VLOOKUP(N629,FCST!D:I,6,FALSE))</f>
        <v>0</v>
      </c>
      <c r="AX629" s="239">
        <f t="shared" si="88"/>
        <v>0</v>
      </c>
      <c r="AY629" s="239">
        <f>IF($G629="CERVECERIA Y MALTERIA.",($AS629*$AK629/1000000)*(1-VLOOKUP($N629,FCST!D:I,6,FALSE)),0)</f>
        <v>0</v>
      </c>
      <c r="AZ629" s="239">
        <f t="shared" si="89"/>
        <v>0</v>
      </c>
    </row>
    <row r="630" spans="1:52" x14ac:dyDescent="0.25">
      <c r="A630" s="209">
        <v>1101563</v>
      </c>
      <c r="B630" s="209">
        <v>100</v>
      </c>
      <c r="C630" s="209" t="s">
        <v>1338</v>
      </c>
      <c r="D630" s="209">
        <v>10</v>
      </c>
      <c r="E630" s="209">
        <v>10000002</v>
      </c>
      <c r="F630" s="209">
        <v>20000335</v>
      </c>
      <c r="G630" s="209" t="s">
        <v>105</v>
      </c>
      <c r="H630" s="209">
        <v>20000335</v>
      </c>
      <c r="I630" s="209">
        <v>2</v>
      </c>
      <c r="J630" s="209" t="s">
        <v>169</v>
      </c>
      <c r="K630" s="209" t="s">
        <v>1339</v>
      </c>
      <c r="L630" s="209" t="s">
        <v>171</v>
      </c>
      <c r="M630" s="209" t="s">
        <v>184</v>
      </c>
      <c r="N630" s="209">
        <v>50035184</v>
      </c>
      <c r="O630" s="209" t="s">
        <v>672</v>
      </c>
      <c r="P630" s="209">
        <v>5121</v>
      </c>
      <c r="Q630" s="209" t="s">
        <v>174</v>
      </c>
      <c r="R630" s="209" t="s">
        <v>175</v>
      </c>
      <c r="S630" s="209" t="s">
        <v>176</v>
      </c>
      <c r="T630" s="209" t="s">
        <v>177</v>
      </c>
      <c r="U630" s="209" t="s">
        <v>178</v>
      </c>
      <c r="V630" s="209" t="s">
        <v>179</v>
      </c>
      <c r="W630" s="209" t="s">
        <v>179</v>
      </c>
      <c r="X630" s="209" t="s">
        <v>180</v>
      </c>
      <c r="Y630" s="209" t="s">
        <v>180</v>
      </c>
      <c r="Z630" s="209" t="s">
        <v>1292</v>
      </c>
      <c r="AA630" s="209" t="s">
        <v>1293</v>
      </c>
      <c r="AB630" s="209" t="s">
        <v>180</v>
      </c>
      <c r="AC630" s="209" t="s">
        <v>182</v>
      </c>
      <c r="AD630" s="209">
        <v>2</v>
      </c>
      <c r="AE630" s="209">
        <v>2025</v>
      </c>
      <c r="AF630" s="227">
        <v>45701</v>
      </c>
      <c r="AG630" s="227">
        <v>45709</v>
      </c>
      <c r="AH630" s="227">
        <v>45709</v>
      </c>
      <c r="AI630" s="228">
        <v>977184</v>
      </c>
      <c r="AJ630" s="228">
        <v>52</v>
      </c>
      <c r="AK630" s="228">
        <v>977184</v>
      </c>
      <c r="AL630" s="228">
        <v>52</v>
      </c>
      <c r="AM630" s="228">
        <v>0</v>
      </c>
      <c r="AN630" s="228">
        <v>0</v>
      </c>
      <c r="AO630" s="229">
        <v>8</v>
      </c>
      <c r="AP630" s="231">
        <v>2</v>
      </c>
      <c r="AQ630" s="231">
        <v>2025</v>
      </c>
      <c r="AR630" s="231" t="str">
        <f t="shared" si="85"/>
        <v>02/2025</v>
      </c>
      <c r="AS630" s="231">
        <f t="shared" si="86"/>
        <v>19.5</v>
      </c>
      <c r="AT630" s="239">
        <f>IF(G630="CERVECERIA Y MALTERIA",(AS630*AK630/1000000)*(1-VLOOKUP(N630,FCST!D:I,6,FALSE)),0)</f>
        <v>19.055088000000001</v>
      </c>
      <c r="AU630" s="232">
        <v>5.0000000000000001E-3</v>
      </c>
      <c r="AV630" s="239">
        <f t="shared" si="87"/>
        <v>19.15036344</v>
      </c>
      <c r="AW630" s="239">
        <f>(AS630*AK630/1000000)*(VLOOKUP(N630,FCST!D:I,6,FALSE))</f>
        <v>0</v>
      </c>
      <c r="AX630" s="239">
        <f t="shared" si="88"/>
        <v>0</v>
      </c>
      <c r="AY630" s="239">
        <f>IF($G630="CERVECERIA Y MALTERIA.",($AS630*$AK630/1000000)*(1-VLOOKUP($N630,FCST!D:I,6,FALSE)),0)</f>
        <v>0</v>
      </c>
      <c r="AZ630" s="239">
        <f t="shared" si="89"/>
        <v>0</v>
      </c>
    </row>
    <row r="631" spans="1:52" x14ac:dyDescent="0.25">
      <c r="A631" s="209">
        <v>1101563</v>
      </c>
      <c r="B631" s="209">
        <v>110</v>
      </c>
      <c r="C631" s="209" t="s">
        <v>1340</v>
      </c>
      <c r="D631" s="209">
        <v>10</v>
      </c>
      <c r="E631" s="209">
        <v>10000002</v>
      </c>
      <c r="F631" s="209">
        <v>20000335</v>
      </c>
      <c r="G631" s="209" t="s">
        <v>105</v>
      </c>
      <c r="H631" s="209">
        <v>20000335</v>
      </c>
      <c r="I631" s="209">
        <v>2</v>
      </c>
      <c r="J631" s="209" t="s">
        <v>169</v>
      </c>
      <c r="K631" s="209" t="s">
        <v>1341</v>
      </c>
      <c r="L631" s="209" t="s">
        <v>171</v>
      </c>
      <c r="M631" s="209" t="s">
        <v>199</v>
      </c>
      <c r="N631" s="209">
        <v>50034616</v>
      </c>
      <c r="O631" s="209" t="s">
        <v>191</v>
      </c>
      <c r="P631" s="209">
        <v>5121</v>
      </c>
      <c r="Q631" s="209" t="s">
        <v>200</v>
      </c>
      <c r="R631" s="209" t="s">
        <v>201</v>
      </c>
      <c r="S631" s="209" t="s">
        <v>202</v>
      </c>
      <c r="T631" s="209" t="s">
        <v>203</v>
      </c>
      <c r="U631" s="209" t="s">
        <v>201</v>
      </c>
      <c r="V631" s="209" t="s">
        <v>179</v>
      </c>
      <c r="W631" s="209" t="s">
        <v>179</v>
      </c>
      <c r="X631" s="209" t="s">
        <v>180</v>
      </c>
      <c r="Y631" s="209" t="s">
        <v>180</v>
      </c>
      <c r="Z631" s="209" t="s">
        <v>1342</v>
      </c>
      <c r="AA631" s="209" t="s">
        <v>1343</v>
      </c>
      <c r="AB631" s="209" t="s">
        <v>180</v>
      </c>
      <c r="AC631" s="209" t="s">
        <v>182</v>
      </c>
      <c r="AD631" s="209">
        <v>2</v>
      </c>
      <c r="AE631" s="209">
        <v>2025</v>
      </c>
      <c r="AF631" s="227">
        <v>45701</v>
      </c>
      <c r="AG631" s="227">
        <v>45709</v>
      </c>
      <c r="AH631" s="227">
        <v>45709</v>
      </c>
      <c r="AI631" s="228">
        <v>426816</v>
      </c>
      <c r="AJ631" s="228">
        <v>52</v>
      </c>
      <c r="AK631" s="228">
        <v>426816</v>
      </c>
      <c r="AL631" s="228">
        <v>52</v>
      </c>
      <c r="AM631" s="228">
        <v>0</v>
      </c>
      <c r="AN631" s="228">
        <v>0</v>
      </c>
      <c r="AO631" s="229">
        <v>8</v>
      </c>
      <c r="AP631" s="231">
        <v>2</v>
      </c>
      <c r="AQ631" s="231">
        <v>2025</v>
      </c>
      <c r="AR631" s="231" t="str">
        <f t="shared" si="85"/>
        <v>02/2025</v>
      </c>
      <c r="AS631" s="231">
        <f t="shared" si="86"/>
        <v>46.6</v>
      </c>
      <c r="AT631" s="239">
        <f>IF(G631="CERVECERIA Y MALTERIA",(AS631*AK631/1000000)*(1-VLOOKUP(N631,FCST!D:I,6,FALSE)),0)</f>
        <v>19.889625600000002</v>
      </c>
      <c r="AU631" s="232">
        <v>5.0000000000000001E-3</v>
      </c>
      <c r="AV631" s="239">
        <f t="shared" si="87"/>
        <v>19.989073728000001</v>
      </c>
      <c r="AW631" s="239">
        <f>(AS631*AK631/1000000)*(VLOOKUP(N631,FCST!D:I,6,FALSE))</f>
        <v>0</v>
      </c>
      <c r="AX631" s="239">
        <f t="shared" si="88"/>
        <v>0</v>
      </c>
      <c r="AY631" s="239">
        <f>IF($G631="CERVECERIA Y MALTERIA.",($AS631*$AK631/1000000)*(1-VLOOKUP($N631,FCST!D:I,6,FALSE)),0)</f>
        <v>0</v>
      </c>
      <c r="AZ631" s="239">
        <f t="shared" si="89"/>
        <v>0</v>
      </c>
    </row>
    <row r="632" spans="1:52" x14ac:dyDescent="0.25">
      <c r="A632" s="209">
        <v>1101563</v>
      </c>
      <c r="B632" s="209">
        <v>90</v>
      </c>
      <c r="C632" s="209" t="s">
        <v>1344</v>
      </c>
      <c r="D632" s="209">
        <v>10</v>
      </c>
      <c r="E632" s="209">
        <v>10000002</v>
      </c>
      <c r="F632" s="209">
        <v>20000335</v>
      </c>
      <c r="G632" s="209" t="s">
        <v>105</v>
      </c>
      <c r="H632" s="209">
        <v>20000335</v>
      </c>
      <c r="I632" s="209">
        <v>2</v>
      </c>
      <c r="J632" s="209" t="s">
        <v>169</v>
      </c>
      <c r="K632" s="209" t="s">
        <v>1345</v>
      </c>
      <c r="L632" s="209" t="s">
        <v>171</v>
      </c>
      <c r="M632" s="209" t="s">
        <v>199</v>
      </c>
      <c r="N632" s="209">
        <v>50034616</v>
      </c>
      <c r="O632" s="209" t="s">
        <v>191</v>
      </c>
      <c r="P632" s="209">
        <v>5121</v>
      </c>
      <c r="Q632" s="209" t="s">
        <v>200</v>
      </c>
      <c r="R632" s="209" t="s">
        <v>201</v>
      </c>
      <c r="S632" s="209" t="s">
        <v>202</v>
      </c>
      <c r="T632" s="209" t="s">
        <v>203</v>
      </c>
      <c r="U632" s="209" t="s">
        <v>201</v>
      </c>
      <c r="V632" s="209" t="s">
        <v>179</v>
      </c>
      <c r="W632" s="209" t="s">
        <v>179</v>
      </c>
      <c r="X632" s="209" t="s">
        <v>180</v>
      </c>
      <c r="Y632" s="209" t="s">
        <v>180</v>
      </c>
      <c r="Z632" s="209" t="s">
        <v>1342</v>
      </c>
      <c r="AA632" s="209" t="s">
        <v>1343</v>
      </c>
      <c r="AB632" s="209" t="s">
        <v>180</v>
      </c>
      <c r="AC632" s="209" t="s">
        <v>182</v>
      </c>
      <c r="AD632" s="209">
        <v>2</v>
      </c>
      <c r="AE632" s="209">
        <v>2025</v>
      </c>
      <c r="AF632" s="227">
        <v>45701</v>
      </c>
      <c r="AG632" s="227">
        <v>45708</v>
      </c>
      <c r="AH632" s="227">
        <v>45709</v>
      </c>
      <c r="AI632" s="228">
        <v>426816</v>
      </c>
      <c r="AJ632" s="228">
        <v>52</v>
      </c>
      <c r="AK632" s="228">
        <v>426816</v>
      </c>
      <c r="AL632" s="228">
        <v>52</v>
      </c>
      <c r="AM632" s="228">
        <v>0</v>
      </c>
      <c r="AN632" s="228">
        <v>0</v>
      </c>
      <c r="AO632" s="229">
        <v>8</v>
      </c>
      <c r="AP632" s="231">
        <v>2</v>
      </c>
      <c r="AQ632" s="231">
        <v>2025</v>
      </c>
      <c r="AR632" s="231" t="str">
        <f t="shared" si="85"/>
        <v>02/2025</v>
      </c>
      <c r="AS632" s="231">
        <f t="shared" si="86"/>
        <v>46.6</v>
      </c>
      <c r="AT632" s="239">
        <f>IF(G632="CERVECERIA Y MALTERIA",(AS632*AK632/1000000)*(1-VLOOKUP(N632,FCST!D:I,6,FALSE)),0)</f>
        <v>19.889625600000002</v>
      </c>
      <c r="AU632" s="232">
        <v>5.0000000000000001E-3</v>
      </c>
      <c r="AV632" s="239">
        <f t="shared" si="87"/>
        <v>19.989073728000001</v>
      </c>
      <c r="AW632" s="239">
        <f>(AS632*AK632/1000000)*(VLOOKUP(N632,FCST!D:I,6,FALSE))</f>
        <v>0</v>
      </c>
      <c r="AX632" s="239">
        <f t="shared" si="88"/>
        <v>0</v>
      </c>
      <c r="AY632" s="239">
        <f>IF($G632="CERVECERIA Y MALTERIA.",($AS632*$AK632/1000000)*(1-VLOOKUP($N632,FCST!D:I,6,FALSE)),0)</f>
        <v>0</v>
      </c>
      <c r="AZ632" s="239">
        <f t="shared" si="89"/>
        <v>0</v>
      </c>
    </row>
    <row r="633" spans="1:52" x14ac:dyDescent="0.25">
      <c r="A633" s="209">
        <v>1100790</v>
      </c>
      <c r="B633" s="209">
        <v>70</v>
      </c>
      <c r="C633" s="209" t="s">
        <v>1346</v>
      </c>
      <c r="D633" s="209">
        <v>10</v>
      </c>
      <c r="E633" s="209">
        <v>10000002</v>
      </c>
      <c r="F633" s="209">
        <v>20000336</v>
      </c>
      <c r="G633" s="209" t="s">
        <v>105</v>
      </c>
      <c r="H633" s="209">
        <v>20000336</v>
      </c>
      <c r="I633" s="209">
        <v>2</v>
      </c>
      <c r="J633" s="209" t="s">
        <v>169</v>
      </c>
      <c r="K633" s="209" t="s">
        <v>1347</v>
      </c>
      <c r="L633" s="209" t="s">
        <v>171</v>
      </c>
      <c r="M633" s="209" t="s">
        <v>184</v>
      </c>
      <c r="N633" s="209">
        <v>50032583</v>
      </c>
      <c r="O633" s="209" t="s">
        <v>205</v>
      </c>
      <c r="P633" s="209">
        <v>5121</v>
      </c>
      <c r="Q633" s="209" t="s">
        <v>174</v>
      </c>
      <c r="R633" s="209" t="s">
        <v>175</v>
      </c>
      <c r="S633" s="209" t="s">
        <v>176</v>
      </c>
      <c r="T633" s="209" t="s">
        <v>177</v>
      </c>
      <c r="U633" s="209" t="s">
        <v>178</v>
      </c>
      <c r="V633" s="209" t="s">
        <v>179</v>
      </c>
      <c r="W633" s="209" t="s">
        <v>179</v>
      </c>
      <c r="X633" s="209" t="s">
        <v>180</v>
      </c>
      <c r="Y633" s="209" t="s">
        <v>180</v>
      </c>
      <c r="Z633" s="209" t="s">
        <v>1348</v>
      </c>
      <c r="AA633" s="209" t="s">
        <v>1349</v>
      </c>
      <c r="AB633" s="209" t="s">
        <v>180</v>
      </c>
      <c r="AC633" s="209" t="s">
        <v>182</v>
      </c>
      <c r="AD633" s="209">
        <v>2</v>
      </c>
      <c r="AE633" s="209">
        <v>2025</v>
      </c>
      <c r="AF633" s="227">
        <v>45699</v>
      </c>
      <c r="AG633" s="227">
        <v>45708</v>
      </c>
      <c r="AH633" s="227">
        <v>45708</v>
      </c>
      <c r="AI633" s="228">
        <v>351936</v>
      </c>
      <c r="AJ633" s="228">
        <v>52</v>
      </c>
      <c r="AK633" s="228">
        <v>351936</v>
      </c>
      <c r="AL633" s="228">
        <v>52</v>
      </c>
      <c r="AM633" s="228">
        <v>0</v>
      </c>
      <c r="AN633" s="228">
        <v>0</v>
      </c>
      <c r="AO633" s="229">
        <v>7</v>
      </c>
      <c r="AP633" s="231">
        <v>2</v>
      </c>
      <c r="AQ633" s="231">
        <v>2025</v>
      </c>
      <c r="AR633" s="231" t="str">
        <f t="shared" si="85"/>
        <v>02/2025</v>
      </c>
      <c r="AS633" s="231">
        <f t="shared" si="86"/>
        <v>54.7</v>
      </c>
      <c r="AT633" s="239">
        <f>IF(G633="CERVECERIA Y MALTERIA",(AS633*AK633/1000000)*(1-VLOOKUP(N633,FCST!D:I,6,FALSE)),0)</f>
        <v>19.250899199999999</v>
      </c>
      <c r="AU633" s="232">
        <v>5.0000000000000001E-3</v>
      </c>
      <c r="AV633" s="239">
        <f t="shared" si="87"/>
        <v>19.347153695999996</v>
      </c>
      <c r="AW633" s="239">
        <f>(AS633*AK633/1000000)*(VLOOKUP(N633,FCST!D:I,6,FALSE))</f>
        <v>0</v>
      </c>
      <c r="AX633" s="239">
        <f t="shared" si="88"/>
        <v>0</v>
      </c>
      <c r="AY633" s="239">
        <f>IF($G633="CERVECERIA Y MALTERIA.",($AS633*$AK633/1000000)*(1-VLOOKUP($N633,FCST!D:I,6,FALSE)),0)</f>
        <v>0</v>
      </c>
      <c r="AZ633" s="239">
        <f t="shared" si="89"/>
        <v>0</v>
      </c>
    </row>
    <row r="634" spans="1:52" x14ac:dyDescent="0.25">
      <c r="A634" s="209">
        <v>1102990</v>
      </c>
      <c r="B634" s="209">
        <v>40</v>
      </c>
      <c r="C634" s="209" t="s">
        <v>1350</v>
      </c>
      <c r="D634" s="209">
        <v>10</v>
      </c>
      <c r="E634" s="209">
        <v>10000002</v>
      </c>
      <c r="F634" s="209">
        <v>20000337</v>
      </c>
      <c r="G634" s="209" t="s">
        <v>105</v>
      </c>
      <c r="H634" s="209">
        <v>20000337</v>
      </c>
      <c r="I634" s="209">
        <v>2</v>
      </c>
      <c r="J634" s="209" t="s">
        <v>169</v>
      </c>
      <c r="K634" s="209" t="s">
        <v>1351</v>
      </c>
      <c r="L634" s="209" t="s">
        <v>265</v>
      </c>
      <c r="M634" s="209" t="s">
        <v>184</v>
      </c>
      <c r="N634" s="209">
        <v>50024497</v>
      </c>
      <c r="O634" s="209" t="s">
        <v>1352</v>
      </c>
      <c r="P634" s="209">
        <v>5121</v>
      </c>
      <c r="Q634" s="209" t="s">
        <v>174</v>
      </c>
      <c r="R634" s="209" t="s">
        <v>175</v>
      </c>
      <c r="S634" s="209" t="s">
        <v>176</v>
      </c>
      <c r="T634" s="209" t="s">
        <v>177</v>
      </c>
      <c r="U634" s="209" t="s">
        <v>178</v>
      </c>
      <c r="V634" s="209" t="s">
        <v>179</v>
      </c>
      <c r="W634" s="209" t="s">
        <v>179</v>
      </c>
      <c r="X634" s="209" t="s">
        <v>180</v>
      </c>
      <c r="Y634" s="209" t="s">
        <v>180</v>
      </c>
      <c r="Z634" s="209" t="s">
        <v>1353</v>
      </c>
      <c r="AA634" s="209" t="s">
        <v>1354</v>
      </c>
      <c r="AB634" s="209" t="s">
        <v>180</v>
      </c>
      <c r="AC634" s="209" t="s">
        <v>182</v>
      </c>
      <c r="AD634" s="209">
        <v>2</v>
      </c>
      <c r="AE634" s="209">
        <v>2025</v>
      </c>
      <c r="AF634" s="227">
        <v>45712</v>
      </c>
      <c r="AG634" s="227">
        <v>45716</v>
      </c>
      <c r="AH634" s="227">
        <v>45716</v>
      </c>
      <c r="AI634" s="228">
        <v>351936</v>
      </c>
      <c r="AJ634" s="228">
        <v>52</v>
      </c>
      <c r="AK634" s="228">
        <v>351936</v>
      </c>
      <c r="AL634" s="228">
        <v>52</v>
      </c>
      <c r="AM634" s="228">
        <v>0</v>
      </c>
      <c r="AN634" s="228">
        <v>0</v>
      </c>
      <c r="AO634" s="229">
        <v>9</v>
      </c>
      <c r="AP634" s="231">
        <v>2</v>
      </c>
      <c r="AQ634" s="231">
        <v>2025</v>
      </c>
      <c r="AR634" s="231" t="str">
        <f t="shared" si="85"/>
        <v>02/2025</v>
      </c>
      <c r="AS634" s="231">
        <f t="shared" si="86"/>
        <v>54.7</v>
      </c>
      <c r="AT634" s="239">
        <f>IF(G634="CERVECERIA Y MALTERIA",(AS634*AK634/1000000)*(1-VLOOKUP(N634,FCST!D:I,6,FALSE)),0)</f>
        <v>19.250899199999999</v>
      </c>
      <c r="AU634" s="232">
        <v>5.0000000000000001E-3</v>
      </c>
      <c r="AV634" s="239">
        <f t="shared" si="87"/>
        <v>19.347153695999996</v>
      </c>
      <c r="AW634" s="239">
        <f>(AS634*AK634/1000000)*(VLOOKUP(N634,FCST!D:I,6,FALSE))</f>
        <v>0</v>
      </c>
      <c r="AX634" s="239">
        <f t="shared" si="88"/>
        <v>0</v>
      </c>
      <c r="AY634" s="239">
        <f>IF($G634="CERVECERIA Y MALTERIA.",($AS634*$AK634/1000000)*(1-VLOOKUP($N634,FCST!D:I,6,FALSE)),0)</f>
        <v>0</v>
      </c>
      <c r="AZ634" s="239">
        <f t="shared" si="89"/>
        <v>0</v>
      </c>
    </row>
    <row r="635" spans="1:52" x14ac:dyDescent="0.25">
      <c r="A635" s="209">
        <v>1100790</v>
      </c>
      <c r="B635" s="209">
        <v>110</v>
      </c>
      <c r="C635" s="209" t="s">
        <v>1355</v>
      </c>
      <c r="D635" s="209">
        <v>10</v>
      </c>
      <c r="E635" s="209">
        <v>10000002</v>
      </c>
      <c r="F635" s="209">
        <v>20000336</v>
      </c>
      <c r="G635" s="209" t="s">
        <v>105</v>
      </c>
      <c r="H635" s="209">
        <v>20000336</v>
      </c>
      <c r="I635" s="209">
        <v>2</v>
      </c>
      <c r="J635" s="209" t="s">
        <v>169</v>
      </c>
      <c r="K635" s="209" t="s">
        <v>1356</v>
      </c>
      <c r="L635" s="209" t="s">
        <v>171</v>
      </c>
      <c r="M635" s="209" t="s">
        <v>199</v>
      </c>
      <c r="N635" s="209">
        <v>50032583</v>
      </c>
      <c r="O635" s="209" t="s">
        <v>205</v>
      </c>
      <c r="P635" s="209">
        <v>5121</v>
      </c>
      <c r="Q635" s="209" t="s">
        <v>200</v>
      </c>
      <c r="R635" s="209" t="s">
        <v>201</v>
      </c>
      <c r="S635" s="209" t="s">
        <v>202</v>
      </c>
      <c r="T635" s="209" t="s">
        <v>203</v>
      </c>
      <c r="U635" s="209" t="s">
        <v>201</v>
      </c>
      <c r="V635" s="209" t="s">
        <v>179</v>
      </c>
      <c r="W635" s="209" t="s">
        <v>179</v>
      </c>
      <c r="X635" s="209" t="s">
        <v>180</v>
      </c>
      <c r="Y635" s="209" t="s">
        <v>180</v>
      </c>
      <c r="Z635" s="209" t="s">
        <v>1357</v>
      </c>
      <c r="AA635" s="209" t="s">
        <v>1358</v>
      </c>
      <c r="AB635" s="209" t="s">
        <v>180</v>
      </c>
      <c r="AC635" s="209" t="s">
        <v>182</v>
      </c>
      <c r="AD635" s="209">
        <v>2</v>
      </c>
      <c r="AE635" s="209">
        <v>2025</v>
      </c>
      <c r="AF635" s="227">
        <v>45699</v>
      </c>
      <c r="AG635" s="227">
        <v>45716</v>
      </c>
      <c r="AH635" s="227">
        <v>45716</v>
      </c>
      <c r="AI635" s="228">
        <v>351936</v>
      </c>
      <c r="AJ635" s="228">
        <v>52</v>
      </c>
      <c r="AK635" s="228">
        <v>351936</v>
      </c>
      <c r="AL635" s="228">
        <v>52</v>
      </c>
      <c r="AM635" s="228">
        <v>0</v>
      </c>
      <c r="AN635" s="228">
        <v>0</v>
      </c>
      <c r="AO635" s="229">
        <v>7</v>
      </c>
      <c r="AP635" s="231">
        <v>2</v>
      </c>
      <c r="AQ635" s="231">
        <v>2025</v>
      </c>
      <c r="AR635" s="231" t="str">
        <f t="shared" si="85"/>
        <v>02/2025</v>
      </c>
      <c r="AS635" s="231">
        <f t="shared" si="86"/>
        <v>54.7</v>
      </c>
      <c r="AT635" s="239">
        <f>IF(G635="CERVECERIA Y MALTERIA",(AS635*AK635/1000000)*(1-VLOOKUP(N635,FCST!D:I,6,FALSE)),0)</f>
        <v>19.250899199999999</v>
      </c>
      <c r="AU635" s="232">
        <v>5.0000000000000001E-3</v>
      </c>
      <c r="AV635" s="239">
        <f t="shared" si="87"/>
        <v>19.347153695999996</v>
      </c>
      <c r="AW635" s="239">
        <f>(AS635*AK635/1000000)*(VLOOKUP(N635,FCST!D:I,6,FALSE))</f>
        <v>0</v>
      </c>
      <c r="AX635" s="239">
        <f t="shared" si="88"/>
        <v>0</v>
      </c>
      <c r="AY635" s="239">
        <f>IF($G635="CERVECERIA Y MALTERIA.",($AS635*$AK635/1000000)*(1-VLOOKUP($N635,FCST!D:I,6,FALSE)),0)</f>
        <v>0</v>
      </c>
      <c r="AZ635" s="239">
        <f t="shared" si="89"/>
        <v>0</v>
      </c>
    </row>
    <row r="636" spans="1:52" x14ac:dyDescent="0.25">
      <c r="A636" s="209">
        <v>1100790</v>
      </c>
      <c r="B636" s="209">
        <v>100</v>
      </c>
      <c r="C636" s="209" t="s">
        <v>1359</v>
      </c>
      <c r="D636" s="209">
        <v>10</v>
      </c>
      <c r="E636" s="209">
        <v>10000002</v>
      </c>
      <c r="F636" s="209">
        <v>20000336</v>
      </c>
      <c r="G636" s="209" t="s">
        <v>105</v>
      </c>
      <c r="H636" s="209">
        <v>20000336</v>
      </c>
      <c r="I636" s="209">
        <v>2</v>
      </c>
      <c r="J636" s="209" t="s">
        <v>169</v>
      </c>
      <c r="K636" s="209" t="s">
        <v>1360</v>
      </c>
      <c r="L636" s="209" t="s">
        <v>171</v>
      </c>
      <c r="M636" s="209" t="s">
        <v>184</v>
      </c>
      <c r="N636" s="209">
        <v>50037887</v>
      </c>
      <c r="O636" s="209" t="s">
        <v>679</v>
      </c>
      <c r="P636" s="209">
        <v>5121</v>
      </c>
      <c r="Q636" s="209" t="s">
        <v>174</v>
      </c>
      <c r="R636" s="209" t="s">
        <v>175</v>
      </c>
      <c r="S636" s="209" t="s">
        <v>176</v>
      </c>
      <c r="T636" s="209" t="s">
        <v>177</v>
      </c>
      <c r="U636" s="209" t="s">
        <v>178</v>
      </c>
      <c r="V636" s="209" t="s">
        <v>179</v>
      </c>
      <c r="W636" s="209" t="s">
        <v>179</v>
      </c>
      <c r="X636" s="209" t="s">
        <v>180</v>
      </c>
      <c r="Y636" s="209" t="s">
        <v>180</v>
      </c>
      <c r="Z636" s="209" t="s">
        <v>1361</v>
      </c>
      <c r="AA636" s="209" t="s">
        <v>1362</v>
      </c>
      <c r="AB636" s="209" t="s">
        <v>180</v>
      </c>
      <c r="AC636" s="209" t="s">
        <v>182</v>
      </c>
      <c r="AD636" s="209">
        <v>2</v>
      </c>
      <c r="AE636" s="209">
        <v>2025</v>
      </c>
      <c r="AF636" s="227">
        <v>45699</v>
      </c>
      <c r="AG636" s="227">
        <v>45716</v>
      </c>
      <c r="AH636" s="227">
        <v>45716</v>
      </c>
      <c r="AI636" s="228">
        <v>531648</v>
      </c>
      <c r="AJ636" s="228">
        <v>52</v>
      </c>
      <c r="AK636" s="228">
        <v>531648</v>
      </c>
      <c r="AL636" s="228">
        <v>52</v>
      </c>
      <c r="AM636" s="228">
        <v>0</v>
      </c>
      <c r="AN636" s="228">
        <v>0</v>
      </c>
      <c r="AO636" s="229">
        <v>7</v>
      </c>
      <c r="AP636" s="231">
        <v>2</v>
      </c>
      <c r="AQ636" s="231">
        <v>2025</v>
      </c>
      <c r="AR636" s="231" t="str">
        <f t="shared" si="85"/>
        <v>02/2025</v>
      </c>
      <c r="AS636" s="231">
        <f t="shared" si="86"/>
        <v>37.200000000000003</v>
      </c>
      <c r="AT636" s="239">
        <f>IF(G636="CERVECERIA Y MALTERIA",(AS636*AK636/1000000)*(1-VLOOKUP(N636,FCST!D:I,6,FALSE)),0)</f>
        <v>19.777305600000002</v>
      </c>
      <c r="AU636" s="232">
        <v>5.0000000000000001E-3</v>
      </c>
      <c r="AV636" s="239">
        <f t="shared" si="87"/>
        <v>19.876192128</v>
      </c>
      <c r="AW636" s="239">
        <f>(AS636*AK636/1000000)*(VLOOKUP(N636,FCST!D:I,6,FALSE))</f>
        <v>0</v>
      </c>
      <c r="AX636" s="239">
        <f t="shared" si="88"/>
        <v>0</v>
      </c>
      <c r="AY636" s="239">
        <f>IF($G636="CERVECERIA Y MALTERIA.",($AS636*$AK636/1000000)*(1-VLOOKUP($N636,FCST!D:I,6,FALSE)),0)</f>
        <v>0</v>
      </c>
      <c r="AZ636" s="239">
        <f t="shared" si="89"/>
        <v>0</v>
      </c>
    </row>
    <row r="637" spans="1:52" x14ac:dyDescent="0.25">
      <c r="A637" s="209">
        <v>1102660</v>
      </c>
      <c r="B637" s="209">
        <v>70</v>
      </c>
      <c r="C637" s="209" t="s">
        <v>1363</v>
      </c>
      <c r="D637" s="209">
        <v>10</v>
      </c>
      <c r="E637" s="209">
        <v>10000002</v>
      </c>
      <c r="F637" s="209">
        <v>20000335</v>
      </c>
      <c r="G637" s="209" t="s">
        <v>105</v>
      </c>
      <c r="H637" s="209">
        <v>20000335</v>
      </c>
      <c r="I637" s="209">
        <v>2</v>
      </c>
      <c r="J637" s="209" t="s">
        <v>169</v>
      </c>
      <c r="K637" s="209" t="s">
        <v>1364</v>
      </c>
      <c r="L637" s="209" t="s">
        <v>171</v>
      </c>
      <c r="M637" s="209" t="s">
        <v>184</v>
      </c>
      <c r="N637" s="209">
        <v>50037887</v>
      </c>
      <c r="O637" s="209" t="s">
        <v>679</v>
      </c>
      <c r="P637" s="209">
        <v>5121</v>
      </c>
      <c r="Q637" s="209" t="s">
        <v>174</v>
      </c>
      <c r="R637" s="209" t="s">
        <v>175</v>
      </c>
      <c r="S637" s="209" t="s">
        <v>176</v>
      </c>
      <c r="T637" s="209" t="s">
        <v>177</v>
      </c>
      <c r="U637" s="209" t="s">
        <v>178</v>
      </c>
      <c r="V637" s="209" t="s">
        <v>179</v>
      </c>
      <c r="W637" s="209" t="s">
        <v>179</v>
      </c>
      <c r="X637" s="209" t="s">
        <v>180</v>
      </c>
      <c r="Y637" s="209" t="s">
        <v>180</v>
      </c>
      <c r="Z637" s="209" t="s">
        <v>1365</v>
      </c>
      <c r="AA637" s="209" t="s">
        <v>1366</v>
      </c>
      <c r="AB637" s="209" t="s">
        <v>180</v>
      </c>
      <c r="AC637" s="209" t="s">
        <v>182</v>
      </c>
      <c r="AD637" s="209">
        <v>2</v>
      </c>
      <c r="AE637" s="209">
        <v>2025</v>
      </c>
      <c r="AF637" s="227">
        <v>45708</v>
      </c>
      <c r="AG637" s="227">
        <v>45715</v>
      </c>
      <c r="AH637" s="227">
        <v>45715</v>
      </c>
      <c r="AI637" s="228">
        <v>531648</v>
      </c>
      <c r="AJ637" s="228">
        <v>52</v>
      </c>
      <c r="AK637" s="228">
        <v>531648</v>
      </c>
      <c r="AL637" s="228">
        <v>52</v>
      </c>
      <c r="AM637" s="228">
        <v>0</v>
      </c>
      <c r="AN637" s="228">
        <v>0</v>
      </c>
      <c r="AO637" s="229">
        <v>9</v>
      </c>
      <c r="AP637" s="231">
        <v>2</v>
      </c>
      <c r="AQ637" s="231">
        <v>2025</v>
      </c>
      <c r="AR637" s="231" t="str">
        <f t="shared" si="85"/>
        <v>02/2025</v>
      </c>
      <c r="AS637" s="231">
        <f t="shared" si="86"/>
        <v>37.200000000000003</v>
      </c>
      <c r="AT637" s="239">
        <f>IF(G637="CERVECERIA Y MALTERIA",(AS637*AK637/1000000)*(1-VLOOKUP(N637,FCST!D:I,6,FALSE)),0)</f>
        <v>19.777305600000002</v>
      </c>
      <c r="AU637" s="232">
        <v>5.0000000000000001E-3</v>
      </c>
      <c r="AV637" s="239">
        <f t="shared" si="87"/>
        <v>19.876192128</v>
      </c>
      <c r="AW637" s="239">
        <f>(AS637*AK637/1000000)*(VLOOKUP(N637,FCST!D:I,6,FALSE))</f>
        <v>0</v>
      </c>
      <c r="AX637" s="239">
        <f t="shared" si="88"/>
        <v>0</v>
      </c>
      <c r="AY637" s="239">
        <f>IF($G637="CERVECERIA Y MALTERIA.",($AS637*$AK637/1000000)*(1-VLOOKUP($N637,FCST!D:I,6,FALSE)),0)</f>
        <v>0</v>
      </c>
      <c r="AZ637" s="239">
        <f t="shared" si="89"/>
        <v>0</v>
      </c>
    </row>
    <row r="638" spans="1:52" x14ac:dyDescent="0.25">
      <c r="A638" s="209">
        <v>1102660</v>
      </c>
      <c r="B638" s="209">
        <v>120</v>
      </c>
      <c r="C638" s="209" t="s">
        <v>1367</v>
      </c>
      <c r="D638" s="209">
        <v>10</v>
      </c>
      <c r="E638" s="209">
        <v>10000002</v>
      </c>
      <c r="F638" s="209">
        <v>20000335</v>
      </c>
      <c r="G638" s="209" t="s">
        <v>105</v>
      </c>
      <c r="H638" s="209">
        <v>20000335</v>
      </c>
      <c r="I638" s="209">
        <v>2</v>
      </c>
      <c r="J638" s="209" t="s">
        <v>169</v>
      </c>
      <c r="K638" s="209" t="s">
        <v>1368</v>
      </c>
      <c r="L638" s="209" t="s">
        <v>171</v>
      </c>
      <c r="M638" s="209" t="s">
        <v>184</v>
      </c>
      <c r="N638" s="209">
        <v>50035184</v>
      </c>
      <c r="O638" s="209" t="s">
        <v>672</v>
      </c>
      <c r="P638" s="209">
        <v>5121</v>
      </c>
      <c r="Q638" s="209" t="s">
        <v>174</v>
      </c>
      <c r="R638" s="209" t="s">
        <v>175</v>
      </c>
      <c r="S638" s="209" t="s">
        <v>176</v>
      </c>
      <c r="T638" s="209" t="s">
        <v>177</v>
      </c>
      <c r="U638" s="209" t="s">
        <v>178</v>
      </c>
      <c r="V638" s="209" t="s">
        <v>179</v>
      </c>
      <c r="W638" s="209" t="s">
        <v>179</v>
      </c>
      <c r="X638" s="209" t="s">
        <v>180</v>
      </c>
      <c r="Y638" s="209" t="s">
        <v>180</v>
      </c>
      <c r="Z638" s="209" t="s">
        <v>1369</v>
      </c>
      <c r="AA638" s="209" t="s">
        <v>1370</v>
      </c>
      <c r="AB638" s="209" t="s">
        <v>180</v>
      </c>
      <c r="AC638" s="209" t="s">
        <v>182</v>
      </c>
      <c r="AD638" s="209">
        <v>2</v>
      </c>
      <c r="AE638" s="209">
        <v>2025</v>
      </c>
      <c r="AF638" s="227">
        <v>45708</v>
      </c>
      <c r="AG638" s="227">
        <v>45715</v>
      </c>
      <c r="AH638" s="227">
        <v>45715</v>
      </c>
      <c r="AI638" s="228">
        <v>977184</v>
      </c>
      <c r="AJ638" s="228">
        <v>52</v>
      </c>
      <c r="AK638" s="228">
        <v>977184</v>
      </c>
      <c r="AL638" s="228">
        <v>52</v>
      </c>
      <c r="AM638" s="228">
        <v>0</v>
      </c>
      <c r="AN638" s="228">
        <v>0</v>
      </c>
      <c r="AO638" s="229">
        <v>9</v>
      </c>
      <c r="AP638" s="231">
        <v>2</v>
      </c>
      <c r="AQ638" s="231">
        <v>2025</v>
      </c>
      <c r="AR638" s="231" t="str">
        <f t="shared" si="85"/>
        <v>02/2025</v>
      </c>
      <c r="AS638" s="231">
        <f t="shared" si="86"/>
        <v>19.5</v>
      </c>
      <c r="AT638" s="239">
        <f>IF(G638="CERVECERIA Y MALTERIA",(AS638*AK638/1000000)*(1-VLOOKUP(N638,FCST!D:I,6,FALSE)),0)</f>
        <v>19.055088000000001</v>
      </c>
      <c r="AU638" s="232">
        <v>5.0000000000000001E-3</v>
      </c>
      <c r="AV638" s="239">
        <f t="shared" si="87"/>
        <v>19.15036344</v>
      </c>
      <c r="AW638" s="239">
        <f>(AS638*AK638/1000000)*(VLOOKUP(N638,FCST!D:I,6,FALSE))</f>
        <v>0</v>
      </c>
      <c r="AX638" s="239">
        <f t="shared" si="88"/>
        <v>0</v>
      </c>
      <c r="AY638" s="239">
        <f>IF($G638="CERVECERIA Y MALTERIA.",($AS638*$AK638/1000000)*(1-VLOOKUP($N638,FCST!D:I,6,FALSE)),0)</f>
        <v>0</v>
      </c>
      <c r="AZ638" s="239">
        <f t="shared" si="89"/>
        <v>0</v>
      </c>
    </row>
    <row r="639" spans="1:52" x14ac:dyDescent="0.25">
      <c r="A639" s="209">
        <v>1102660</v>
      </c>
      <c r="B639" s="209">
        <v>80</v>
      </c>
      <c r="C639" s="209" t="s">
        <v>1371</v>
      </c>
      <c r="D639" s="209">
        <v>10</v>
      </c>
      <c r="E639" s="209">
        <v>10000002</v>
      </c>
      <c r="F639" s="209">
        <v>20000335</v>
      </c>
      <c r="G639" s="209" t="s">
        <v>105</v>
      </c>
      <c r="H639" s="209">
        <v>20000335</v>
      </c>
      <c r="I639" s="209">
        <v>2</v>
      </c>
      <c r="J639" s="209" t="s">
        <v>169</v>
      </c>
      <c r="K639" s="209" t="s">
        <v>1372</v>
      </c>
      <c r="L639" s="209" t="s">
        <v>171</v>
      </c>
      <c r="M639" s="209" t="s">
        <v>199</v>
      </c>
      <c r="N639" s="209">
        <v>50034616</v>
      </c>
      <c r="O639" s="209" t="s">
        <v>191</v>
      </c>
      <c r="P639" s="209">
        <v>5121</v>
      </c>
      <c r="Q639" s="209" t="s">
        <v>200</v>
      </c>
      <c r="R639" s="209" t="s">
        <v>201</v>
      </c>
      <c r="S639" s="209" t="s">
        <v>202</v>
      </c>
      <c r="T639" s="209" t="s">
        <v>203</v>
      </c>
      <c r="U639" s="209" t="s">
        <v>201</v>
      </c>
      <c r="V639" s="209" t="s">
        <v>179</v>
      </c>
      <c r="W639" s="209" t="s">
        <v>179</v>
      </c>
      <c r="X639" s="209" t="s">
        <v>180</v>
      </c>
      <c r="Y639" s="209" t="s">
        <v>180</v>
      </c>
      <c r="Z639" s="209" t="s">
        <v>1373</v>
      </c>
      <c r="AA639" s="209" t="s">
        <v>1374</v>
      </c>
      <c r="AB639" s="209" t="s">
        <v>180</v>
      </c>
      <c r="AC639" s="209" t="s">
        <v>182</v>
      </c>
      <c r="AD639" s="209">
        <v>2</v>
      </c>
      <c r="AE639" s="209">
        <v>2025</v>
      </c>
      <c r="AF639" s="227">
        <v>45708</v>
      </c>
      <c r="AG639" s="227">
        <v>45715</v>
      </c>
      <c r="AH639" s="227">
        <v>45715</v>
      </c>
      <c r="AI639" s="228">
        <v>426816</v>
      </c>
      <c r="AJ639" s="228">
        <v>52</v>
      </c>
      <c r="AK639" s="228">
        <v>426816</v>
      </c>
      <c r="AL639" s="228">
        <v>52</v>
      </c>
      <c r="AM639" s="228">
        <v>0</v>
      </c>
      <c r="AN639" s="228">
        <v>0</v>
      </c>
      <c r="AO639" s="229">
        <v>9</v>
      </c>
      <c r="AP639" s="231">
        <v>2</v>
      </c>
      <c r="AQ639" s="231">
        <v>2025</v>
      </c>
      <c r="AR639" s="231" t="str">
        <f t="shared" si="85"/>
        <v>02/2025</v>
      </c>
      <c r="AS639" s="231">
        <f t="shared" si="86"/>
        <v>46.6</v>
      </c>
      <c r="AT639" s="239">
        <f>IF(G639="CERVECERIA Y MALTERIA",(AS639*AK639/1000000)*(1-VLOOKUP(N639,FCST!D:I,6,FALSE)),0)</f>
        <v>19.889625600000002</v>
      </c>
      <c r="AU639" s="232">
        <v>5.0000000000000001E-3</v>
      </c>
      <c r="AV639" s="239">
        <f t="shared" si="87"/>
        <v>19.989073728000001</v>
      </c>
      <c r="AW639" s="239">
        <f>(AS639*AK639/1000000)*(VLOOKUP(N639,FCST!D:I,6,FALSE))</f>
        <v>0</v>
      </c>
      <c r="AX639" s="239">
        <f t="shared" si="88"/>
        <v>0</v>
      </c>
      <c r="AY639" s="239">
        <f>IF($G639="CERVECERIA Y MALTERIA.",($AS639*$AK639/1000000)*(1-VLOOKUP($N639,FCST!D:I,6,FALSE)),0)</f>
        <v>0</v>
      </c>
      <c r="AZ639" s="239">
        <f t="shared" si="89"/>
        <v>0</v>
      </c>
    </row>
    <row r="640" spans="1:52" x14ac:dyDescent="0.25">
      <c r="A640" s="209">
        <v>1102660</v>
      </c>
      <c r="B640" s="209">
        <v>100</v>
      </c>
      <c r="C640" s="209" t="s">
        <v>1375</v>
      </c>
      <c r="D640" s="209">
        <v>10</v>
      </c>
      <c r="E640" s="209">
        <v>10000002</v>
      </c>
      <c r="F640" s="209">
        <v>20000335</v>
      </c>
      <c r="G640" s="209" t="s">
        <v>105</v>
      </c>
      <c r="H640" s="209">
        <v>20000335</v>
      </c>
      <c r="I640" s="209">
        <v>2</v>
      </c>
      <c r="J640" s="209" t="s">
        <v>169</v>
      </c>
      <c r="K640" s="209" t="s">
        <v>1376</v>
      </c>
      <c r="L640" s="209" t="s">
        <v>171</v>
      </c>
      <c r="M640" s="209" t="s">
        <v>184</v>
      </c>
      <c r="N640" s="209">
        <v>50035183</v>
      </c>
      <c r="O640" s="209" t="s">
        <v>215</v>
      </c>
      <c r="P640" s="209">
        <v>5121</v>
      </c>
      <c r="Q640" s="209" t="s">
        <v>174</v>
      </c>
      <c r="R640" s="209" t="s">
        <v>175</v>
      </c>
      <c r="S640" s="209" t="s">
        <v>176</v>
      </c>
      <c r="T640" s="209" t="s">
        <v>177</v>
      </c>
      <c r="U640" s="209" t="s">
        <v>178</v>
      </c>
      <c r="V640" s="209" t="s">
        <v>179</v>
      </c>
      <c r="W640" s="209" t="s">
        <v>179</v>
      </c>
      <c r="X640" s="209" t="s">
        <v>180</v>
      </c>
      <c r="Y640" s="209" t="s">
        <v>180</v>
      </c>
      <c r="Z640" s="209" t="s">
        <v>1377</v>
      </c>
      <c r="AA640" s="209" t="s">
        <v>1378</v>
      </c>
      <c r="AB640" s="209" t="s">
        <v>180</v>
      </c>
      <c r="AC640" s="209" t="s">
        <v>182</v>
      </c>
      <c r="AD640" s="209">
        <v>2</v>
      </c>
      <c r="AE640" s="209">
        <v>2025</v>
      </c>
      <c r="AF640" s="227">
        <v>45708</v>
      </c>
      <c r="AG640" s="227">
        <v>45716</v>
      </c>
      <c r="AH640" s="227">
        <v>45716</v>
      </c>
      <c r="AI640" s="228">
        <v>426816</v>
      </c>
      <c r="AJ640" s="228">
        <v>52</v>
      </c>
      <c r="AK640" s="228">
        <v>426816</v>
      </c>
      <c r="AL640" s="228">
        <v>52</v>
      </c>
      <c r="AM640" s="228">
        <v>0</v>
      </c>
      <c r="AN640" s="228">
        <v>0</v>
      </c>
      <c r="AO640" s="229">
        <v>9</v>
      </c>
      <c r="AP640" s="231">
        <v>2</v>
      </c>
      <c r="AQ640" s="231">
        <v>2025</v>
      </c>
      <c r="AR640" s="231" t="str">
        <f t="shared" si="85"/>
        <v>02/2025</v>
      </c>
      <c r="AS640" s="231">
        <f t="shared" si="86"/>
        <v>46.6</v>
      </c>
      <c r="AT640" s="239">
        <f>IF(G640="CERVECERIA Y MALTERIA",(AS640*AK640/1000000)*(1-VLOOKUP(N640,FCST!D:I,6,FALSE)),0)</f>
        <v>19.889625600000002</v>
      </c>
      <c r="AU640" s="232">
        <v>5.0000000000000001E-3</v>
      </c>
      <c r="AV640" s="239">
        <f t="shared" si="87"/>
        <v>19.989073728000001</v>
      </c>
      <c r="AW640" s="239">
        <f>(AS640*AK640/1000000)*(VLOOKUP(N640,FCST!D:I,6,FALSE))</f>
        <v>0</v>
      </c>
      <c r="AX640" s="239">
        <f t="shared" si="88"/>
        <v>0</v>
      </c>
      <c r="AY640" s="239">
        <f>IF($G640="CERVECERIA Y MALTERIA.",($AS640*$AK640/1000000)*(1-VLOOKUP($N640,FCST!D:I,6,FALSE)),0)</f>
        <v>0</v>
      </c>
      <c r="AZ640" s="239">
        <f t="shared" si="89"/>
        <v>0</v>
      </c>
    </row>
    <row r="641" spans="1:52" x14ac:dyDescent="0.25">
      <c r="A641" s="209">
        <v>1102660</v>
      </c>
      <c r="B641" s="209">
        <v>90</v>
      </c>
      <c r="C641" s="209" t="s">
        <v>1379</v>
      </c>
      <c r="D641" s="209">
        <v>10</v>
      </c>
      <c r="E641" s="209">
        <v>10000002</v>
      </c>
      <c r="F641" s="209">
        <v>20000335</v>
      </c>
      <c r="G641" s="209" t="s">
        <v>105</v>
      </c>
      <c r="H641" s="209">
        <v>20000335</v>
      </c>
      <c r="I641" s="209">
        <v>2</v>
      </c>
      <c r="J641" s="209" t="s">
        <v>169</v>
      </c>
      <c r="K641" s="209" t="s">
        <v>1380</v>
      </c>
      <c r="L641" s="209" t="s">
        <v>171</v>
      </c>
      <c r="M641" s="209" t="s">
        <v>199</v>
      </c>
      <c r="N641" s="209">
        <v>50037887</v>
      </c>
      <c r="O641" s="209" t="s">
        <v>679</v>
      </c>
      <c r="P641" s="209">
        <v>5121</v>
      </c>
      <c r="Q641" s="209" t="s">
        <v>200</v>
      </c>
      <c r="R641" s="209" t="s">
        <v>201</v>
      </c>
      <c r="S641" s="209" t="s">
        <v>202</v>
      </c>
      <c r="T641" s="209" t="s">
        <v>203</v>
      </c>
      <c r="U641" s="209" t="s">
        <v>201</v>
      </c>
      <c r="V641" s="209" t="s">
        <v>179</v>
      </c>
      <c r="W641" s="209" t="s">
        <v>179</v>
      </c>
      <c r="X641" s="209" t="s">
        <v>180</v>
      </c>
      <c r="Y641" s="209" t="s">
        <v>180</v>
      </c>
      <c r="Z641" s="209" t="s">
        <v>1381</v>
      </c>
      <c r="AA641" s="209" t="s">
        <v>1382</v>
      </c>
      <c r="AB641" s="209" t="s">
        <v>180</v>
      </c>
      <c r="AC641" s="209" t="s">
        <v>182</v>
      </c>
      <c r="AD641" s="209">
        <v>2</v>
      </c>
      <c r="AE641" s="209">
        <v>2025</v>
      </c>
      <c r="AF641" s="227">
        <v>45708</v>
      </c>
      <c r="AG641" s="227">
        <v>45716</v>
      </c>
      <c r="AH641" s="227">
        <v>45716</v>
      </c>
      <c r="AI641" s="228">
        <v>531648</v>
      </c>
      <c r="AJ641" s="228">
        <v>52</v>
      </c>
      <c r="AK641" s="228">
        <v>531648</v>
      </c>
      <c r="AL641" s="228">
        <v>52</v>
      </c>
      <c r="AM641" s="228">
        <v>0</v>
      </c>
      <c r="AN641" s="228">
        <v>0</v>
      </c>
      <c r="AO641" s="229">
        <v>9</v>
      </c>
      <c r="AP641" s="231">
        <v>2</v>
      </c>
      <c r="AQ641" s="231">
        <v>2025</v>
      </c>
      <c r="AR641" s="231" t="str">
        <f t="shared" si="85"/>
        <v>02/2025</v>
      </c>
      <c r="AS641" s="231">
        <f t="shared" si="86"/>
        <v>37.200000000000003</v>
      </c>
      <c r="AT641" s="239">
        <f>IF(G641="CERVECERIA Y MALTERIA",(AS641*AK641/1000000)*(1-VLOOKUP(N641,FCST!D:I,6,FALSE)),0)</f>
        <v>19.777305600000002</v>
      </c>
      <c r="AU641" s="232">
        <v>5.0000000000000001E-3</v>
      </c>
      <c r="AV641" s="239">
        <f t="shared" si="87"/>
        <v>19.876192128</v>
      </c>
      <c r="AW641" s="239">
        <f>(AS641*AK641/1000000)*(VLOOKUP(N641,FCST!D:I,6,FALSE))</f>
        <v>0</v>
      </c>
      <c r="AX641" s="239">
        <f t="shared" si="88"/>
        <v>0</v>
      </c>
      <c r="AY641" s="239">
        <f>IF($G641="CERVECERIA Y MALTERIA.",($AS641*$AK641/1000000)*(1-VLOOKUP($N641,FCST!D:I,6,FALSE)),0)</f>
        <v>0</v>
      </c>
      <c r="AZ641" s="239">
        <f t="shared" si="89"/>
        <v>0</v>
      </c>
    </row>
    <row r="642" spans="1:52" x14ac:dyDescent="0.25">
      <c r="A642" s="209">
        <v>1101244</v>
      </c>
      <c r="B642" s="209">
        <v>40</v>
      </c>
      <c r="C642" s="209" t="s">
        <v>1383</v>
      </c>
      <c r="D642" s="209">
        <v>10</v>
      </c>
      <c r="E642" s="209">
        <v>10000002</v>
      </c>
      <c r="F642" s="209">
        <v>20000339</v>
      </c>
      <c r="G642" s="209" t="s">
        <v>105</v>
      </c>
      <c r="H642" s="209">
        <v>20000339</v>
      </c>
      <c r="I642" s="209">
        <v>2</v>
      </c>
      <c r="J642" s="209" t="s">
        <v>169</v>
      </c>
      <c r="K642" s="209" t="s">
        <v>1384</v>
      </c>
      <c r="L642" s="209" t="s">
        <v>171</v>
      </c>
      <c r="M642" s="209" t="s">
        <v>328</v>
      </c>
      <c r="N642" s="209">
        <v>50034577</v>
      </c>
      <c r="O642" s="209" t="s">
        <v>237</v>
      </c>
      <c r="P642" s="209">
        <v>5101</v>
      </c>
      <c r="Q642" s="209" t="s">
        <v>186</v>
      </c>
      <c r="R642" s="209" t="s">
        <v>175</v>
      </c>
      <c r="S642" s="209" t="s">
        <v>176</v>
      </c>
      <c r="T642" s="209" t="s">
        <v>187</v>
      </c>
      <c r="U642" s="209" t="s">
        <v>188</v>
      </c>
      <c r="V642" s="209" t="s">
        <v>179</v>
      </c>
      <c r="W642" s="209" t="s">
        <v>179</v>
      </c>
      <c r="X642" s="209" t="s">
        <v>180</v>
      </c>
      <c r="Y642" s="209" t="s">
        <v>180</v>
      </c>
      <c r="Z642" s="209" t="s">
        <v>1385</v>
      </c>
      <c r="AA642" s="209" t="s">
        <v>1386</v>
      </c>
      <c r="AB642" s="209" t="s">
        <v>180</v>
      </c>
      <c r="AC642" s="209" t="s">
        <v>182</v>
      </c>
      <c r="AD642" s="209">
        <v>2</v>
      </c>
      <c r="AE642" s="209">
        <v>2025</v>
      </c>
      <c r="AF642" s="227">
        <v>45700</v>
      </c>
      <c r="AG642" s="227">
        <v>45715</v>
      </c>
      <c r="AH642" s="227">
        <v>45716</v>
      </c>
      <c r="AI642" s="228">
        <v>28608</v>
      </c>
      <c r="AJ642" s="228">
        <v>2</v>
      </c>
      <c r="AK642" s="228">
        <v>42912</v>
      </c>
      <c r="AL642" s="228">
        <v>3</v>
      </c>
      <c r="AM642" s="228">
        <v>0</v>
      </c>
      <c r="AN642" s="228">
        <v>0</v>
      </c>
      <c r="AO642" s="229">
        <v>7</v>
      </c>
      <c r="AP642" s="231">
        <v>2</v>
      </c>
      <c r="AQ642" s="231">
        <v>2025</v>
      </c>
      <c r="AR642" s="231" t="str">
        <f t="shared" si="85"/>
        <v>02/2025</v>
      </c>
      <c r="AS642" s="231">
        <f t="shared" si="86"/>
        <v>25</v>
      </c>
      <c r="AT642" s="239">
        <f>IF(G642="CERVECERIA Y MALTERIA",(AS642*AK642/1000000)*(1-VLOOKUP(N642,FCST!D:I,6,FALSE)),0)</f>
        <v>1.0728</v>
      </c>
      <c r="AU642" s="232">
        <v>5.0000000000000001E-3</v>
      </c>
      <c r="AV642" s="239">
        <f t="shared" si="87"/>
        <v>1.0781639999999999</v>
      </c>
      <c r="AW642" s="239">
        <f>(AS642*AK642/1000000)*(VLOOKUP(N642,FCST!D:I,6,FALSE))</f>
        <v>0</v>
      </c>
      <c r="AX642" s="239">
        <f t="shared" si="88"/>
        <v>0</v>
      </c>
      <c r="AY642" s="239">
        <f>IF($G642="CERVECERIA Y MALTERIA.",($AS642*$AK642/1000000)*(1-VLOOKUP($N642,FCST!D:I,6,FALSE)),0)</f>
        <v>0</v>
      </c>
      <c r="AZ642" s="239">
        <f t="shared" si="89"/>
        <v>0</v>
      </c>
    </row>
    <row r="643" spans="1:52" x14ac:dyDescent="0.25">
      <c r="A643" s="209">
        <v>1103078</v>
      </c>
      <c r="B643" s="209">
        <v>30</v>
      </c>
      <c r="C643" s="209" t="s">
        <v>1387</v>
      </c>
      <c r="D643" s="209">
        <v>10</v>
      </c>
      <c r="E643" s="209">
        <v>10000002</v>
      </c>
      <c r="F643" s="209">
        <v>20000339</v>
      </c>
      <c r="G643" s="209" t="s">
        <v>105</v>
      </c>
      <c r="H643" s="209">
        <v>20000339</v>
      </c>
      <c r="I643" s="209">
        <v>2</v>
      </c>
      <c r="J643" s="209" t="s">
        <v>169</v>
      </c>
      <c r="K643" s="209" t="s">
        <v>1388</v>
      </c>
      <c r="L643" s="209" t="s">
        <v>265</v>
      </c>
      <c r="M643" s="209" t="s">
        <v>328</v>
      </c>
      <c r="N643" s="209">
        <v>50034194</v>
      </c>
      <c r="O643" s="209" t="s">
        <v>276</v>
      </c>
      <c r="P643" s="209">
        <v>5121</v>
      </c>
      <c r="Q643" s="209" t="s">
        <v>174</v>
      </c>
      <c r="R643" s="209" t="s">
        <v>175</v>
      </c>
      <c r="S643" s="209" t="s">
        <v>176</v>
      </c>
      <c r="T643" s="209" t="s">
        <v>177</v>
      </c>
      <c r="U643" s="209" t="s">
        <v>178</v>
      </c>
      <c r="V643" s="209" t="s">
        <v>179</v>
      </c>
      <c r="W643" s="209" t="s">
        <v>179</v>
      </c>
      <c r="X643" s="209" t="s">
        <v>180</v>
      </c>
      <c r="Y643" s="209" t="s">
        <v>180</v>
      </c>
      <c r="Z643" s="209" t="s">
        <v>1389</v>
      </c>
      <c r="AA643" s="209" t="s">
        <v>1390</v>
      </c>
      <c r="AB643" s="209" t="s">
        <v>180</v>
      </c>
      <c r="AC643" s="209" t="s">
        <v>182</v>
      </c>
      <c r="AD643" s="209">
        <v>2</v>
      </c>
      <c r="AE643" s="209">
        <v>2025</v>
      </c>
      <c r="AF643" s="227">
        <v>45712</v>
      </c>
      <c r="AG643" s="227">
        <v>45716</v>
      </c>
      <c r="AH643" s="227">
        <v>45716</v>
      </c>
      <c r="AI643" s="228">
        <v>298704</v>
      </c>
      <c r="AJ643" s="228">
        <v>49</v>
      </c>
      <c r="AK643" s="228">
        <v>298704</v>
      </c>
      <c r="AL643" s="228">
        <v>49</v>
      </c>
      <c r="AM643" s="228">
        <v>0</v>
      </c>
      <c r="AN643" s="228">
        <v>0</v>
      </c>
      <c r="AO643" s="229">
        <v>9</v>
      </c>
      <c r="AP643" s="231">
        <v>2</v>
      </c>
      <c r="AQ643" s="231">
        <v>2025</v>
      </c>
      <c r="AR643" s="231" t="str">
        <f t="shared" si="85"/>
        <v>02/2025</v>
      </c>
      <c r="AS643" s="231">
        <f t="shared" si="86"/>
        <v>62</v>
      </c>
      <c r="AT643" s="239">
        <f>IF(G643="CERVECERIA Y MALTERIA",(AS643*AK643/1000000)*(1-VLOOKUP(N643,FCST!D:I,6,FALSE)),0)</f>
        <v>18.519648</v>
      </c>
      <c r="AU643" s="232">
        <v>5.0000000000000001E-3</v>
      </c>
      <c r="AV643" s="239">
        <f t="shared" si="87"/>
        <v>18.612246239999997</v>
      </c>
      <c r="AW643" s="239">
        <f>(AS643*AK643/1000000)*(VLOOKUP(N643,FCST!D:I,6,FALSE))</f>
        <v>0</v>
      </c>
      <c r="AX643" s="239">
        <f t="shared" si="88"/>
        <v>0</v>
      </c>
      <c r="AY643" s="239">
        <f>IF($G643="CERVECERIA Y MALTERIA.",($AS643*$AK643/1000000)*(1-VLOOKUP($N643,FCST!D:I,6,FALSE)),0)</f>
        <v>0</v>
      </c>
      <c r="AZ643" s="239">
        <f t="shared" si="89"/>
        <v>0</v>
      </c>
    </row>
    <row r="644" spans="1:52" x14ac:dyDescent="0.25">
      <c r="A644" s="209">
        <v>1102660</v>
      </c>
      <c r="B644" s="209">
        <v>60</v>
      </c>
      <c r="C644" s="209" t="s">
        <v>1391</v>
      </c>
      <c r="D644" s="209">
        <v>10</v>
      </c>
      <c r="E644" s="209">
        <v>10000002</v>
      </c>
      <c r="F644" s="209">
        <v>20000335</v>
      </c>
      <c r="G644" s="209" t="s">
        <v>105</v>
      </c>
      <c r="H644" s="209">
        <v>20000335</v>
      </c>
      <c r="I644" s="209">
        <v>2</v>
      </c>
      <c r="J644" s="209" t="s">
        <v>169</v>
      </c>
      <c r="K644" s="209" t="s">
        <v>1392</v>
      </c>
      <c r="L644" s="209" t="s">
        <v>171</v>
      </c>
      <c r="M644" s="209" t="s">
        <v>199</v>
      </c>
      <c r="N644" s="209">
        <v>50034616</v>
      </c>
      <c r="O644" s="209" t="s">
        <v>191</v>
      </c>
      <c r="P644" s="209">
        <v>5121</v>
      </c>
      <c r="Q644" s="209" t="s">
        <v>200</v>
      </c>
      <c r="R644" s="209" t="s">
        <v>201</v>
      </c>
      <c r="S644" s="209" t="s">
        <v>202</v>
      </c>
      <c r="T644" s="209" t="s">
        <v>203</v>
      </c>
      <c r="U644" s="209" t="s">
        <v>201</v>
      </c>
      <c r="V644" s="209" t="s">
        <v>179</v>
      </c>
      <c r="W644" s="209" t="s">
        <v>179</v>
      </c>
      <c r="X644" s="209" t="s">
        <v>180</v>
      </c>
      <c r="Y644" s="209" t="s">
        <v>180</v>
      </c>
      <c r="Z644" s="209" t="s">
        <v>1393</v>
      </c>
      <c r="AA644" s="209" t="s">
        <v>1394</v>
      </c>
      <c r="AB644" s="209" t="s">
        <v>180</v>
      </c>
      <c r="AC644" s="209" t="s">
        <v>182</v>
      </c>
      <c r="AD644" s="209">
        <v>2</v>
      </c>
      <c r="AE644" s="209">
        <v>2025</v>
      </c>
      <c r="AF644" s="227">
        <v>45708</v>
      </c>
      <c r="AG644" s="227">
        <v>45714</v>
      </c>
      <c r="AH644" s="227">
        <v>45714</v>
      </c>
      <c r="AI644" s="228">
        <v>426816</v>
      </c>
      <c r="AJ644" s="228">
        <v>52</v>
      </c>
      <c r="AK644" s="228">
        <v>426816</v>
      </c>
      <c r="AL644" s="228">
        <v>52</v>
      </c>
      <c r="AM644" s="228">
        <v>0</v>
      </c>
      <c r="AN644" s="228">
        <v>0</v>
      </c>
      <c r="AO644" s="229">
        <v>9</v>
      </c>
      <c r="AP644" s="231">
        <v>2</v>
      </c>
      <c r="AQ644" s="231">
        <v>2025</v>
      </c>
      <c r="AR644" s="231" t="str">
        <f t="shared" si="85"/>
        <v>02/2025</v>
      </c>
      <c r="AS644" s="231">
        <f t="shared" si="86"/>
        <v>46.6</v>
      </c>
      <c r="AT644" s="239">
        <f>IF(G644="CERVECERIA Y MALTERIA",(AS644*AK644/1000000)*(1-VLOOKUP(N644,FCST!D:I,6,FALSE)),0)</f>
        <v>19.889625600000002</v>
      </c>
      <c r="AU644" s="232">
        <v>5.0000000000000001E-3</v>
      </c>
      <c r="AV644" s="239">
        <f t="shared" si="87"/>
        <v>19.989073728000001</v>
      </c>
      <c r="AW644" s="239">
        <f>(AS644*AK644/1000000)*(VLOOKUP(N644,FCST!D:I,6,FALSE))</f>
        <v>0</v>
      </c>
      <c r="AX644" s="239">
        <f t="shared" si="88"/>
        <v>0</v>
      </c>
      <c r="AY644" s="239">
        <f>IF($G644="CERVECERIA Y MALTERIA.",($AS644*$AK644/1000000)*(1-VLOOKUP($N644,FCST!D:I,6,FALSE)),0)</f>
        <v>0</v>
      </c>
      <c r="AZ644" s="239">
        <f t="shared" si="89"/>
        <v>0</v>
      </c>
    </row>
    <row r="645" spans="1:52" x14ac:dyDescent="0.25">
      <c r="A645" s="209">
        <v>1102990</v>
      </c>
      <c r="B645" s="209">
        <v>20</v>
      </c>
      <c r="C645" s="209" t="s">
        <v>1395</v>
      </c>
      <c r="D645" s="209">
        <v>10</v>
      </c>
      <c r="E645" s="209">
        <v>10000002</v>
      </c>
      <c r="F645" s="209">
        <v>20000337</v>
      </c>
      <c r="G645" s="209" t="s">
        <v>105</v>
      </c>
      <c r="H645" s="209">
        <v>20000337</v>
      </c>
      <c r="I645" s="209">
        <v>2</v>
      </c>
      <c r="J645" s="209" t="s">
        <v>169</v>
      </c>
      <c r="K645" s="209" t="s">
        <v>1396</v>
      </c>
      <c r="L645" s="209" t="s">
        <v>265</v>
      </c>
      <c r="M645" s="209" t="s">
        <v>199</v>
      </c>
      <c r="N645" s="209">
        <v>50032583</v>
      </c>
      <c r="O645" s="209" t="s">
        <v>205</v>
      </c>
      <c r="P645" s="209">
        <v>5121</v>
      </c>
      <c r="Q645" s="209" t="s">
        <v>200</v>
      </c>
      <c r="R645" s="209" t="s">
        <v>201</v>
      </c>
      <c r="S645" s="209" t="s">
        <v>202</v>
      </c>
      <c r="T645" s="209" t="s">
        <v>203</v>
      </c>
      <c r="U645" s="209" t="s">
        <v>201</v>
      </c>
      <c r="V645" s="209" t="s">
        <v>179</v>
      </c>
      <c r="W645" s="209" t="s">
        <v>179</v>
      </c>
      <c r="X645" s="209" t="s">
        <v>180</v>
      </c>
      <c r="Y645" s="209" t="s">
        <v>180</v>
      </c>
      <c r="Z645" s="209" t="s">
        <v>1397</v>
      </c>
      <c r="AA645" s="209" t="s">
        <v>1398</v>
      </c>
      <c r="AB645" s="209" t="s">
        <v>180</v>
      </c>
      <c r="AC645" s="209" t="s">
        <v>182</v>
      </c>
      <c r="AD645" s="209">
        <v>2</v>
      </c>
      <c r="AE645" s="209">
        <v>2025</v>
      </c>
      <c r="AF645" s="227">
        <v>45712</v>
      </c>
      <c r="AG645" s="227">
        <v>45714</v>
      </c>
      <c r="AH645" s="227">
        <v>45714</v>
      </c>
      <c r="AI645" s="228">
        <v>351936</v>
      </c>
      <c r="AJ645" s="228">
        <v>52</v>
      </c>
      <c r="AK645" s="228">
        <v>351936</v>
      </c>
      <c r="AL645" s="228">
        <v>52</v>
      </c>
      <c r="AM645" s="228">
        <v>0</v>
      </c>
      <c r="AN645" s="228">
        <v>0</v>
      </c>
      <c r="AO645" s="229">
        <v>9</v>
      </c>
      <c r="AP645" s="231">
        <v>2</v>
      </c>
      <c r="AQ645" s="231">
        <v>2025</v>
      </c>
      <c r="AR645" s="231" t="str">
        <f t="shared" si="85"/>
        <v>02/2025</v>
      </c>
      <c r="AS645" s="231">
        <f t="shared" si="86"/>
        <v>54.7</v>
      </c>
      <c r="AT645" s="239">
        <f>IF(G645="CERVECERIA Y MALTERIA",(AS645*AK645/1000000)*(1-VLOOKUP(N645,FCST!D:I,6,FALSE)),0)</f>
        <v>19.250899199999999</v>
      </c>
      <c r="AU645" s="232">
        <v>5.0000000000000001E-3</v>
      </c>
      <c r="AV645" s="239">
        <f t="shared" si="87"/>
        <v>19.347153695999996</v>
      </c>
      <c r="AW645" s="239">
        <f>(AS645*AK645/1000000)*(VLOOKUP(N645,FCST!D:I,6,FALSE))</f>
        <v>0</v>
      </c>
      <c r="AX645" s="239">
        <f t="shared" si="88"/>
        <v>0</v>
      </c>
      <c r="AY645" s="239">
        <f>IF($G645="CERVECERIA Y MALTERIA.",($AS645*$AK645/1000000)*(1-VLOOKUP($N645,FCST!D:I,6,FALSE)),0)</f>
        <v>0</v>
      </c>
      <c r="AZ645" s="239">
        <f t="shared" si="89"/>
        <v>0</v>
      </c>
    </row>
    <row r="646" spans="1:52" x14ac:dyDescent="0.25">
      <c r="A646" s="209">
        <v>1102660</v>
      </c>
      <c r="B646" s="209">
        <v>110</v>
      </c>
      <c r="C646" s="209" t="s">
        <v>1399</v>
      </c>
      <c r="D646" s="209">
        <v>10</v>
      </c>
      <c r="E646" s="209">
        <v>10000002</v>
      </c>
      <c r="F646" s="209">
        <v>20000335</v>
      </c>
      <c r="G646" s="209" t="s">
        <v>105</v>
      </c>
      <c r="H646" s="209">
        <v>20000335</v>
      </c>
      <c r="I646" s="209">
        <v>2</v>
      </c>
      <c r="J646" s="209" t="s">
        <v>169</v>
      </c>
      <c r="K646" s="209" t="s">
        <v>1400</v>
      </c>
      <c r="L646" s="209" t="s">
        <v>171</v>
      </c>
      <c r="M646" s="209" t="s">
        <v>184</v>
      </c>
      <c r="N646" s="209">
        <v>50034561</v>
      </c>
      <c r="O646" s="209" t="s">
        <v>307</v>
      </c>
      <c r="P646" s="209">
        <v>5121</v>
      </c>
      <c r="Q646" s="209" t="s">
        <v>174</v>
      </c>
      <c r="R646" s="209" t="s">
        <v>175</v>
      </c>
      <c r="S646" s="209" t="s">
        <v>176</v>
      </c>
      <c r="T646" s="209" t="s">
        <v>177</v>
      </c>
      <c r="U646" s="209" t="s">
        <v>178</v>
      </c>
      <c r="V646" s="209" t="s">
        <v>179</v>
      </c>
      <c r="W646" s="209" t="s">
        <v>179</v>
      </c>
      <c r="X646" s="209" t="s">
        <v>180</v>
      </c>
      <c r="Y646" s="209" t="s">
        <v>180</v>
      </c>
      <c r="Z646" s="209" t="s">
        <v>1401</v>
      </c>
      <c r="AA646" s="209" t="s">
        <v>1402</v>
      </c>
      <c r="AB646" s="209" t="s">
        <v>180</v>
      </c>
      <c r="AC646" s="209" t="s">
        <v>182</v>
      </c>
      <c r="AD646" s="209">
        <v>2</v>
      </c>
      <c r="AE646" s="209">
        <v>2025</v>
      </c>
      <c r="AF646" s="227">
        <v>45708</v>
      </c>
      <c r="AG646" s="227">
        <v>45714</v>
      </c>
      <c r="AH646" s="227">
        <v>45714</v>
      </c>
      <c r="AI646" s="228">
        <v>977184</v>
      </c>
      <c r="AJ646" s="228">
        <v>52</v>
      </c>
      <c r="AK646" s="228">
        <v>977184</v>
      </c>
      <c r="AL646" s="228">
        <v>52</v>
      </c>
      <c r="AM646" s="228">
        <v>0</v>
      </c>
      <c r="AN646" s="228">
        <v>0</v>
      </c>
      <c r="AO646" s="229">
        <v>9</v>
      </c>
      <c r="AP646" s="231">
        <v>2</v>
      </c>
      <c r="AQ646" s="231">
        <v>2025</v>
      </c>
      <c r="AR646" s="231" t="str">
        <f t="shared" si="85"/>
        <v>02/2025</v>
      </c>
      <c r="AS646" s="231">
        <f t="shared" si="86"/>
        <v>19.5</v>
      </c>
      <c r="AT646" s="239">
        <f>IF(G646="CERVECERIA Y MALTERIA",(AS646*AK646/1000000)*(1-VLOOKUP(N646,FCST!D:I,6,FALSE)),0)</f>
        <v>19.055088000000001</v>
      </c>
      <c r="AU646" s="232">
        <v>5.0000000000000001E-3</v>
      </c>
      <c r="AV646" s="239">
        <f t="shared" si="87"/>
        <v>19.15036344</v>
      </c>
      <c r="AW646" s="239">
        <f>(AS646*AK646/1000000)*(VLOOKUP(N646,FCST!D:I,6,FALSE))</f>
        <v>0</v>
      </c>
      <c r="AX646" s="239">
        <f t="shared" si="88"/>
        <v>0</v>
      </c>
      <c r="AY646" s="239">
        <f>IF($G646="CERVECERIA Y MALTERIA.",($AS646*$AK646/1000000)*(1-VLOOKUP($N646,FCST!D:I,6,FALSE)),0)</f>
        <v>0</v>
      </c>
      <c r="AZ646" s="239">
        <f t="shared" si="89"/>
        <v>0</v>
      </c>
    </row>
    <row r="647" spans="1:52" x14ac:dyDescent="0.25">
      <c r="A647" s="209">
        <v>1102660</v>
      </c>
      <c r="B647" s="209">
        <v>50</v>
      </c>
      <c r="C647" s="209" t="s">
        <v>1403</v>
      </c>
      <c r="D647" s="209">
        <v>10</v>
      </c>
      <c r="E647" s="209">
        <v>10000002</v>
      </c>
      <c r="F647" s="209">
        <v>20000335</v>
      </c>
      <c r="G647" s="209" t="s">
        <v>105</v>
      </c>
      <c r="H647" s="209">
        <v>20000335</v>
      </c>
      <c r="I647" s="209">
        <v>2</v>
      </c>
      <c r="J647" s="209" t="s">
        <v>169</v>
      </c>
      <c r="K647" s="209" t="s">
        <v>1404</v>
      </c>
      <c r="L647" s="209" t="s">
        <v>171</v>
      </c>
      <c r="M647" s="209" t="s">
        <v>199</v>
      </c>
      <c r="N647" s="209">
        <v>50035184</v>
      </c>
      <c r="O647" s="209" t="s">
        <v>672</v>
      </c>
      <c r="P647" s="209">
        <v>5121</v>
      </c>
      <c r="Q647" s="209" t="s">
        <v>200</v>
      </c>
      <c r="R647" s="209" t="s">
        <v>201</v>
      </c>
      <c r="S647" s="209" t="s">
        <v>202</v>
      </c>
      <c r="T647" s="209" t="s">
        <v>203</v>
      </c>
      <c r="U647" s="209" t="s">
        <v>201</v>
      </c>
      <c r="V647" s="209" t="s">
        <v>179</v>
      </c>
      <c r="W647" s="209" t="s">
        <v>179</v>
      </c>
      <c r="X647" s="209" t="s">
        <v>180</v>
      </c>
      <c r="Y647" s="209" t="s">
        <v>180</v>
      </c>
      <c r="Z647" s="209" t="s">
        <v>1405</v>
      </c>
      <c r="AA647" s="209" t="s">
        <v>1406</v>
      </c>
      <c r="AB647" s="209" t="s">
        <v>180</v>
      </c>
      <c r="AC647" s="209" t="s">
        <v>182</v>
      </c>
      <c r="AD647" s="209">
        <v>2</v>
      </c>
      <c r="AE647" s="209">
        <v>2025</v>
      </c>
      <c r="AF647" s="227">
        <v>45708</v>
      </c>
      <c r="AG647" s="227">
        <v>45714</v>
      </c>
      <c r="AH647" s="227">
        <v>45714</v>
      </c>
      <c r="AI647" s="228">
        <v>977184</v>
      </c>
      <c r="AJ647" s="228">
        <v>52</v>
      </c>
      <c r="AK647" s="228">
        <v>977184</v>
      </c>
      <c r="AL647" s="228">
        <v>52</v>
      </c>
      <c r="AM647" s="228">
        <v>0</v>
      </c>
      <c r="AN647" s="228">
        <v>0</v>
      </c>
      <c r="AO647" s="229">
        <v>9</v>
      </c>
      <c r="AP647" s="231">
        <v>2</v>
      </c>
      <c r="AQ647" s="231">
        <v>2025</v>
      </c>
      <c r="AR647" s="231" t="str">
        <f t="shared" si="85"/>
        <v>02/2025</v>
      </c>
      <c r="AS647" s="231">
        <f t="shared" si="86"/>
        <v>19.5</v>
      </c>
      <c r="AT647" s="239">
        <f>IF(G647="CERVECERIA Y MALTERIA",(AS647*AK647/1000000)*(1-VLOOKUP(N647,FCST!D:I,6,FALSE)),0)</f>
        <v>19.055088000000001</v>
      </c>
      <c r="AU647" s="232">
        <v>5.0000000000000001E-3</v>
      </c>
      <c r="AV647" s="239">
        <f t="shared" si="87"/>
        <v>19.15036344</v>
      </c>
      <c r="AW647" s="239">
        <f>(AS647*AK647/1000000)*(VLOOKUP(N647,FCST!D:I,6,FALSE))</f>
        <v>0</v>
      </c>
      <c r="AX647" s="239">
        <f t="shared" si="88"/>
        <v>0</v>
      </c>
      <c r="AY647" s="239">
        <f>IF($G647="CERVECERIA Y MALTERIA.",($AS647*$AK647/1000000)*(1-VLOOKUP($N647,FCST!D:I,6,FALSE)),0)</f>
        <v>0</v>
      </c>
      <c r="AZ647" s="239">
        <f t="shared" si="89"/>
        <v>0</v>
      </c>
    </row>
    <row r="648" spans="1:52" x14ac:dyDescent="0.25">
      <c r="A648" s="209">
        <v>1102990</v>
      </c>
      <c r="B648" s="209">
        <v>10</v>
      </c>
      <c r="C648" s="209" t="s">
        <v>1407</v>
      </c>
      <c r="D648" s="209">
        <v>10</v>
      </c>
      <c r="E648" s="209">
        <v>10000002</v>
      </c>
      <c r="F648" s="209">
        <v>20000337</v>
      </c>
      <c r="G648" s="209" t="s">
        <v>105</v>
      </c>
      <c r="H648" s="209">
        <v>20000337</v>
      </c>
      <c r="I648" s="209">
        <v>2</v>
      </c>
      <c r="J648" s="209" t="s">
        <v>169</v>
      </c>
      <c r="K648" s="209" t="s">
        <v>1408</v>
      </c>
      <c r="L648" s="209" t="s">
        <v>265</v>
      </c>
      <c r="M648" s="209" t="s">
        <v>328</v>
      </c>
      <c r="N648" s="209">
        <v>50032583</v>
      </c>
      <c r="O648" s="209" t="s">
        <v>205</v>
      </c>
      <c r="P648" s="209">
        <v>5121</v>
      </c>
      <c r="Q648" s="209" t="s">
        <v>174</v>
      </c>
      <c r="R648" s="209" t="s">
        <v>175</v>
      </c>
      <c r="S648" s="209" t="s">
        <v>176</v>
      </c>
      <c r="T648" s="209" t="s">
        <v>177</v>
      </c>
      <c r="U648" s="209" t="s">
        <v>178</v>
      </c>
      <c r="V648" s="209" t="s">
        <v>179</v>
      </c>
      <c r="W648" s="209" t="s">
        <v>179</v>
      </c>
      <c r="X648" s="209" t="s">
        <v>180</v>
      </c>
      <c r="Y648" s="209" t="s">
        <v>180</v>
      </c>
      <c r="Z648" s="209" t="s">
        <v>1397</v>
      </c>
      <c r="AA648" s="209" t="s">
        <v>1398</v>
      </c>
      <c r="AB648" s="209" t="s">
        <v>180</v>
      </c>
      <c r="AC648" s="209" t="s">
        <v>182</v>
      </c>
      <c r="AD648" s="209">
        <v>2</v>
      </c>
      <c r="AE648" s="209">
        <v>2025</v>
      </c>
      <c r="AF648" s="227">
        <v>45712</v>
      </c>
      <c r="AG648" s="227">
        <v>45713</v>
      </c>
      <c r="AH648" s="227">
        <v>45714</v>
      </c>
      <c r="AI648" s="228">
        <v>351936</v>
      </c>
      <c r="AJ648" s="228">
        <v>52</v>
      </c>
      <c r="AK648" s="228">
        <v>351936</v>
      </c>
      <c r="AL648" s="228">
        <v>52</v>
      </c>
      <c r="AM648" s="228">
        <v>0</v>
      </c>
      <c r="AN648" s="228">
        <v>0</v>
      </c>
      <c r="AO648" s="229">
        <v>9</v>
      </c>
      <c r="AP648" s="231">
        <v>2</v>
      </c>
      <c r="AQ648" s="231">
        <v>2025</v>
      </c>
      <c r="AR648" s="231" t="str">
        <f t="shared" si="85"/>
        <v>02/2025</v>
      </c>
      <c r="AS648" s="231">
        <f t="shared" si="86"/>
        <v>54.7</v>
      </c>
      <c r="AT648" s="239">
        <f>IF(G648="CERVECERIA Y MALTERIA",(AS648*AK648/1000000)*(1-VLOOKUP(N648,FCST!D:I,6,FALSE)),0)</f>
        <v>19.250899199999999</v>
      </c>
      <c r="AU648" s="232">
        <v>5.0000000000000001E-3</v>
      </c>
      <c r="AV648" s="239">
        <f t="shared" si="87"/>
        <v>19.347153695999996</v>
      </c>
      <c r="AW648" s="239">
        <f>(AS648*AK648/1000000)*(VLOOKUP(N648,FCST!D:I,6,FALSE))</f>
        <v>0</v>
      </c>
      <c r="AX648" s="239">
        <f t="shared" si="88"/>
        <v>0</v>
      </c>
      <c r="AY648" s="239">
        <f>IF($G648="CERVECERIA Y MALTERIA.",($AS648*$AK648/1000000)*(1-VLOOKUP($N648,FCST!D:I,6,FALSE)),0)</f>
        <v>0</v>
      </c>
      <c r="AZ648" s="239">
        <f t="shared" si="89"/>
        <v>0</v>
      </c>
    </row>
    <row r="649" spans="1:52" x14ac:dyDescent="0.25">
      <c r="A649" s="209">
        <v>1102990</v>
      </c>
      <c r="B649" s="209">
        <v>30</v>
      </c>
      <c r="C649" s="209" t="s">
        <v>1409</v>
      </c>
      <c r="D649" s="209">
        <v>10</v>
      </c>
      <c r="E649" s="209">
        <v>10000002</v>
      </c>
      <c r="F649" s="209">
        <v>20000337</v>
      </c>
      <c r="G649" s="209" t="s">
        <v>105</v>
      </c>
      <c r="H649" s="209">
        <v>20000337</v>
      </c>
      <c r="I649" s="209">
        <v>2</v>
      </c>
      <c r="J649" s="209" t="s">
        <v>169</v>
      </c>
      <c r="K649" s="209" t="s">
        <v>1410</v>
      </c>
      <c r="L649" s="209" t="s">
        <v>265</v>
      </c>
      <c r="M649" s="209" t="s">
        <v>199</v>
      </c>
      <c r="N649" s="209">
        <v>50032583</v>
      </c>
      <c r="O649" s="209" t="s">
        <v>205</v>
      </c>
      <c r="P649" s="209">
        <v>5121</v>
      </c>
      <c r="Q649" s="209" t="s">
        <v>200</v>
      </c>
      <c r="R649" s="209" t="s">
        <v>201</v>
      </c>
      <c r="S649" s="209" t="s">
        <v>202</v>
      </c>
      <c r="T649" s="209" t="s">
        <v>203</v>
      </c>
      <c r="U649" s="209" t="s">
        <v>201</v>
      </c>
      <c r="V649" s="209" t="s">
        <v>179</v>
      </c>
      <c r="W649" s="209" t="s">
        <v>179</v>
      </c>
      <c r="X649" s="209" t="s">
        <v>180</v>
      </c>
      <c r="Y649" s="209" t="s">
        <v>180</v>
      </c>
      <c r="Z649" s="209" t="s">
        <v>1411</v>
      </c>
      <c r="AA649" s="209" t="s">
        <v>1412</v>
      </c>
      <c r="AB649" s="209" t="s">
        <v>180</v>
      </c>
      <c r="AC649" s="209" t="s">
        <v>182</v>
      </c>
      <c r="AD649" s="209">
        <v>2</v>
      </c>
      <c r="AE649" s="209">
        <v>2025</v>
      </c>
      <c r="AF649" s="227">
        <v>45712</v>
      </c>
      <c r="AG649" s="227">
        <v>45715</v>
      </c>
      <c r="AH649" s="227">
        <v>45715</v>
      </c>
      <c r="AI649" s="228">
        <v>351936</v>
      </c>
      <c r="AJ649" s="228">
        <v>52</v>
      </c>
      <c r="AK649" s="228">
        <v>351936</v>
      </c>
      <c r="AL649" s="228">
        <v>52</v>
      </c>
      <c r="AM649" s="228">
        <v>0</v>
      </c>
      <c r="AN649" s="228">
        <v>0</v>
      </c>
      <c r="AO649" s="229">
        <v>9</v>
      </c>
      <c r="AP649" s="231">
        <v>2</v>
      </c>
      <c r="AQ649" s="231">
        <v>2025</v>
      </c>
      <c r="AR649" s="231" t="str">
        <f t="shared" si="85"/>
        <v>02/2025</v>
      </c>
      <c r="AS649" s="231">
        <f t="shared" si="86"/>
        <v>54.7</v>
      </c>
      <c r="AT649" s="239">
        <f>IF(G649="CERVECERIA Y MALTERIA",(AS649*AK649/1000000)*(1-VLOOKUP(N649,FCST!D:I,6,FALSE)),0)</f>
        <v>19.250899199999999</v>
      </c>
      <c r="AU649" s="232">
        <v>5.0000000000000001E-3</v>
      </c>
      <c r="AV649" s="239">
        <f t="shared" si="87"/>
        <v>19.347153695999996</v>
      </c>
      <c r="AW649" s="239">
        <f>(AS649*AK649/1000000)*(VLOOKUP(N649,FCST!D:I,6,FALSE))</f>
        <v>0</v>
      </c>
      <c r="AX649" s="239">
        <f t="shared" si="88"/>
        <v>0</v>
      </c>
      <c r="AY649" s="239">
        <f>IF($G649="CERVECERIA Y MALTERIA.",($AS649*$AK649/1000000)*(1-VLOOKUP($N649,FCST!D:I,6,FALSE)),0)</f>
        <v>0</v>
      </c>
      <c r="AZ649" s="239">
        <f t="shared" si="89"/>
        <v>0</v>
      </c>
    </row>
    <row r="650" spans="1:52" x14ac:dyDescent="0.25">
      <c r="A650" s="209">
        <v>1098754</v>
      </c>
      <c r="B650" s="209">
        <v>100</v>
      </c>
      <c r="C650" s="209" t="s">
        <v>1413</v>
      </c>
      <c r="D650" s="209">
        <v>10</v>
      </c>
      <c r="E650" s="209">
        <v>10000002</v>
      </c>
      <c r="F650" s="209">
        <v>20000335</v>
      </c>
      <c r="G650" s="209" t="s">
        <v>105</v>
      </c>
      <c r="H650" s="209">
        <v>20000335</v>
      </c>
      <c r="I650" s="209">
        <v>2</v>
      </c>
      <c r="J650" s="209" t="s">
        <v>169</v>
      </c>
      <c r="K650" s="209" t="s">
        <v>1414</v>
      </c>
      <c r="L650" s="209" t="s">
        <v>171</v>
      </c>
      <c r="M650" s="209" t="s">
        <v>199</v>
      </c>
      <c r="N650" s="209">
        <v>50035183</v>
      </c>
      <c r="O650" s="209" t="s">
        <v>215</v>
      </c>
      <c r="P650" s="209">
        <v>5121</v>
      </c>
      <c r="Q650" s="209" t="s">
        <v>200</v>
      </c>
      <c r="R650" s="209" t="s">
        <v>201</v>
      </c>
      <c r="S650" s="209" t="s">
        <v>202</v>
      </c>
      <c r="T650" s="209" t="s">
        <v>203</v>
      </c>
      <c r="U650" s="209" t="s">
        <v>201</v>
      </c>
      <c r="V650" s="209" t="s">
        <v>179</v>
      </c>
      <c r="W650" s="209" t="s">
        <v>179</v>
      </c>
      <c r="X650" s="209" t="s">
        <v>180</v>
      </c>
      <c r="Y650" s="209" t="s">
        <v>180</v>
      </c>
      <c r="Z650" s="209" t="s">
        <v>1415</v>
      </c>
      <c r="AA650" s="209" t="s">
        <v>1416</v>
      </c>
      <c r="AB650" s="209" t="s">
        <v>180</v>
      </c>
      <c r="AC650" s="209" t="s">
        <v>182</v>
      </c>
      <c r="AD650" s="209">
        <v>2</v>
      </c>
      <c r="AE650" s="209">
        <v>2025</v>
      </c>
      <c r="AF650" s="227">
        <v>45687</v>
      </c>
      <c r="AG650" s="227">
        <v>45695</v>
      </c>
      <c r="AH650" s="227">
        <v>45695</v>
      </c>
      <c r="AI650" s="228">
        <v>426816</v>
      </c>
      <c r="AJ650" s="228">
        <v>52</v>
      </c>
      <c r="AK650" s="228">
        <v>426816</v>
      </c>
      <c r="AL650" s="228">
        <v>52</v>
      </c>
      <c r="AM650" s="228">
        <v>0</v>
      </c>
      <c r="AN650" s="228">
        <v>0</v>
      </c>
      <c r="AO650" s="229">
        <v>6</v>
      </c>
      <c r="AP650" s="231">
        <v>2</v>
      </c>
      <c r="AQ650" s="231">
        <v>2025</v>
      </c>
      <c r="AR650" s="231" t="str">
        <f t="shared" si="85"/>
        <v>02/2025</v>
      </c>
      <c r="AS650" s="231">
        <f t="shared" si="86"/>
        <v>46.6</v>
      </c>
      <c r="AT650" s="239">
        <f>IF(G650="CERVECERIA Y MALTERIA",(AS650*AK650/1000000)*(1-VLOOKUP(N650,FCST!D:I,6,FALSE)),0)</f>
        <v>19.889625600000002</v>
      </c>
      <c r="AU650" s="232">
        <v>5.0000000000000001E-3</v>
      </c>
      <c r="AV650" s="239">
        <f t="shared" si="87"/>
        <v>19.989073728000001</v>
      </c>
      <c r="AW650" s="239">
        <f>(AS650*AK650/1000000)*(VLOOKUP(N650,FCST!D:I,6,FALSE))</f>
        <v>0</v>
      </c>
      <c r="AX650" s="239">
        <f t="shared" si="88"/>
        <v>0</v>
      </c>
      <c r="AY650" s="239">
        <f>IF($G650="CERVECERIA Y MALTERIA.",($AS650*$AK650/1000000)*(1-VLOOKUP($N650,FCST!D:I,6,FALSE)),0)</f>
        <v>0</v>
      </c>
      <c r="AZ650" s="239">
        <f t="shared" si="89"/>
        <v>0</v>
      </c>
    </row>
    <row r="651" spans="1:52" x14ac:dyDescent="0.25">
      <c r="A651" s="209">
        <v>1099282</v>
      </c>
      <c r="B651" s="209">
        <v>30</v>
      </c>
      <c r="C651" s="209" t="s">
        <v>1417</v>
      </c>
      <c r="D651" s="209">
        <v>20</v>
      </c>
      <c r="E651" s="209">
        <v>10000002</v>
      </c>
      <c r="F651" s="209">
        <v>20000339</v>
      </c>
      <c r="G651" s="209" t="s">
        <v>105</v>
      </c>
      <c r="H651" s="209">
        <v>20000339</v>
      </c>
      <c r="I651" s="209">
        <v>2</v>
      </c>
      <c r="J651" s="209" t="s">
        <v>169</v>
      </c>
      <c r="K651" s="209" t="s">
        <v>1418</v>
      </c>
      <c r="L651" s="209" t="s">
        <v>171</v>
      </c>
      <c r="M651" s="209" t="s">
        <v>184</v>
      </c>
      <c r="N651" s="209">
        <v>50033268</v>
      </c>
      <c r="O651" s="209" t="s">
        <v>253</v>
      </c>
      <c r="P651" s="209">
        <v>5121</v>
      </c>
      <c r="Q651" s="209" t="s">
        <v>174</v>
      </c>
      <c r="R651" s="209" t="s">
        <v>175</v>
      </c>
      <c r="S651" s="209" t="s">
        <v>176</v>
      </c>
      <c r="T651" s="209" t="s">
        <v>177</v>
      </c>
      <c r="U651" s="209" t="s">
        <v>178</v>
      </c>
      <c r="V651" s="209" t="s">
        <v>179</v>
      </c>
      <c r="W651" s="209" t="s">
        <v>179</v>
      </c>
      <c r="X651" s="209" t="s">
        <v>180</v>
      </c>
      <c r="Y651" s="209" t="s">
        <v>180</v>
      </c>
      <c r="Z651" s="209" t="s">
        <v>1419</v>
      </c>
      <c r="AA651" s="209" t="s">
        <v>1420</v>
      </c>
      <c r="AB651" s="209" t="s">
        <v>180</v>
      </c>
      <c r="AC651" s="209" t="s">
        <v>182</v>
      </c>
      <c r="AD651" s="209">
        <v>2</v>
      </c>
      <c r="AE651" s="209">
        <v>2025</v>
      </c>
      <c r="AF651" s="227">
        <v>45691</v>
      </c>
      <c r="AG651" s="227">
        <v>45694</v>
      </c>
      <c r="AH651" s="227">
        <v>45695</v>
      </c>
      <c r="AI651" s="228">
        <v>156480</v>
      </c>
      <c r="AJ651" s="228">
        <v>20</v>
      </c>
      <c r="AK651" s="228">
        <v>156480</v>
      </c>
      <c r="AL651" s="228">
        <v>20</v>
      </c>
      <c r="AM651" s="228">
        <v>0</v>
      </c>
      <c r="AN651" s="228">
        <v>0</v>
      </c>
      <c r="AO651" s="229">
        <v>6</v>
      </c>
      <c r="AP651" s="231">
        <v>2</v>
      </c>
      <c r="AQ651" s="231">
        <v>2025</v>
      </c>
      <c r="AR651" s="231" t="str">
        <f t="shared" si="85"/>
        <v>02/2025</v>
      </c>
      <c r="AS651" s="231">
        <f t="shared" si="86"/>
        <v>44</v>
      </c>
      <c r="AT651" s="239">
        <f>IF(G651="CERVECERIA Y MALTERIA",(AS651*AK651/1000000)*(1-VLOOKUP(N651,FCST!D:I,6,FALSE)),0)</f>
        <v>6.8851199999999997</v>
      </c>
      <c r="AU651" s="232">
        <v>5.0000000000000001E-3</v>
      </c>
      <c r="AV651" s="239">
        <f t="shared" si="87"/>
        <v>6.9195455999999993</v>
      </c>
      <c r="AW651" s="239">
        <f>(AS651*AK651/1000000)*(VLOOKUP(N651,FCST!D:I,6,FALSE))</f>
        <v>0</v>
      </c>
      <c r="AX651" s="239">
        <f t="shared" si="88"/>
        <v>0</v>
      </c>
      <c r="AY651" s="239">
        <f>IF($G651="CERVECERIA Y MALTERIA.",($AS651*$AK651/1000000)*(1-VLOOKUP($N651,FCST!D:I,6,FALSE)),0)</f>
        <v>0</v>
      </c>
      <c r="AZ651" s="239">
        <f t="shared" si="89"/>
        <v>0</v>
      </c>
    </row>
    <row r="652" spans="1:52" x14ac:dyDescent="0.25">
      <c r="A652" s="209">
        <v>1099282</v>
      </c>
      <c r="B652" s="209">
        <v>20</v>
      </c>
      <c r="C652" s="209" t="s">
        <v>1417</v>
      </c>
      <c r="D652" s="209">
        <v>10</v>
      </c>
      <c r="E652" s="209">
        <v>10000002</v>
      </c>
      <c r="F652" s="209">
        <v>20000339</v>
      </c>
      <c r="G652" s="209" t="s">
        <v>105</v>
      </c>
      <c r="H652" s="209">
        <v>20000339</v>
      </c>
      <c r="I652" s="209">
        <v>2</v>
      </c>
      <c r="J652" s="209" t="s">
        <v>169</v>
      </c>
      <c r="K652" s="209" t="s">
        <v>1418</v>
      </c>
      <c r="L652" s="209" t="s">
        <v>171</v>
      </c>
      <c r="M652" s="209" t="s">
        <v>184</v>
      </c>
      <c r="N652" s="209">
        <v>50034634</v>
      </c>
      <c r="O652" s="209" t="s">
        <v>219</v>
      </c>
      <c r="P652" s="209">
        <v>5121</v>
      </c>
      <c r="Q652" s="209" t="s">
        <v>174</v>
      </c>
      <c r="R652" s="209" t="s">
        <v>175</v>
      </c>
      <c r="S652" s="209" t="s">
        <v>176</v>
      </c>
      <c r="T652" s="209" t="s">
        <v>177</v>
      </c>
      <c r="U652" s="209" t="s">
        <v>178</v>
      </c>
      <c r="V652" s="209" t="s">
        <v>179</v>
      </c>
      <c r="W652" s="209" t="s">
        <v>179</v>
      </c>
      <c r="X652" s="209" t="s">
        <v>180</v>
      </c>
      <c r="Y652" s="209" t="s">
        <v>180</v>
      </c>
      <c r="Z652" s="209" t="s">
        <v>1419</v>
      </c>
      <c r="AA652" s="209" t="s">
        <v>1420</v>
      </c>
      <c r="AB652" s="209" t="s">
        <v>180</v>
      </c>
      <c r="AC652" s="209" t="s">
        <v>182</v>
      </c>
      <c r="AD652" s="209">
        <v>2</v>
      </c>
      <c r="AE652" s="209">
        <v>2025</v>
      </c>
      <c r="AF652" s="227">
        <v>45691</v>
      </c>
      <c r="AG652" s="227">
        <v>45694</v>
      </c>
      <c r="AH652" s="227">
        <v>45695</v>
      </c>
      <c r="AI652" s="228">
        <v>224256</v>
      </c>
      <c r="AJ652" s="228">
        <v>32</v>
      </c>
      <c r="AK652" s="228">
        <v>224256</v>
      </c>
      <c r="AL652" s="228">
        <v>32</v>
      </c>
      <c r="AM652" s="228">
        <v>0</v>
      </c>
      <c r="AN652" s="228">
        <v>0</v>
      </c>
      <c r="AO652" s="229">
        <v>6</v>
      </c>
      <c r="AP652" s="231">
        <v>2</v>
      </c>
      <c r="AQ652" s="231">
        <v>2025</v>
      </c>
      <c r="AR652" s="231" t="str">
        <f t="shared" si="85"/>
        <v>02/2025</v>
      </c>
      <c r="AS652" s="231">
        <f t="shared" si="86"/>
        <v>52</v>
      </c>
      <c r="AT652" s="239">
        <f>IF(G652="CERVECERIA Y MALTERIA",(AS652*AK652/1000000)*(1-VLOOKUP(N652,FCST!D:I,6,FALSE)),0)</f>
        <v>11.661312000000001</v>
      </c>
      <c r="AU652" s="232">
        <v>5.0000000000000001E-3</v>
      </c>
      <c r="AV652" s="239">
        <f t="shared" si="87"/>
        <v>11.719618559999999</v>
      </c>
      <c r="AW652" s="239">
        <f>(AS652*AK652/1000000)*(VLOOKUP(N652,FCST!D:I,6,FALSE))</f>
        <v>0</v>
      </c>
      <c r="AX652" s="239">
        <f t="shared" si="88"/>
        <v>0</v>
      </c>
      <c r="AY652" s="239">
        <f>IF($G652="CERVECERIA Y MALTERIA.",($AS652*$AK652/1000000)*(1-VLOOKUP($N652,FCST!D:I,6,FALSE)),0)</f>
        <v>0</v>
      </c>
      <c r="AZ652" s="239">
        <f t="shared" si="89"/>
        <v>0</v>
      </c>
    </row>
    <row r="653" spans="1:52" x14ac:dyDescent="0.25">
      <c r="A653" s="209">
        <v>1098754</v>
      </c>
      <c r="B653" s="209">
        <v>90</v>
      </c>
      <c r="C653" s="209" t="s">
        <v>1421</v>
      </c>
      <c r="D653" s="209">
        <v>10</v>
      </c>
      <c r="E653" s="209">
        <v>10000002</v>
      </c>
      <c r="F653" s="209">
        <v>20000335</v>
      </c>
      <c r="G653" s="209" t="s">
        <v>105</v>
      </c>
      <c r="H653" s="209">
        <v>20000335</v>
      </c>
      <c r="I653" s="209">
        <v>2</v>
      </c>
      <c r="J653" s="209" t="s">
        <v>169</v>
      </c>
      <c r="K653" s="209" t="s">
        <v>1422</v>
      </c>
      <c r="L653" s="209" t="s">
        <v>171</v>
      </c>
      <c r="M653" s="209" t="s">
        <v>172</v>
      </c>
      <c r="N653" s="209">
        <v>50037887</v>
      </c>
      <c r="O653" s="209" t="s">
        <v>679</v>
      </c>
      <c r="P653" s="209">
        <v>5121</v>
      </c>
      <c r="Q653" s="209" t="s">
        <v>174</v>
      </c>
      <c r="R653" s="209" t="s">
        <v>175</v>
      </c>
      <c r="S653" s="209" t="s">
        <v>176</v>
      </c>
      <c r="T653" s="209" t="s">
        <v>177</v>
      </c>
      <c r="U653" s="209" t="s">
        <v>178</v>
      </c>
      <c r="V653" s="209" t="s">
        <v>179</v>
      </c>
      <c r="W653" s="209" t="s">
        <v>179</v>
      </c>
      <c r="X653" s="209" t="s">
        <v>180</v>
      </c>
      <c r="Y653" s="209" t="s">
        <v>180</v>
      </c>
      <c r="Z653" s="209" t="s">
        <v>1423</v>
      </c>
      <c r="AA653" s="209" t="s">
        <v>1424</v>
      </c>
      <c r="AB653" s="209" t="s">
        <v>180</v>
      </c>
      <c r="AC653" s="209" t="s">
        <v>182</v>
      </c>
      <c r="AD653" s="209">
        <v>2</v>
      </c>
      <c r="AE653" s="209">
        <v>2025</v>
      </c>
      <c r="AF653" s="227">
        <v>45687</v>
      </c>
      <c r="AG653" s="227">
        <v>45695</v>
      </c>
      <c r="AH653" s="227">
        <v>45695</v>
      </c>
      <c r="AI653" s="228">
        <v>470304</v>
      </c>
      <c r="AJ653" s="228">
        <v>46</v>
      </c>
      <c r="AK653" s="228">
        <v>470304</v>
      </c>
      <c r="AL653" s="228">
        <v>46</v>
      </c>
      <c r="AM653" s="228">
        <v>0</v>
      </c>
      <c r="AN653" s="228">
        <v>0</v>
      </c>
      <c r="AO653" s="229">
        <v>6</v>
      </c>
      <c r="AP653" s="231">
        <v>2</v>
      </c>
      <c r="AQ653" s="231">
        <v>2025</v>
      </c>
      <c r="AR653" s="231" t="str">
        <f t="shared" si="85"/>
        <v>02/2025</v>
      </c>
      <c r="AS653" s="231">
        <f t="shared" si="86"/>
        <v>37.200000000000003</v>
      </c>
      <c r="AT653" s="239">
        <f>IF(G653="CERVECERIA Y MALTERIA",(AS653*AK653/1000000)*(1-VLOOKUP(N653,FCST!D:I,6,FALSE)),0)</f>
        <v>17.4953088</v>
      </c>
      <c r="AU653" s="232">
        <v>5.0000000000000001E-3</v>
      </c>
      <c r="AV653" s="239">
        <f t="shared" si="87"/>
        <v>17.582785343999998</v>
      </c>
      <c r="AW653" s="239">
        <f>(AS653*AK653/1000000)*(VLOOKUP(N653,FCST!D:I,6,FALSE))</f>
        <v>0</v>
      </c>
      <c r="AX653" s="239">
        <f t="shared" si="88"/>
        <v>0</v>
      </c>
      <c r="AY653" s="239">
        <f>IF($G653="CERVECERIA Y MALTERIA.",($AS653*$AK653/1000000)*(1-VLOOKUP($N653,FCST!D:I,6,FALSE)),0)</f>
        <v>0</v>
      </c>
      <c r="AZ653" s="239">
        <f t="shared" si="89"/>
        <v>0</v>
      </c>
    </row>
    <row r="654" spans="1:52" x14ac:dyDescent="0.25">
      <c r="A654" s="209">
        <v>1098754</v>
      </c>
      <c r="B654" s="209">
        <v>120</v>
      </c>
      <c r="C654" s="209" t="s">
        <v>1425</v>
      </c>
      <c r="D654" s="209">
        <v>10</v>
      </c>
      <c r="E654" s="209">
        <v>10000002</v>
      </c>
      <c r="F654" s="209">
        <v>20000335</v>
      </c>
      <c r="G654" s="209" t="s">
        <v>105</v>
      </c>
      <c r="H654" s="209">
        <v>20000335</v>
      </c>
      <c r="I654" s="209">
        <v>2</v>
      </c>
      <c r="J654" s="209" t="s">
        <v>169</v>
      </c>
      <c r="K654" s="209" t="s">
        <v>1426</v>
      </c>
      <c r="L654" s="209" t="s">
        <v>171</v>
      </c>
      <c r="M654" s="209" t="s">
        <v>199</v>
      </c>
      <c r="N654" s="209">
        <v>50037887</v>
      </c>
      <c r="O654" s="209" t="s">
        <v>679</v>
      </c>
      <c r="P654" s="209">
        <v>5121</v>
      </c>
      <c r="Q654" s="209" t="s">
        <v>200</v>
      </c>
      <c r="R654" s="209" t="s">
        <v>201</v>
      </c>
      <c r="S654" s="209" t="s">
        <v>202</v>
      </c>
      <c r="T654" s="209" t="s">
        <v>203</v>
      </c>
      <c r="U654" s="209" t="s">
        <v>201</v>
      </c>
      <c r="V654" s="209" t="s">
        <v>179</v>
      </c>
      <c r="W654" s="209" t="s">
        <v>179</v>
      </c>
      <c r="X654" s="209" t="s">
        <v>180</v>
      </c>
      <c r="Y654" s="209" t="s">
        <v>180</v>
      </c>
      <c r="Z654" s="209" t="s">
        <v>1423</v>
      </c>
      <c r="AA654" s="209" t="s">
        <v>1424</v>
      </c>
      <c r="AB654" s="209" t="s">
        <v>180</v>
      </c>
      <c r="AC654" s="209" t="s">
        <v>182</v>
      </c>
      <c r="AD654" s="209">
        <v>2</v>
      </c>
      <c r="AE654" s="209">
        <v>2025</v>
      </c>
      <c r="AF654" s="227">
        <v>45687</v>
      </c>
      <c r="AG654" s="227">
        <v>45695</v>
      </c>
      <c r="AH654" s="227">
        <v>45695</v>
      </c>
      <c r="AI654" s="228">
        <v>531648</v>
      </c>
      <c r="AJ654" s="228">
        <v>52</v>
      </c>
      <c r="AK654" s="228">
        <v>531648</v>
      </c>
      <c r="AL654" s="228">
        <v>52</v>
      </c>
      <c r="AM654" s="228">
        <v>0</v>
      </c>
      <c r="AN654" s="228">
        <v>0</v>
      </c>
      <c r="AO654" s="229">
        <v>6</v>
      </c>
      <c r="AP654" s="231">
        <v>2</v>
      </c>
      <c r="AQ654" s="231">
        <v>2025</v>
      </c>
      <c r="AR654" s="231" t="str">
        <f t="shared" si="85"/>
        <v>02/2025</v>
      </c>
      <c r="AS654" s="231">
        <f t="shared" si="86"/>
        <v>37.200000000000003</v>
      </c>
      <c r="AT654" s="239">
        <f>IF(G654="CERVECERIA Y MALTERIA",(AS654*AK654/1000000)*(1-VLOOKUP(N654,FCST!D:I,6,FALSE)),0)</f>
        <v>19.777305600000002</v>
      </c>
      <c r="AU654" s="232">
        <v>5.0000000000000001E-3</v>
      </c>
      <c r="AV654" s="239">
        <f t="shared" si="87"/>
        <v>19.876192128</v>
      </c>
      <c r="AW654" s="239">
        <f>(AS654*AK654/1000000)*(VLOOKUP(N654,FCST!D:I,6,FALSE))</f>
        <v>0</v>
      </c>
      <c r="AX654" s="239">
        <f t="shared" si="88"/>
        <v>0</v>
      </c>
      <c r="AY654" s="239">
        <f>IF($G654="CERVECERIA Y MALTERIA.",($AS654*$AK654/1000000)*(1-VLOOKUP($N654,FCST!D:I,6,FALSE)),0)</f>
        <v>0</v>
      </c>
      <c r="AZ654" s="239">
        <f t="shared" si="89"/>
        <v>0</v>
      </c>
    </row>
    <row r="655" spans="1:52" x14ac:dyDescent="0.25">
      <c r="A655" s="209">
        <v>1099150</v>
      </c>
      <c r="B655" s="209">
        <v>30</v>
      </c>
      <c r="C655" s="209" t="s">
        <v>1427</v>
      </c>
      <c r="D655" s="209">
        <v>10</v>
      </c>
      <c r="E655" s="209">
        <v>10000002</v>
      </c>
      <c r="F655" s="209">
        <v>20000337</v>
      </c>
      <c r="G655" s="209" t="s">
        <v>105</v>
      </c>
      <c r="H655" s="209">
        <v>20000337</v>
      </c>
      <c r="I655" s="209">
        <v>2</v>
      </c>
      <c r="J655" s="209" t="s">
        <v>169</v>
      </c>
      <c r="K655" s="209" t="s">
        <v>1428</v>
      </c>
      <c r="L655" s="209" t="s">
        <v>171</v>
      </c>
      <c r="M655" s="209" t="s">
        <v>172</v>
      </c>
      <c r="N655" s="209">
        <v>50035183</v>
      </c>
      <c r="O655" s="209" t="s">
        <v>215</v>
      </c>
      <c r="P655" s="209">
        <v>5121</v>
      </c>
      <c r="Q655" s="209" t="s">
        <v>174</v>
      </c>
      <c r="R655" s="209" t="s">
        <v>175</v>
      </c>
      <c r="S655" s="209" t="s">
        <v>176</v>
      </c>
      <c r="T655" s="209" t="s">
        <v>177</v>
      </c>
      <c r="U655" s="209" t="s">
        <v>178</v>
      </c>
      <c r="V655" s="209" t="s">
        <v>179</v>
      </c>
      <c r="W655" s="209" t="s">
        <v>179</v>
      </c>
      <c r="X655" s="209" t="s">
        <v>180</v>
      </c>
      <c r="Y655" s="209" t="s">
        <v>180</v>
      </c>
      <c r="Z655" s="209" t="s">
        <v>1429</v>
      </c>
      <c r="AA655" s="209" t="s">
        <v>1430</v>
      </c>
      <c r="AB655" s="209" t="s">
        <v>180</v>
      </c>
      <c r="AC655" s="209" t="s">
        <v>182</v>
      </c>
      <c r="AD655" s="209">
        <v>2</v>
      </c>
      <c r="AE655" s="209">
        <v>2025</v>
      </c>
      <c r="AF655" s="227">
        <v>45691</v>
      </c>
      <c r="AG655" s="227">
        <v>45695</v>
      </c>
      <c r="AH655" s="227">
        <v>45694</v>
      </c>
      <c r="AI655" s="228">
        <v>426816</v>
      </c>
      <c r="AJ655" s="228">
        <v>52</v>
      </c>
      <c r="AK655" s="228">
        <v>426816</v>
      </c>
      <c r="AL655" s="228">
        <v>52</v>
      </c>
      <c r="AM655" s="228">
        <v>0</v>
      </c>
      <c r="AN655" s="228">
        <v>0</v>
      </c>
      <c r="AO655" s="229">
        <v>6</v>
      </c>
      <c r="AP655" s="231">
        <v>2</v>
      </c>
      <c r="AQ655" s="231">
        <v>2025</v>
      </c>
      <c r="AR655" s="231" t="str">
        <f t="shared" si="85"/>
        <v>02/2025</v>
      </c>
      <c r="AS655" s="231">
        <f t="shared" si="86"/>
        <v>46.6</v>
      </c>
      <c r="AT655" s="239">
        <f>IF(G655="CERVECERIA Y MALTERIA",(AS655*AK655/1000000)*(1-VLOOKUP(N655,FCST!D:I,6,FALSE)),0)</f>
        <v>19.889625600000002</v>
      </c>
      <c r="AU655" s="232">
        <v>5.0000000000000001E-3</v>
      </c>
      <c r="AV655" s="239">
        <f t="shared" si="87"/>
        <v>19.989073728000001</v>
      </c>
      <c r="AW655" s="239">
        <f>(AS655*AK655/1000000)*(VLOOKUP(N655,FCST!D:I,6,FALSE))</f>
        <v>0</v>
      </c>
      <c r="AX655" s="239">
        <f t="shared" si="88"/>
        <v>0</v>
      </c>
      <c r="AY655" s="239">
        <f>IF($G655="CERVECERIA Y MALTERIA.",($AS655*$AK655/1000000)*(1-VLOOKUP($N655,FCST!D:I,6,FALSE)),0)</f>
        <v>0</v>
      </c>
      <c r="AZ655" s="239">
        <f t="shared" si="89"/>
        <v>0</v>
      </c>
    </row>
    <row r="656" spans="1:52" x14ac:dyDescent="0.25">
      <c r="A656" s="209">
        <v>1098754</v>
      </c>
      <c r="B656" s="209">
        <v>70</v>
      </c>
      <c r="C656" s="209" t="s">
        <v>1431</v>
      </c>
      <c r="D656" s="209">
        <v>10</v>
      </c>
      <c r="E656" s="209">
        <v>10000002</v>
      </c>
      <c r="F656" s="209">
        <v>20000335</v>
      </c>
      <c r="G656" s="209" t="s">
        <v>105</v>
      </c>
      <c r="H656" s="209">
        <v>20000335</v>
      </c>
      <c r="I656" s="209">
        <v>2</v>
      </c>
      <c r="J656" s="209" t="s">
        <v>169</v>
      </c>
      <c r="K656" s="209" t="s">
        <v>1432</v>
      </c>
      <c r="L656" s="209" t="s">
        <v>171</v>
      </c>
      <c r="M656" s="209" t="s">
        <v>199</v>
      </c>
      <c r="N656" s="209">
        <v>50035184</v>
      </c>
      <c r="O656" s="209" t="s">
        <v>672</v>
      </c>
      <c r="P656" s="209">
        <v>5121</v>
      </c>
      <c r="Q656" s="209" t="s">
        <v>200</v>
      </c>
      <c r="R656" s="209" t="s">
        <v>201</v>
      </c>
      <c r="S656" s="209" t="s">
        <v>202</v>
      </c>
      <c r="T656" s="209" t="s">
        <v>203</v>
      </c>
      <c r="U656" s="209" t="s">
        <v>201</v>
      </c>
      <c r="V656" s="209" t="s">
        <v>179</v>
      </c>
      <c r="W656" s="209" t="s">
        <v>179</v>
      </c>
      <c r="X656" s="209" t="s">
        <v>180</v>
      </c>
      <c r="Y656" s="209" t="s">
        <v>180</v>
      </c>
      <c r="Z656" s="209" t="s">
        <v>1433</v>
      </c>
      <c r="AA656" s="209" t="s">
        <v>1434</v>
      </c>
      <c r="AB656" s="209" t="s">
        <v>180</v>
      </c>
      <c r="AC656" s="209" t="s">
        <v>182</v>
      </c>
      <c r="AD656" s="209">
        <v>2</v>
      </c>
      <c r="AE656" s="209">
        <v>2025</v>
      </c>
      <c r="AF656" s="227">
        <v>45687</v>
      </c>
      <c r="AG656" s="227">
        <v>45694</v>
      </c>
      <c r="AH656" s="227">
        <v>45694</v>
      </c>
      <c r="AI656" s="228">
        <v>977184</v>
      </c>
      <c r="AJ656" s="228">
        <v>52</v>
      </c>
      <c r="AK656" s="228">
        <v>977184</v>
      </c>
      <c r="AL656" s="228">
        <v>52</v>
      </c>
      <c r="AM656" s="228">
        <v>0</v>
      </c>
      <c r="AN656" s="228">
        <v>0</v>
      </c>
      <c r="AO656" s="229">
        <v>6</v>
      </c>
      <c r="AP656" s="231">
        <v>2</v>
      </c>
      <c r="AQ656" s="231">
        <v>2025</v>
      </c>
      <c r="AR656" s="231" t="str">
        <f t="shared" si="85"/>
        <v>02/2025</v>
      </c>
      <c r="AS656" s="231">
        <f t="shared" si="86"/>
        <v>19.5</v>
      </c>
      <c r="AT656" s="239">
        <f>IF(G656="CERVECERIA Y MALTERIA",(AS656*AK656/1000000)*(1-VLOOKUP(N656,FCST!D:I,6,FALSE)),0)</f>
        <v>19.055088000000001</v>
      </c>
      <c r="AU656" s="232">
        <v>5.0000000000000001E-3</v>
      </c>
      <c r="AV656" s="239">
        <f t="shared" si="87"/>
        <v>19.15036344</v>
      </c>
      <c r="AW656" s="239">
        <f>(AS656*AK656/1000000)*(VLOOKUP(N656,FCST!D:I,6,FALSE))</f>
        <v>0</v>
      </c>
      <c r="AX656" s="239">
        <f t="shared" si="88"/>
        <v>0</v>
      </c>
      <c r="AY656" s="239">
        <f>IF($G656="CERVECERIA Y MALTERIA.",($AS656*$AK656/1000000)*(1-VLOOKUP($N656,FCST!D:I,6,FALSE)),0)</f>
        <v>0</v>
      </c>
      <c r="AZ656" s="239">
        <f t="shared" si="89"/>
        <v>0</v>
      </c>
    </row>
    <row r="657" spans="1:52" x14ac:dyDescent="0.25">
      <c r="A657" s="209">
        <v>1098754</v>
      </c>
      <c r="B657" s="209">
        <v>110</v>
      </c>
      <c r="C657" s="209" t="s">
        <v>1435</v>
      </c>
      <c r="D657" s="209">
        <v>10</v>
      </c>
      <c r="E657" s="209">
        <v>10000002</v>
      </c>
      <c r="F657" s="209">
        <v>20000335</v>
      </c>
      <c r="G657" s="209" t="s">
        <v>105</v>
      </c>
      <c r="H657" s="209">
        <v>20000335</v>
      </c>
      <c r="I657" s="209">
        <v>2</v>
      </c>
      <c r="J657" s="209" t="s">
        <v>169</v>
      </c>
      <c r="K657" s="209" t="s">
        <v>1436</v>
      </c>
      <c r="L657" s="209" t="s">
        <v>171</v>
      </c>
      <c r="M657" s="209" t="s">
        <v>184</v>
      </c>
      <c r="N657" s="209">
        <v>50034616</v>
      </c>
      <c r="O657" s="209" t="s">
        <v>191</v>
      </c>
      <c r="P657" s="209">
        <v>5121</v>
      </c>
      <c r="Q657" s="209" t="s">
        <v>174</v>
      </c>
      <c r="R657" s="209" t="s">
        <v>175</v>
      </c>
      <c r="S657" s="209" t="s">
        <v>176</v>
      </c>
      <c r="T657" s="209" t="s">
        <v>177</v>
      </c>
      <c r="U657" s="209" t="s">
        <v>178</v>
      </c>
      <c r="V657" s="209" t="s">
        <v>179</v>
      </c>
      <c r="W657" s="209" t="s">
        <v>179</v>
      </c>
      <c r="X657" s="209" t="s">
        <v>180</v>
      </c>
      <c r="Y657" s="209" t="s">
        <v>180</v>
      </c>
      <c r="Z657" s="209" t="s">
        <v>1437</v>
      </c>
      <c r="AA657" s="209" t="s">
        <v>1438</v>
      </c>
      <c r="AB657" s="209" t="s">
        <v>180</v>
      </c>
      <c r="AC657" s="209" t="s">
        <v>182</v>
      </c>
      <c r="AD657" s="209">
        <v>2</v>
      </c>
      <c r="AE657" s="209">
        <v>2025</v>
      </c>
      <c r="AF657" s="227">
        <v>45687</v>
      </c>
      <c r="AG657" s="227">
        <v>45694</v>
      </c>
      <c r="AH657" s="227">
        <v>45694</v>
      </c>
      <c r="AI657" s="228">
        <v>426816</v>
      </c>
      <c r="AJ657" s="228">
        <v>52</v>
      </c>
      <c r="AK657" s="228">
        <v>426816</v>
      </c>
      <c r="AL657" s="228">
        <v>52</v>
      </c>
      <c r="AM657" s="228">
        <v>0</v>
      </c>
      <c r="AN657" s="228">
        <v>0</v>
      </c>
      <c r="AO657" s="229">
        <v>6</v>
      </c>
      <c r="AP657" s="231">
        <v>2</v>
      </c>
      <c r="AQ657" s="231">
        <v>2025</v>
      </c>
      <c r="AR657" s="231" t="str">
        <f t="shared" si="85"/>
        <v>02/2025</v>
      </c>
      <c r="AS657" s="231">
        <f t="shared" si="86"/>
        <v>46.6</v>
      </c>
      <c r="AT657" s="239">
        <f>IF(G657="CERVECERIA Y MALTERIA",(AS657*AK657/1000000)*(1-VLOOKUP(N657,FCST!D:I,6,FALSE)),0)</f>
        <v>19.889625600000002</v>
      </c>
      <c r="AU657" s="232">
        <v>5.0000000000000001E-3</v>
      </c>
      <c r="AV657" s="239">
        <f t="shared" si="87"/>
        <v>19.989073728000001</v>
      </c>
      <c r="AW657" s="239">
        <f>(AS657*AK657/1000000)*(VLOOKUP(N657,FCST!D:I,6,FALSE))</f>
        <v>0</v>
      </c>
      <c r="AX657" s="239">
        <f t="shared" si="88"/>
        <v>0</v>
      </c>
      <c r="AY657" s="239">
        <f>IF($G657="CERVECERIA Y MALTERIA.",($AS657*$AK657/1000000)*(1-VLOOKUP($N657,FCST!D:I,6,FALSE)),0)</f>
        <v>0</v>
      </c>
      <c r="AZ657" s="239">
        <f t="shared" si="89"/>
        <v>0</v>
      </c>
    </row>
    <row r="658" spans="1:52" x14ac:dyDescent="0.25">
      <c r="A658" s="209">
        <v>1098754</v>
      </c>
      <c r="B658" s="209">
        <v>80</v>
      </c>
      <c r="C658" s="209" t="s">
        <v>1439</v>
      </c>
      <c r="D658" s="209">
        <v>10</v>
      </c>
      <c r="E658" s="209">
        <v>10000002</v>
      </c>
      <c r="F658" s="209">
        <v>20000335</v>
      </c>
      <c r="G658" s="209" t="s">
        <v>105</v>
      </c>
      <c r="H658" s="209">
        <v>20000335</v>
      </c>
      <c r="I658" s="209">
        <v>2</v>
      </c>
      <c r="J658" s="209" t="s">
        <v>169</v>
      </c>
      <c r="K658" s="209" t="s">
        <v>1440</v>
      </c>
      <c r="L658" s="209" t="s">
        <v>171</v>
      </c>
      <c r="M658" s="209" t="s">
        <v>199</v>
      </c>
      <c r="N658" s="209">
        <v>50037887</v>
      </c>
      <c r="O658" s="209" t="s">
        <v>679</v>
      </c>
      <c r="P658" s="209">
        <v>5121</v>
      </c>
      <c r="Q658" s="209" t="s">
        <v>200</v>
      </c>
      <c r="R658" s="209" t="s">
        <v>201</v>
      </c>
      <c r="S658" s="209" t="s">
        <v>202</v>
      </c>
      <c r="T658" s="209" t="s">
        <v>203</v>
      </c>
      <c r="U658" s="209" t="s">
        <v>201</v>
      </c>
      <c r="V658" s="209" t="s">
        <v>179</v>
      </c>
      <c r="W658" s="209" t="s">
        <v>179</v>
      </c>
      <c r="X658" s="209" t="s">
        <v>180</v>
      </c>
      <c r="Y658" s="209" t="s">
        <v>180</v>
      </c>
      <c r="Z658" s="209" t="s">
        <v>1423</v>
      </c>
      <c r="AA658" s="209" t="s">
        <v>1424</v>
      </c>
      <c r="AB658" s="209" t="s">
        <v>180</v>
      </c>
      <c r="AC658" s="209" t="s">
        <v>182</v>
      </c>
      <c r="AD658" s="209">
        <v>2</v>
      </c>
      <c r="AE658" s="209">
        <v>2025</v>
      </c>
      <c r="AF658" s="227">
        <v>45687</v>
      </c>
      <c r="AG658" s="227">
        <v>45694</v>
      </c>
      <c r="AH658" s="227">
        <v>45694</v>
      </c>
      <c r="AI658" s="228">
        <v>531648</v>
      </c>
      <c r="AJ658" s="228">
        <v>52</v>
      </c>
      <c r="AK658" s="228">
        <v>531648</v>
      </c>
      <c r="AL658" s="228">
        <v>52</v>
      </c>
      <c r="AM658" s="228">
        <v>0</v>
      </c>
      <c r="AN658" s="228">
        <v>0</v>
      </c>
      <c r="AO658" s="229">
        <v>6</v>
      </c>
      <c r="AP658" s="231">
        <v>2</v>
      </c>
      <c r="AQ658" s="231">
        <v>2025</v>
      </c>
      <c r="AR658" s="231" t="str">
        <f t="shared" si="85"/>
        <v>02/2025</v>
      </c>
      <c r="AS658" s="231">
        <f t="shared" si="86"/>
        <v>37.200000000000003</v>
      </c>
      <c r="AT658" s="239">
        <f>IF(G658="CERVECERIA Y MALTERIA",(AS658*AK658/1000000)*(1-VLOOKUP(N658,FCST!D:I,6,FALSE)),0)</f>
        <v>19.777305600000002</v>
      </c>
      <c r="AU658" s="232">
        <v>5.0000000000000001E-3</v>
      </c>
      <c r="AV658" s="239">
        <f t="shared" si="87"/>
        <v>19.876192128</v>
      </c>
      <c r="AW658" s="239">
        <f>(AS658*AK658/1000000)*(VLOOKUP(N658,FCST!D:I,6,FALSE))</f>
        <v>0</v>
      </c>
      <c r="AX658" s="239">
        <f t="shared" si="88"/>
        <v>0</v>
      </c>
      <c r="AY658" s="239">
        <f>IF($G658="CERVECERIA Y MALTERIA.",($AS658*$AK658/1000000)*(1-VLOOKUP($N658,FCST!D:I,6,FALSE)),0)</f>
        <v>0</v>
      </c>
      <c r="AZ658" s="239">
        <f t="shared" si="89"/>
        <v>0</v>
      </c>
    </row>
    <row r="659" spans="1:52" x14ac:dyDescent="0.25">
      <c r="A659" s="209">
        <v>1098754</v>
      </c>
      <c r="B659" s="209">
        <v>50</v>
      </c>
      <c r="C659" s="209" t="s">
        <v>1441</v>
      </c>
      <c r="D659" s="209">
        <v>10</v>
      </c>
      <c r="E659" s="209">
        <v>10000002</v>
      </c>
      <c r="F659" s="209">
        <v>20000335</v>
      </c>
      <c r="G659" s="209" t="s">
        <v>105</v>
      </c>
      <c r="H659" s="209">
        <v>20000335</v>
      </c>
      <c r="I659" s="209">
        <v>2</v>
      </c>
      <c r="J659" s="209" t="s">
        <v>169</v>
      </c>
      <c r="K659" s="209" t="s">
        <v>1442</v>
      </c>
      <c r="L659" s="209" t="s">
        <v>171</v>
      </c>
      <c r="M659" s="209" t="s">
        <v>199</v>
      </c>
      <c r="N659" s="209">
        <v>50037887</v>
      </c>
      <c r="O659" s="209" t="s">
        <v>679</v>
      </c>
      <c r="P659" s="209">
        <v>5121</v>
      </c>
      <c r="Q659" s="209" t="s">
        <v>200</v>
      </c>
      <c r="R659" s="209" t="s">
        <v>201</v>
      </c>
      <c r="S659" s="209" t="s">
        <v>202</v>
      </c>
      <c r="T659" s="209" t="s">
        <v>203</v>
      </c>
      <c r="U659" s="209" t="s">
        <v>201</v>
      </c>
      <c r="V659" s="209" t="s">
        <v>179</v>
      </c>
      <c r="W659" s="209" t="s">
        <v>179</v>
      </c>
      <c r="X659" s="209" t="s">
        <v>180</v>
      </c>
      <c r="Y659" s="209" t="s">
        <v>180</v>
      </c>
      <c r="Z659" s="209" t="s">
        <v>1423</v>
      </c>
      <c r="AA659" s="209" t="s">
        <v>1424</v>
      </c>
      <c r="AB659" s="209" t="s">
        <v>180</v>
      </c>
      <c r="AC659" s="209" t="s">
        <v>182</v>
      </c>
      <c r="AD659" s="209">
        <v>2</v>
      </c>
      <c r="AE659" s="209">
        <v>2025</v>
      </c>
      <c r="AF659" s="227">
        <v>45687</v>
      </c>
      <c r="AG659" s="227">
        <v>45693</v>
      </c>
      <c r="AH659" s="227">
        <v>45693</v>
      </c>
      <c r="AI659" s="228">
        <v>531648</v>
      </c>
      <c r="AJ659" s="228">
        <v>52</v>
      </c>
      <c r="AK659" s="228">
        <v>531648</v>
      </c>
      <c r="AL659" s="228">
        <v>52</v>
      </c>
      <c r="AM659" s="228">
        <v>0</v>
      </c>
      <c r="AN659" s="228">
        <v>0</v>
      </c>
      <c r="AO659" s="229">
        <v>6</v>
      </c>
      <c r="AP659" s="231">
        <v>2</v>
      </c>
      <c r="AQ659" s="231">
        <v>2025</v>
      </c>
      <c r="AR659" s="231" t="str">
        <f t="shared" si="85"/>
        <v>02/2025</v>
      </c>
      <c r="AS659" s="231">
        <f t="shared" si="86"/>
        <v>37.200000000000003</v>
      </c>
      <c r="AT659" s="239">
        <f>IF(G659="CERVECERIA Y MALTERIA",(AS659*AK659/1000000)*(1-VLOOKUP(N659,FCST!D:I,6,FALSE)),0)</f>
        <v>19.777305600000002</v>
      </c>
      <c r="AU659" s="232">
        <v>5.0000000000000001E-3</v>
      </c>
      <c r="AV659" s="239">
        <f t="shared" si="87"/>
        <v>19.876192128</v>
      </c>
      <c r="AW659" s="239">
        <f>(AS659*AK659/1000000)*(VLOOKUP(N659,FCST!D:I,6,FALSE))</f>
        <v>0</v>
      </c>
      <c r="AX659" s="239">
        <f t="shared" si="88"/>
        <v>0</v>
      </c>
      <c r="AY659" s="239">
        <f>IF($G659="CERVECERIA Y MALTERIA.",($AS659*$AK659/1000000)*(1-VLOOKUP($N659,FCST!D:I,6,FALSE)),0)</f>
        <v>0</v>
      </c>
      <c r="AZ659" s="239">
        <f t="shared" si="89"/>
        <v>0</v>
      </c>
    </row>
    <row r="660" spans="1:52" x14ac:dyDescent="0.25">
      <c r="A660" s="209">
        <v>1100203</v>
      </c>
      <c r="B660" s="209">
        <v>20</v>
      </c>
      <c r="C660" s="209" t="s">
        <v>1443</v>
      </c>
      <c r="D660" s="209">
        <v>10</v>
      </c>
      <c r="E660" s="209">
        <v>10000002</v>
      </c>
      <c r="F660" s="209">
        <v>20000335</v>
      </c>
      <c r="G660" s="209" t="s">
        <v>105</v>
      </c>
      <c r="H660" s="209">
        <v>20000335</v>
      </c>
      <c r="I660" s="209">
        <v>2</v>
      </c>
      <c r="J660" s="209" t="s">
        <v>169</v>
      </c>
      <c r="K660" s="209" t="s">
        <v>1444</v>
      </c>
      <c r="L660" s="209" t="s">
        <v>171</v>
      </c>
      <c r="M660" s="209" t="s">
        <v>172</v>
      </c>
      <c r="N660" s="209">
        <v>50037887</v>
      </c>
      <c r="O660" s="209" t="s">
        <v>679</v>
      </c>
      <c r="P660" s="209">
        <v>5121</v>
      </c>
      <c r="Q660" s="209" t="s">
        <v>174</v>
      </c>
      <c r="R660" s="209" t="s">
        <v>175</v>
      </c>
      <c r="S660" s="209" t="s">
        <v>176</v>
      </c>
      <c r="T660" s="209" t="s">
        <v>177</v>
      </c>
      <c r="U660" s="209" t="s">
        <v>178</v>
      </c>
      <c r="V660" s="209" t="s">
        <v>179</v>
      </c>
      <c r="W660" s="209" t="s">
        <v>179</v>
      </c>
      <c r="X660" s="209" t="s">
        <v>180</v>
      </c>
      <c r="Y660" s="209" t="s">
        <v>180</v>
      </c>
      <c r="Z660" s="209" t="s">
        <v>1423</v>
      </c>
      <c r="AA660" s="209" t="s">
        <v>1424</v>
      </c>
      <c r="AB660" s="209" t="s">
        <v>180</v>
      </c>
      <c r="AC660" s="209" t="s">
        <v>182</v>
      </c>
      <c r="AD660" s="209">
        <v>2</v>
      </c>
      <c r="AE660" s="209">
        <v>2025</v>
      </c>
      <c r="AF660" s="227">
        <v>45695</v>
      </c>
      <c r="AG660" s="227">
        <v>45698</v>
      </c>
      <c r="AH660" s="227">
        <v>45698</v>
      </c>
      <c r="AI660" s="228">
        <v>531648</v>
      </c>
      <c r="AJ660" s="228">
        <v>52</v>
      </c>
      <c r="AK660" s="228">
        <v>531648</v>
      </c>
      <c r="AL660" s="228">
        <v>52</v>
      </c>
      <c r="AM660" s="228">
        <v>0</v>
      </c>
      <c r="AN660" s="228">
        <v>0</v>
      </c>
      <c r="AO660" s="229">
        <v>7</v>
      </c>
      <c r="AP660" s="231">
        <v>2</v>
      </c>
      <c r="AQ660" s="231">
        <v>2025</v>
      </c>
      <c r="AR660" s="231" t="str">
        <f t="shared" si="85"/>
        <v>02/2025</v>
      </c>
      <c r="AS660" s="231">
        <f t="shared" si="86"/>
        <v>37.200000000000003</v>
      </c>
      <c r="AT660" s="239">
        <f>IF(G660="CERVECERIA Y MALTERIA",(AS660*AK660/1000000)*(1-VLOOKUP(N660,FCST!D:I,6,FALSE)),0)</f>
        <v>19.777305600000002</v>
      </c>
      <c r="AU660" s="232">
        <v>5.0000000000000001E-3</v>
      </c>
      <c r="AV660" s="239">
        <f t="shared" si="87"/>
        <v>19.876192128</v>
      </c>
      <c r="AW660" s="239">
        <f>(AS660*AK660/1000000)*(VLOOKUP(N660,FCST!D:I,6,FALSE))</f>
        <v>0</v>
      </c>
      <c r="AX660" s="239">
        <f t="shared" si="88"/>
        <v>0</v>
      </c>
      <c r="AY660" s="239">
        <f>IF($G660="CERVECERIA Y MALTERIA.",($AS660*$AK660/1000000)*(1-VLOOKUP($N660,FCST!D:I,6,FALSE)),0)</f>
        <v>0</v>
      </c>
      <c r="AZ660" s="239">
        <f t="shared" si="89"/>
        <v>0</v>
      </c>
    </row>
    <row r="661" spans="1:52" x14ac:dyDescent="0.25">
      <c r="A661" s="209">
        <v>1100203</v>
      </c>
      <c r="B661" s="209">
        <v>10</v>
      </c>
      <c r="C661" s="209" t="s">
        <v>1445</v>
      </c>
      <c r="D661" s="209">
        <v>10</v>
      </c>
      <c r="E661" s="209">
        <v>10000002</v>
      </c>
      <c r="F661" s="209">
        <v>20000335</v>
      </c>
      <c r="G661" s="209" t="s">
        <v>105</v>
      </c>
      <c r="H661" s="209">
        <v>20000335</v>
      </c>
      <c r="I661" s="209">
        <v>2</v>
      </c>
      <c r="J661" s="209" t="s">
        <v>169</v>
      </c>
      <c r="K661" s="209" t="s">
        <v>1446</v>
      </c>
      <c r="L661" s="209" t="s">
        <v>171</v>
      </c>
      <c r="M661" s="209" t="s">
        <v>184</v>
      </c>
      <c r="N661" s="209">
        <v>50035184</v>
      </c>
      <c r="O661" s="209" t="s">
        <v>672</v>
      </c>
      <c r="P661" s="209">
        <v>5121</v>
      </c>
      <c r="Q661" s="209" t="s">
        <v>174</v>
      </c>
      <c r="R661" s="209" t="s">
        <v>175</v>
      </c>
      <c r="S661" s="209" t="s">
        <v>176</v>
      </c>
      <c r="T661" s="209" t="s">
        <v>177</v>
      </c>
      <c r="U661" s="209" t="s">
        <v>178</v>
      </c>
      <c r="V661" s="209" t="s">
        <v>179</v>
      </c>
      <c r="W661" s="209" t="s">
        <v>179</v>
      </c>
      <c r="X661" s="209" t="s">
        <v>180</v>
      </c>
      <c r="Y661" s="209" t="s">
        <v>180</v>
      </c>
      <c r="Z661" s="209" t="s">
        <v>1433</v>
      </c>
      <c r="AA661" s="209" t="s">
        <v>1434</v>
      </c>
      <c r="AB661" s="209" t="s">
        <v>180</v>
      </c>
      <c r="AC661" s="209" t="s">
        <v>182</v>
      </c>
      <c r="AD661" s="209">
        <v>2</v>
      </c>
      <c r="AE661" s="209">
        <v>2025</v>
      </c>
      <c r="AF661" s="227">
        <v>45695</v>
      </c>
      <c r="AG661" s="227">
        <v>45698</v>
      </c>
      <c r="AH661" s="227">
        <v>45698</v>
      </c>
      <c r="AI661" s="228">
        <v>977184</v>
      </c>
      <c r="AJ661" s="228">
        <v>52</v>
      </c>
      <c r="AK661" s="228">
        <v>977184</v>
      </c>
      <c r="AL661" s="228">
        <v>52</v>
      </c>
      <c r="AM661" s="228">
        <v>0</v>
      </c>
      <c r="AN661" s="228">
        <v>0</v>
      </c>
      <c r="AO661" s="229">
        <v>7</v>
      </c>
      <c r="AP661" s="231">
        <v>2</v>
      </c>
      <c r="AQ661" s="231">
        <v>2025</v>
      </c>
      <c r="AR661" s="231" t="str">
        <f t="shared" si="85"/>
        <v>02/2025</v>
      </c>
      <c r="AS661" s="231">
        <f t="shared" si="86"/>
        <v>19.5</v>
      </c>
      <c r="AT661" s="239">
        <f>IF(G661="CERVECERIA Y MALTERIA",(AS661*AK661/1000000)*(1-VLOOKUP(N661,FCST!D:I,6,FALSE)),0)</f>
        <v>19.055088000000001</v>
      </c>
      <c r="AU661" s="232">
        <v>5.0000000000000001E-3</v>
      </c>
      <c r="AV661" s="239">
        <f t="shared" si="87"/>
        <v>19.15036344</v>
      </c>
      <c r="AW661" s="239">
        <f>(AS661*AK661/1000000)*(VLOOKUP(N661,FCST!D:I,6,FALSE))</f>
        <v>0</v>
      </c>
      <c r="AX661" s="239">
        <f t="shared" si="88"/>
        <v>0</v>
      </c>
      <c r="AY661" s="239">
        <f>IF($G661="CERVECERIA Y MALTERIA.",($AS661*$AK661/1000000)*(1-VLOOKUP($N661,FCST!D:I,6,FALSE)),0)</f>
        <v>0</v>
      </c>
      <c r="AZ661" s="239">
        <f t="shared" si="89"/>
        <v>0</v>
      </c>
    </row>
    <row r="662" spans="1:52" x14ac:dyDescent="0.25">
      <c r="A662" s="209">
        <v>1100264</v>
      </c>
      <c r="B662" s="209">
        <v>30</v>
      </c>
      <c r="C662" s="209" t="s">
        <v>1447</v>
      </c>
      <c r="D662" s="209">
        <v>30</v>
      </c>
      <c r="E662" s="209">
        <v>10000002</v>
      </c>
      <c r="F662" s="209">
        <v>20001057</v>
      </c>
      <c r="G662" s="209" t="s">
        <v>105</v>
      </c>
      <c r="H662" s="209">
        <v>20001057</v>
      </c>
      <c r="I662" s="209">
        <v>2</v>
      </c>
      <c r="J662" s="209" t="s">
        <v>169</v>
      </c>
      <c r="K662" s="209" t="s">
        <v>1448</v>
      </c>
      <c r="L662" s="209" t="s">
        <v>265</v>
      </c>
      <c r="M662" s="209" t="s">
        <v>184</v>
      </c>
      <c r="N662" s="209">
        <v>50034616</v>
      </c>
      <c r="O662" s="209" t="s">
        <v>191</v>
      </c>
      <c r="P662" s="209">
        <v>5121</v>
      </c>
      <c r="Q662" s="209" t="s">
        <v>174</v>
      </c>
      <c r="R662" s="209" t="s">
        <v>175</v>
      </c>
      <c r="S662" s="209" t="s">
        <v>176</v>
      </c>
      <c r="T662" s="209" t="s">
        <v>177</v>
      </c>
      <c r="U662" s="209" t="s">
        <v>178</v>
      </c>
      <c r="V662" s="209" t="s">
        <v>179</v>
      </c>
      <c r="W662" s="209" t="s">
        <v>179</v>
      </c>
      <c r="X662" s="209" t="s">
        <v>180</v>
      </c>
      <c r="Y662" s="209" t="s">
        <v>180</v>
      </c>
      <c r="Z662" s="209" t="s">
        <v>1449</v>
      </c>
      <c r="AA662" s="209" t="s">
        <v>1450</v>
      </c>
      <c r="AB662" s="209" t="s">
        <v>180</v>
      </c>
      <c r="AC662" s="209" t="s">
        <v>182</v>
      </c>
      <c r="AD662" s="209">
        <v>2</v>
      </c>
      <c r="AE662" s="209">
        <v>2025</v>
      </c>
      <c r="AF662" s="227">
        <v>45695</v>
      </c>
      <c r="AG662" s="227">
        <v>45698</v>
      </c>
      <c r="AH662" s="227">
        <v>45698</v>
      </c>
      <c r="AI662" s="228">
        <v>155952</v>
      </c>
      <c r="AJ662" s="228">
        <v>19</v>
      </c>
      <c r="AK662" s="228">
        <v>155952</v>
      </c>
      <c r="AL662" s="228">
        <v>19</v>
      </c>
      <c r="AM662" s="228">
        <v>0</v>
      </c>
      <c r="AN662" s="228">
        <v>0</v>
      </c>
      <c r="AO662" s="229">
        <v>7</v>
      </c>
      <c r="AP662" s="231">
        <v>2</v>
      </c>
      <c r="AQ662" s="231">
        <v>2025</v>
      </c>
      <c r="AR662" s="231" t="str">
        <f t="shared" si="85"/>
        <v>02/2025</v>
      </c>
      <c r="AS662" s="231">
        <f t="shared" si="86"/>
        <v>46.6</v>
      </c>
      <c r="AT662" s="239">
        <f>IF(G662="CERVECERIA Y MALTERIA",(AS662*AK662/1000000)*(1-VLOOKUP(N662,FCST!D:I,6,FALSE)),0)</f>
        <v>7.2673632000000001</v>
      </c>
      <c r="AU662" s="232">
        <v>5.0000000000000001E-3</v>
      </c>
      <c r="AV662" s="239">
        <f t="shared" si="87"/>
        <v>7.3037000159999996</v>
      </c>
      <c r="AW662" s="239">
        <f>(AS662*AK662/1000000)*(VLOOKUP(N662,FCST!D:I,6,FALSE))</f>
        <v>0</v>
      </c>
      <c r="AX662" s="239">
        <f t="shared" si="88"/>
        <v>0</v>
      </c>
      <c r="AY662" s="239">
        <f>IF($G662="CERVECERIA Y MALTERIA.",($AS662*$AK662/1000000)*(1-VLOOKUP($N662,FCST!D:I,6,FALSE)),0)</f>
        <v>0</v>
      </c>
      <c r="AZ662" s="239">
        <f t="shared" si="89"/>
        <v>0</v>
      </c>
    </row>
    <row r="663" spans="1:52" x14ac:dyDescent="0.25">
      <c r="A663" s="209">
        <v>1100264</v>
      </c>
      <c r="B663" s="209">
        <v>20</v>
      </c>
      <c r="C663" s="209" t="s">
        <v>1447</v>
      </c>
      <c r="D663" s="209">
        <v>20</v>
      </c>
      <c r="E663" s="209">
        <v>10000002</v>
      </c>
      <c r="F663" s="209">
        <v>20001057</v>
      </c>
      <c r="G663" s="209" t="s">
        <v>105</v>
      </c>
      <c r="H663" s="209">
        <v>20001057</v>
      </c>
      <c r="I663" s="209">
        <v>2</v>
      </c>
      <c r="J663" s="209" t="s">
        <v>169</v>
      </c>
      <c r="K663" s="209" t="s">
        <v>1448</v>
      </c>
      <c r="L663" s="209" t="s">
        <v>265</v>
      </c>
      <c r="M663" s="209" t="s">
        <v>184</v>
      </c>
      <c r="N663" s="209">
        <v>50032573</v>
      </c>
      <c r="O663" s="209" t="s">
        <v>173</v>
      </c>
      <c r="P663" s="209">
        <v>5121</v>
      </c>
      <c r="Q663" s="209" t="s">
        <v>174</v>
      </c>
      <c r="R663" s="209" t="s">
        <v>175</v>
      </c>
      <c r="S663" s="209" t="s">
        <v>176</v>
      </c>
      <c r="T663" s="209" t="s">
        <v>177</v>
      </c>
      <c r="U663" s="209" t="s">
        <v>178</v>
      </c>
      <c r="V663" s="209" t="s">
        <v>179</v>
      </c>
      <c r="W663" s="209" t="s">
        <v>179</v>
      </c>
      <c r="X663" s="209" t="s">
        <v>180</v>
      </c>
      <c r="Y663" s="209" t="s">
        <v>180</v>
      </c>
      <c r="Z663" s="209" t="s">
        <v>1449</v>
      </c>
      <c r="AA663" s="209" t="s">
        <v>1450</v>
      </c>
      <c r="AB663" s="209" t="s">
        <v>180</v>
      </c>
      <c r="AC663" s="209" t="s">
        <v>182</v>
      </c>
      <c r="AD663" s="209">
        <v>2</v>
      </c>
      <c r="AE663" s="209">
        <v>2025</v>
      </c>
      <c r="AF663" s="227">
        <v>45695</v>
      </c>
      <c r="AG663" s="227">
        <v>45698</v>
      </c>
      <c r="AH663" s="227">
        <v>45698</v>
      </c>
      <c r="AI663" s="228">
        <v>235152</v>
      </c>
      <c r="AJ663" s="228">
        <v>23</v>
      </c>
      <c r="AK663" s="228">
        <v>235152</v>
      </c>
      <c r="AL663" s="228">
        <v>23</v>
      </c>
      <c r="AM663" s="228">
        <v>0</v>
      </c>
      <c r="AN663" s="228">
        <v>0</v>
      </c>
      <c r="AO663" s="229">
        <v>7</v>
      </c>
      <c r="AP663" s="231">
        <v>2</v>
      </c>
      <c r="AQ663" s="231">
        <v>2025</v>
      </c>
      <c r="AR663" s="231" t="str">
        <f t="shared" si="85"/>
        <v>02/2025</v>
      </c>
      <c r="AS663" s="231">
        <f t="shared" si="86"/>
        <v>37.200000000000003</v>
      </c>
      <c r="AT663" s="239">
        <f>IF(G663="CERVECERIA Y MALTERIA",(AS663*AK663/1000000)*(1-VLOOKUP(N663,FCST!D:I,6,FALSE)),0)</f>
        <v>8.7476544000000001</v>
      </c>
      <c r="AU663" s="232">
        <v>5.0000000000000001E-3</v>
      </c>
      <c r="AV663" s="239">
        <f t="shared" si="87"/>
        <v>8.7913926719999989</v>
      </c>
      <c r="AW663" s="239">
        <f>(AS663*AK663/1000000)*(VLOOKUP(N663,FCST!D:I,6,FALSE))</f>
        <v>0</v>
      </c>
      <c r="AX663" s="239">
        <f t="shared" si="88"/>
        <v>0</v>
      </c>
      <c r="AY663" s="239">
        <f>IF($G663="CERVECERIA Y MALTERIA.",($AS663*$AK663/1000000)*(1-VLOOKUP($N663,FCST!D:I,6,FALSE)),0)</f>
        <v>0</v>
      </c>
      <c r="AZ663" s="239">
        <f t="shared" si="89"/>
        <v>0</v>
      </c>
    </row>
    <row r="664" spans="1:52" x14ac:dyDescent="0.25">
      <c r="A664" s="209">
        <v>1100264</v>
      </c>
      <c r="B664" s="209">
        <v>10</v>
      </c>
      <c r="C664" s="209" t="s">
        <v>1447</v>
      </c>
      <c r="D664" s="209">
        <v>10</v>
      </c>
      <c r="E664" s="209">
        <v>10000002</v>
      </c>
      <c r="F664" s="209">
        <v>20001057</v>
      </c>
      <c r="G664" s="209" t="s">
        <v>105</v>
      </c>
      <c r="H664" s="209">
        <v>20001057</v>
      </c>
      <c r="I664" s="209">
        <v>2</v>
      </c>
      <c r="J664" s="209" t="s">
        <v>169</v>
      </c>
      <c r="K664" s="209" t="s">
        <v>1448</v>
      </c>
      <c r="L664" s="209" t="s">
        <v>265</v>
      </c>
      <c r="M664" s="209" t="s">
        <v>184</v>
      </c>
      <c r="N664" s="209">
        <v>50035184</v>
      </c>
      <c r="O664" s="209" t="s">
        <v>672</v>
      </c>
      <c r="P664" s="209">
        <v>5121</v>
      </c>
      <c r="Q664" s="209" t="s">
        <v>174</v>
      </c>
      <c r="R664" s="209" t="s">
        <v>175</v>
      </c>
      <c r="S664" s="209" t="s">
        <v>176</v>
      </c>
      <c r="T664" s="209" t="s">
        <v>177</v>
      </c>
      <c r="U664" s="209" t="s">
        <v>178</v>
      </c>
      <c r="V664" s="209" t="s">
        <v>179</v>
      </c>
      <c r="W664" s="209" t="s">
        <v>179</v>
      </c>
      <c r="X664" s="209" t="s">
        <v>180</v>
      </c>
      <c r="Y664" s="209" t="s">
        <v>180</v>
      </c>
      <c r="Z664" s="209" t="s">
        <v>1449</v>
      </c>
      <c r="AA664" s="209" t="s">
        <v>1450</v>
      </c>
      <c r="AB664" s="209" t="s">
        <v>180</v>
      </c>
      <c r="AC664" s="209" t="s">
        <v>182</v>
      </c>
      <c r="AD664" s="209">
        <v>2</v>
      </c>
      <c r="AE664" s="209">
        <v>2025</v>
      </c>
      <c r="AF664" s="227">
        <v>45695</v>
      </c>
      <c r="AG664" s="227">
        <v>45698</v>
      </c>
      <c r="AH664" s="227">
        <v>45698</v>
      </c>
      <c r="AI664" s="228">
        <v>187920</v>
      </c>
      <c r="AJ664" s="228">
        <v>10</v>
      </c>
      <c r="AK664" s="228">
        <v>187920</v>
      </c>
      <c r="AL664" s="228">
        <v>10</v>
      </c>
      <c r="AM664" s="228">
        <v>0</v>
      </c>
      <c r="AN664" s="228">
        <v>0</v>
      </c>
      <c r="AO664" s="229">
        <v>7</v>
      </c>
      <c r="AP664" s="231">
        <v>2</v>
      </c>
      <c r="AQ664" s="231">
        <v>2025</v>
      </c>
      <c r="AR664" s="231" t="str">
        <f t="shared" si="85"/>
        <v>02/2025</v>
      </c>
      <c r="AS664" s="231">
        <f t="shared" si="86"/>
        <v>19.5</v>
      </c>
      <c r="AT664" s="239">
        <f>IF(G664="CERVECERIA Y MALTERIA",(AS664*AK664/1000000)*(1-VLOOKUP(N664,FCST!D:I,6,FALSE)),0)</f>
        <v>3.6644399999999999</v>
      </c>
      <c r="AU664" s="232">
        <v>5.0000000000000001E-3</v>
      </c>
      <c r="AV664" s="239">
        <f t="shared" si="87"/>
        <v>3.6827621999999995</v>
      </c>
      <c r="AW664" s="239">
        <f>(AS664*AK664/1000000)*(VLOOKUP(N664,FCST!D:I,6,FALSE))</f>
        <v>0</v>
      </c>
      <c r="AX664" s="239">
        <f t="shared" si="88"/>
        <v>0</v>
      </c>
      <c r="AY664" s="239">
        <f>IF($G664="CERVECERIA Y MALTERIA.",($AS664*$AK664/1000000)*(1-VLOOKUP($N664,FCST!D:I,6,FALSE)),0)</f>
        <v>0</v>
      </c>
      <c r="AZ664" s="239">
        <f t="shared" si="89"/>
        <v>0</v>
      </c>
    </row>
    <row r="665" spans="1:52" x14ac:dyDescent="0.25">
      <c r="A665" s="209">
        <v>1099150</v>
      </c>
      <c r="B665" s="209">
        <v>50</v>
      </c>
      <c r="C665" s="209" t="s">
        <v>1451</v>
      </c>
      <c r="D665" s="209">
        <v>20</v>
      </c>
      <c r="E665" s="209">
        <v>10000002</v>
      </c>
      <c r="F665" s="209">
        <v>20000337</v>
      </c>
      <c r="G665" s="209" t="s">
        <v>105</v>
      </c>
      <c r="H665" s="209">
        <v>20000337</v>
      </c>
      <c r="I665" s="209">
        <v>2</v>
      </c>
      <c r="J665" s="209" t="s">
        <v>169</v>
      </c>
      <c r="K665" s="209" t="s">
        <v>1452</v>
      </c>
      <c r="L665" s="209" t="s">
        <v>171</v>
      </c>
      <c r="M665" s="209" t="s">
        <v>184</v>
      </c>
      <c r="N665" s="209">
        <v>50032583</v>
      </c>
      <c r="O665" s="209" t="s">
        <v>205</v>
      </c>
      <c r="P665" s="209">
        <v>5121</v>
      </c>
      <c r="Q665" s="209" t="s">
        <v>174</v>
      </c>
      <c r="R665" s="209" t="s">
        <v>175</v>
      </c>
      <c r="S665" s="209" t="s">
        <v>176</v>
      </c>
      <c r="T665" s="209" t="s">
        <v>177</v>
      </c>
      <c r="U665" s="209" t="s">
        <v>178</v>
      </c>
      <c r="V665" s="209" t="s">
        <v>179</v>
      </c>
      <c r="W665" s="209" t="s">
        <v>179</v>
      </c>
      <c r="X665" s="209" t="s">
        <v>180</v>
      </c>
      <c r="Y665" s="209" t="s">
        <v>180</v>
      </c>
      <c r="Z665" s="209" t="s">
        <v>1453</v>
      </c>
      <c r="AA665" s="209" t="s">
        <v>1454</v>
      </c>
      <c r="AB665" s="209" t="s">
        <v>180</v>
      </c>
      <c r="AC665" s="209" t="s">
        <v>182</v>
      </c>
      <c r="AD665" s="209">
        <v>2</v>
      </c>
      <c r="AE665" s="209">
        <v>2025</v>
      </c>
      <c r="AF665" s="227">
        <v>45691</v>
      </c>
      <c r="AG665" s="227">
        <v>45698</v>
      </c>
      <c r="AH665" s="227">
        <v>45698</v>
      </c>
      <c r="AI665" s="228">
        <v>148896</v>
      </c>
      <c r="AJ665" s="228">
        <v>22</v>
      </c>
      <c r="AK665" s="228">
        <v>148896</v>
      </c>
      <c r="AL665" s="228">
        <v>22</v>
      </c>
      <c r="AM665" s="228">
        <v>0</v>
      </c>
      <c r="AN665" s="228">
        <v>0</v>
      </c>
      <c r="AO665" s="229">
        <v>6</v>
      </c>
      <c r="AP665" s="231">
        <v>2</v>
      </c>
      <c r="AQ665" s="231">
        <v>2025</v>
      </c>
      <c r="AR665" s="231" t="str">
        <f t="shared" si="85"/>
        <v>02/2025</v>
      </c>
      <c r="AS665" s="231">
        <f t="shared" si="86"/>
        <v>54.7</v>
      </c>
      <c r="AT665" s="239">
        <f>IF(G665="CERVECERIA Y MALTERIA",(AS665*AK665/1000000)*(1-VLOOKUP(N665,FCST!D:I,6,FALSE)),0)</f>
        <v>8.1446111999999999</v>
      </c>
      <c r="AU665" s="232">
        <v>5.0000000000000001E-3</v>
      </c>
      <c r="AV665" s="239">
        <f t="shared" si="87"/>
        <v>8.1853342559999991</v>
      </c>
      <c r="AW665" s="239">
        <f>(AS665*AK665/1000000)*(VLOOKUP(N665,FCST!D:I,6,FALSE))</f>
        <v>0</v>
      </c>
      <c r="AX665" s="239">
        <f t="shared" si="88"/>
        <v>0</v>
      </c>
      <c r="AY665" s="239">
        <f>IF($G665="CERVECERIA Y MALTERIA.",($AS665*$AK665/1000000)*(1-VLOOKUP($N665,FCST!D:I,6,FALSE)),0)</f>
        <v>0</v>
      </c>
      <c r="AZ665" s="239">
        <f t="shared" si="89"/>
        <v>0</v>
      </c>
    </row>
    <row r="666" spans="1:52" x14ac:dyDescent="0.25">
      <c r="A666" s="209">
        <v>1099150</v>
      </c>
      <c r="B666" s="209">
        <v>40</v>
      </c>
      <c r="C666" s="209" t="s">
        <v>1451</v>
      </c>
      <c r="D666" s="209">
        <v>10</v>
      </c>
      <c r="E666" s="209">
        <v>10000002</v>
      </c>
      <c r="F666" s="209">
        <v>20000337</v>
      </c>
      <c r="G666" s="209" t="s">
        <v>105</v>
      </c>
      <c r="H666" s="209">
        <v>20000337</v>
      </c>
      <c r="I666" s="209">
        <v>2</v>
      </c>
      <c r="J666" s="209" t="s">
        <v>169</v>
      </c>
      <c r="K666" s="209" t="s">
        <v>1452</v>
      </c>
      <c r="L666" s="209" t="s">
        <v>171</v>
      </c>
      <c r="M666" s="209" t="s">
        <v>184</v>
      </c>
      <c r="N666" s="209">
        <v>50037042</v>
      </c>
      <c r="O666" s="209" t="s">
        <v>543</v>
      </c>
      <c r="P666" s="209">
        <v>5121</v>
      </c>
      <c r="Q666" s="209" t="s">
        <v>174</v>
      </c>
      <c r="R666" s="209" t="s">
        <v>175</v>
      </c>
      <c r="S666" s="209" t="s">
        <v>176</v>
      </c>
      <c r="T666" s="209" t="s">
        <v>177</v>
      </c>
      <c r="U666" s="209" t="s">
        <v>178</v>
      </c>
      <c r="V666" s="209" t="s">
        <v>179</v>
      </c>
      <c r="W666" s="209" t="s">
        <v>179</v>
      </c>
      <c r="X666" s="209" t="s">
        <v>180</v>
      </c>
      <c r="Y666" s="209" t="s">
        <v>180</v>
      </c>
      <c r="Z666" s="209" t="s">
        <v>1453</v>
      </c>
      <c r="AA666" s="209" t="s">
        <v>1454</v>
      </c>
      <c r="AB666" s="209" t="s">
        <v>180</v>
      </c>
      <c r="AC666" s="209" t="s">
        <v>182</v>
      </c>
      <c r="AD666" s="209">
        <v>2</v>
      </c>
      <c r="AE666" s="209">
        <v>2025</v>
      </c>
      <c r="AF666" s="227">
        <v>45691</v>
      </c>
      <c r="AG666" s="227">
        <v>45698</v>
      </c>
      <c r="AH666" s="227">
        <v>45698</v>
      </c>
      <c r="AI666" s="228">
        <v>246240</v>
      </c>
      <c r="AJ666" s="228">
        <v>30</v>
      </c>
      <c r="AK666" s="228">
        <v>246240</v>
      </c>
      <c r="AL666" s="228">
        <v>30</v>
      </c>
      <c r="AM666" s="228">
        <v>0</v>
      </c>
      <c r="AN666" s="228">
        <v>0</v>
      </c>
      <c r="AO666" s="229">
        <v>6</v>
      </c>
      <c r="AP666" s="231">
        <v>2</v>
      </c>
      <c r="AQ666" s="231">
        <v>2025</v>
      </c>
      <c r="AR666" s="231" t="str">
        <f t="shared" si="85"/>
        <v>02/2025</v>
      </c>
      <c r="AS666" s="231">
        <f t="shared" si="86"/>
        <v>46.6</v>
      </c>
      <c r="AT666" s="239">
        <f>IF(G666="CERVECERIA Y MALTERIA",(AS666*AK666/1000000)*(1-VLOOKUP(N666,FCST!D:I,6,FALSE)),0)</f>
        <v>9.1798272000000001</v>
      </c>
      <c r="AU666" s="232">
        <v>5.0000000000000001E-3</v>
      </c>
      <c r="AV666" s="239">
        <f>+AT666*(1+AU666)</f>
        <v>9.2257263359999993</v>
      </c>
      <c r="AW666" s="239">
        <f>(AS666*AK666/1000000)*(VLOOKUP(N666,FCST!D:I,6,FALSE))</f>
        <v>2.2949568</v>
      </c>
      <c r="AX666" s="239">
        <f t="shared" si="88"/>
        <v>2.3064315839999998</v>
      </c>
      <c r="AY666" s="239">
        <f>IF($G666="CERVECERIA Y MALTERIA.",($AS666*$AK666/1000000)*(1-VLOOKUP($N666,FCST!D:I,6,FALSE)),0)</f>
        <v>0</v>
      </c>
      <c r="AZ666" s="239">
        <f t="shared" si="89"/>
        <v>0</v>
      </c>
    </row>
    <row r="667" spans="1:52" x14ac:dyDescent="0.25">
      <c r="A667" s="209">
        <v>1099282</v>
      </c>
      <c r="B667" s="209">
        <v>10</v>
      </c>
      <c r="C667" s="209" t="s">
        <v>1455</v>
      </c>
      <c r="D667" s="209">
        <v>10</v>
      </c>
      <c r="E667" s="209">
        <v>10000002</v>
      </c>
      <c r="F667" s="209">
        <v>20000339</v>
      </c>
      <c r="G667" s="209" t="s">
        <v>105</v>
      </c>
      <c r="H667" s="209">
        <v>20000339</v>
      </c>
      <c r="I667" s="209">
        <v>2</v>
      </c>
      <c r="J667" s="209" t="s">
        <v>169</v>
      </c>
      <c r="K667" s="209" t="s">
        <v>1456</v>
      </c>
      <c r="L667" s="209" t="s">
        <v>171</v>
      </c>
      <c r="M667" s="209" t="s">
        <v>172</v>
      </c>
      <c r="N667" s="209">
        <v>50033268</v>
      </c>
      <c r="O667" s="209" t="s">
        <v>253</v>
      </c>
      <c r="P667" s="209">
        <v>5121</v>
      </c>
      <c r="Q667" s="209" t="s">
        <v>174</v>
      </c>
      <c r="R667" s="209" t="s">
        <v>175</v>
      </c>
      <c r="S667" s="209" t="s">
        <v>176</v>
      </c>
      <c r="T667" s="209" t="s">
        <v>177</v>
      </c>
      <c r="U667" s="209" t="s">
        <v>178</v>
      </c>
      <c r="V667" s="209" t="s">
        <v>179</v>
      </c>
      <c r="W667" s="209" t="s">
        <v>179</v>
      </c>
      <c r="X667" s="209" t="s">
        <v>180</v>
      </c>
      <c r="Y667" s="209" t="s">
        <v>180</v>
      </c>
      <c r="Z667" s="209" t="s">
        <v>1457</v>
      </c>
      <c r="AA667" s="209" t="s">
        <v>1458</v>
      </c>
      <c r="AB667" s="209" t="s">
        <v>180</v>
      </c>
      <c r="AC667" s="209" t="s">
        <v>182</v>
      </c>
      <c r="AD667" s="209">
        <v>2</v>
      </c>
      <c r="AE667" s="209">
        <v>2025</v>
      </c>
      <c r="AF667" s="227">
        <v>45691</v>
      </c>
      <c r="AG667" s="227">
        <v>45691</v>
      </c>
      <c r="AH667" s="227">
        <v>45691</v>
      </c>
      <c r="AI667" s="228">
        <v>406848</v>
      </c>
      <c r="AJ667" s="228">
        <v>52</v>
      </c>
      <c r="AK667" s="228">
        <v>406848</v>
      </c>
      <c r="AL667" s="228">
        <v>52</v>
      </c>
      <c r="AM667" s="228">
        <v>0</v>
      </c>
      <c r="AN667" s="228">
        <v>0</v>
      </c>
      <c r="AO667" s="229">
        <v>6</v>
      </c>
      <c r="AP667" s="231">
        <v>2</v>
      </c>
      <c r="AQ667" s="231">
        <v>2025</v>
      </c>
      <c r="AR667" s="231" t="str">
        <f t="shared" si="85"/>
        <v>02/2025</v>
      </c>
      <c r="AS667" s="231">
        <f t="shared" si="86"/>
        <v>44</v>
      </c>
      <c r="AT667" s="239">
        <f>IF(G667="CERVECERIA Y MALTERIA",(AS667*AK667/1000000)*(1-VLOOKUP(N667,FCST!D:I,6,FALSE)),0)</f>
        <v>17.901312000000001</v>
      </c>
      <c r="AU667" s="232">
        <v>5.0000000000000001E-3</v>
      </c>
      <c r="AV667" s="239">
        <f t="shared" si="87"/>
        <v>17.990818559999997</v>
      </c>
      <c r="AW667" s="239">
        <f>(AS667*AK667/1000000)*(VLOOKUP(N667,FCST!D:I,6,FALSE))</f>
        <v>0</v>
      </c>
      <c r="AX667" s="239">
        <f t="shared" si="88"/>
        <v>0</v>
      </c>
      <c r="AY667" s="239">
        <f>IF($G667="CERVECERIA Y MALTERIA.",($AS667*$AK667/1000000)*(1-VLOOKUP($N667,FCST!D:I,6,FALSE)),0)</f>
        <v>0</v>
      </c>
      <c r="AZ667" s="239">
        <f t="shared" si="89"/>
        <v>0</v>
      </c>
    </row>
    <row r="668" spans="1:52" x14ac:dyDescent="0.25">
      <c r="A668" s="209">
        <v>1098754</v>
      </c>
      <c r="B668" s="209">
        <v>10</v>
      </c>
      <c r="C668" s="209" t="s">
        <v>1459</v>
      </c>
      <c r="D668" s="209">
        <v>10</v>
      </c>
      <c r="E668" s="209">
        <v>10000002</v>
      </c>
      <c r="F668" s="209">
        <v>20000335</v>
      </c>
      <c r="G668" s="209" t="s">
        <v>105</v>
      </c>
      <c r="H668" s="209">
        <v>20000335</v>
      </c>
      <c r="I668" s="209">
        <v>2</v>
      </c>
      <c r="J668" s="209" t="s">
        <v>169</v>
      </c>
      <c r="K668" s="209" t="s">
        <v>1460</v>
      </c>
      <c r="L668" s="209" t="s">
        <v>171</v>
      </c>
      <c r="M668" s="209" t="s">
        <v>172</v>
      </c>
      <c r="N668" s="209">
        <v>50032573</v>
      </c>
      <c r="O668" s="209" t="s">
        <v>173</v>
      </c>
      <c r="P668" s="209">
        <v>5121</v>
      </c>
      <c r="Q668" s="209" t="s">
        <v>174</v>
      </c>
      <c r="R668" s="209" t="s">
        <v>175</v>
      </c>
      <c r="S668" s="209" t="s">
        <v>176</v>
      </c>
      <c r="T668" s="209" t="s">
        <v>177</v>
      </c>
      <c r="U668" s="209" t="s">
        <v>178</v>
      </c>
      <c r="V668" s="209" t="s">
        <v>179</v>
      </c>
      <c r="W668" s="209" t="s">
        <v>179</v>
      </c>
      <c r="X668" s="209" t="s">
        <v>180</v>
      </c>
      <c r="Y668" s="209" t="s">
        <v>180</v>
      </c>
      <c r="Z668" s="209" t="s">
        <v>1461</v>
      </c>
      <c r="AA668" s="209" t="s">
        <v>1462</v>
      </c>
      <c r="AB668" s="209" t="s">
        <v>180</v>
      </c>
      <c r="AC668" s="209" t="s">
        <v>182</v>
      </c>
      <c r="AD668" s="209">
        <v>2</v>
      </c>
      <c r="AE668" s="209">
        <v>2025</v>
      </c>
      <c r="AF668" s="227">
        <v>45687</v>
      </c>
      <c r="AG668" s="227">
        <v>45691</v>
      </c>
      <c r="AH668" s="227">
        <v>45691</v>
      </c>
      <c r="AI668" s="228">
        <v>531648</v>
      </c>
      <c r="AJ668" s="228">
        <v>52</v>
      </c>
      <c r="AK668" s="228">
        <v>531648</v>
      </c>
      <c r="AL668" s="228">
        <v>52</v>
      </c>
      <c r="AM668" s="228">
        <v>0</v>
      </c>
      <c r="AN668" s="228">
        <v>0</v>
      </c>
      <c r="AO668" s="229">
        <v>6</v>
      </c>
      <c r="AP668" s="231">
        <v>2</v>
      </c>
      <c r="AQ668" s="231">
        <v>2025</v>
      </c>
      <c r="AR668" s="231" t="str">
        <f t="shared" si="85"/>
        <v>02/2025</v>
      </c>
      <c r="AS668" s="231">
        <f t="shared" si="86"/>
        <v>37.200000000000003</v>
      </c>
      <c r="AT668" s="239">
        <f>IF(G668="CERVECERIA Y MALTERIA",(AS668*AK668/1000000)*(1-VLOOKUP(N668,FCST!D:I,6,FALSE)),0)</f>
        <v>19.777305600000002</v>
      </c>
      <c r="AU668" s="232">
        <v>5.0000000000000001E-3</v>
      </c>
      <c r="AV668" s="239">
        <f t="shared" si="87"/>
        <v>19.876192128</v>
      </c>
      <c r="AW668" s="239">
        <f>(AS668*AK668/1000000)*(VLOOKUP(N668,FCST!D:I,6,FALSE))</f>
        <v>0</v>
      </c>
      <c r="AX668" s="239">
        <f t="shared" si="88"/>
        <v>0</v>
      </c>
      <c r="AY668" s="239">
        <f>IF($G668="CERVECERIA Y MALTERIA.",($AS668*$AK668/1000000)*(1-VLOOKUP($N668,FCST!D:I,6,FALSE)),0)</f>
        <v>0</v>
      </c>
      <c r="AZ668" s="239">
        <f t="shared" si="89"/>
        <v>0</v>
      </c>
    </row>
    <row r="669" spans="1:52" x14ac:dyDescent="0.25">
      <c r="A669" s="209">
        <v>1099150</v>
      </c>
      <c r="B669" s="209">
        <v>10</v>
      </c>
      <c r="C669" s="209" t="s">
        <v>1463</v>
      </c>
      <c r="D669" s="209">
        <v>10</v>
      </c>
      <c r="E669" s="209">
        <v>10000002</v>
      </c>
      <c r="F669" s="209">
        <v>20000337</v>
      </c>
      <c r="G669" s="209" t="s">
        <v>105</v>
      </c>
      <c r="H669" s="209">
        <v>20000337</v>
      </c>
      <c r="I669" s="209">
        <v>2</v>
      </c>
      <c r="J669" s="209" t="s">
        <v>169</v>
      </c>
      <c r="K669" s="209" t="s">
        <v>1464</v>
      </c>
      <c r="L669" s="209" t="s">
        <v>171</v>
      </c>
      <c r="M669" s="209" t="s">
        <v>199</v>
      </c>
      <c r="N669" s="209">
        <v>50035183</v>
      </c>
      <c r="O669" s="209" t="s">
        <v>215</v>
      </c>
      <c r="P669" s="209">
        <v>5121</v>
      </c>
      <c r="Q669" s="209" t="s">
        <v>200</v>
      </c>
      <c r="R669" s="209" t="s">
        <v>201</v>
      </c>
      <c r="S669" s="209" t="s">
        <v>202</v>
      </c>
      <c r="T669" s="209" t="s">
        <v>203</v>
      </c>
      <c r="U669" s="209" t="s">
        <v>201</v>
      </c>
      <c r="V669" s="209" t="s">
        <v>179</v>
      </c>
      <c r="W669" s="209" t="s">
        <v>179</v>
      </c>
      <c r="X669" s="209" t="s">
        <v>180</v>
      </c>
      <c r="Y669" s="209" t="s">
        <v>180</v>
      </c>
      <c r="Z669" s="209" t="s">
        <v>1429</v>
      </c>
      <c r="AA669" s="209" t="s">
        <v>1430</v>
      </c>
      <c r="AB669" s="209" t="s">
        <v>180</v>
      </c>
      <c r="AC669" s="209" t="s">
        <v>182</v>
      </c>
      <c r="AD669" s="209">
        <v>2</v>
      </c>
      <c r="AE669" s="209">
        <v>2025</v>
      </c>
      <c r="AF669" s="227">
        <v>45691</v>
      </c>
      <c r="AG669" s="227">
        <v>45691</v>
      </c>
      <c r="AH669" s="227">
        <v>45691</v>
      </c>
      <c r="AI669" s="228">
        <v>426816</v>
      </c>
      <c r="AJ669" s="228">
        <v>52</v>
      </c>
      <c r="AK669" s="228">
        <v>426816</v>
      </c>
      <c r="AL669" s="228">
        <v>52</v>
      </c>
      <c r="AM669" s="228">
        <v>0</v>
      </c>
      <c r="AN669" s="228">
        <v>0</v>
      </c>
      <c r="AO669" s="229">
        <v>6</v>
      </c>
      <c r="AP669" s="231">
        <v>2</v>
      </c>
      <c r="AQ669" s="231">
        <v>2025</v>
      </c>
      <c r="AR669" s="231" t="str">
        <f t="shared" si="85"/>
        <v>02/2025</v>
      </c>
      <c r="AS669" s="231">
        <f t="shared" si="86"/>
        <v>46.6</v>
      </c>
      <c r="AT669" s="239">
        <f>IF(G669="CERVECERIA Y MALTERIA",(AS669*AK669/1000000)*(1-VLOOKUP(N669,FCST!D:I,6,FALSE)),0)</f>
        <v>19.889625600000002</v>
      </c>
      <c r="AU669" s="232">
        <v>5.0000000000000001E-3</v>
      </c>
      <c r="AV669" s="239">
        <f t="shared" si="87"/>
        <v>19.989073728000001</v>
      </c>
      <c r="AW669" s="239">
        <f>(AS669*AK669/1000000)*(VLOOKUP(N669,FCST!D:I,6,FALSE))</f>
        <v>0</v>
      </c>
      <c r="AX669" s="239">
        <f t="shared" si="88"/>
        <v>0</v>
      </c>
      <c r="AY669" s="239">
        <f>IF($G669="CERVECERIA Y MALTERIA.",($AS669*$AK669/1000000)*(1-VLOOKUP($N669,FCST!D:I,6,FALSE)),0)</f>
        <v>0</v>
      </c>
      <c r="AZ669" s="239">
        <f t="shared" si="89"/>
        <v>0</v>
      </c>
    </row>
    <row r="670" spans="1:52" x14ac:dyDescent="0.25">
      <c r="A670" s="209">
        <v>1098754</v>
      </c>
      <c r="B670" s="209">
        <v>20</v>
      </c>
      <c r="C670" s="209" t="s">
        <v>1465</v>
      </c>
      <c r="D670" s="209">
        <v>10</v>
      </c>
      <c r="E670" s="209">
        <v>10000002</v>
      </c>
      <c r="F670" s="209">
        <v>20000335</v>
      </c>
      <c r="G670" s="209" t="s">
        <v>105</v>
      </c>
      <c r="H670" s="209">
        <v>20000335</v>
      </c>
      <c r="I670" s="209">
        <v>2</v>
      </c>
      <c r="J670" s="209" t="s">
        <v>169</v>
      </c>
      <c r="K670" s="209" t="s">
        <v>1466</v>
      </c>
      <c r="L670" s="209" t="s">
        <v>171</v>
      </c>
      <c r="M670" s="209" t="s">
        <v>199</v>
      </c>
      <c r="N670" s="209">
        <v>50035183</v>
      </c>
      <c r="O670" s="209" t="s">
        <v>215</v>
      </c>
      <c r="P670" s="209">
        <v>5121</v>
      </c>
      <c r="Q670" s="209" t="s">
        <v>200</v>
      </c>
      <c r="R670" s="209" t="s">
        <v>201</v>
      </c>
      <c r="S670" s="209" t="s">
        <v>202</v>
      </c>
      <c r="T670" s="209" t="s">
        <v>203</v>
      </c>
      <c r="U670" s="209" t="s">
        <v>201</v>
      </c>
      <c r="V670" s="209" t="s">
        <v>179</v>
      </c>
      <c r="W670" s="209" t="s">
        <v>179</v>
      </c>
      <c r="X670" s="209" t="s">
        <v>180</v>
      </c>
      <c r="Y670" s="209" t="s">
        <v>180</v>
      </c>
      <c r="Z670" s="209" t="s">
        <v>1415</v>
      </c>
      <c r="AA670" s="209" t="s">
        <v>1416</v>
      </c>
      <c r="AB670" s="209" t="s">
        <v>180</v>
      </c>
      <c r="AC670" s="209" t="s">
        <v>182</v>
      </c>
      <c r="AD670" s="209">
        <v>2</v>
      </c>
      <c r="AE670" s="209">
        <v>2025</v>
      </c>
      <c r="AF670" s="227">
        <v>45687</v>
      </c>
      <c r="AG670" s="227">
        <v>45691</v>
      </c>
      <c r="AH670" s="227">
        <v>45691</v>
      </c>
      <c r="AI670" s="228">
        <v>426816</v>
      </c>
      <c r="AJ670" s="228">
        <v>52</v>
      </c>
      <c r="AK670" s="228">
        <v>426816</v>
      </c>
      <c r="AL670" s="228">
        <v>52</v>
      </c>
      <c r="AM670" s="228">
        <v>0</v>
      </c>
      <c r="AN670" s="228">
        <v>0</v>
      </c>
      <c r="AO670" s="229">
        <v>6</v>
      </c>
      <c r="AP670" s="231">
        <v>2</v>
      </c>
      <c r="AQ670" s="231">
        <v>2025</v>
      </c>
      <c r="AR670" s="231" t="str">
        <f t="shared" si="85"/>
        <v>02/2025</v>
      </c>
      <c r="AS670" s="231">
        <f t="shared" si="86"/>
        <v>46.6</v>
      </c>
      <c r="AT670" s="239">
        <f>IF(G670="CERVECERIA Y MALTERIA",(AS670*AK670/1000000)*(1-VLOOKUP(N670,FCST!D:I,6,FALSE)),0)</f>
        <v>19.889625600000002</v>
      </c>
      <c r="AU670" s="232">
        <v>5.0000000000000001E-3</v>
      </c>
      <c r="AV670" s="239">
        <f t="shared" si="87"/>
        <v>19.989073728000001</v>
      </c>
      <c r="AW670" s="239">
        <f>(AS670*AK670/1000000)*(VLOOKUP(N670,FCST!D:I,6,FALSE))</f>
        <v>0</v>
      </c>
      <c r="AX670" s="239">
        <f t="shared" si="88"/>
        <v>0</v>
      </c>
      <c r="AY670" s="239">
        <f>IF($G670="CERVECERIA Y MALTERIA.",($AS670*$AK670/1000000)*(1-VLOOKUP($N670,FCST!D:I,6,FALSE)),0)</f>
        <v>0</v>
      </c>
      <c r="AZ670" s="239">
        <f t="shared" si="89"/>
        <v>0</v>
      </c>
    </row>
    <row r="671" spans="1:52" x14ac:dyDescent="0.25">
      <c r="A671" s="209">
        <v>1094003</v>
      </c>
      <c r="B671" s="209">
        <v>130</v>
      </c>
      <c r="C671" s="209" t="s">
        <v>1467</v>
      </c>
      <c r="D671" s="209">
        <v>10</v>
      </c>
      <c r="E671" s="209">
        <v>10000002</v>
      </c>
      <c r="F671" s="209">
        <v>20000337</v>
      </c>
      <c r="G671" s="209" t="s">
        <v>105</v>
      </c>
      <c r="H671" s="209">
        <v>20000337</v>
      </c>
      <c r="I671" s="209">
        <v>2</v>
      </c>
      <c r="J671" s="209" t="s">
        <v>169</v>
      </c>
      <c r="K671" s="209" t="s">
        <v>1468</v>
      </c>
      <c r="L671" s="209" t="s">
        <v>265</v>
      </c>
      <c r="M671" s="209" t="s">
        <v>328</v>
      </c>
      <c r="N671" s="209">
        <v>50035183</v>
      </c>
      <c r="O671" s="209" t="s">
        <v>215</v>
      </c>
      <c r="P671" s="209">
        <v>5121</v>
      </c>
      <c r="Q671" s="209" t="s">
        <v>174</v>
      </c>
      <c r="R671" s="209" t="s">
        <v>175</v>
      </c>
      <c r="S671" s="209" t="s">
        <v>176</v>
      </c>
      <c r="T671" s="209" t="s">
        <v>177</v>
      </c>
      <c r="U671" s="209" t="s">
        <v>178</v>
      </c>
      <c r="V671" s="209" t="s">
        <v>179</v>
      </c>
      <c r="W671" s="209" t="s">
        <v>179</v>
      </c>
      <c r="X671" s="209" t="s">
        <v>180</v>
      </c>
      <c r="Y671" s="209" t="s">
        <v>180</v>
      </c>
      <c r="Z671" s="209" t="s">
        <v>1429</v>
      </c>
      <c r="AA671" s="209" t="s">
        <v>1430</v>
      </c>
      <c r="AB671" s="209" t="s">
        <v>180</v>
      </c>
      <c r="AC671" s="209" t="s">
        <v>182</v>
      </c>
      <c r="AD671" s="209">
        <v>1</v>
      </c>
      <c r="AE671" s="209">
        <v>2025</v>
      </c>
      <c r="AF671" s="227">
        <v>45663</v>
      </c>
      <c r="AG671" s="227">
        <v>45689</v>
      </c>
      <c r="AH671" s="227">
        <v>45689</v>
      </c>
      <c r="AI671" s="228">
        <v>426816</v>
      </c>
      <c r="AJ671" s="228">
        <v>52</v>
      </c>
      <c r="AK671" s="228">
        <v>426816</v>
      </c>
      <c r="AL671" s="228">
        <v>52</v>
      </c>
      <c r="AM671" s="228">
        <v>0</v>
      </c>
      <c r="AN671" s="228">
        <v>0</v>
      </c>
      <c r="AO671" s="229">
        <v>2</v>
      </c>
      <c r="AP671" s="231">
        <v>2</v>
      </c>
      <c r="AQ671" s="231">
        <v>2025</v>
      </c>
      <c r="AR671" s="231" t="str">
        <f t="shared" si="85"/>
        <v>02/2025</v>
      </c>
      <c r="AS671" s="231">
        <f t="shared" si="86"/>
        <v>46.6</v>
      </c>
      <c r="AT671" s="239">
        <f>IF(G671="CERVECERIA Y MALTERIA",(AS671*AK671/1000000)*(1-VLOOKUP(N671,FCST!D:I,6,FALSE)),0)</f>
        <v>19.889625600000002</v>
      </c>
      <c r="AU671" s="232">
        <v>5.0000000000000001E-3</v>
      </c>
      <c r="AV671" s="239">
        <f t="shared" si="87"/>
        <v>19.989073728000001</v>
      </c>
      <c r="AW671" s="239">
        <f>(AS671*AK671/1000000)*(VLOOKUP(N671,FCST!D:I,6,FALSE))</f>
        <v>0</v>
      </c>
      <c r="AX671" s="239">
        <f t="shared" si="88"/>
        <v>0</v>
      </c>
      <c r="AY671" s="239">
        <f>IF($G671="CERVECERIA Y MALTERIA.",($AS671*$AK671/1000000)*(1-VLOOKUP($N671,FCST!D:I,6,FALSE)),0)</f>
        <v>0</v>
      </c>
      <c r="AZ671" s="239">
        <f t="shared" si="89"/>
        <v>0</v>
      </c>
    </row>
    <row r="672" spans="1:52" x14ac:dyDescent="0.25">
      <c r="A672" s="209">
        <v>1097302</v>
      </c>
      <c r="B672" s="209">
        <v>70</v>
      </c>
      <c r="C672" s="209" t="s">
        <v>1469</v>
      </c>
      <c r="D672" s="209">
        <v>20</v>
      </c>
      <c r="E672" s="209">
        <v>10000002</v>
      </c>
      <c r="F672" s="209">
        <v>20000339</v>
      </c>
      <c r="G672" s="209" t="s">
        <v>105</v>
      </c>
      <c r="H672" s="209">
        <v>20000339</v>
      </c>
      <c r="I672" s="209">
        <v>2</v>
      </c>
      <c r="J672" s="209" t="s">
        <v>169</v>
      </c>
      <c r="K672" s="209" t="s">
        <v>1470</v>
      </c>
      <c r="L672" s="209" t="s">
        <v>171</v>
      </c>
      <c r="M672" s="209" t="s">
        <v>328</v>
      </c>
      <c r="N672" s="209">
        <v>50033268</v>
      </c>
      <c r="O672" s="209" t="s">
        <v>253</v>
      </c>
      <c r="P672" s="209">
        <v>5121</v>
      </c>
      <c r="Q672" s="209" t="s">
        <v>174</v>
      </c>
      <c r="R672" s="209" t="s">
        <v>175</v>
      </c>
      <c r="S672" s="209" t="s">
        <v>176</v>
      </c>
      <c r="T672" s="209" t="s">
        <v>177</v>
      </c>
      <c r="U672" s="209" t="s">
        <v>178</v>
      </c>
      <c r="V672" s="209" t="s">
        <v>179</v>
      </c>
      <c r="W672" s="209" t="s">
        <v>179</v>
      </c>
      <c r="X672" s="209" t="s">
        <v>180</v>
      </c>
      <c r="Y672" s="209" t="s">
        <v>180</v>
      </c>
      <c r="Z672" s="209" t="s">
        <v>1471</v>
      </c>
      <c r="AA672" s="209" t="s">
        <v>1472</v>
      </c>
      <c r="AB672" s="209" t="s">
        <v>180</v>
      </c>
      <c r="AC672" s="209" t="s">
        <v>182</v>
      </c>
      <c r="AD672" s="209">
        <v>1</v>
      </c>
      <c r="AE672" s="209">
        <v>2025</v>
      </c>
      <c r="AF672" s="227">
        <v>45680</v>
      </c>
      <c r="AG672" s="227">
        <v>45688</v>
      </c>
      <c r="AH672" s="227">
        <v>45689</v>
      </c>
      <c r="AI672" s="228">
        <v>93888</v>
      </c>
      <c r="AJ672" s="228">
        <v>12</v>
      </c>
      <c r="AK672" s="228">
        <v>93888</v>
      </c>
      <c r="AL672" s="228">
        <v>12</v>
      </c>
      <c r="AM672" s="228">
        <v>0</v>
      </c>
      <c r="AN672" s="228">
        <v>0</v>
      </c>
      <c r="AO672" s="229">
        <v>4</v>
      </c>
      <c r="AP672" s="231">
        <v>2</v>
      </c>
      <c r="AQ672" s="231">
        <v>2025</v>
      </c>
      <c r="AR672" s="231" t="str">
        <f t="shared" si="85"/>
        <v>02/2025</v>
      </c>
      <c r="AS672" s="231">
        <f t="shared" si="86"/>
        <v>44</v>
      </c>
      <c r="AT672" s="239">
        <f>IF(G672="CERVECERIA Y MALTERIA",(AS672*AK672/1000000)*(1-VLOOKUP(N672,FCST!D:I,6,FALSE)),0)</f>
        <v>4.1310719999999996</v>
      </c>
      <c r="AU672" s="232">
        <v>5.0000000000000001E-3</v>
      </c>
      <c r="AV672" s="239">
        <f t="shared" si="87"/>
        <v>4.1517273599999989</v>
      </c>
      <c r="AW672" s="239">
        <f>(AS672*AK672/1000000)*(VLOOKUP(N672,FCST!D:I,6,FALSE))</f>
        <v>0</v>
      </c>
      <c r="AX672" s="239">
        <f t="shared" si="88"/>
        <v>0</v>
      </c>
      <c r="AY672" s="239">
        <f>IF($G672="CERVECERIA Y MALTERIA.",($AS672*$AK672/1000000)*(1-VLOOKUP($N672,FCST!D:I,6,FALSE)),0)</f>
        <v>0</v>
      </c>
      <c r="AZ672" s="239">
        <f t="shared" si="89"/>
        <v>0</v>
      </c>
    </row>
    <row r="673" spans="1:52" x14ac:dyDescent="0.25">
      <c r="A673" s="209">
        <v>1097302</v>
      </c>
      <c r="B673" s="209">
        <v>60</v>
      </c>
      <c r="C673" s="209" t="s">
        <v>1469</v>
      </c>
      <c r="D673" s="209">
        <v>10</v>
      </c>
      <c r="E673" s="209">
        <v>10000002</v>
      </c>
      <c r="F673" s="209">
        <v>20000339</v>
      </c>
      <c r="G673" s="209" t="s">
        <v>105</v>
      </c>
      <c r="H673" s="209">
        <v>20000339</v>
      </c>
      <c r="I673" s="209">
        <v>2</v>
      </c>
      <c r="J673" s="209" t="s">
        <v>169</v>
      </c>
      <c r="K673" s="209" t="s">
        <v>1470</v>
      </c>
      <c r="L673" s="209" t="s">
        <v>171</v>
      </c>
      <c r="M673" s="209" t="s">
        <v>328</v>
      </c>
      <c r="N673" s="209">
        <v>50034634</v>
      </c>
      <c r="O673" s="209" t="s">
        <v>219</v>
      </c>
      <c r="P673" s="209">
        <v>5121</v>
      </c>
      <c r="Q673" s="209" t="s">
        <v>174</v>
      </c>
      <c r="R673" s="209" t="s">
        <v>175</v>
      </c>
      <c r="S673" s="209" t="s">
        <v>176</v>
      </c>
      <c r="T673" s="209" t="s">
        <v>177</v>
      </c>
      <c r="U673" s="209" t="s">
        <v>178</v>
      </c>
      <c r="V673" s="209" t="s">
        <v>179</v>
      </c>
      <c r="W673" s="209" t="s">
        <v>179</v>
      </c>
      <c r="X673" s="209" t="s">
        <v>180</v>
      </c>
      <c r="Y673" s="209" t="s">
        <v>180</v>
      </c>
      <c r="Z673" s="209" t="s">
        <v>1471</v>
      </c>
      <c r="AA673" s="209" t="s">
        <v>1472</v>
      </c>
      <c r="AB673" s="209" t="s">
        <v>180</v>
      </c>
      <c r="AC673" s="209" t="s">
        <v>182</v>
      </c>
      <c r="AD673" s="209">
        <v>1</v>
      </c>
      <c r="AE673" s="209">
        <v>2025</v>
      </c>
      <c r="AF673" s="227">
        <v>45680</v>
      </c>
      <c r="AG673" s="227">
        <v>45688</v>
      </c>
      <c r="AH673" s="227">
        <v>45689</v>
      </c>
      <c r="AI673" s="228">
        <v>280320</v>
      </c>
      <c r="AJ673" s="228">
        <v>40</v>
      </c>
      <c r="AK673" s="228">
        <v>280320</v>
      </c>
      <c r="AL673" s="228">
        <v>40</v>
      </c>
      <c r="AM673" s="228">
        <v>0</v>
      </c>
      <c r="AN673" s="228">
        <v>0</v>
      </c>
      <c r="AO673" s="229">
        <v>4</v>
      </c>
      <c r="AP673" s="231">
        <v>2</v>
      </c>
      <c r="AQ673" s="231">
        <v>2025</v>
      </c>
      <c r="AR673" s="231" t="str">
        <f t="shared" ref="AR673:AR731" si="90">+IF(AP673&lt;10,"0"&amp;AP673&amp; "/"&amp;AQ673,AP673&amp; "/"&amp;AQ673)</f>
        <v>02/2025</v>
      </c>
      <c r="AS673" s="231">
        <f t="shared" ref="AS673:AS731" si="91">VALUE(MID(INDEX(_xlfn.TEXTSPLIT(O673, ","), 1, 3), 1,FIND("G", INDEX(_xlfn.TEXTSPLIT(O673, ","), 1, 3))-1))</f>
        <v>52</v>
      </c>
      <c r="AT673" s="239">
        <f>IF(G673="CERVECERIA Y MALTERIA",(AS673*AK673/1000000)*(1-VLOOKUP(N673,FCST!D:I,6,FALSE)),0)</f>
        <v>14.576639999999999</v>
      </c>
      <c r="AU673" s="232">
        <v>5.0000000000000001E-3</v>
      </c>
      <c r="AV673" s="239">
        <f t="shared" ref="AV673:AV731" si="92">+AT673*(1+AU673)</f>
        <v>14.649523199999997</v>
      </c>
      <c r="AW673" s="239">
        <f>(AS673*AK673/1000000)*(VLOOKUP(N673,FCST!D:I,6,FALSE))</f>
        <v>0</v>
      </c>
      <c r="AX673" s="239">
        <f t="shared" ref="AX673:AX731" si="93">+AW673*(1+AU673)</f>
        <v>0</v>
      </c>
      <c r="AY673" s="239">
        <f>IF($G673="CERVECERIA Y MALTERIA.",($AS673*$AK673/1000000)*(1-VLOOKUP($N673,FCST!D:I,6,FALSE)),0)</f>
        <v>0</v>
      </c>
      <c r="AZ673" s="239">
        <f t="shared" ref="AZ673:AZ731" si="94">+AY673*(1+AU673)</f>
        <v>0</v>
      </c>
    </row>
    <row r="674" spans="1:52" x14ac:dyDescent="0.25">
      <c r="A674" s="209">
        <v>1099150</v>
      </c>
      <c r="B674" s="209">
        <v>20</v>
      </c>
      <c r="C674" s="209" t="s">
        <v>1473</v>
      </c>
      <c r="D674" s="209">
        <v>10</v>
      </c>
      <c r="E674" s="209">
        <v>10000002</v>
      </c>
      <c r="F674" s="209">
        <v>20000337</v>
      </c>
      <c r="G674" s="209" t="s">
        <v>105</v>
      </c>
      <c r="H674" s="209">
        <v>20000337</v>
      </c>
      <c r="I674" s="209">
        <v>2</v>
      </c>
      <c r="J674" s="209" t="s">
        <v>169</v>
      </c>
      <c r="K674" s="209" t="s">
        <v>1474</v>
      </c>
      <c r="L674" s="209" t="s">
        <v>171</v>
      </c>
      <c r="M674" s="209" t="s">
        <v>199</v>
      </c>
      <c r="N674" s="209">
        <v>50035183</v>
      </c>
      <c r="O674" s="209" t="s">
        <v>215</v>
      </c>
      <c r="P674" s="209">
        <v>5121</v>
      </c>
      <c r="Q674" s="209" t="s">
        <v>200</v>
      </c>
      <c r="R674" s="209" t="s">
        <v>201</v>
      </c>
      <c r="S674" s="209" t="s">
        <v>202</v>
      </c>
      <c r="T674" s="209" t="s">
        <v>203</v>
      </c>
      <c r="U674" s="209" t="s">
        <v>201</v>
      </c>
      <c r="V674" s="209" t="s">
        <v>179</v>
      </c>
      <c r="W674" s="209" t="s">
        <v>179</v>
      </c>
      <c r="X674" s="209" t="s">
        <v>180</v>
      </c>
      <c r="Y674" s="209" t="s">
        <v>180</v>
      </c>
      <c r="Z674" s="209" t="s">
        <v>1429</v>
      </c>
      <c r="AA674" s="209" t="s">
        <v>1430</v>
      </c>
      <c r="AB674" s="209" t="s">
        <v>180</v>
      </c>
      <c r="AC674" s="209" t="s">
        <v>182</v>
      </c>
      <c r="AD674" s="209">
        <v>2</v>
      </c>
      <c r="AE674" s="209">
        <v>2025</v>
      </c>
      <c r="AF674" s="227">
        <v>45691</v>
      </c>
      <c r="AG674" s="227">
        <v>45693</v>
      </c>
      <c r="AH674" s="227">
        <v>45693</v>
      </c>
      <c r="AI674" s="228">
        <v>426816</v>
      </c>
      <c r="AJ674" s="228">
        <v>52</v>
      </c>
      <c r="AK674" s="228">
        <v>426816</v>
      </c>
      <c r="AL674" s="228">
        <v>52</v>
      </c>
      <c r="AM674" s="228">
        <v>0</v>
      </c>
      <c r="AN674" s="228">
        <v>0</v>
      </c>
      <c r="AO674" s="229">
        <v>6</v>
      </c>
      <c r="AP674" s="231">
        <v>2</v>
      </c>
      <c r="AQ674" s="231">
        <v>2025</v>
      </c>
      <c r="AR674" s="231" t="str">
        <f t="shared" si="90"/>
        <v>02/2025</v>
      </c>
      <c r="AS674" s="231">
        <f t="shared" si="91"/>
        <v>46.6</v>
      </c>
      <c r="AT674" s="239">
        <f>IF(G674="CERVECERIA Y MALTERIA",(AS674*AK674/1000000)*(1-VLOOKUP(N674,FCST!D:I,6,FALSE)),0)</f>
        <v>19.889625600000002</v>
      </c>
      <c r="AU674" s="232">
        <v>5.0000000000000001E-3</v>
      </c>
      <c r="AV674" s="239">
        <f t="shared" si="92"/>
        <v>19.989073728000001</v>
      </c>
      <c r="AW674" s="239">
        <f>(AS674*AK674/1000000)*(VLOOKUP(N674,FCST!D:I,6,FALSE))</f>
        <v>0</v>
      </c>
      <c r="AX674" s="239">
        <f t="shared" si="93"/>
        <v>0</v>
      </c>
      <c r="AY674" s="239">
        <f>IF($G674="CERVECERIA Y MALTERIA.",($AS674*$AK674/1000000)*(1-VLOOKUP($N674,FCST!D:I,6,FALSE)),0)</f>
        <v>0</v>
      </c>
      <c r="AZ674" s="239">
        <f t="shared" si="94"/>
        <v>0</v>
      </c>
    </row>
    <row r="675" spans="1:52" x14ac:dyDescent="0.25">
      <c r="A675" s="209">
        <v>1098754</v>
      </c>
      <c r="B675" s="209">
        <v>60</v>
      </c>
      <c r="C675" s="209" t="s">
        <v>1475</v>
      </c>
      <c r="D675" s="209">
        <v>10</v>
      </c>
      <c r="E675" s="209">
        <v>10000002</v>
      </c>
      <c r="F675" s="209">
        <v>20000335</v>
      </c>
      <c r="G675" s="209" t="s">
        <v>105</v>
      </c>
      <c r="H675" s="209">
        <v>20000335</v>
      </c>
      <c r="I675" s="209">
        <v>2</v>
      </c>
      <c r="J675" s="209" t="s">
        <v>169</v>
      </c>
      <c r="K675" s="209" t="s">
        <v>1476</v>
      </c>
      <c r="L675" s="209" t="s">
        <v>171</v>
      </c>
      <c r="M675" s="209" t="s">
        <v>199</v>
      </c>
      <c r="N675" s="209">
        <v>50035183</v>
      </c>
      <c r="O675" s="209" t="s">
        <v>215</v>
      </c>
      <c r="P675" s="209">
        <v>5121</v>
      </c>
      <c r="Q675" s="209" t="s">
        <v>200</v>
      </c>
      <c r="R675" s="209" t="s">
        <v>201</v>
      </c>
      <c r="S675" s="209" t="s">
        <v>202</v>
      </c>
      <c r="T675" s="209" t="s">
        <v>203</v>
      </c>
      <c r="U675" s="209" t="s">
        <v>201</v>
      </c>
      <c r="V675" s="209" t="s">
        <v>179</v>
      </c>
      <c r="W675" s="209" t="s">
        <v>179</v>
      </c>
      <c r="X675" s="209" t="s">
        <v>180</v>
      </c>
      <c r="Y675" s="209" t="s">
        <v>180</v>
      </c>
      <c r="Z675" s="209" t="s">
        <v>1415</v>
      </c>
      <c r="AA675" s="209" t="s">
        <v>1416</v>
      </c>
      <c r="AB675" s="209" t="s">
        <v>180</v>
      </c>
      <c r="AC675" s="209" t="s">
        <v>182</v>
      </c>
      <c r="AD675" s="209">
        <v>2</v>
      </c>
      <c r="AE675" s="209">
        <v>2025</v>
      </c>
      <c r="AF675" s="227">
        <v>45687</v>
      </c>
      <c r="AG675" s="227">
        <v>45693</v>
      </c>
      <c r="AH675" s="227">
        <v>45693</v>
      </c>
      <c r="AI675" s="228">
        <v>426816</v>
      </c>
      <c r="AJ675" s="228">
        <v>52</v>
      </c>
      <c r="AK675" s="228">
        <v>426816</v>
      </c>
      <c r="AL675" s="228">
        <v>52</v>
      </c>
      <c r="AM675" s="228">
        <v>0</v>
      </c>
      <c r="AN675" s="228">
        <v>0</v>
      </c>
      <c r="AO675" s="229">
        <v>6</v>
      </c>
      <c r="AP675" s="231">
        <v>2</v>
      </c>
      <c r="AQ675" s="231">
        <v>2025</v>
      </c>
      <c r="AR675" s="231" t="str">
        <f t="shared" si="90"/>
        <v>02/2025</v>
      </c>
      <c r="AS675" s="231">
        <f t="shared" si="91"/>
        <v>46.6</v>
      </c>
      <c r="AT675" s="239">
        <f>IF(G675="CERVECERIA Y MALTERIA",(AS675*AK675/1000000)*(1-VLOOKUP(N675,FCST!D:I,6,FALSE)),0)</f>
        <v>19.889625600000002</v>
      </c>
      <c r="AU675" s="232">
        <v>5.0000000000000001E-3</v>
      </c>
      <c r="AV675" s="239">
        <f t="shared" si="92"/>
        <v>19.989073728000001</v>
      </c>
      <c r="AW675" s="239">
        <f>(AS675*AK675/1000000)*(VLOOKUP(N675,FCST!D:I,6,FALSE))</f>
        <v>0</v>
      </c>
      <c r="AX675" s="239">
        <f t="shared" si="93"/>
        <v>0</v>
      </c>
      <c r="AY675" s="239">
        <f>IF($G675="CERVECERIA Y MALTERIA.",($AS675*$AK675/1000000)*(1-VLOOKUP($N675,FCST!D:I,6,FALSE)),0)</f>
        <v>0</v>
      </c>
      <c r="AZ675" s="239">
        <f t="shared" si="94"/>
        <v>0</v>
      </c>
    </row>
    <row r="676" spans="1:52" x14ac:dyDescent="0.25">
      <c r="A676" s="209">
        <v>1098889</v>
      </c>
      <c r="B676" s="209">
        <v>10</v>
      </c>
      <c r="C676" s="209" t="s">
        <v>1477</v>
      </c>
      <c r="D676" s="209">
        <v>10</v>
      </c>
      <c r="E676" s="209">
        <v>10000002</v>
      </c>
      <c r="F676" s="209">
        <v>20000339</v>
      </c>
      <c r="G676" s="209" t="s">
        <v>105</v>
      </c>
      <c r="H676" s="209">
        <v>20000339</v>
      </c>
      <c r="I676" s="209">
        <v>2</v>
      </c>
      <c r="J676" s="209" t="s">
        <v>169</v>
      </c>
      <c r="K676" s="209" t="s">
        <v>1478</v>
      </c>
      <c r="L676" s="209" t="s">
        <v>171</v>
      </c>
      <c r="M676" s="209" t="s">
        <v>227</v>
      </c>
      <c r="N676" s="209">
        <v>50034634</v>
      </c>
      <c r="O676" s="209" t="s">
        <v>219</v>
      </c>
      <c r="P676" s="209">
        <v>5121</v>
      </c>
      <c r="Q676" s="209" t="s">
        <v>228</v>
      </c>
      <c r="R676" s="209" t="s">
        <v>229</v>
      </c>
      <c r="S676" s="209" t="s">
        <v>230</v>
      </c>
      <c r="T676" s="209" t="s">
        <v>231</v>
      </c>
      <c r="U676" s="209" t="s">
        <v>232</v>
      </c>
      <c r="V676" s="209" t="s">
        <v>179</v>
      </c>
      <c r="W676" s="209" t="s">
        <v>179</v>
      </c>
      <c r="X676" s="209" t="s">
        <v>180</v>
      </c>
      <c r="Y676" s="209" t="s">
        <v>180</v>
      </c>
      <c r="Z676" s="209" t="s">
        <v>1479</v>
      </c>
      <c r="AA676" s="209" t="s">
        <v>1480</v>
      </c>
      <c r="AB676" s="209" t="s">
        <v>180</v>
      </c>
      <c r="AC676" s="209" t="s">
        <v>182</v>
      </c>
      <c r="AD676" s="209">
        <v>2</v>
      </c>
      <c r="AE676" s="209">
        <v>2025</v>
      </c>
      <c r="AF676" s="227">
        <v>45688</v>
      </c>
      <c r="AG676" s="227">
        <v>45693</v>
      </c>
      <c r="AH676" s="227">
        <v>45693</v>
      </c>
      <c r="AI676" s="228">
        <v>91104</v>
      </c>
      <c r="AJ676" s="228">
        <v>13</v>
      </c>
      <c r="AK676" s="228">
        <v>91104</v>
      </c>
      <c r="AL676" s="228">
        <v>13</v>
      </c>
      <c r="AM676" s="228">
        <v>0</v>
      </c>
      <c r="AN676" s="228">
        <v>0</v>
      </c>
      <c r="AO676" s="229">
        <v>6</v>
      </c>
      <c r="AP676" s="231">
        <v>2</v>
      </c>
      <c r="AQ676" s="231">
        <v>2025</v>
      </c>
      <c r="AR676" s="231" t="str">
        <f t="shared" si="90"/>
        <v>02/2025</v>
      </c>
      <c r="AS676" s="231">
        <f t="shared" si="91"/>
        <v>52</v>
      </c>
      <c r="AT676" s="239">
        <f>IF(G676="CERVECERIA Y MALTERIA",(AS676*AK676/1000000)*(1-VLOOKUP(N676,FCST!D:I,6,FALSE)),0)</f>
        <v>4.7374080000000003</v>
      </c>
      <c r="AU676" s="232">
        <v>5.0000000000000001E-3</v>
      </c>
      <c r="AV676" s="239">
        <f t="shared" si="92"/>
        <v>4.7610950399999998</v>
      </c>
      <c r="AW676" s="239">
        <f>(AS676*AK676/1000000)*(VLOOKUP(N676,FCST!D:I,6,FALSE))</f>
        <v>0</v>
      </c>
      <c r="AX676" s="239">
        <f t="shared" si="93"/>
        <v>0</v>
      </c>
      <c r="AY676" s="239">
        <f>IF($G676="CERVECERIA Y MALTERIA.",($AS676*$AK676/1000000)*(1-VLOOKUP($N676,FCST!D:I,6,FALSE)),0)</f>
        <v>0</v>
      </c>
      <c r="AZ676" s="239">
        <f t="shared" si="94"/>
        <v>0</v>
      </c>
    </row>
    <row r="677" spans="1:52" x14ac:dyDescent="0.25">
      <c r="A677" s="209">
        <v>1098754</v>
      </c>
      <c r="B677" s="209">
        <v>130</v>
      </c>
      <c r="C677" s="209" t="s">
        <v>1481</v>
      </c>
      <c r="D677" s="209">
        <v>10</v>
      </c>
      <c r="E677" s="209">
        <v>10000002</v>
      </c>
      <c r="F677" s="209">
        <v>20000335</v>
      </c>
      <c r="G677" s="209" t="s">
        <v>105</v>
      </c>
      <c r="H677" s="209">
        <v>20000335</v>
      </c>
      <c r="I677" s="209">
        <v>2</v>
      </c>
      <c r="J677" s="209" t="s">
        <v>169</v>
      </c>
      <c r="K677" s="209" t="s">
        <v>1482</v>
      </c>
      <c r="L677" s="209" t="s">
        <v>171</v>
      </c>
      <c r="M677" s="209" t="s">
        <v>184</v>
      </c>
      <c r="N677" s="209">
        <v>50032583</v>
      </c>
      <c r="O677" s="209" t="s">
        <v>205</v>
      </c>
      <c r="P677" s="209">
        <v>5121</v>
      </c>
      <c r="Q677" s="209" t="s">
        <v>174</v>
      </c>
      <c r="R677" s="209" t="s">
        <v>175</v>
      </c>
      <c r="S677" s="209" t="s">
        <v>176</v>
      </c>
      <c r="T677" s="209" t="s">
        <v>177</v>
      </c>
      <c r="U677" s="209" t="s">
        <v>178</v>
      </c>
      <c r="V677" s="209" t="s">
        <v>179</v>
      </c>
      <c r="W677" s="209" t="s">
        <v>179</v>
      </c>
      <c r="X677" s="209" t="s">
        <v>180</v>
      </c>
      <c r="Y677" s="209" t="s">
        <v>180</v>
      </c>
      <c r="Z677" s="209" t="s">
        <v>1483</v>
      </c>
      <c r="AA677" s="209" t="s">
        <v>1484</v>
      </c>
      <c r="AB677" s="209" t="s">
        <v>180</v>
      </c>
      <c r="AC677" s="209" t="s">
        <v>182</v>
      </c>
      <c r="AD677" s="209">
        <v>2</v>
      </c>
      <c r="AE677" s="209">
        <v>2025</v>
      </c>
      <c r="AF677" s="227">
        <v>45687</v>
      </c>
      <c r="AG677" s="227">
        <v>45693</v>
      </c>
      <c r="AH677" s="227">
        <v>45693</v>
      </c>
      <c r="AI677" s="228">
        <v>351936</v>
      </c>
      <c r="AJ677" s="228">
        <v>52</v>
      </c>
      <c r="AK677" s="228">
        <v>351936</v>
      </c>
      <c r="AL677" s="228">
        <v>52</v>
      </c>
      <c r="AM677" s="228">
        <v>0</v>
      </c>
      <c r="AN677" s="228">
        <v>0</v>
      </c>
      <c r="AO677" s="229">
        <v>6</v>
      </c>
      <c r="AP677" s="231">
        <v>2</v>
      </c>
      <c r="AQ677" s="231">
        <v>2025</v>
      </c>
      <c r="AR677" s="231" t="str">
        <f t="shared" si="90"/>
        <v>02/2025</v>
      </c>
      <c r="AS677" s="231">
        <f t="shared" si="91"/>
        <v>54.7</v>
      </c>
      <c r="AT677" s="239">
        <f>IF(G677="CERVECERIA Y MALTERIA",(AS677*AK677/1000000)*(1-VLOOKUP(N677,FCST!D:I,6,FALSE)),0)</f>
        <v>19.250899199999999</v>
      </c>
      <c r="AU677" s="232">
        <v>5.0000000000000001E-3</v>
      </c>
      <c r="AV677" s="239">
        <f t="shared" si="92"/>
        <v>19.347153695999996</v>
      </c>
      <c r="AW677" s="239">
        <f>(AS677*AK677/1000000)*(VLOOKUP(N677,FCST!D:I,6,FALSE))</f>
        <v>0</v>
      </c>
      <c r="AX677" s="239">
        <f t="shared" si="93"/>
        <v>0</v>
      </c>
      <c r="AY677" s="239">
        <f>IF($G677="CERVECERIA Y MALTERIA.",($AS677*$AK677/1000000)*(1-VLOOKUP($N677,FCST!D:I,6,FALSE)),0)</f>
        <v>0</v>
      </c>
      <c r="AZ677" s="239">
        <f t="shared" si="94"/>
        <v>0</v>
      </c>
    </row>
    <row r="678" spans="1:52" x14ac:dyDescent="0.25">
      <c r="A678" s="209">
        <v>1096255</v>
      </c>
      <c r="B678" s="209">
        <v>80</v>
      </c>
      <c r="C678" s="209" t="s">
        <v>1485</v>
      </c>
      <c r="D678" s="209">
        <v>10</v>
      </c>
      <c r="E678" s="209">
        <v>10000002</v>
      </c>
      <c r="F678" s="209">
        <v>20001057</v>
      </c>
      <c r="G678" s="209" t="s">
        <v>105</v>
      </c>
      <c r="H678" s="209">
        <v>20001057</v>
      </c>
      <c r="I678" s="209">
        <v>2</v>
      </c>
      <c r="J678" s="209" t="s">
        <v>169</v>
      </c>
      <c r="K678" s="209" t="s">
        <v>1486</v>
      </c>
      <c r="L678" s="209" t="s">
        <v>171</v>
      </c>
      <c r="M678" s="209" t="s">
        <v>199</v>
      </c>
      <c r="N678" s="209">
        <v>50035184</v>
      </c>
      <c r="O678" s="209" t="s">
        <v>672</v>
      </c>
      <c r="P678" s="209">
        <v>5121</v>
      </c>
      <c r="Q678" s="209" t="s">
        <v>200</v>
      </c>
      <c r="R678" s="209" t="s">
        <v>201</v>
      </c>
      <c r="S678" s="209" t="s">
        <v>202</v>
      </c>
      <c r="T678" s="209" t="s">
        <v>203</v>
      </c>
      <c r="U678" s="209" t="s">
        <v>201</v>
      </c>
      <c r="V678" s="209" t="s">
        <v>179</v>
      </c>
      <c r="W678" s="209" t="s">
        <v>179</v>
      </c>
      <c r="X678" s="209" t="s">
        <v>180</v>
      </c>
      <c r="Y678" s="209" t="s">
        <v>180</v>
      </c>
      <c r="Z678" s="209" t="s">
        <v>1487</v>
      </c>
      <c r="AA678" s="209" t="s">
        <v>1488</v>
      </c>
      <c r="AB678" s="209" t="s">
        <v>180</v>
      </c>
      <c r="AC678" s="209" t="s">
        <v>182</v>
      </c>
      <c r="AD678" s="209">
        <v>1</v>
      </c>
      <c r="AE678" s="209">
        <v>2025</v>
      </c>
      <c r="AF678" s="227">
        <v>45673</v>
      </c>
      <c r="AG678" s="227">
        <v>45692</v>
      </c>
      <c r="AH678" s="227">
        <v>45692</v>
      </c>
      <c r="AI678" s="228">
        <v>977184</v>
      </c>
      <c r="AJ678" s="228">
        <v>52</v>
      </c>
      <c r="AK678" s="228">
        <v>977184</v>
      </c>
      <c r="AL678" s="228">
        <v>52</v>
      </c>
      <c r="AM678" s="228">
        <v>0</v>
      </c>
      <c r="AN678" s="228">
        <v>0</v>
      </c>
      <c r="AO678" s="229">
        <v>3</v>
      </c>
      <c r="AP678" s="231">
        <v>2</v>
      </c>
      <c r="AQ678" s="231">
        <v>2025</v>
      </c>
      <c r="AR678" s="231" t="str">
        <f t="shared" si="90"/>
        <v>02/2025</v>
      </c>
      <c r="AS678" s="231">
        <f t="shared" si="91"/>
        <v>19.5</v>
      </c>
      <c r="AT678" s="239">
        <f>IF(G678="CERVECERIA Y MALTERIA",(AS678*AK678/1000000)*(1-VLOOKUP(N678,FCST!D:I,6,FALSE)),0)</f>
        <v>19.055088000000001</v>
      </c>
      <c r="AU678" s="232">
        <v>5.0000000000000001E-3</v>
      </c>
      <c r="AV678" s="239">
        <f t="shared" si="92"/>
        <v>19.15036344</v>
      </c>
      <c r="AW678" s="239">
        <f>(AS678*AK678/1000000)*(VLOOKUP(N678,FCST!D:I,6,FALSE))</f>
        <v>0</v>
      </c>
      <c r="AX678" s="239">
        <f t="shared" si="93"/>
        <v>0</v>
      </c>
      <c r="AY678" s="239">
        <f>IF($G678="CERVECERIA Y MALTERIA.",($AS678*$AK678/1000000)*(1-VLOOKUP($N678,FCST!D:I,6,FALSE)),0)</f>
        <v>0</v>
      </c>
      <c r="AZ678" s="239">
        <f t="shared" si="94"/>
        <v>0</v>
      </c>
    </row>
    <row r="679" spans="1:52" x14ac:dyDescent="0.25">
      <c r="A679" s="209">
        <v>1098754</v>
      </c>
      <c r="B679" s="209">
        <v>30</v>
      </c>
      <c r="C679" s="209" t="s">
        <v>1489</v>
      </c>
      <c r="D679" s="209">
        <v>10</v>
      </c>
      <c r="E679" s="209">
        <v>10000002</v>
      </c>
      <c r="F679" s="209">
        <v>20000335</v>
      </c>
      <c r="G679" s="209" t="s">
        <v>105</v>
      </c>
      <c r="H679" s="209">
        <v>20000335</v>
      </c>
      <c r="I679" s="209">
        <v>2</v>
      </c>
      <c r="J679" s="209" t="s">
        <v>169</v>
      </c>
      <c r="K679" s="209" t="s">
        <v>1490</v>
      </c>
      <c r="L679" s="209" t="s">
        <v>171</v>
      </c>
      <c r="M679" s="209" t="s">
        <v>184</v>
      </c>
      <c r="N679" s="209">
        <v>50035184</v>
      </c>
      <c r="O679" s="209" t="s">
        <v>672</v>
      </c>
      <c r="P679" s="209">
        <v>5121</v>
      </c>
      <c r="Q679" s="209" t="s">
        <v>174</v>
      </c>
      <c r="R679" s="209" t="s">
        <v>175</v>
      </c>
      <c r="S679" s="209" t="s">
        <v>176</v>
      </c>
      <c r="T679" s="209" t="s">
        <v>177</v>
      </c>
      <c r="U679" s="209" t="s">
        <v>178</v>
      </c>
      <c r="V679" s="209" t="s">
        <v>179</v>
      </c>
      <c r="W679" s="209" t="s">
        <v>179</v>
      </c>
      <c r="X679" s="209" t="s">
        <v>180</v>
      </c>
      <c r="Y679" s="209" t="s">
        <v>180</v>
      </c>
      <c r="Z679" s="209" t="s">
        <v>1433</v>
      </c>
      <c r="AA679" s="209" t="s">
        <v>1434</v>
      </c>
      <c r="AB679" s="209" t="s">
        <v>180</v>
      </c>
      <c r="AC679" s="209" t="s">
        <v>182</v>
      </c>
      <c r="AD679" s="209">
        <v>2</v>
      </c>
      <c r="AE679" s="209">
        <v>2025</v>
      </c>
      <c r="AF679" s="227">
        <v>45687</v>
      </c>
      <c r="AG679" s="227">
        <v>45692</v>
      </c>
      <c r="AH679" s="227">
        <v>45692</v>
      </c>
      <c r="AI679" s="228">
        <v>977184</v>
      </c>
      <c r="AJ679" s="228">
        <v>52</v>
      </c>
      <c r="AK679" s="228">
        <v>977184</v>
      </c>
      <c r="AL679" s="228">
        <v>52</v>
      </c>
      <c r="AM679" s="228">
        <v>0</v>
      </c>
      <c r="AN679" s="228">
        <v>0</v>
      </c>
      <c r="AO679" s="229">
        <v>6</v>
      </c>
      <c r="AP679" s="231">
        <v>2</v>
      </c>
      <c r="AQ679" s="231">
        <v>2025</v>
      </c>
      <c r="AR679" s="231" t="str">
        <f t="shared" si="90"/>
        <v>02/2025</v>
      </c>
      <c r="AS679" s="231">
        <f t="shared" si="91"/>
        <v>19.5</v>
      </c>
      <c r="AT679" s="239">
        <f>IF(G679="CERVECERIA Y MALTERIA",(AS679*AK679/1000000)*(1-VLOOKUP(N679,FCST!D:I,6,FALSE)),0)</f>
        <v>19.055088000000001</v>
      </c>
      <c r="AU679" s="232">
        <v>5.0000000000000001E-3</v>
      </c>
      <c r="AV679" s="239">
        <f t="shared" si="92"/>
        <v>19.15036344</v>
      </c>
      <c r="AW679" s="239">
        <f>(AS679*AK679/1000000)*(VLOOKUP(N679,FCST!D:I,6,FALSE))</f>
        <v>0</v>
      </c>
      <c r="AX679" s="239">
        <f t="shared" si="93"/>
        <v>0</v>
      </c>
      <c r="AY679" s="239">
        <f>IF($G679="CERVECERIA Y MALTERIA.",($AS679*$AK679/1000000)*(1-VLOOKUP($N679,FCST!D:I,6,FALSE)),0)</f>
        <v>0</v>
      </c>
      <c r="AZ679" s="239">
        <f t="shared" si="94"/>
        <v>0</v>
      </c>
    </row>
    <row r="680" spans="1:52" x14ac:dyDescent="0.25">
      <c r="A680" s="209">
        <v>1098754</v>
      </c>
      <c r="B680" s="209">
        <v>40</v>
      </c>
      <c r="C680" s="209" t="s">
        <v>1491</v>
      </c>
      <c r="D680" s="209">
        <v>10</v>
      </c>
      <c r="E680" s="209">
        <v>10000002</v>
      </c>
      <c r="F680" s="209">
        <v>20000335</v>
      </c>
      <c r="G680" s="209" t="s">
        <v>105</v>
      </c>
      <c r="H680" s="209">
        <v>20000335</v>
      </c>
      <c r="I680" s="209">
        <v>2</v>
      </c>
      <c r="J680" s="209" t="s">
        <v>169</v>
      </c>
      <c r="K680" s="209" t="s">
        <v>1492</v>
      </c>
      <c r="L680" s="209" t="s">
        <v>171</v>
      </c>
      <c r="M680" s="209" t="s">
        <v>199</v>
      </c>
      <c r="N680" s="209">
        <v>50037887</v>
      </c>
      <c r="O680" s="209" t="s">
        <v>679</v>
      </c>
      <c r="P680" s="209">
        <v>5121</v>
      </c>
      <c r="Q680" s="209" t="s">
        <v>200</v>
      </c>
      <c r="R680" s="209" t="s">
        <v>201</v>
      </c>
      <c r="S680" s="209" t="s">
        <v>202</v>
      </c>
      <c r="T680" s="209" t="s">
        <v>203</v>
      </c>
      <c r="U680" s="209" t="s">
        <v>201</v>
      </c>
      <c r="V680" s="209" t="s">
        <v>179</v>
      </c>
      <c r="W680" s="209" t="s">
        <v>179</v>
      </c>
      <c r="X680" s="209" t="s">
        <v>180</v>
      </c>
      <c r="Y680" s="209" t="s">
        <v>180</v>
      </c>
      <c r="Z680" s="209" t="s">
        <v>1423</v>
      </c>
      <c r="AA680" s="209" t="s">
        <v>1424</v>
      </c>
      <c r="AB680" s="209" t="s">
        <v>180</v>
      </c>
      <c r="AC680" s="209" t="s">
        <v>182</v>
      </c>
      <c r="AD680" s="209">
        <v>2</v>
      </c>
      <c r="AE680" s="209">
        <v>2025</v>
      </c>
      <c r="AF680" s="227">
        <v>45687</v>
      </c>
      <c r="AG680" s="227">
        <v>45692</v>
      </c>
      <c r="AH680" s="227">
        <v>45692</v>
      </c>
      <c r="AI680" s="228">
        <v>531648</v>
      </c>
      <c r="AJ680" s="228">
        <v>52</v>
      </c>
      <c r="AK680" s="228">
        <v>531648</v>
      </c>
      <c r="AL680" s="228">
        <v>52</v>
      </c>
      <c r="AM680" s="228">
        <v>0</v>
      </c>
      <c r="AN680" s="228">
        <v>0</v>
      </c>
      <c r="AO680" s="229">
        <v>6</v>
      </c>
      <c r="AP680" s="231">
        <v>2</v>
      </c>
      <c r="AQ680" s="231">
        <v>2025</v>
      </c>
      <c r="AR680" s="231" t="str">
        <f t="shared" si="90"/>
        <v>02/2025</v>
      </c>
      <c r="AS680" s="231">
        <f t="shared" si="91"/>
        <v>37.200000000000003</v>
      </c>
      <c r="AT680" s="239">
        <f>IF(G680="CERVECERIA Y MALTERIA",(AS680*AK680/1000000)*(1-VLOOKUP(N680,FCST!D:I,6,FALSE)),0)</f>
        <v>19.777305600000002</v>
      </c>
      <c r="AU680" s="232">
        <v>5.0000000000000001E-3</v>
      </c>
      <c r="AV680" s="239">
        <f t="shared" si="92"/>
        <v>19.876192128</v>
      </c>
      <c r="AW680" s="239">
        <f>(AS680*AK680/1000000)*(VLOOKUP(N680,FCST!D:I,6,FALSE))</f>
        <v>0</v>
      </c>
      <c r="AX680" s="239">
        <f t="shared" si="93"/>
        <v>0</v>
      </c>
      <c r="AY680" s="239">
        <f>IF($G680="CERVECERIA Y MALTERIA.",($AS680*$AK680/1000000)*(1-VLOOKUP($N680,FCST!D:I,6,FALSE)),0)</f>
        <v>0</v>
      </c>
      <c r="AZ680" s="239">
        <f t="shared" si="94"/>
        <v>0</v>
      </c>
    </row>
    <row r="681" spans="1:52" x14ac:dyDescent="0.25">
      <c r="A681" s="209">
        <v>1101244</v>
      </c>
      <c r="B681" s="209">
        <v>30</v>
      </c>
      <c r="C681" s="209" t="s">
        <v>1493</v>
      </c>
      <c r="D681" s="209">
        <v>20</v>
      </c>
      <c r="E681" s="209">
        <v>10000002</v>
      </c>
      <c r="F681" s="209">
        <v>20000339</v>
      </c>
      <c r="G681" s="209" t="s">
        <v>105</v>
      </c>
      <c r="H681" s="209">
        <v>20000339</v>
      </c>
      <c r="I681" s="209">
        <v>2</v>
      </c>
      <c r="J681" s="209" t="s">
        <v>169</v>
      </c>
      <c r="K681" s="209" t="s">
        <v>1494</v>
      </c>
      <c r="L681" s="209" t="s">
        <v>171</v>
      </c>
      <c r="M681" s="209" t="s">
        <v>184</v>
      </c>
      <c r="N681" s="209">
        <v>50034245</v>
      </c>
      <c r="O681" s="209" t="s">
        <v>591</v>
      </c>
      <c r="P681" s="209">
        <v>5101</v>
      </c>
      <c r="Q681" s="209" t="s">
        <v>186</v>
      </c>
      <c r="R681" s="209" t="s">
        <v>175</v>
      </c>
      <c r="S681" s="209" t="s">
        <v>176</v>
      </c>
      <c r="T681" s="209" t="s">
        <v>187</v>
      </c>
      <c r="U681" s="209" t="s">
        <v>188</v>
      </c>
      <c r="V681" s="209" t="s">
        <v>179</v>
      </c>
      <c r="W681" s="209" t="s">
        <v>179</v>
      </c>
      <c r="X681" s="209" t="s">
        <v>180</v>
      </c>
      <c r="Y681" s="209" t="s">
        <v>180</v>
      </c>
      <c r="Z681" s="209" t="s">
        <v>1495</v>
      </c>
      <c r="AA681" s="209" t="s">
        <v>1496</v>
      </c>
      <c r="AB681" s="209" t="s">
        <v>180</v>
      </c>
      <c r="AC681" s="209" t="s">
        <v>182</v>
      </c>
      <c r="AD681" s="209">
        <v>2</v>
      </c>
      <c r="AE681" s="209">
        <v>2025</v>
      </c>
      <c r="AF681" s="227">
        <v>45700</v>
      </c>
      <c r="AG681" s="227">
        <v>45702</v>
      </c>
      <c r="AH681" s="227">
        <v>45702</v>
      </c>
      <c r="AI681" s="228">
        <v>14304</v>
      </c>
      <c r="AJ681" s="228">
        <v>1</v>
      </c>
      <c r="AK681" s="228">
        <v>14304</v>
      </c>
      <c r="AL681" s="228">
        <v>1</v>
      </c>
      <c r="AM681" s="228">
        <v>0</v>
      </c>
      <c r="AN681" s="228">
        <v>0</v>
      </c>
      <c r="AO681" s="229">
        <v>7</v>
      </c>
      <c r="AP681" s="231">
        <v>2</v>
      </c>
      <c r="AQ681" s="231">
        <v>2025</v>
      </c>
      <c r="AR681" s="231" t="str">
        <f t="shared" si="90"/>
        <v>02/2025</v>
      </c>
      <c r="AS681" s="231">
        <f t="shared" si="91"/>
        <v>25</v>
      </c>
      <c r="AT681" s="239">
        <f>IF(G681="CERVECERIA Y MALTERIA",(AS681*AK681/1000000)*(1-VLOOKUP(N681,FCST!D:I,6,FALSE)),0)</f>
        <v>0</v>
      </c>
      <c r="AU681" s="232">
        <v>5.0000000000000001E-3</v>
      </c>
      <c r="AV681" s="239">
        <f t="shared" si="92"/>
        <v>0</v>
      </c>
      <c r="AW681" s="239">
        <f>(AS681*AK681/1000000)*(VLOOKUP(N681,FCST!D:I,6,FALSE))</f>
        <v>0.35759999999999997</v>
      </c>
      <c r="AX681" s="239">
        <f t="shared" si="93"/>
        <v>0.35938799999999993</v>
      </c>
      <c r="AY681" s="239">
        <f>IF($G681="CERVECERIA Y MALTERIA.",($AS681*$AK681/1000000)*(1-VLOOKUP($N681,FCST!D:I,6,FALSE)),0)</f>
        <v>0</v>
      </c>
      <c r="AZ681" s="239">
        <f t="shared" si="94"/>
        <v>0</v>
      </c>
    </row>
    <row r="682" spans="1:52" x14ac:dyDescent="0.25">
      <c r="A682" s="209">
        <v>1101244</v>
      </c>
      <c r="B682" s="209">
        <v>20</v>
      </c>
      <c r="C682" s="209" t="s">
        <v>1493</v>
      </c>
      <c r="D682" s="209">
        <v>10</v>
      </c>
      <c r="E682" s="209">
        <v>10000002</v>
      </c>
      <c r="F682" s="209">
        <v>20000339</v>
      </c>
      <c r="G682" s="209" t="s">
        <v>105</v>
      </c>
      <c r="H682" s="209">
        <v>20000339</v>
      </c>
      <c r="I682" s="209">
        <v>2</v>
      </c>
      <c r="J682" s="209" t="s">
        <v>169</v>
      </c>
      <c r="K682" s="209" t="s">
        <v>1494</v>
      </c>
      <c r="L682" s="209" t="s">
        <v>171</v>
      </c>
      <c r="M682" s="209" t="s">
        <v>184</v>
      </c>
      <c r="N682" s="209">
        <v>50034577</v>
      </c>
      <c r="O682" s="209" t="s">
        <v>237</v>
      </c>
      <c r="P682" s="209">
        <v>5101</v>
      </c>
      <c r="Q682" s="209" t="s">
        <v>186</v>
      </c>
      <c r="R682" s="209" t="s">
        <v>175</v>
      </c>
      <c r="S682" s="209" t="s">
        <v>176</v>
      </c>
      <c r="T682" s="209" t="s">
        <v>187</v>
      </c>
      <c r="U682" s="209" t="s">
        <v>188</v>
      </c>
      <c r="V682" s="209" t="s">
        <v>179</v>
      </c>
      <c r="W682" s="209" t="s">
        <v>179</v>
      </c>
      <c r="X682" s="209" t="s">
        <v>180</v>
      </c>
      <c r="Y682" s="209" t="s">
        <v>180</v>
      </c>
      <c r="Z682" s="209" t="s">
        <v>1495</v>
      </c>
      <c r="AA682" s="209" t="s">
        <v>1496</v>
      </c>
      <c r="AB682" s="209" t="s">
        <v>180</v>
      </c>
      <c r="AC682" s="209" t="s">
        <v>182</v>
      </c>
      <c r="AD682" s="209">
        <v>2</v>
      </c>
      <c r="AE682" s="209">
        <v>2025</v>
      </c>
      <c r="AF682" s="227">
        <v>45700</v>
      </c>
      <c r="AG682" s="227">
        <v>45702</v>
      </c>
      <c r="AH682" s="227">
        <v>45702</v>
      </c>
      <c r="AI682" s="228">
        <v>429120</v>
      </c>
      <c r="AJ682" s="228">
        <v>30</v>
      </c>
      <c r="AK682" s="228">
        <v>443424</v>
      </c>
      <c r="AL682" s="228">
        <v>31</v>
      </c>
      <c r="AM682" s="228">
        <v>0</v>
      </c>
      <c r="AN682" s="228">
        <v>0</v>
      </c>
      <c r="AO682" s="229">
        <v>7</v>
      </c>
      <c r="AP682" s="231">
        <v>2</v>
      </c>
      <c r="AQ682" s="231">
        <v>2025</v>
      </c>
      <c r="AR682" s="231" t="str">
        <f t="shared" si="90"/>
        <v>02/2025</v>
      </c>
      <c r="AS682" s="231">
        <f t="shared" si="91"/>
        <v>25</v>
      </c>
      <c r="AT682" s="239">
        <f>IF(G682="CERVECERIA Y MALTERIA",(AS682*AK682/1000000)*(1-VLOOKUP(N682,FCST!D:I,6,FALSE)),0)</f>
        <v>11.085599999999999</v>
      </c>
      <c r="AU682" s="232">
        <v>5.0000000000000001E-3</v>
      </c>
      <c r="AV682" s="239">
        <f t="shared" si="92"/>
        <v>11.141027999999999</v>
      </c>
      <c r="AW682" s="239">
        <f>(AS682*AK682/1000000)*(VLOOKUP(N682,FCST!D:I,6,FALSE))</f>
        <v>0</v>
      </c>
      <c r="AX682" s="239">
        <f t="shared" si="93"/>
        <v>0</v>
      </c>
      <c r="AY682" s="239">
        <f>IF($G682="CERVECERIA Y MALTERIA.",($AS682*$AK682/1000000)*(1-VLOOKUP($N682,FCST!D:I,6,FALSE)),0)</f>
        <v>0</v>
      </c>
      <c r="AZ682" s="239">
        <f t="shared" si="94"/>
        <v>0</v>
      </c>
    </row>
    <row r="683" spans="1:52" x14ac:dyDescent="0.25">
      <c r="A683" s="209">
        <v>1100264</v>
      </c>
      <c r="B683" s="209">
        <v>60</v>
      </c>
      <c r="C683" s="209" t="s">
        <v>1497</v>
      </c>
      <c r="D683" s="209">
        <v>10</v>
      </c>
      <c r="E683" s="209">
        <v>10000002</v>
      </c>
      <c r="F683" s="209">
        <v>20001057</v>
      </c>
      <c r="G683" s="209" t="s">
        <v>105</v>
      </c>
      <c r="H683" s="209">
        <v>20001057</v>
      </c>
      <c r="I683" s="209">
        <v>2</v>
      </c>
      <c r="J683" s="209" t="s">
        <v>169</v>
      </c>
      <c r="K683" s="209" t="s">
        <v>1498</v>
      </c>
      <c r="L683" s="209" t="s">
        <v>265</v>
      </c>
      <c r="M683" s="209" t="s">
        <v>184</v>
      </c>
      <c r="N683" s="209">
        <v>50037887</v>
      </c>
      <c r="O683" s="209" t="s">
        <v>679</v>
      </c>
      <c r="P683" s="209">
        <v>5121</v>
      </c>
      <c r="Q683" s="209" t="s">
        <v>174</v>
      </c>
      <c r="R683" s="209" t="s">
        <v>175</v>
      </c>
      <c r="S683" s="209" t="s">
        <v>176</v>
      </c>
      <c r="T683" s="209" t="s">
        <v>177</v>
      </c>
      <c r="U683" s="209" t="s">
        <v>178</v>
      </c>
      <c r="V683" s="209" t="s">
        <v>179</v>
      </c>
      <c r="W683" s="209" t="s">
        <v>179</v>
      </c>
      <c r="X683" s="209" t="s">
        <v>180</v>
      </c>
      <c r="Y683" s="209" t="s">
        <v>180</v>
      </c>
      <c r="Z683" s="209" t="s">
        <v>1499</v>
      </c>
      <c r="AA683" s="209" t="s">
        <v>1500</v>
      </c>
      <c r="AB683" s="209" t="s">
        <v>180</v>
      </c>
      <c r="AC683" s="209" t="s">
        <v>182</v>
      </c>
      <c r="AD683" s="209">
        <v>2</v>
      </c>
      <c r="AE683" s="209">
        <v>2025</v>
      </c>
      <c r="AF683" s="227">
        <v>45695</v>
      </c>
      <c r="AG683" s="227">
        <v>45702</v>
      </c>
      <c r="AH683" s="227">
        <v>45702</v>
      </c>
      <c r="AI683" s="228">
        <v>531648</v>
      </c>
      <c r="AJ683" s="228">
        <v>52</v>
      </c>
      <c r="AK683" s="228">
        <v>531648</v>
      </c>
      <c r="AL683" s="228">
        <v>52</v>
      </c>
      <c r="AM683" s="228">
        <v>0</v>
      </c>
      <c r="AN683" s="228">
        <v>0</v>
      </c>
      <c r="AO683" s="229">
        <v>7</v>
      </c>
      <c r="AP683" s="231">
        <v>2</v>
      </c>
      <c r="AQ683" s="231">
        <v>2025</v>
      </c>
      <c r="AR683" s="231" t="str">
        <f t="shared" si="90"/>
        <v>02/2025</v>
      </c>
      <c r="AS683" s="231">
        <f t="shared" si="91"/>
        <v>37.200000000000003</v>
      </c>
      <c r="AT683" s="239">
        <f>IF(G683="CERVECERIA Y MALTERIA",(AS683*AK683/1000000)*(1-VLOOKUP(N683,FCST!D:I,6,FALSE)),0)</f>
        <v>19.777305600000002</v>
      </c>
      <c r="AU683" s="232">
        <v>5.0000000000000001E-3</v>
      </c>
      <c r="AV683" s="239">
        <f t="shared" si="92"/>
        <v>19.876192128</v>
      </c>
      <c r="AW683" s="239">
        <f>(AS683*AK683/1000000)*(VLOOKUP(N683,FCST!D:I,6,FALSE))</f>
        <v>0</v>
      </c>
      <c r="AX683" s="239">
        <f t="shared" si="93"/>
        <v>0</v>
      </c>
      <c r="AY683" s="239">
        <f>IF($G683="CERVECERIA Y MALTERIA.",($AS683*$AK683/1000000)*(1-VLOOKUP($N683,FCST!D:I,6,FALSE)),0)</f>
        <v>0</v>
      </c>
      <c r="AZ683" s="239">
        <f t="shared" si="94"/>
        <v>0</v>
      </c>
    </row>
    <row r="684" spans="1:52" x14ac:dyDescent="0.25">
      <c r="A684" s="209">
        <v>1100203</v>
      </c>
      <c r="B684" s="209">
        <v>90</v>
      </c>
      <c r="C684" s="209" t="s">
        <v>1501</v>
      </c>
      <c r="D684" s="209">
        <v>10</v>
      </c>
      <c r="E684" s="209">
        <v>10000002</v>
      </c>
      <c r="F684" s="209">
        <v>20000335</v>
      </c>
      <c r="G684" s="209" t="s">
        <v>105</v>
      </c>
      <c r="H684" s="209">
        <v>20000335</v>
      </c>
      <c r="I684" s="209">
        <v>2</v>
      </c>
      <c r="J684" s="209" t="s">
        <v>169</v>
      </c>
      <c r="K684" s="209" t="s">
        <v>1502</v>
      </c>
      <c r="L684" s="209" t="s">
        <v>171</v>
      </c>
      <c r="M684" s="209" t="s">
        <v>199</v>
      </c>
      <c r="N684" s="209">
        <v>50032573</v>
      </c>
      <c r="O684" s="209" t="s">
        <v>173</v>
      </c>
      <c r="P684" s="209">
        <v>5121</v>
      </c>
      <c r="Q684" s="209" t="s">
        <v>200</v>
      </c>
      <c r="R684" s="209" t="s">
        <v>201</v>
      </c>
      <c r="S684" s="209" t="s">
        <v>202</v>
      </c>
      <c r="T684" s="209" t="s">
        <v>203</v>
      </c>
      <c r="U684" s="209" t="s">
        <v>201</v>
      </c>
      <c r="V684" s="209" t="s">
        <v>179</v>
      </c>
      <c r="W684" s="209" t="s">
        <v>179</v>
      </c>
      <c r="X684" s="209" t="s">
        <v>180</v>
      </c>
      <c r="Y684" s="209" t="s">
        <v>180</v>
      </c>
      <c r="Z684" s="209" t="s">
        <v>1461</v>
      </c>
      <c r="AA684" s="209" t="s">
        <v>1462</v>
      </c>
      <c r="AB684" s="209" t="s">
        <v>180</v>
      </c>
      <c r="AC684" s="209" t="s">
        <v>182</v>
      </c>
      <c r="AD684" s="209">
        <v>2</v>
      </c>
      <c r="AE684" s="209">
        <v>2025</v>
      </c>
      <c r="AF684" s="227">
        <v>45695</v>
      </c>
      <c r="AG684" s="227">
        <v>45702</v>
      </c>
      <c r="AH684" s="227">
        <v>45702</v>
      </c>
      <c r="AI684" s="228">
        <v>531648</v>
      </c>
      <c r="AJ684" s="228">
        <v>52</v>
      </c>
      <c r="AK684" s="228">
        <v>531648</v>
      </c>
      <c r="AL684" s="228">
        <v>52</v>
      </c>
      <c r="AM684" s="228">
        <v>0</v>
      </c>
      <c r="AN684" s="228">
        <v>0</v>
      </c>
      <c r="AO684" s="229">
        <v>7</v>
      </c>
      <c r="AP684" s="231">
        <v>2</v>
      </c>
      <c r="AQ684" s="231">
        <v>2025</v>
      </c>
      <c r="AR684" s="231" t="str">
        <f t="shared" si="90"/>
        <v>02/2025</v>
      </c>
      <c r="AS684" s="231">
        <f t="shared" si="91"/>
        <v>37.200000000000003</v>
      </c>
      <c r="AT684" s="239">
        <f>IF(G684="CERVECERIA Y MALTERIA",(AS684*AK684/1000000)*(1-VLOOKUP(N684,FCST!D:I,6,FALSE)),0)</f>
        <v>19.777305600000002</v>
      </c>
      <c r="AU684" s="232">
        <v>5.0000000000000001E-3</v>
      </c>
      <c r="AV684" s="239">
        <f t="shared" si="92"/>
        <v>19.876192128</v>
      </c>
      <c r="AW684" s="239">
        <f>(AS684*AK684/1000000)*(VLOOKUP(N684,FCST!D:I,6,FALSE))</f>
        <v>0</v>
      </c>
      <c r="AX684" s="239">
        <f t="shared" si="93"/>
        <v>0</v>
      </c>
      <c r="AY684" s="239">
        <f>IF($G684="CERVECERIA Y MALTERIA.",($AS684*$AK684/1000000)*(1-VLOOKUP($N684,FCST!D:I,6,FALSE)),0)</f>
        <v>0</v>
      </c>
      <c r="AZ684" s="239">
        <f t="shared" si="94"/>
        <v>0</v>
      </c>
    </row>
    <row r="685" spans="1:52" x14ac:dyDescent="0.25">
      <c r="A685" s="209">
        <v>1099150</v>
      </c>
      <c r="B685" s="209">
        <v>80</v>
      </c>
      <c r="C685" s="209" t="s">
        <v>1503</v>
      </c>
      <c r="D685" s="209">
        <v>10</v>
      </c>
      <c r="E685" s="209">
        <v>10000002</v>
      </c>
      <c r="F685" s="209">
        <v>20000337</v>
      </c>
      <c r="G685" s="209" t="s">
        <v>105</v>
      </c>
      <c r="H685" s="209">
        <v>20000337</v>
      </c>
      <c r="I685" s="209">
        <v>2</v>
      </c>
      <c r="J685" s="209" t="s">
        <v>169</v>
      </c>
      <c r="K685" s="209" t="s">
        <v>1504</v>
      </c>
      <c r="L685" s="209" t="s">
        <v>171</v>
      </c>
      <c r="M685" s="209" t="s">
        <v>199</v>
      </c>
      <c r="N685" s="209">
        <v>50034616</v>
      </c>
      <c r="O685" s="209" t="s">
        <v>191</v>
      </c>
      <c r="P685" s="209">
        <v>5121</v>
      </c>
      <c r="Q685" s="209" t="s">
        <v>200</v>
      </c>
      <c r="R685" s="209" t="s">
        <v>201</v>
      </c>
      <c r="S685" s="209" t="s">
        <v>202</v>
      </c>
      <c r="T685" s="209" t="s">
        <v>203</v>
      </c>
      <c r="U685" s="209" t="s">
        <v>201</v>
      </c>
      <c r="V685" s="209" t="s">
        <v>179</v>
      </c>
      <c r="W685" s="209" t="s">
        <v>179</v>
      </c>
      <c r="X685" s="209" t="s">
        <v>180</v>
      </c>
      <c r="Y685" s="209" t="s">
        <v>180</v>
      </c>
      <c r="Z685" s="209" t="s">
        <v>1505</v>
      </c>
      <c r="AA685" s="209" t="s">
        <v>1506</v>
      </c>
      <c r="AB685" s="209" t="s">
        <v>180</v>
      </c>
      <c r="AC685" s="209" t="s">
        <v>182</v>
      </c>
      <c r="AD685" s="209">
        <v>2</v>
      </c>
      <c r="AE685" s="209">
        <v>2025</v>
      </c>
      <c r="AF685" s="227">
        <v>45691</v>
      </c>
      <c r="AG685" s="227">
        <v>45702</v>
      </c>
      <c r="AH685" s="227">
        <v>45702</v>
      </c>
      <c r="AI685" s="228">
        <v>426816</v>
      </c>
      <c r="AJ685" s="228">
        <v>52</v>
      </c>
      <c r="AK685" s="228">
        <v>426816</v>
      </c>
      <c r="AL685" s="228">
        <v>52</v>
      </c>
      <c r="AM685" s="228">
        <v>0</v>
      </c>
      <c r="AN685" s="228">
        <v>0</v>
      </c>
      <c r="AO685" s="229">
        <v>6</v>
      </c>
      <c r="AP685" s="231">
        <v>2</v>
      </c>
      <c r="AQ685" s="231">
        <v>2025</v>
      </c>
      <c r="AR685" s="231" t="str">
        <f t="shared" si="90"/>
        <v>02/2025</v>
      </c>
      <c r="AS685" s="231">
        <f t="shared" si="91"/>
        <v>46.6</v>
      </c>
      <c r="AT685" s="239">
        <f>IF(G685="CERVECERIA Y MALTERIA",(AS685*AK685/1000000)*(1-VLOOKUP(N685,FCST!D:I,6,FALSE)),0)</f>
        <v>19.889625600000002</v>
      </c>
      <c r="AU685" s="232">
        <v>5.0000000000000001E-3</v>
      </c>
      <c r="AV685" s="239">
        <f t="shared" si="92"/>
        <v>19.989073728000001</v>
      </c>
      <c r="AW685" s="239">
        <f>(AS685*AK685/1000000)*(VLOOKUP(N685,FCST!D:I,6,FALSE))</f>
        <v>0</v>
      </c>
      <c r="AX685" s="239">
        <f t="shared" si="93"/>
        <v>0</v>
      </c>
      <c r="AY685" s="239">
        <f>IF($G685="CERVECERIA Y MALTERIA.",($AS685*$AK685/1000000)*(1-VLOOKUP($N685,FCST!D:I,6,FALSE)),0)</f>
        <v>0</v>
      </c>
      <c r="AZ685" s="239">
        <f t="shared" si="94"/>
        <v>0</v>
      </c>
    </row>
    <row r="686" spans="1:52" x14ac:dyDescent="0.25">
      <c r="A686" s="209">
        <v>1100203</v>
      </c>
      <c r="B686" s="209">
        <v>80</v>
      </c>
      <c r="C686" s="209" t="s">
        <v>1507</v>
      </c>
      <c r="D686" s="209">
        <v>10</v>
      </c>
      <c r="E686" s="209">
        <v>10000002</v>
      </c>
      <c r="F686" s="209">
        <v>20000335</v>
      </c>
      <c r="G686" s="209" t="s">
        <v>105</v>
      </c>
      <c r="H686" s="209">
        <v>20000335</v>
      </c>
      <c r="I686" s="209">
        <v>2</v>
      </c>
      <c r="J686" s="209" t="s">
        <v>169</v>
      </c>
      <c r="K686" s="209" t="s">
        <v>1508</v>
      </c>
      <c r="L686" s="209" t="s">
        <v>171</v>
      </c>
      <c r="M686" s="209" t="s">
        <v>199</v>
      </c>
      <c r="N686" s="209">
        <v>50032573</v>
      </c>
      <c r="O686" s="209" t="s">
        <v>173</v>
      </c>
      <c r="P686" s="209">
        <v>5121</v>
      </c>
      <c r="Q686" s="209" t="s">
        <v>200</v>
      </c>
      <c r="R686" s="209" t="s">
        <v>201</v>
      </c>
      <c r="S686" s="209" t="s">
        <v>202</v>
      </c>
      <c r="T686" s="209" t="s">
        <v>203</v>
      </c>
      <c r="U686" s="209" t="s">
        <v>201</v>
      </c>
      <c r="V686" s="209" t="s">
        <v>179</v>
      </c>
      <c r="W686" s="209" t="s">
        <v>179</v>
      </c>
      <c r="X686" s="209" t="s">
        <v>180</v>
      </c>
      <c r="Y686" s="209" t="s">
        <v>180</v>
      </c>
      <c r="Z686" s="209" t="s">
        <v>1461</v>
      </c>
      <c r="AA686" s="209" t="s">
        <v>1462</v>
      </c>
      <c r="AB686" s="209" t="s">
        <v>180</v>
      </c>
      <c r="AC686" s="209" t="s">
        <v>182</v>
      </c>
      <c r="AD686" s="209">
        <v>2</v>
      </c>
      <c r="AE686" s="209">
        <v>2025</v>
      </c>
      <c r="AF686" s="227">
        <v>45695</v>
      </c>
      <c r="AG686" s="227">
        <v>45702</v>
      </c>
      <c r="AH686" s="227">
        <v>45702</v>
      </c>
      <c r="AI686" s="228">
        <v>531648</v>
      </c>
      <c r="AJ686" s="228">
        <v>52</v>
      </c>
      <c r="AK686" s="228">
        <v>531648</v>
      </c>
      <c r="AL686" s="228">
        <v>52</v>
      </c>
      <c r="AM686" s="228">
        <v>0</v>
      </c>
      <c r="AN686" s="228">
        <v>0</v>
      </c>
      <c r="AO686" s="229">
        <v>7</v>
      </c>
      <c r="AP686" s="231">
        <v>2</v>
      </c>
      <c r="AQ686" s="231">
        <v>2025</v>
      </c>
      <c r="AR686" s="231" t="str">
        <f t="shared" si="90"/>
        <v>02/2025</v>
      </c>
      <c r="AS686" s="231">
        <f t="shared" si="91"/>
        <v>37.200000000000003</v>
      </c>
      <c r="AT686" s="239">
        <f>IF(G686="CERVECERIA Y MALTERIA",(AS686*AK686/1000000)*(1-VLOOKUP(N686,FCST!D:I,6,FALSE)),0)</f>
        <v>19.777305600000002</v>
      </c>
      <c r="AU686" s="232">
        <v>5.0000000000000001E-3</v>
      </c>
      <c r="AV686" s="239">
        <f t="shared" si="92"/>
        <v>19.876192128</v>
      </c>
      <c r="AW686" s="239">
        <f>(AS686*AK686/1000000)*(VLOOKUP(N686,FCST!D:I,6,FALSE))</f>
        <v>0</v>
      </c>
      <c r="AX686" s="239">
        <f t="shared" si="93"/>
        <v>0</v>
      </c>
      <c r="AY686" s="239">
        <f>IF($G686="CERVECERIA Y MALTERIA.",($AS686*$AK686/1000000)*(1-VLOOKUP($N686,FCST!D:I,6,FALSE)),0)</f>
        <v>0</v>
      </c>
      <c r="AZ686" s="239">
        <f t="shared" si="94"/>
        <v>0</v>
      </c>
    </row>
    <row r="687" spans="1:52" x14ac:dyDescent="0.25">
      <c r="A687" s="209">
        <v>1101244</v>
      </c>
      <c r="B687" s="209">
        <v>10</v>
      </c>
      <c r="C687" s="209" t="s">
        <v>1509</v>
      </c>
      <c r="D687" s="209">
        <v>10</v>
      </c>
      <c r="E687" s="209">
        <v>10000002</v>
      </c>
      <c r="F687" s="209">
        <v>20000339</v>
      </c>
      <c r="G687" s="209" t="s">
        <v>105</v>
      </c>
      <c r="H687" s="209">
        <v>20000339</v>
      </c>
      <c r="I687" s="209">
        <v>2</v>
      </c>
      <c r="J687" s="209" t="s">
        <v>169</v>
      </c>
      <c r="K687" s="209" t="s">
        <v>1510</v>
      </c>
      <c r="L687" s="209" t="s">
        <v>171</v>
      </c>
      <c r="M687" s="209" t="s">
        <v>184</v>
      </c>
      <c r="N687" s="209">
        <v>50034577</v>
      </c>
      <c r="O687" s="209" t="s">
        <v>237</v>
      </c>
      <c r="P687" s="209">
        <v>5101</v>
      </c>
      <c r="Q687" s="209" t="s">
        <v>186</v>
      </c>
      <c r="R687" s="209" t="s">
        <v>175</v>
      </c>
      <c r="S687" s="209" t="s">
        <v>176</v>
      </c>
      <c r="T687" s="209" t="s">
        <v>187</v>
      </c>
      <c r="U687" s="209" t="s">
        <v>188</v>
      </c>
      <c r="V687" s="209" t="s">
        <v>179</v>
      </c>
      <c r="W687" s="209" t="s">
        <v>179</v>
      </c>
      <c r="X687" s="209" t="s">
        <v>180</v>
      </c>
      <c r="Y687" s="209" t="s">
        <v>180</v>
      </c>
      <c r="Z687" s="209" t="s">
        <v>1511</v>
      </c>
      <c r="AA687" s="209" t="s">
        <v>1512</v>
      </c>
      <c r="AB687" s="209" t="s">
        <v>180</v>
      </c>
      <c r="AC687" s="209" t="s">
        <v>182</v>
      </c>
      <c r="AD687" s="209">
        <v>2</v>
      </c>
      <c r="AE687" s="209">
        <v>2025</v>
      </c>
      <c r="AF687" s="227">
        <v>45700</v>
      </c>
      <c r="AG687" s="227">
        <v>45701</v>
      </c>
      <c r="AH687" s="227">
        <v>45701</v>
      </c>
      <c r="AI687" s="228">
        <v>743808</v>
      </c>
      <c r="AJ687" s="228">
        <v>52</v>
      </c>
      <c r="AK687" s="228">
        <v>743808</v>
      </c>
      <c r="AL687" s="228">
        <v>52</v>
      </c>
      <c r="AM687" s="228">
        <v>0</v>
      </c>
      <c r="AN687" s="228">
        <v>0</v>
      </c>
      <c r="AO687" s="229">
        <v>7</v>
      </c>
      <c r="AP687" s="231">
        <v>2</v>
      </c>
      <c r="AQ687" s="231">
        <v>2025</v>
      </c>
      <c r="AR687" s="231" t="str">
        <f t="shared" si="90"/>
        <v>02/2025</v>
      </c>
      <c r="AS687" s="231">
        <f t="shared" si="91"/>
        <v>25</v>
      </c>
      <c r="AT687" s="239">
        <f>IF(G687="CERVECERIA Y MALTERIA",(AS687*AK687/1000000)*(1-VLOOKUP(N687,FCST!D:I,6,FALSE)),0)</f>
        <v>18.595199999999998</v>
      </c>
      <c r="AU687" s="232">
        <v>5.0000000000000001E-3</v>
      </c>
      <c r="AV687" s="239">
        <f t="shared" si="92"/>
        <v>18.688175999999995</v>
      </c>
      <c r="AW687" s="239">
        <f>(AS687*AK687/1000000)*(VLOOKUP(N687,FCST!D:I,6,FALSE))</f>
        <v>0</v>
      </c>
      <c r="AX687" s="239">
        <f t="shared" si="93"/>
        <v>0</v>
      </c>
      <c r="AY687" s="239">
        <f>IF($G687="CERVECERIA Y MALTERIA.",($AS687*$AK687/1000000)*(1-VLOOKUP($N687,FCST!D:I,6,FALSE)),0)</f>
        <v>0</v>
      </c>
      <c r="AZ687" s="239">
        <f t="shared" si="94"/>
        <v>0</v>
      </c>
    </row>
    <row r="688" spans="1:52" x14ac:dyDescent="0.25">
      <c r="A688" s="209">
        <v>1101563</v>
      </c>
      <c r="B688" s="209">
        <v>50</v>
      </c>
      <c r="C688" s="209" t="s">
        <v>1513</v>
      </c>
      <c r="D688" s="209">
        <v>10</v>
      </c>
      <c r="E688" s="209">
        <v>10000002</v>
      </c>
      <c r="F688" s="209">
        <v>20000335</v>
      </c>
      <c r="G688" s="209" t="s">
        <v>105</v>
      </c>
      <c r="H688" s="209">
        <v>20000335</v>
      </c>
      <c r="I688" s="209">
        <v>2</v>
      </c>
      <c r="J688" s="209" t="s">
        <v>169</v>
      </c>
      <c r="K688" s="209" t="s">
        <v>1514</v>
      </c>
      <c r="L688" s="209" t="s">
        <v>171</v>
      </c>
      <c r="M688" s="209" t="s">
        <v>199</v>
      </c>
      <c r="N688" s="209">
        <v>50035183</v>
      </c>
      <c r="O688" s="209" t="s">
        <v>215</v>
      </c>
      <c r="P688" s="209">
        <v>5121</v>
      </c>
      <c r="Q688" s="209" t="s">
        <v>200</v>
      </c>
      <c r="R688" s="209" t="s">
        <v>201</v>
      </c>
      <c r="S688" s="209" t="s">
        <v>202</v>
      </c>
      <c r="T688" s="209" t="s">
        <v>203</v>
      </c>
      <c r="U688" s="209" t="s">
        <v>201</v>
      </c>
      <c r="V688" s="209" t="s">
        <v>179</v>
      </c>
      <c r="W688" s="209" t="s">
        <v>179</v>
      </c>
      <c r="X688" s="209" t="s">
        <v>180</v>
      </c>
      <c r="Y688" s="209" t="s">
        <v>180</v>
      </c>
      <c r="Z688" s="209" t="s">
        <v>1515</v>
      </c>
      <c r="AA688" s="209" t="s">
        <v>1516</v>
      </c>
      <c r="AB688" s="209" t="s">
        <v>180</v>
      </c>
      <c r="AC688" s="209" t="s">
        <v>182</v>
      </c>
      <c r="AD688" s="209">
        <v>2</v>
      </c>
      <c r="AE688" s="209">
        <v>2025</v>
      </c>
      <c r="AF688" s="227">
        <v>45701</v>
      </c>
      <c r="AG688" s="227">
        <v>45706</v>
      </c>
      <c r="AH688" s="227">
        <v>45706</v>
      </c>
      <c r="AI688" s="228">
        <v>426816</v>
      </c>
      <c r="AJ688" s="228">
        <v>52</v>
      </c>
      <c r="AK688" s="228">
        <v>426816</v>
      </c>
      <c r="AL688" s="228">
        <v>52</v>
      </c>
      <c r="AM688" s="228">
        <v>0</v>
      </c>
      <c r="AN688" s="228">
        <v>0</v>
      </c>
      <c r="AO688" s="229">
        <v>8</v>
      </c>
      <c r="AP688" s="231">
        <v>2</v>
      </c>
      <c r="AQ688" s="231">
        <v>2025</v>
      </c>
      <c r="AR688" s="231" t="str">
        <f t="shared" si="90"/>
        <v>02/2025</v>
      </c>
      <c r="AS688" s="231">
        <f t="shared" si="91"/>
        <v>46.6</v>
      </c>
      <c r="AT688" s="239">
        <f>IF(G688="CERVECERIA Y MALTERIA",(AS688*AK688/1000000)*(1-VLOOKUP(N688,FCST!D:I,6,FALSE)),0)</f>
        <v>19.889625600000002</v>
      </c>
      <c r="AU688" s="232">
        <v>5.0000000000000001E-3</v>
      </c>
      <c r="AV688" s="239">
        <f t="shared" si="92"/>
        <v>19.989073728000001</v>
      </c>
      <c r="AW688" s="239">
        <f>(AS688*AK688/1000000)*(VLOOKUP(N688,FCST!D:I,6,FALSE))</f>
        <v>0</v>
      </c>
      <c r="AX688" s="239">
        <f t="shared" si="93"/>
        <v>0</v>
      </c>
      <c r="AY688" s="239">
        <f>IF($G688="CERVECERIA Y MALTERIA.",($AS688*$AK688/1000000)*(1-VLOOKUP($N688,FCST!D:I,6,FALSE)),0)</f>
        <v>0</v>
      </c>
      <c r="AZ688" s="239">
        <f t="shared" si="94"/>
        <v>0</v>
      </c>
    </row>
    <row r="689" spans="1:52" x14ac:dyDescent="0.25">
      <c r="A689" s="209">
        <v>1101563</v>
      </c>
      <c r="B689" s="209">
        <v>40</v>
      </c>
      <c r="C689" s="209" t="s">
        <v>1517</v>
      </c>
      <c r="D689" s="209">
        <v>10</v>
      </c>
      <c r="E689" s="209">
        <v>10000002</v>
      </c>
      <c r="F689" s="209">
        <v>20000335</v>
      </c>
      <c r="G689" s="209" t="s">
        <v>105</v>
      </c>
      <c r="H689" s="209">
        <v>20000335</v>
      </c>
      <c r="I689" s="209">
        <v>2</v>
      </c>
      <c r="J689" s="209" t="s">
        <v>169</v>
      </c>
      <c r="K689" s="209" t="s">
        <v>1518</v>
      </c>
      <c r="L689" s="209" t="s">
        <v>171</v>
      </c>
      <c r="M689" s="209" t="s">
        <v>199</v>
      </c>
      <c r="N689" s="209">
        <v>50034616</v>
      </c>
      <c r="O689" s="209" t="s">
        <v>191</v>
      </c>
      <c r="P689" s="209">
        <v>5121</v>
      </c>
      <c r="Q689" s="209" t="s">
        <v>200</v>
      </c>
      <c r="R689" s="209" t="s">
        <v>201</v>
      </c>
      <c r="S689" s="209" t="s">
        <v>202</v>
      </c>
      <c r="T689" s="209" t="s">
        <v>203</v>
      </c>
      <c r="U689" s="209" t="s">
        <v>201</v>
      </c>
      <c r="V689" s="209" t="s">
        <v>179</v>
      </c>
      <c r="W689" s="209" t="s">
        <v>179</v>
      </c>
      <c r="X689" s="209" t="s">
        <v>180</v>
      </c>
      <c r="Y689" s="209" t="s">
        <v>180</v>
      </c>
      <c r="Z689" s="209" t="s">
        <v>1519</v>
      </c>
      <c r="AA689" s="209" t="s">
        <v>1520</v>
      </c>
      <c r="AB689" s="209" t="s">
        <v>180</v>
      </c>
      <c r="AC689" s="209" t="s">
        <v>182</v>
      </c>
      <c r="AD689" s="209">
        <v>2</v>
      </c>
      <c r="AE689" s="209">
        <v>2025</v>
      </c>
      <c r="AF689" s="227">
        <v>45701</v>
      </c>
      <c r="AG689" s="227">
        <v>45706</v>
      </c>
      <c r="AH689" s="227">
        <v>45706</v>
      </c>
      <c r="AI689" s="228">
        <v>426816</v>
      </c>
      <c r="AJ689" s="228">
        <v>52</v>
      </c>
      <c r="AK689" s="228">
        <v>426816</v>
      </c>
      <c r="AL689" s="228">
        <v>52</v>
      </c>
      <c r="AM689" s="228">
        <v>0</v>
      </c>
      <c r="AN689" s="228">
        <v>0</v>
      </c>
      <c r="AO689" s="229">
        <v>8</v>
      </c>
      <c r="AP689" s="231">
        <v>2</v>
      </c>
      <c r="AQ689" s="231">
        <v>2025</v>
      </c>
      <c r="AR689" s="231" t="str">
        <f t="shared" si="90"/>
        <v>02/2025</v>
      </c>
      <c r="AS689" s="231">
        <f t="shared" si="91"/>
        <v>46.6</v>
      </c>
      <c r="AT689" s="239">
        <f>IF(G689="CERVECERIA Y MALTERIA",(AS689*AK689/1000000)*(1-VLOOKUP(N689,FCST!D:I,6,FALSE)),0)</f>
        <v>19.889625600000002</v>
      </c>
      <c r="AU689" s="232">
        <v>5.0000000000000001E-3</v>
      </c>
      <c r="AV689" s="239">
        <f t="shared" si="92"/>
        <v>19.989073728000001</v>
      </c>
      <c r="AW689" s="239">
        <f>(AS689*AK689/1000000)*(VLOOKUP(N689,FCST!D:I,6,FALSE))</f>
        <v>0</v>
      </c>
      <c r="AX689" s="239">
        <f t="shared" si="93"/>
        <v>0</v>
      </c>
      <c r="AY689" s="239">
        <f>IF($G689="CERVECERIA Y MALTERIA.",($AS689*$AK689/1000000)*(1-VLOOKUP($N689,FCST!D:I,6,FALSE)),0)</f>
        <v>0</v>
      </c>
      <c r="AZ689" s="239">
        <f t="shared" si="94"/>
        <v>0</v>
      </c>
    </row>
    <row r="690" spans="1:52" x14ac:dyDescent="0.25">
      <c r="A690" s="209">
        <v>1101563</v>
      </c>
      <c r="B690" s="209">
        <v>30</v>
      </c>
      <c r="C690" s="209" t="s">
        <v>1521</v>
      </c>
      <c r="D690" s="209">
        <v>10</v>
      </c>
      <c r="E690" s="209">
        <v>10000002</v>
      </c>
      <c r="F690" s="209">
        <v>20000335</v>
      </c>
      <c r="G690" s="209" t="s">
        <v>105</v>
      </c>
      <c r="H690" s="209">
        <v>20000335</v>
      </c>
      <c r="I690" s="209">
        <v>2</v>
      </c>
      <c r="J690" s="209" t="s">
        <v>169</v>
      </c>
      <c r="K690" s="209" t="s">
        <v>1522</v>
      </c>
      <c r="L690" s="209" t="s">
        <v>171</v>
      </c>
      <c r="M690" s="209" t="s">
        <v>199</v>
      </c>
      <c r="N690" s="209">
        <v>50037887</v>
      </c>
      <c r="O690" s="209" t="s">
        <v>679</v>
      </c>
      <c r="P690" s="209">
        <v>5121</v>
      </c>
      <c r="Q690" s="209" t="s">
        <v>200</v>
      </c>
      <c r="R690" s="209" t="s">
        <v>201</v>
      </c>
      <c r="S690" s="209" t="s">
        <v>202</v>
      </c>
      <c r="T690" s="209" t="s">
        <v>203</v>
      </c>
      <c r="U690" s="209" t="s">
        <v>201</v>
      </c>
      <c r="V690" s="209" t="s">
        <v>179</v>
      </c>
      <c r="W690" s="209" t="s">
        <v>179</v>
      </c>
      <c r="X690" s="209" t="s">
        <v>180</v>
      </c>
      <c r="Y690" s="209" t="s">
        <v>180</v>
      </c>
      <c r="Z690" s="209" t="s">
        <v>1523</v>
      </c>
      <c r="AA690" s="209" t="s">
        <v>1524</v>
      </c>
      <c r="AB690" s="209" t="s">
        <v>180</v>
      </c>
      <c r="AC690" s="209" t="s">
        <v>182</v>
      </c>
      <c r="AD690" s="209">
        <v>2</v>
      </c>
      <c r="AE690" s="209">
        <v>2025</v>
      </c>
      <c r="AF690" s="227">
        <v>45701</v>
      </c>
      <c r="AG690" s="227">
        <v>45706</v>
      </c>
      <c r="AH690" s="227">
        <v>45706</v>
      </c>
      <c r="AI690" s="228">
        <v>531648</v>
      </c>
      <c r="AJ690" s="228">
        <v>52</v>
      </c>
      <c r="AK690" s="228">
        <v>531648</v>
      </c>
      <c r="AL690" s="228">
        <v>52</v>
      </c>
      <c r="AM690" s="228">
        <v>0</v>
      </c>
      <c r="AN690" s="228">
        <v>0</v>
      </c>
      <c r="AO690" s="229">
        <v>8</v>
      </c>
      <c r="AP690" s="231">
        <v>2</v>
      </c>
      <c r="AQ690" s="231">
        <v>2025</v>
      </c>
      <c r="AR690" s="231" t="str">
        <f t="shared" si="90"/>
        <v>02/2025</v>
      </c>
      <c r="AS690" s="231">
        <f t="shared" si="91"/>
        <v>37.200000000000003</v>
      </c>
      <c r="AT690" s="239">
        <f>IF(G690="CERVECERIA Y MALTERIA",(AS690*AK690/1000000)*(1-VLOOKUP(N690,FCST!D:I,6,FALSE)),0)</f>
        <v>19.777305600000002</v>
      </c>
      <c r="AU690" s="232">
        <v>5.0000000000000001E-3</v>
      </c>
      <c r="AV690" s="239">
        <f t="shared" si="92"/>
        <v>19.876192128</v>
      </c>
      <c r="AW690" s="239">
        <f>(AS690*AK690/1000000)*(VLOOKUP(N690,FCST!D:I,6,FALSE))</f>
        <v>0</v>
      </c>
      <c r="AX690" s="239">
        <f t="shared" si="93"/>
        <v>0</v>
      </c>
      <c r="AY690" s="239">
        <f>IF($G690="CERVECERIA Y MALTERIA.",($AS690*$AK690/1000000)*(1-VLOOKUP($N690,FCST!D:I,6,FALSE)),0)</f>
        <v>0</v>
      </c>
      <c r="AZ690" s="239">
        <f t="shared" si="94"/>
        <v>0</v>
      </c>
    </row>
    <row r="691" spans="1:52" x14ac:dyDescent="0.25">
      <c r="A691" s="209">
        <v>1101550</v>
      </c>
      <c r="B691" s="209">
        <v>20</v>
      </c>
      <c r="C691" s="209" t="s">
        <v>1525</v>
      </c>
      <c r="D691" s="209">
        <v>10</v>
      </c>
      <c r="E691" s="209">
        <v>10000002</v>
      </c>
      <c r="F691" s="209">
        <v>20000339</v>
      </c>
      <c r="G691" s="209" t="s">
        <v>105</v>
      </c>
      <c r="H691" s="209">
        <v>20000339</v>
      </c>
      <c r="I691" s="209">
        <v>2</v>
      </c>
      <c r="J691" s="209" t="s">
        <v>169</v>
      </c>
      <c r="K691" s="209" t="s">
        <v>1526</v>
      </c>
      <c r="L691" s="209" t="s">
        <v>171</v>
      </c>
      <c r="M691" s="209" t="s">
        <v>184</v>
      </c>
      <c r="N691" s="209">
        <v>50034634</v>
      </c>
      <c r="O691" s="209" t="s">
        <v>219</v>
      </c>
      <c r="P691" s="209">
        <v>5121</v>
      </c>
      <c r="Q691" s="209" t="s">
        <v>174</v>
      </c>
      <c r="R691" s="209" t="s">
        <v>175</v>
      </c>
      <c r="S691" s="209" t="s">
        <v>176</v>
      </c>
      <c r="T691" s="209" t="s">
        <v>177</v>
      </c>
      <c r="U691" s="209" t="s">
        <v>178</v>
      </c>
      <c r="V691" s="209" t="s">
        <v>179</v>
      </c>
      <c r="W691" s="209" t="s">
        <v>179</v>
      </c>
      <c r="X691" s="209" t="s">
        <v>180</v>
      </c>
      <c r="Y691" s="209" t="s">
        <v>180</v>
      </c>
      <c r="Z691" s="209" t="s">
        <v>1527</v>
      </c>
      <c r="AA691" s="209" t="s">
        <v>1528</v>
      </c>
      <c r="AB691" s="209" t="s">
        <v>180</v>
      </c>
      <c r="AC691" s="209" t="s">
        <v>182</v>
      </c>
      <c r="AD691" s="209">
        <v>2</v>
      </c>
      <c r="AE691" s="209">
        <v>2025</v>
      </c>
      <c r="AF691" s="227">
        <v>45701</v>
      </c>
      <c r="AG691" s="227">
        <v>45705</v>
      </c>
      <c r="AH691" s="227">
        <v>45705</v>
      </c>
      <c r="AI691" s="228">
        <v>364416</v>
      </c>
      <c r="AJ691" s="228">
        <v>52</v>
      </c>
      <c r="AK691" s="228">
        <v>364416</v>
      </c>
      <c r="AL691" s="228">
        <v>52</v>
      </c>
      <c r="AM691" s="228">
        <v>0</v>
      </c>
      <c r="AN691" s="228">
        <v>0</v>
      </c>
      <c r="AO691" s="229">
        <v>7</v>
      </c>
      <c r="AP691" s="231">
        <v>2</v>
      </c>
      <c r="AQ691" s="231">
        <v>2025</v>
      </c>
      <c r="AR691" s="231" t="str">
        <f t="shared" si="90"/>
        <v>02/2025</v>
      </c>
      <c r="AS691" s="231">
        <f t="shared" si="91"/>
        <v>52</v>
      </c>
      <c r="AT691" s="239">
        <f>IF(G691="CERVECERIA Y MALTERIA",(AS691*AK691/1000000)*(1-VLOOKUP(N691,FCST!D:I,6,FALSE)),0)</f>
        <v>18.949632000000001</v>
      </c>
      <c r="AU691" s="232">
        <v>5.0000000000000001E-3</v>
      </c>
      <c r="AV691" s="239">
        <f t="shared" si="92"/>
        <v>19.044380159999999</v>
      </c>
      <c r="AW691" s="239">
        <f>(AS691*AK691/1000000)*(VLOOKUP(N691,FCST!D:I,6,FALSE))</f>
        <v>0</v>
      </c>
      <c r="AX691" s="239">
        <f t="shared" si="93"/>
        <v>0</v>
      </c>
      <c r="AY691" s="239">
        <f>IF($G691="CERVECERIA Y MALTERIA.",($AS691*$AK691/1000000)*(1-VLOOKUP($N691,FCST!D:I,6,FALSE)),0)</f>
        <v>0</v>
      </c>
      <c r="AZ691" s="239">
        <f t="shared" si="94"/>
        <v>0</v>
      </c>
    </row>
    <row r="692" spans="1:52" x14ac:dyDescent="0.25">
      <c r="A692" s="209">
        <v>1101563</v>
      </c>
      <c r="B692" s="209">
        <v>10</v>
      </c>
      <c r="C692" s="209" t="s">
        <v>1529</v>
      </c>
      <c r="D692" s="209">
        <v>10</v>
      </c>
      <c r="E692" s="209">
        <v>10000002</v>
      </c>
      <c r="F692" s="209">
        <v>20000335</v>
      </c>
      <c r="G692" s="209" t="s">
        <v>105</v>
      </c>
      <c r="H692" s="209">
        <v>20000335</v>
      </c>
      <c r="I692" s="209">
        <v>2</v>
      </c>
      <c r="J692" s="209" t="s">
        <v>169</v>
      </c>
      <c r="K692" s="209" t="s">
        <v>1530</v>
      </c>
      <c r="L692" s="209" t="s">
        <v>171</v>
      </c>
      <c r="M692" s="209" t="s">
        <v>199</v>
      </c>
      <c r="N692" s="209">
        <v>50037887</v>
      </c>
      <c r="O692" s="209" t="s">
        <v>679</v>
      </c>
      <c r="P692" s="209">
        <v>5121</v>
      </c>
      <c r="Q692" s="209" t="s">
        <v>200</v>
      </c>
      <c r="R692" s="209" t="s">
        <v>201</v>
      </c>
      <c r="S692" s="209" t="s">
        <v>202</v>
      </c>
      <c r="T692" s="209" t="s">
        <v>203</v>
      </c>
      <c r="U692" s="209" t="s">
        <v>201</v>
      </c>
      <c r="V692" s="209" t="s">
        <v>179</v>
      </c>
      <c r="W692" s="209" t="s">
        <v>179</v>
      </c>
      <c r="X692" s="209" t="s">
        <v>180</v>
      </c>
      <c r="Y692" s="209" t="s">
        <v>180</v>
      </c>
      <c r="Z692" s="209" t="s">
        <v>1531</v>
      </c>
      <c r="AA692" s="209" t="s">
        <v>1532</v>
      </c>
      <c r="AB692" s="209" t="s">
        <v>180</v>
      </c>
      <c r="AC692" s="209" t="s">
        <v>182</v>
      </c>
      <c r="AD692" s="209">
        <v>2</v>
      </c>
      <c r="AE692" s="209">
        <v>2025</v>
      </c>
      <c r="AF692" s="227">
        <v>45701</v>
      </c>
      <c r="AG692" s="227">
        <v>45705</v>
      </c>
      <c r="AH692" s="227">
        <v>45705</v>
      </c>
      <c r="AI692" s="228">
        <v>531648</v>
      </c>
      <c r="AJ692" s="228">
        <v>52</v>
      </c>
      <c r="AK692" s="228">
        <v>531648</v>
      </c>
      <c r="AL692" s="228">
        <v>52</v>
      </c>
      <c r="AM692" s="228">
        <v>0</v>
      </c>
      <c r="AN692" s="228">
        <v>0</v>
      </c>
      <c r="AO692" s="229">
        <v>8</v>
      </c>
      <c r="AP692" s="231">
        <v>2</v>
      </c>
      <c r="AQ692" s="231">
        <v>2025</v>
      </c>
      <c r="AR692" s="231" t="str">
        <f t="shared" si="90"/>
        <v>02/2025</v>
      </c>
      <c r="AS692" s="231">
        <f t="shared" si="91"/>
        <v>37.200000000000003</v>
      </c>
      <c r="AT692" s="239">
        <f>IF(G692="CERVECERIA Y MALTERIA",(AS692*AK692/1000000)*(1-VLOOKUP(N692,FCST!D:I,6,FALSE)),0)</f>
        <v>19.777305600000002</v>
      </c>
      <c r="AU692" s="232">
        <v>5.0000000000000001E-3</v>
      </c>
      <c r="AV692" s="239">
        <f t="shared" si="92"/>
        <v>19.876192128</v>
      </c>
      <c r="AW692" s="239">
        <f>(AS692*AK692/1000000)*(VLOOKUP(N692,FCST!D:I,6,FALSE))</f>
        <v>0</v>
      </c>
      <c r="AX692" s="239">
        <f t="shared" si="93"/>
        <v>0</v>
      </c>
      <c r="AY692" s="239">
        <f>IF($G692="CERVECERIA Y MALTERIA.",($AS692*$AK692/1000000)*(1-VLOOKUP($N692,FCST!D:I,6,FALSE)),0)</f>
        <v>0</v>
      </c>
      <c r="AZ692" s="239">
        <f t="shared" si="94"/>
        <v>0</v>
      </c>
    </row>
    <row r="693" spans="1:52" x14ac:dyDescent="0.25">
      <c r="A693" s="209">
        <v>1099150</v>
      </c>
      <c r="B693" s="209">
        <v>90</v>
      </c>
      <c r="C693" s="209" t="s">
        <v>1533</v>
      </c>
      <c r="D693" s="209">
        <v>10</v>
      </c>
      <c r="E693" s="209">
        <v>10000002</v>
      </c>
      <c r="F693" s="209">
        <v>20000337</v>
      </c>
      <c r="G693" s="209" t="s">
        <v>105</v>
      </c>
      <c r="H693" s="209">
        <v>20000337</v>
      </c>
      <c r="I693" s="209">
        <v>2</v>
      </c>
      <c r="J693" s="209" t="s">
        <v>169</v>
      </c>
      <c r="K693" s="209" t="s">
        <v>1534</v>
      </c>
      <c r="L693" s="209" t="s">
        <v>171</v>
      </c>
      <c r="M693" s="209" t="s">
        <v>184</v>
      </c>
      <c r="N693" s="209">
        <v>50035183</v>
      </c>
      <c r="O693" s="209" t="s">
        <v>215</v>
      </c>
      <c r="P693" s="209">
        <v>5121</v>
      </c>
      <c r="Q693" s="209" t="s">
        <v>174</v>
      </c>
      <c r="R693" s="209" t="s">
        <v>175</v>
      </c>
      <c r="S693" s="209" t="s">
        <v>176</v>
      </c>
      <c r="T693" s="209" t="s">
        <v>177</v>
      </c>
      <c r="U693" s="209" t="s">
        <v>178</v>
      </c>
      <c r="V693" s="209" t="s">
        <v>179</v>
      </c>
      <c r="W693" s="209" t="s">
        <v>179</v>
      </c>
      <c r="X693" s="209" t="s">
        <v>180</v>
      </c>
      <c r="Y693" s="209" t="s">
        <v>180</v>
      </c>
      <c r="Z693" s="209" t="s">
        <v>1535</v>
      </c>
      <c r="AA693" s="209" t="s">
        <v>1536</v>
      </c>
      <c r="AB693" s="209" t="s">
        <v>180</v>
      </c>
      <c r="AC693" s="209" t="s">
        <v>182</v>
      </c>
      <c r="AD693" s="209">
        <v>2</v>
      </c>
      <c r="AE693" s="209">
        <v>2025</v>
      </c>
      <c r="AF693" s="227">
        <v>45691</v>
      </c>
      <c r="AG693" s="227">
        <v>45705</v>
      </c>
      <c r="AH693" s="227">
        <v>45705</v>
      </c>
      <c r="AI693" s="228">
        <v>426816</v>
      </c>
      <c r="AJ693" s="228">
        <v>52</v>
      </c>
      <c r="AK693" s="228">
        <v>426816</v>
      </c>
      <c r="AL693" s="228">
        <v>52</v>
      </c>
      <c r="AM693" s="228">
        <v>0</v>
      </c>
      <c r="AN693" s="228">
        <v>0</v>
      </c>
      <c r="AO693" s="229">
        <v>6</v>
      </c>
      <c r="AP693" s="231">
        <v>2</v>
      </c>
      <c r="AQ693" s="231">
        <v>2025</v>
      </c>
      <c r="AR693" s="231" t="str">
        <f t="shared" si="90"/>
        <v>02/2025</v>
      </c>
      <c r="AS693" s="231">
        <f t="shared" si="91"/>
        <v>46.6</v>
      </c>
      <c r="AT693" s="239">
        <f>IF(G693="CERVECERIA Y MALTERIA",(AS693*AK693/1000000)*(1-VLOOKUP(N693,FCST!D:I,6,FALSE)),0)</f>
        <v>19.889625600000002</v>
      </c>
      <c r="AU693" s="232">
        <v>5.0000000000000001E-3</v>
      </c>
      <c r="AV693" s="239">
        <f t="shared" si="92"/>
        <v>19.989073728000001</v>
      </c>
      <c r="AW693" s="239">
        <f>(AS693*AK693/1000000)*(VLOOKUP(N693,FCST!D:I,6,FALSE))</f>
        <v>0</v>
      </c>
      <c r="AX693" s="239">
        <f t="shared" si="93"/>
        <v>0</v>
      </c>
      <c r="AY693" s="239">
        <f>IF($G693="CERVECERIA Y MALTERIA.",($AS693*$AK693/1000000)*(1-VLOOKUP($N693,FCST!D:I,6,FALSE)),0)</f>
        <v>0</v>
      </c>
      <c r="AZ693" s="239">
        <f t="shared" si="94"/>
        <v>0</v>
      </c>
    </row>
    <row r="694" spans="1:52" x14ac:dyDescent="0.25">
      <c r="A694" s="209">
        <v>1101563</v>
      </c>
      <c r="B694" s="209">
        <v>20</v>
      </c>
      <c r="C694" s="209" t="s">
        <v>1537</v>
      </c>
      <c r="D694" s="209">
        <v>10</v>
      </c>
      <c r="E694" s="209">
        <v>10000002</v>
      </c>
      <c r="F694" s="209">
        <v>20000335</v>
      </c>
      <c r="G694" s="209" t="s">
        <v>105</v>
      </c>
      <c r="H694" s="209">
        <v>20000335</v>
      </c>
      <c r="I694" s="209">
        <v>2</v>
      </c>
      <c r="J694" s="209" t="s">
        <v>169</v>
      </c>
      <c r="K694" s="209" t="s">
        <v>1538</v>
      </c>
      <c r="L694" s="209" t="s">
        <v>171</v>
      </c>
      <c r="M694" s="209" t="s">
        <v>199</v>
      </c>
      <c r="N694" s="209">
        <v>50034616</v>
      </c>
      <c r="O694" s="209" t="s">
        <v>191</v>
      </c>
      <c r="P694" s="209">
        <v>5121</v>
      </c>
      <c r="Q694" s="209" t="s">
        <v>200</v>
      </c>
      <c r="R694" s="209" t="s">
        <v>201</v>
      </c>
      <c r="S694" s="209" t="s">
        <v>202</v>
      </c>
      <c r="T694" s="209" t="s">
        <v>203</v>
      </c>
      <c r="U694" s="209" t="s">
        <v>201</v>
      </c>
      <c r="V694" s="209" t="s">
        <v>179</v>
      </c>
      <c r="W694" s="209" t="s">
        <v>179</v>
      </c>
      <c r="X694" s="209" t="s">
        <v>180</v>
      </c>
      <c r="Y694" s="209" t="s">
        <v>180</v>
      </c>
      <c r="Z694" s="209" t="s">
        <v>1539</v>
      </c>
      <c r="AA694" s="209" t="s">
        <v>1540</v>
      </c>
      <c r="AB694" s="209" t="s">
        <v>180</v>
      </c>
      <c r="AC694" s="209" t="s">
        <v>182</v>
      </c>
      <c r="AD694" s="209">
        <v>2</v>
      </c>
      <c r="AE694" s="209">
        <v>2025</v>
      </c>
      <c r="AF694" s="227">
        <v>45701</v>
      </c>
      <c r="AG694" s="227">
        <v>45705</v>
      </c>
      <c r="AH694" s="227">
        <v>45705</v>
      </c>
      <c r="AI694" s="228">
        <v>426816</v>
      </c>
      <c r="AJ694" s="228">
        <v>52</v>
      </c>
      <c r="AK694" s="228">
        <v>426816</v>
      </c>
      <c r="AL694" s="228">
        <v>52</v>
      </c>
      <c r="AM694" s="228">
        <v>0</v>
      </c>
      <c r="AN694" s="228">
        <v>0</v>
      </c>
      <c r="AO694" s="229">
        <v>8</v>
      </c>
      <c r="AP694" s="231">
        <v>2</v>
      </c>
      <c r="AQ694" s="231">
        <v>2025</v>
      </c>
      <c r="AR694" s="231" t="str">
        <f t="shared" si="90"/>
        <v>02/2025</v>
      </c>
      <c r="AS694" s="231">
        <f t="shared" si="91"/>
        <v>46.6</v>
      </c>
      <c r="AT694" s="239">
        <f>IF(G694="CERVECERIA Y MALTERIA",(AS694*AK694/1000000)*(1-VLOOKUP(N694,FCST!D:I,6,FALSE)),0)</f>
        <v>19.889625600000002</v>
      </c>
      <c r="AU694" s="232">
        <v>5.0000000000000001E-3</v>
      </c>
      <c r="AV694" s="239">
        <f t="shared" si="92"/>
        <v>19.989073728000001</v>
      </c>
      <c r="AW694" s="239">
        <f>(AS694*AK694/1000000)*(VLOOKUP(N694,FCST!D:I,6,FALSE))</f>
        <v>0</v>
      </c>
      <c r="AX694" s="239">
        <f t="shared" si="93"/>
        <v>0</v>
      </c>
      <c r="AY694" s="239">
        <f>IF($G694="CERVECERIA Y MALTERIA.",($AS694*$AK694/1000000)*(1-VLOOKUP($N694,FCST!D:I,6,FALSE)),0)</f>
        <v>0</v>
      </c>
      <c r="AZ694" s="239">
        <f t="shared" si="94"/>
        <v>0</v>
      </c>
    </row>
    <row r="695" spans="1:52" x14ac:dyDescent="0.25">
      <c r="A695" s="209">
        <v>1100203</v>
      </c>
      <c r="B695" s="209">
        <v>60</v>
      </c>
      <c r="C695" s="209" t="s">
        <v>1541</v>
      </c>
      <c r="D695" s="209">
        <v>10</v>
      </c>
      <c r="E695" s="209">
        <v>10000002</v>
      </c>
      <c r="F695" s="209">
        <v>20000335</v>
      </c>
      <c r="G695" s="209" t="s">
        <v>105</v>
      </c>
      <c r="H695" s="209">
        <v>20000335</v>
      </c>
      <c r="I695" s="209">
        <v>2</v>
      </c>
      <c r="J695" s="209" t="s">
        <v>169</v>
      </c>
      <c r="K695" s="209" t="s">
        <v>1542</v>
      </c>
      <c r="L695" s="209" t="s">
        <v>171</v>
      </c>
      <c r="M695" s="209" t="s">
        <v>184</v>
      </c>
      <c r="N695" s="209">
        <v>50035183</v>
      </c>
      <c r="O695" s="209" t="s">
        <v>215</v>
      </c>
      <c r="P695" s="209">
        <v>5121</v>
      </c>
      <c r="Q695" s="209" t="s">
        <v>174</v>
      </c>
      <c r="R695" s="209" t="s">
        <v>175</v>
      </c>
      <c r="S695" s="209" t="s">
        <v>176</v>
      </c>
      <c r="T695" s="209" t="s">
        <v>177</v>
      </c>
      <c r="U695" s="209" t="s">
        <v>178</v>
      </c>
      <c r="V695" s="209" t="s">
        <v>179</v>
      </c>
      <c r="W695" s="209" t="s">
        <v>179</v>
      </c>
      <c r="X695" s="209" t="s">
        <v>180</v>
      </c>
      <c r="Y695" s="209" t="s">
        <v>180</v>
      </c>
      <c r="Z695" s="209" t="s">
        <v>1415</v>
      </c>
      <c r="AA695" s="209" t="s">
        <v>1416</v>
      </c>
      <c r="AB695" s="209" t="s">
        <v>180</v>
      </c>
      <c r="AC695" s="209" t="s">
        <v>182</v>
      </c>
      <c r="AD695" s="209">
        <v>2</v>
      </c>
      <c r="AE695" s="209">
        <v>2025</v>
      </c>
      <c r="AF695" s="227">
        <v>45695</v>
      </c>
      <c r="AG695" s="227">
        <v>45699</v>
      </c>
      <c r="AH695" s="227">
        <v>45699</v>
      </c>
      <c r="AI695" s="228">
        <v>426816</v>
      </c>
      <c r="AJ695" s="228">
        <v>52</v>
      </c>
      <c r="AK695" s="228">
        <v>426816</v>
      </c>
      <c r="AL695" s="228">
        <v>52</v>
      </c>
      <c r="AM695" s="228">
        <v>0</v>
      </c>
      <c r="AN695" s="228">
        <v>0</v>
      </c>
      <c r="AO695" s="229">
        <v>7</v>
      </c>
      <c r="AP695" s="231">
        <v>2</v>
      </c>
      <c r="AQ695" s="231">
        <v>2025</v>
      </c>
      <c r="AR695" s="231" t="str">
        <f t="shared" si="90"/>
        <v>02/2025</v>
      </c>
      <c r="AS695" s="231">
        <f t="shared" si="91"/>
        <v>46.6</v>
      </c>
      <c r="AT695" s="239">
        <f>IF(G695="CERVECERIA Y MALTERIA",(AS695*AK695/1000000)*(1-VLOOKUP(N695,FCST!D:I,6,FALSE)),0)</f>
        <v>19.889625600000002</v>
      </c>
      <c r="AU695" s="232">
        <v>5.0000000000000001E-3</v>
      </c>
      <c r="AV695" s="239">
        <f t="shared" si="92"/>
        <v>19.989073728000001</v>
      </c>
      <c r="AW695" s="239">
        <f>(AS695*AK695/1000000)*(VLOOKUP(N695,FCST!D:I,6,FALSE))</f>
        <v>0</v>
      </c>
      <c r="AX695" s="239">
        <f t="shared" si="93"/>
        <v>0</v>
      </c>
      <c r="AY695" s="239">
        <f>IF($G695="CERVECERIA Y MALTERIA.",($AS695*$AK695/1000000)*(1-VLOOKUP($N695,FCST!D:I,6,FALSE)),0)</f>
        <v>0</v>
      </c>
      <c r="AZ695" s="239">
        <f t="shared" si="94"/>
        <v>0</v>
      </c>
    </row>
    <row r="696" spans="1:52" x14ac:dyDescent="0.25">
      <c r="A696" s="209">
        <v>1100790</v>
      </c>
      <c r="B696" s="209">
        <v>10</v>
      </c>
      <c r="C696" s="209" t="s">
        <v>1543</v>
      </c>
      <c r="D696" s="209">
        <v>10</v>
      </c>
      <c r="E696" s="209">
        <v>10000002</v>
      </c>
      <c r="F696" s="209">
        <v>20000336</v>
      </c>
      <c r="G696" s="209" t="s">
        <v>105</v>
      </c>
      <c r="H696" s="209">
        <v>20000336</v>
      </c>
      <c r="I696" s="209">
        <v>2</v>
      </c>
      <c r="J696" s="209" t="s">
        <v>169</v>
      </c>
      <c r="K696" s="209" t="s">
        <v>1544</v>
      </c>
      <c r="L696" s="209" t="s">
        <v>171</v>
      </c>
      <c r="M696" s="209" t="s">
        <v>172</v>
      </c>
      <c r="N696" s="209">
        <v>50034634</v>
      </c>
      <c r="O696" s="209" t="s">
        <v>219</v>
      </c>
      <c r="P696" s="209">
        <v>5121</v>
      </c>
      <c r="Q696" s="209" t="s">
        <v>174</v>
      </c>
      <c r="R696" s="209" t="s">
        <v>175</v>
      </c>
      <c r="S696" s="209" t="s">
        <v>176</v>
      </c>
      <c r="T696" s="209" t="s">
        <v>177</v>
      </c>
      <c r="U696" s="209" t="s">
        <v>178</v>
      </c>
      <c r="V696" s="209" t="s">
        <v>179</v>
      </c>
      <c r="W696" s="209" t="s">
        <v>179</v>
      </c>
      <c r="X696" s="209" t="s">
        <v>180</v>
      </c>
      <c r="Y696" s="209" t="s">
        <v>180</v>
      </c>
      <c r="Z696" s="209" t="s">
        <v>1545</v>
      </c>
      <c r="AA696" s="209" t="s">
        <v>1546</v>
      </c>
      <c r="AB696" s="209" t="s">
        <v>180</v>
      </c>
      <c r="AC696" s="209" t="s">
        <v>182</v>
      </c>
      <c r="AD696" s="209">
        <v>2</v>
      </c>
      <c r="AE696" s="209">
        <v>2025</v>
      </c>
      <c r="AF696" s="227">
        <v>45699</v>
      </c>
      <c r="AG696" s="227">
        <v>45699</v>
      </c>
      <c r="AH696" s="227">
        <v>45699</v>
      </c>
      <c r="AI696" s="228">
        <v>364416</v>
      </c>
      <c r="AJ696" s="228">
        <v>52</v>
      </c>
      <c r="AK696" s="228">
        <v>364416</v>
      </c>
      <c r="AL696" s="228">
        <v>52</v>
      </c>
      <c r="AM696" s="228">
        <v>0</v>
      </c>
      <c r="AN696" s="228">
        <v>0</v>
      </c>
      <c r="AO696" s="229">
        <v>7</v>
      </c>
      <c r="AP696" s="231">
        <v>2</v>
      </c>
      <c r="AQ696" s="231">
        <v>2025</v>
      </c>
      <c r="AR696" s="231" t="str">
        <f t="shared" si="90"/>
        <v>02/2025</v>
      </c>
      <c r="AS696" s="231">
        <f t="shared" si="91"/>
        <v>52</v>
      </c>
      <c r="AT696" s="239">
        <f>IF(G696="CERVECERIA Y MALTERIA",(AS696*AK696/1000000)*(1-VLOOKUP(N696,FCST!D:I,6,FALSE)),0)</f>
        <v>18.949632000000001</v>
      </c>
      <c r="AU696" s="232">
        <v>5.0000000000000001E-3</v>
      </c>
      <c r="AV696" s="239">
        <f t="shared" si="92"/>
        <v>19.044380159999999</v>
      </c>
      <c r="AW696" s="239">
        <f>(AS696*AK696/1000000)*(VLOOKUP(N696,FCST!D:I,6,FALSE))</f>
        <v>0</v>
      </c>
      <c r="AX696" s="239">
        <f t="shared" si="93"/>
        <v>0</v>
      </c>
      <c r="AY696" s="239">
        <f>IF($G696="CERVECERIA Y MALTERIA.",($AS696*$AK696/1000000)*(1-VLOOKUP($N696,FCST!D:I,6,FALSE)),0)</f>
        <v>0</v>
      </c>
      <c r="AZ696" s="239">
        <f t="shared" si="94"/>
        <v>0</v>
      </c>
    </row>
    <row r="697" spans="1:52" x14ac:dyDescent="0.25">
      <c r="A697" s="209">
        <v>1099282</v>
      </c>
      <c r="B697" s="209">
        <v>40</v>
      </c>
      <c r="C697" s="209" t="s">
        <v>1547</v>
      </c>
      <c r="D697" s="209">
        <v>10</v>
      </c>
      <c r="E697" s="209">
        <v>10000002</v>
      </c>
      <c r="F697" s="209">
        <v>20000339</v>
      </c>
      <c r="G697" s="209" t="s">
        <v>105</v>
      </c>
      <c r="H697" s="209">
        <v>20000339</v>
      </c>
      <c r="I697" s="209">
        <v>2</v>
      </c>
      <c r="J697" s="209" t="s">
        <v>169</v>
      </c>
      <c r="K697" s="209" t="s">
        <v>1548</v>
      </c>
      <c r="L697" s="209" t="s">
        <v>171</v>
      </c>
      <c r="M697" s="209" t="s">
        <v>172</v>
      </c>
      <c r="N697" s="209">
        <v>50033268</v>
      </c>
      <c r="O697" s="209" t="s">
        <v>253</v>
      </c>
      <c r="P697" s="209">
        <v>5121</v>
      </c>
      <c r="Q697" s="209" t="s">
        <v>174</v>
      </c>
      <c r="R697" s="209" t="s">
        <v>175</v>
      </c>
      <c r="S697" s="209" t="s">
        <v>176</v>
      </c>
      <c r="T697" s="209" t="s">
        <v>177</v>
      </c>
      <c r="U697" s="209" t="s">
        <v>178</v>
      </c>
      <c r="V697" s="209" t="s">
        <v>179</v>
      </c>
      <c r="W697" s="209" t="s">
        <v>179</v>
      </c>
      <c r="X697" s="209" t="s">
        <v>180</v>
      </c>
      <c r="Y697" s="209" t="s">
        <v>180</v>
      </c>
      <c r="Z697" s="209" t="s">
        <v>1457</v>
      </c>
      <c r="AA697" s="209" t="s">
        <v>1458</v>
      </c>
      <c r="AB697" s="209" t="s">
        <v>180</v>
      </c>
      <c r="AC697" s="209" t="s">
        <v>182</v>
      </c>
      <c r="AD697" s="209">
        <v>2</v>
      </c>
      <c r="AE697" s="209">
        <v>2025</v>
      </c>
      <c r="AF697" s="227">
        <v>45691</v>
      </c>
      <c r="AG697" s="227">
        <v>45695</v>
      </c>
      <c r="AH697" s="227">
        <v>45699</v>
      </c>
      <c r="AI697" s="228">
        <v>109536</v>
      </c>
      <c r="AJ697" s="228">
        <v>14</v>
      </c>
      <c r="AK697" s="228">
        <v>109536</v>
      </c>
      <c r="AL697" s="228">
        <v>14</v>
      </c>
      <c r="AM697" s="228">
        <v>0</v>
      </c>
      <c r="AN697" s="228">
        <v>0</v>
      </c>
      <c r="AO697" s="229">
        <v>6</v>
      </c>
      <c r="AP697" s="231">
        <v>2</v>
      </c>
      <c r="AQ697" s="231">
        <v>2025</v>
      </c>
      <c r="AR697" s="231" t="str">
        <f t="shared" si="90"/>
        <v>02/2025</v>
      </c>
      <c r="AS697" s="231">
        <f t="shared" si="91"/>
        <v>44</v>
      </c>
      <c r="AT697" s="239">
        <f>IF(G697="CERVECERIA Y MALTERIA",(AS697*AK697/1000000)*(1-VLOOKUP(N697,FCST!D:I,6,FALSE)),0)</f>
        <v>4.8195839999999999</v>
      </c>
      <c r="AU697" s="232">
        <v>5.0000000000000001E-3</v>
      </c>
      <c r="AV697" s="239">
        <f t="shared" si="92"/>
        <v>4.843681919999999</v>
      </c>
      <c r="AW697" s="239">
        <f>(AS697*AK697/1000000)*(VLOOKUP(N697,FCST!D:I,6,FALSE))</f>
        <v>0</v>
      </c>
      <c r="AX697" s="239">
        <f t="shared" si="93"/>
        <v>0</v>
      </c>
      <c r="AY697" s="239">
        <f>IF($G697="CERVECERIA Y MALTERIA.",($AS697*$AK697/1000000)*(1-VLOOKUP($N697,FCST!D:I,6,FALSE)),0)</f>
        <v>0</v>
      </c>
      <c r="AZ697" s="239">
        <f t="shared" si="94"/>
        <v>0</v>
      </c>
    </row>
    <row r="698" spans="1:52" x14ac:dyDescent="0.25">
      <c r="A698" s="209">
        <v>1100203</v>
      </c>
      <c r="B698" s="209">
        <v>40</v>
      </c>
      <c r="C698" s="209" t="s">
        <v>1549</v>
      </c>
      <c r="D698" s="209">
        <v>10</v>
      </c>
      <c r="E698" s="209">
        <v>10000002</v>
      </c>
      <c r="F698" s="209">
        <v>20000335</v>
      </c>
      <c r="G698" s="209" t="s">
        <v>105</v>
      </c>
      <c r="H698" s="209">
        <v>20000335</v>
      </c>
      <c r="I698" s="209">
        <v>2</v>
      </c>
      <c r="J698" s="209" t="s">
        <v>169</v>
      </c>
      <c r="K698" s="209" t="s">
        <v>1550</v>
      </c>
      <c r="L698" s="209" t="s">
        <v>171</v>
      </c>
      <c r="M698" s="209" t="s">
        <v>199</v>
      </c>
      <c r="N698" s="209">
        <v>50034616</v>
      </c>
      <c r="O698" s="209" t="s">
        <v>191</v>
      </c>
      <c r="P698" s="209">
        <v>5121</v>
      </c>
      <c r="Q698" s="209" t="s">
        <v>200</v>
      </c>
      <c r="R698" s="209" t="s">
        <v>201</v>
      </c>
      <c r="S698" s="209" t="s">
        <v>202</v>
      </c>
      <c r="T698" s="209" t="s">
        <v>203</v>
      </c>
      <c r="U698" s="209" t="s">
        <v>201</v>
      </c>
      <c r="V698" s="209" t="s">
        <v>179</v>
      </c>
      <c r="W698" s="209" t="s">
        <v>179</v>
      </c>
      <c r="X698" s="209" t="s">
        <v>180</v>
      </c>
      <c r="Y698" s="209" t="s">
        <v>180</v>
      </c>
      <c r="Z698" s="209" t="s">
        <v>1437</v>
      </c>
      <c r="AA698" s="209" t="s">
        <v>1438</v>
      </c>
      <c r="AB698" s="209" t="s">
        <v>180</v>
      </c>
      <c r="AC698" s="209" t="s">
        <v>182</v>
      </c>
      <c r="AD698" s="209">
        <v>2</v>
      </c>
      <c r="AE698" s="209">
        <v>2025</v>
      </c>
      <c r="AF698" s="227">
        <v>45695</v>
      </c>
      <c r="AG698" s="227">
        <v>45699</v>
      </c>
      <c r="AH698" s="227">
        <v>45699</v>
      </c>
      <c r="AI698" s="228">
        <v>426816</v>
      </c>
      <c r="AJ698" s="228">
        <v>52</v>
      </c>
      <c r="AK698" s="228">
        <v>426816</v>
      </c>
      <c r="AL698" s="228">
        <v>52</v>
      </c>
      <c r="AM698" s="228">
        <v>0</v>
      </c>
      <c r="AN698" s="228">
        <v>0</v>
      </c>
      <c r="AO698" s="229">
        <v>7</v>
      </c>
      <c r="AP698" s="231">
        <v>2</v>
      </c>
      <c r="AQ698" s="231">
        <v>2025</v>
      </c>
      <c r="AR698" s="231" t="str">
        <f t="shared" si="90"/>
        <v>02/2025</v>
      </c>
      <c r="AS698" s="231">
        <f t="shared" si="91"/>
        <v>46.6</v>
      </c>
      <c r="AT698" s="239">
        <f>IF(G698="CERVECERIA Y MALTERIA",(AS698*AK698/1000000)*(1-VLOOKUP(N698,FCST!D:I,6,FALSE)),0)</f>
        <v>19.889625600000002</v>
      </c>
      <c r="AU698" s="232">
        <v>5.0000000000000001E-3</v>
      </c>
      <c r="AV698" s="239">
        <f t="shared" si="92"/>
        <v>19.989073728000001</v>
      </c>
      <c r="AW698" s="239">
        <f>(AS698*AK698/1000000)*(VLOOKUP(N698,FCST!D:I,6,FALSE))</f>
        <v>0</v>
      </c>
      <c r="AX698" s="239">
        <f t="shared" si="93"/>
        <v>0</v>
      </c>
      <c r="AY698" s="239">
        <f>IF($G698="CERVECERIA Y MALTERIA.",($AS698*$AK698/1000000)*(1-VLOOKUP($N698,FCST!D:I,6,FALSE)),0)</f>
        <v>0</v>
      </c>
      <c r="AZ698" s="239">
        <f t="shared" si="94"/>
        <v>0</v>
      </c>
    </row>
    <row r="699" spans="1:52" x14ac:dyDescent="0.25">
      <c r="A699" s="209">
        <v>1100203</v>
      </c>
      <c r="B699" s="209">
        <v>30</v>
      </c>
      <c r="C699" s="209" t="s">
        <v>1551</v>
      </c>
      <c r="D699" s="209">
        <v>10</v>
      </c>
      <c r="E699" s="209">
        <v>10000002</v>
      </c>
      <c r="F699" s="209">
        <v>20000335</v>
      </c>
      <c r="G699" s="209" t="s">
        <v>105</v>
      </c>
      <c r="H699" s="209">
        <v>20000335</v>
      </c>
      <c r="I699" s="209">
        <v>2</v>
      </c>
      <c r="J699" s="209" t="s">
        <v>169</v>
      </c>
      <c r="K699" s="209" t="s">
        <v>1552</v>
      </c>
      <c r="L699" s="209" t="s">
        <v>171</v>
      </c>
      <c r="M699" s="209" t="s">
        <v>172</v>
      </c>
      <c r="N699" s="209">
        <v>50037887</v>
      </c>
      <c r="O699" s="209" t="s">
        <v>679</v>
      </c>
      <c r="P699" s="209">
        <v>5121</v>
      </c>
      <c r="Q699" s="209" t="s">
        <v>174</v>
      </c>
      <c r="R699" s="209" t="s">
        <v>175</v>
      </c>
      <c r="S699" s="209" t="s">
        <v>176</v>
      </c>
      <c r="T699" s="209" t="s">
        <v>177</v>
      </c>
      <c r="U699" s="209" t="s">
        <v>178</v>
      </c>
      <c r="V699" s="209" t="s">
        <v>179</v>
      </c>
      <c r="W699" s="209" t="s">
        <v>179</v>
      </c>
      <c r="X699" s="209" t="s">
        <v>180</v>
      </c>
      <c r="Y699" s="209" t="s">
        <v>180</v>
      </c>
      <c r="Z699" s="209" t="s">
        <v>1423</v>
      </c>
      <c r="AA699" s="209" t="s">
        <v>1424</v>
      </c>
      <c r="AB699" s="209" t="s">
        <v>180</v>
      </c>
      <c r="AC699" s="209" t="s">
        <v>182</v>
      </c>
      <c r="AD699" s="209">
        <v>2</v>
      </c>
      <c r="AE699" s="209">
        <v>2025</v>
      </c>
      <c r="AF699" s="227">
        <v>45695</v>
      </c>
      <c r="AG699" s="227">
        <v>45699</v>
      </c>
      <c r="AH699" s="227">
        <v>45699</v>
      </c>
      <c r="AI699" s="228">
        <v>531648</v>
      </c>
      <c r="AJ699" s="228">
        <v>52</v>
      </c>
      <c r="AK699" s="228">
        <v>531648</v>
      </c>
      <c r="AL699" s="228">
        <v>52</v>
      </c>
      <c r="AM699" s="228">
        <v>0</v>
      </c>
      <c r="AN699" s="228">
        <v>0</v>
      </c>
      <c r="AO699" s="229">
        <v>7</v>
      </c>
      <c r="AP699" s="231">
        <v>2</v>
      </c>
      <c r="AQ699" s="231">
        <v>2025</v>
      </c>
      <c r="AR699" s="231" t="str">
        <f t="shared" si="90"/>
        <v>02/2025</v>
      </c>
      <c r="AS699" s="231">
        <f t="shared" si="91"/>
        <v>37.200000000000003</v>
      </c>
      <c r="AT699" s="239">
        <f>IF(G699="CERVECERIA Y MALTERIA",(AS699*AK699/1000000)*(1-VLOOKUP(N699,FCST!D:I,6,FALSE)),0)</f>
        <v>19.777305600000002</v>
      </c>
      <c r="AU699" s="232">
        <v>5.0000000000000001E-3</v>
      </c>
      <c r="AV699" s="239">
        <f t="shared" si="92"/>
        <v>19.876192128</v>
      </c>
      <c r="AW699" s="239">
        <f>(AS699*AK699/1000000)*(VLOOKUP(N699,FCST!D:I,6,FALSE))</f>
        <v>0</v>
      </c>
      <c r="AX699" s="239">
        <f t="shared" si="93"/>
        <v>0</v>
      </c>
      <c r="AY699" s="239">
        <f>IF($G699="CERVECERIA Y MALTERIA.",($AS699*$AK699/1000000)*(1-VLOOKUP($N699,FCST!D:I,6,FALSE)),0)</f>
        <v>0</v>
      </c>
      <c r="AZ699" s="239">
        <f t="shared" si="94"/>
        <v>0</v>
      </c>
    </row>
    <row r="700" spans="1:52" x14ac:dyDescent="0.25">
      <c r="A700" s="209">
        <v>1099150</v>
      </c>
      <c r="B700" s="209">
        <v>70</v>
      </c>
      <c r="C700" s="209" t="s">
        <v>1553</v>
      </c>
      <c r="D700" s="209">
        <v>20</v>
      </c>
      <c r="E700" s="209">
        <v>10000002</v>
      </c>
      <c r="F700" s="209">
        <v>20000337</v>
      </c>
      <c r="G700" s="209" t="s">
        <v>105</v>
      </c>
      <c r="H700" s="209">
        <v>20000337</v>
      </c>
      <c r="I700" s="209">
        <v>2</v>
      </c>
      <c r="J700" s="209" t="s">
        <v>169</v>
      </c>
      <c r="K700" s="209" t="s">
        <v>1554</v>
      </c>
      <c r="L700" s="209" t="s">
        <v>171</v>
      </c>
      <c r="M700" s="209" t="s">
        <v>184</v>
      </c>
      <c r="N700" s="209">
        <v>50034616</v>
      </c>
      <c r="O700" s="209" t="s">
        <v>191</v>
      </c>
      <c r="P700" s="209">
        <v>5121</v>
      </c>
      <c r="Q700" s="209" t="s">
        <v>174</v>
      </c>
      <c r="R700" s="209" t="s">
        <v>175</v>
      </c>
      <c r="S700" s="209" t="s">
        <v>176</v>
      </c>
      <c r="T700" s="209" t="s">
        <v>177</v>
      </c>
      <c r="U700" s="209" t="s">
        <v>178</v>
      </c>
      <c r="V700" s="209" t="s">
        <v>179</v>
      </c>
      <c r="W700" s="209" t="s">
        <v>179</v>
      </c>
      <c r="X700" s="209" t="s">
        <v>180</v>
      </c>
      <c r="Y700" s="209" t="s">
        <v>180</v>
      </c>
      <c r="Z700" s="209" t="s">
        <v>1555</v>
      </c>
      <c r="AA700" s="209" t="s">
        <v>1556</v>
      </c>
      <c r="AB700" s="209" t="s">
        <v>180</v>
      </c>
      <c r="AC700" s="209" t="s">
        <v>182</v>
      </c>
      <c r="AD700" s="209">
        <v>2</v>
      </c>
      <c r="AE700" s="209">
        <v>2025</v>
      </c>
      <c r="AF700" s="227">
        <v>45691</v>
      </c>
      <c r="AG700" s="227">
        <v>45701</v>
      </c>
      <c r="AH700" s="227">
        <v>45701</v>
      </c>
      <c r="AI700" s="228">
        <v>336528</v>
      </c>
      <c r="AJ700" s="228">
        <v>41</v>
      </c>
      <c r="AK700" s="228">
        <v>336528</v>
      </c>
      <c r="AL700" s="228">
        <v>41</v>
      </c>
      <c r="AM700" s="228">
        <v>0</v>
      </c>
      <c r="AN700" s="228">
        <v>0</v>
      </c>
      <c r="AO700" s="229">
        <v>6</v>
      </c>
      <c r="AP700" s="231">
        <v>2</v>
      </c>
      <c r="AQ700" s="231">
        <v>2025</v>
      </c>
      <c r="AR700" s="231" t="str">
        <f t="shared" si="90"/>
        <v>02/2025</v>
      </c>
      <c r="AS700" s="231">
        <f t="shared" si="91"/>
        <v>46.6</v>
      </c>
      <c r="AT700" s="239">
        <f>IF(G700="CERVECERIA Y MALTERIA",(AS700*AK700/1000000)*(1-VLOOKUP(N700,FCST!D:I,6,FALSE)),0)</f>
        <v>15.682204800000001</v>
      </c>
      <c r="AU700" s="232">
        <v>5.0000000000000001E-3</v>
      </c>
      <c r="AV700" s="239">
        <f t="shared" si="92"/>
        <v>15.760615823999998</v>
      </c>
      <c r="AW700" s="239">
        <f>(AS700*AK700/1000000)*(VLOOKUP(N700,FCST!D:I,6,FALSE))</f>
        <v>0</v>
      </c>
      <c r="AX700" s="239">
        <f t="shared" si="93"/>
        <v>0</v>
      </c>
      <c r="AY700" s="239">
        <f>IF($G700="CERVECERIA Y MALTERIA.",($AS700*$AK700/1000000)*(1-VLOOKUP($N700,FCST!D:I,6,FALSE)),0)</f>
        <v>0</v>
      </c>
      <c r="AZ700" s="239">
        <f t="shared" si="94"/>
        <v>0</v>
      </c>
    </row>
    <row r="701" spans="1:52" x14ac:dyDescent="0.25">
      <c r="A701" s="209">
        <v>1099150</v>
      </c>
      <c r="B701" s="209">
        <v>60</v>
      </c>
      <c r="C701" s="209" t="s">
        <v>1553</v>
      </c>
      <c r="D701" s="209">
        <v>10</v>
      </c>
      <c r="E701" s="209">
        <v>10000002</v>
      </c>
      <c r="F701" s="209">
        <v>20000337</v>
      </c>
      <c r="G701" s="209" t="s">
        <v>105</v>
      </c>
      <c r="H701" s="209">
        <v>20000337</v>
      </c>
      <c r="I701" s="209">
        <v>2</v>
      </c>
      <c r="J701" s="209" t="s">
        <v>169</v>
      </c>
      <c r="K701" s="209" t="s">
        <v>1554</v>
      </c>
      <c r="L701" s="209" t="s">
        <v>171</v>
      </c>
      <c r="M701" s="209" t="s">
        <v>184</v>
      </c>
      <c r="N701" s="209">
        <v>50037042</v>
      </c>
      <c r="O701" s="209" t="s">
        <v>543</v>
      </c>
      <c r="P701" s="209">
        <v>5121</v>
      </c>
      <c r="Q701" s="209" t="s">
        <v>174</v>
      </c>
      <c r="R701" s="209" t="s">
        <v>175</v>
      </c>
      <c r="S701" s="209" t="s">
        <v>176</v>
      </c>
      <c r="T701" s="209" t="s">
        <v>177</v>
      </c>
      <c r="U701" s="209" t="s">
        <v>178</v>
      </c>
      <c r="V701" s="209" t="s">
        <v>179</v>
      </c>
      <c r="W701" s="209" t="s">
        <v>179</v>
      </c>
      <c r="X701" s="209" t="s">
        <v>180</v>
      </c>
      <c r="Y701" s="209" t="s">
        <v>180</v>
      </c>
      <c r="Z701" s="209" t="s">
        <v>1555</v>
      </c>
      <c r="AA701" s="209" t="s">
        <v>1556</v>
      </c>
      <c r="AB701" s="209" t="s">
        <v>180</v>
      </c>
      <c r="AC701" s="209" t="s">
        <v>182</v>
      </c>
      <c r="AD701" s="209">
        <v>2</v>
      </c>
      <c r="AE701" s="209">
        <v>2025</v>
      </c>
      <c r="AF701" s="227">
        <v>45691</v>
      </c>
      <c r="AG701" s="227">
        <v>45701</v>
      </c>
      <c r="AH701" s="227">
        <v>45701</v>
      </c>
      <c r="AI701" s="228">
        <v>90288</v>
      </c>
      <c r="AJ701" s="228">
        <v>11</v>
      </c>
      <c r="AK701" s="228">
        <v>90288</v>
      </c>
      <c r="AL701" s="228">
        <v>11</v>
      </c>
      <c r="AM701" s="228">
        <v>0</v>
      </c>
      <c r="AN701" s="228">
        <v>0</v>
      </c>
      <c r="AO701" s="229">
        <v>6</v>
      </c>
      <c r="AP701" s="231">
        <v>2</v>
      </c>
      <c r="AQ701" s="231">
        <v>2025</v>
      </c>
      <c r="AR701" s="231" t="str">
        <f t="shared" si="90"/>
        <v>02/2025</v>
      </c>
      <c r="AS701" s="231">
        <f t="shared" si="91"/>
        <v>46.6</v>
      </c>
      <c r="AT701" s="239">
        <f>IF(G701="CERVECERIA Y MALTERIA",(AS701*AK701/1000000)*(1-VLOOKUP(N701,FCST!D:I,6,FALSE)),0)</f>
        <v>3.3659366399999997</v>
      </c>
      <c r="AU701" s="232">
        <v>5.0000000000000001E-3</v>
      </c>
      <c r="AV701" s="239">
        <f t="shared" si="92"/>
        <v>3.3827663231999994</v>
      </c>
      <c r="AW701" s="239">
        <f>(AS701*AK701/1000000)*(VLOOKUP(N701,FCST!D:I,6,FALSE))</f>
        <v>0.84148415999999993</v>
      </c>
      <c r="AX701" s="239">
        <f t="shared" si="93"/>
        <v>0.84569158079999984</v>
      </c>
      <c r="AY701" s="239">
        <f>IF($G701="CERVECERIA Y MALTERIA.",($AS701*$AK701/1000000)*(1-VLOOKUP($N701,FCST!D:I,6,FALSE)),0)</f>
        <v>0</v>
      </c>
      <c r="AZ701" s="239">
        <f t="shared" si="94"/>
        <v>0</v>
      </c>
    </row>
    <row r="702" spans="1:52" x14ac:dyDescent="0.25">
      <c r="A702" s="209">
        <v>1100203</v>
      </c>
      <c r="B702" s="209">
        <v>70</v>
      </c>
      <c r="C702" s="209" t="s">
        <v>1557</v>
      </c>
      <c r="D702" s="209">
        <v>10</v>
      </c>
      <c r="E702" s="209">
        <v>10000002</v>
      </c>
      <c r="F702" s="209">
        <v>20000335</v>
      </c>
      <c r="G702" s="209" t="s">
        <v>105</v>
      </c>
      <c r="H702" s="209">
        <v>20000335</v>
      </c>
      <c r="I702" s="209">
        <v>2</v>
      </c>
      <c r="J702" s="209" t="s">
        <v>169</v>
      </c>
      <c r="K702" s="209" t="s">
        <v>1558</v>
      </c>
      <c r="L702" s="209" t="s">
        <v>171</v>
      </c>
      <c r="M702" s="209" t="s">
        <v>199</v>
      </c>
      <c r="N702" s="209">
        <v>50035183</v>
      </c>
      <c r="O702" s="209" t="s">
        <v>215</v>
      </c>
      <c r="P702" s="209">
        <v>5121</v>
      </c>
      <c r="Q702" s="209" t="s">
        <v>200</v>
      </c>
      <c r="R702" s="209" t="s">
        <v>201</v>
      </c>
      <c r="S702" s="209" t="s">
        <v>202</v>
      </c>
      <c r="T702" s="209" t="s">
        <v>203</v>
      </c>
      <c r="U702" s="209" t="s">
        <v>201</v>
      </c>
      <c r="V702" s="209" t="s">
        <v>179</v>
      </c>
      <c r="W702" s="209" t="s">
        <v>179</v>
      </c>
      <c r="X702" s="209" t="s">
        <v>180</v>
      </c>
      <c r="Y702" s="209" t="s">
        <v>180</v>
      </c>
      <c r="Z702" s="209" t="s">
        <v>1415</v>
      </c>
      <c r="AA702" s="209" t="s">
        <v>1416</v>
      </c>
      <c r="AB702" s="209" t="s">
        <v>180</v>
      </c>
      <c r="AC702" s="209" t="s">
        <v>182</v>
      </c>
      <c r="AD702" s="209">
        <v>2</v>
      </c>
      <c r="AE702" s="209">
        <v>2025</v>
      </c>
      <c r="AF702" s="227">
        <v>45695</v>
      </c>
      <c r="AG702" s="227">
        <v>45701</v>
      </c>
      <c r="AH702" s="227">
        <v>45701</v>
      </c>
      <c r="AI702" s="228">
        <v>426816</v>
      </c>
      <c r="AJ702" s="228">
        <v>52</v>
      </c>
      <c r="AK702" s="228">
        <v>426816</v>
      </c>
      <c r="AL702" s="228">
        <v>52</v>
      </c>
      <c r="AM702" s="228">
        <v>0</v>
      </c>
      <c r="AN702" s="228">
        <v>0</v>
      </c>
      <c r="AO702" s="229">
        <v>7</v>
      </c>
      <c r="AP702" s="231">
        <v>2</v>
      </c>
      <c r="AQ702" s="231">
        <v>2025</v>
      </c>
      <c r="AR702" s="231" t="str">
        <f t="shared" si="90"/>
        <v>02/2025</v>
      </c>
      <c r="AS702" s="231">
        <f t="shared" si="91"/>
        <v>46.6</v>
      </c>
      <c r="AT702" s="239">
        <f>IF(G702="CERVECERIA Y MALTERIA",(AS702*AK702/1000000)*(1-VLOOKUP(N702,FCST!D:I,6,FALSE)),0)</f>
        <v>19.889625600000002</v>
      </c>
      <c r="AU702" s="232">
        <v>5.0000000000000001E-3</v>
      </c>
      <c r="AV702" s="239">
        <f t="shared" si="92"/>
        <v>19.989073728000001</v>
      </c>
      <c r="AW702" s="239">
        <f>(AS702*AK702/1000000)*(VLOOKUP(N702,FCST!D:I,6,FALSE))</f>
        <v>0</v>
      </c>
      <c r="AX702" s="239">
        <f t="shared" si="93"/>
        <v>0</v>
      </c>
      <c r="AY702" s="239">
        <f>IF($G702="CERVECERIA Y MALTERIA.",($AS702*$AK702/1000000)*(1-VLOOKUP($N702,FCST!D:I,6,FALSE)),0)</f>
        <v>0</v>
      </c>
      <c r="AZ702" s="239">
        <f t="shared" si="94"/>
        <v>0</v>
      </c>
    </row>
    <row r="703" spans="1:52" x14ac:dyDescent="0.25">
      <c r="A703" s="209">
        <v>1100264</v>
      </c>
      <c r="B703" s="209">
        <v>50</v>
      </c>
      <c r="C703" s="209" t="s">
        <v>1559</v>
      </c>
      <c r="D703" s="209">
        <v>20</v>
      </c>
      <c r="E703" s="209">
        <v>10000002</v>
      </c>
      <c r="F703" s="209">
        <v>20001057</v>
      </c>
      <c r="G703" s="209" t="s">
        <v>105</v>
      </c>
      <c r="H703" s="209">
        <v>20001057</v>
      </c>
      <c r="I703" s="209">
        <v>2</v>
      </c>
      <c r="J703" s="209" t="s">
        <v>169</v>
      </c>
      <c r="K703" s="209" t="s">
        <v>1560</v>
      </c>
      <c r="L703" s="209" t="s">
        <v>265</v>
      </c>
      <c r="M703" s="209" t="s">
        <v>172</v>
      </c>
      <c r="N703" s="209">
        <v>50032578</v>
      </c>
      <c r="O703" s="209" t="s">
        <v>329</v>
      </c>
      <c r="P703" s="209">
        <v>5121</v>
      </c>
      <c r="Q703" s="209" t="s">
        <v>174</v>
      </c>
      <c r="R703" s="209" t="s">
        <v>175</v>
      </c>
      <c r="S703" s="209" t="s">
        <v>176</v>
      </c>
      <c r="T703" s="209" t="s">
        <v>177</v>
      </c>
      <c r="U703" s="209" t="s">
        <v>178</v>
      </c>
      <c r="V703" s="209" t="s">
        <v>179</v>
      </c>
      <c r="W703" s="209" t="s">
        <v>179</v>
      </c>
      <c r="X703" s="209" t="s">
        <v>180</v>
      </c>
      <c r="Y703" s="209" t="s">
        <v>180</v>
      </c>
      <c r="Z703" s="209" t="s">
        <v>1561</v>
      </c>
      <c r="AA703" s="209" t="s">
        <v>1562</v>
      </c>
      <c r="AB703" s="209" t="s">
        <v>180</v>
      </c>
      <c r="AC703" s="209" t="s">
        <v>182</v>
      </c>
      <c r="AD703" s="209">
        <v>2</v>
      </c>
      <c r="AE703" s="209">
        <v>2025</v>
      </c>
      <c r="AF703" s="227">
        <v>45695</v>
      </c>
      <c r="AG703" s="227">
        <v>45700</v>
      </c>
      <c r="AH703" s="227">
        <v>45701</v>
      </c>
      <c r="AI703" s="228">
        <v>235152</v>
      </c>
      <c r="AJ703" s="228">
        <v>23</v>
      </c>
      <c r="AK703" s="228">
        <v>235152</v>
      </c>
      <c r="AL703" s="228">
        <v>23</v>
      </c>
      <c r="AM703" s="228">
        <v>0</v>
      </c>
      <c r="AN703" s="228">
        <v>0</v>
      </c>
      <c r="AO703" s="229">
        <v>7</v>
      </c>
      <c r="AP703" s="231">
        <v>2</v>
      </c>
      <c r="AQ703" s="231">
        <v>2025</v>
      </c>
      <c r="AR703" s="231" t="str">
        <f t="shared" si="90"/>
        <v>02/2025</v>
      </c>
      <c r="AS703" s="231">
        <f t="shared" si="91"/>
        <v>37.200000000000003</v>
      </c>
      <c r="AT703" s="239">
        <f>IF(G703="CERVECERIA Y MALTERIA",(AS703*AK703/1000000)*(1-VLOOKUP(N703,FCST!D:I,6,FALSE)),0)</f>
        <v>8.7476544000000001</v>
      </c>
      <c r="AU703" s="232">
        <v>5.0000000000000001E-3</v>
      </c>
      <c r="AV703" s="239">
        <f t="shared" si="92"/>
        <v>8.7913926719999989</v>
      </c>
      <c r="AW703" s="239">
        <f>(AS703*AK703/1000000)*(VLOOKUP(N703,FCST!D:I,6,FALSE))</f>
        <v>0</v>
      </c>
      <c r="AX703" s="239">
        <f t="shared" si="93"/>
        <v>0</v>
      </c>
      <c r="AY703" s="239">
        <f>IF($G703="CERVECERIA Y MALTERIA.",($AS703*$AK703/1000000)*(1-VLOOKUP($N703,FCST!D:I,6,FALSE)),0)</f>
        <v>0</v>
      </c>
      <c r="AZ703" s="239">
        <f t="shared" si="94"/>
        <v>0</v>
      </c>
    </row>
    <row r="704" spans="1:52" x14ac:dyDescent="0.25">
      <c r="A704" s="209">
        <v>1100264</v>
      </c>
      <c r="B704" s="209">
        <v>40</v>
      </c>
      <c r="C704" s="209" t="s">
        <v>1559</v>
      </c>
      <c r="D704" s="209">
        <v>10</v>
      </c>
      <c r="E704" s="209">
        <v>10000002</v>
      </c>
      <c r="F704" s="209">
        <v>20001057</v>
      </c>
      <c r="G704" s="209" t="s">
        <v>105</v>
      </c>
      <c r="H704" s="209">
        <v>20001057</v>
      </c>
      <c r="I704" s="209">
        <v>2</v>
      </c>
      <c r="J704" s="209" t="s">
        <v>169</v>
      </c>
      <c r="K704" s="209" t="s">
        <v>1560</v>
      </c>
      <c r="L704" s="209" t="s">
        <v>265</v>
      </c>
      <c r="M704" s="209" t="s">
        <v>172</v>
      </c>
      <c r="N704" s="209">
        <v>50035184</v>
      </c>
      <c r="O704" s="209" t="s">
        <v>672</v>
      </c>
      <c r="P704" s="209">
        <v>5121</v>
      </c>
      <c r="Q704" s="209" t="s">
        <v>174</v>
      </c>
      <c r="R704" s="209" t="s">
        <v>175</v>
      </c>
      <c r="S704" s="209" t="s">
        <v>176</v>
      </c>
      <c r="T704" s="209" t="s">
        <v>177</v>
      </c>
      <c r="U704" s="209" t="s">
        <v>178</v>
      </c>
      <c r="V704" s="209" t="s">
        <v>179</v>
      </c>
      <c r="W704" s="209" t="s">
        <v>179</v>
      </c>
      <c r="X704" s="209" t="s">
        <v>180</v>
      </c>
      <c r="Y704" s="209" t="s">
        <v>180</v>
      </c>
      <c r="Z704" s="209" t="s">
        <v>1561</v>
      </c>
      <c r="AA704" s="209" t="s">
        <v>1562</v>
      </c>
      <c r="AB704" s="209" t="s">
        <v>180</v>
      </c>
      <c r="AC704" s="209" t="s">
        <v>182</v>
      </c>
      <c r="AD704" s="209">
        <v>2</v>
      </c>
      <c r="AE704" s="209">
        <v>2025</v>
      </c>
      <c r="AF704" s="227">
        <v>45695</v>
      </c>
      <c r="AG704" s="227">
        <v>45700</v>
      </c>
      <c r="AH704" s="227">
        <v>45701</v>
      </c>
      <c r="AI704" s="228">
        <v>544968</v>
      </c>
      <c r="AJ704" s="228">
        <v>29</v>
      </c>
      <c r="AK704" s="228">
        <v>544968</v>
      </c>
      <c r="AL704" s="228">
        <v>29</v>
      </c>
      <c r="AM704" s="228">
        <v>0</v>
      </c>
      <c r="AN704" s="228">
        <v>0</v>
      </c>
      <c r="AO704" s="229">
        <v>7</v>
      </c>
      <c r="AP704" s="231">
        <v>2</v>
      </c>
      <c r="AQ704" s="231">
        <v>2025</v>
      </c>
      <c r="AR704" s="231" t="str">
        <f t="shared" si="90"/>
        <v>02/2025</v>
      </c>
      <c r="AS704" s="231">
        <f t="shared" si="91"/>
        <v>19.5</v>
      </c>
      <c r="AT704" s="239">
        <f>IF(G704="CERVECERIA Y MALTERIA",(AS704*AK704/1000000)*(1-VLOOKUP(N704,FCST!D:I,6,FALSE)),0)</f>
        <v>10.626875999999999</v>
      </c>
      <c r="AU704" s="232">
        <v>5.0000000000000001E-3</v>
      </c>
      <c r="AV704" s="239">
        <f t="shared" si="92"/>
        <v>10.680010379999999</v>
      </c>
      <c r="AW704" s="239">
        <f>(AS704*AK704/1000000)*(VLOOKUP(N704,FCST!D:I,6,FALSE))</f>
        <v>0</v>
      </c>
      <c r="AX704" s="239">
        <f t="shared" si="93"/>
        <v>0</v>
      </c>
      <c r="AY704" s="239">
        <f>IF($G704="CERVECERIA Y MALTERIA.",($AS704*$AK704/1000000)*(1-VLOOKUP($N704,FCST!D:I,6,FALSE)),0)</f>
        <v>0</v>
      </c>
      <c r="AZ704" s="239">
        <f t="shared" si="94"/>
        <v>0</v>
      </c>
    </row>
    <row r="705" spans="1:52" x14ac:dyDescent="0.25">
      <c r="A705" s="209">
        <v>1100790</v>
      </c>
      <c r="B705" s="209">
        <v>30</v>
      </c>
      <c r="C705" s="209" t="s">
        <v>1563</v>
      </c>
      <c r="D705" s="209">
        <v>20</v>
      </c>
      <c r="E705" s="209">
        <v>10000002</v>
      </c>
      <c r="F705" s="209">
        <v>20000336</v>
      </c>
      <c r="G705" s="209" t="s">
        <v>105</v>
      </c>
      <c r="H705" s="209">
        <v>20000336</v>
      </c>
      <c r="I705" s="209">
        <v>2</v>
      </c>
      <c r="J705" s="209" t="s">
        <v>169</v>
      </c>
      <c r="K705" s="209" t="s">
        <v>1564</v>
      </c>
      <c r="L705" s="209" t="s">
        <v>171</v>
      </c>
      <c r="M705" s="209" t="s">
        <v>184</v>
      </c>
      <c r="N705" s="209">
        <v>50037887</v>
      </c>
      <c r="O705" s="209" t="s">
        <v>679</v>
      </c>
      <c r="P705" s="209">
        <v>5121</v>
      </c>
      <c r="Q705" s="209" t="s">
        <v>174</v>
      </c>
      <c r="R705" s="209" t="s">
        <v>175</v>
      </c>
      <c r="S705" s="209" t="s">
        <v>176</v>
      </c>
      <c r="T705" s="209" t="s">
        <v>177</v>
      </c>
      <c r="U705" s="209" t="s">
        <v>178</v>
      </c>
      <c r="V705" s="209" t="s">
        <v>179</v>
      </c>
      <c r="W705" s="209" t="s">
        <v>179</v>
      </c>
      <c r="X705" s="209" t="s">
        <v>180</v>
      </c>
      <c r="Y705" s="209" t="s">
        <v>180</v>
      </c>
      <c r="Z705" s="209" t="s">
        <v>1565</v>
      </c>
      <c r="AA705" s="209" t="s">
        <v>1566</v>
      </c>
      <c r="AB705" s="209" t="s">
        <v>180</v>
      </c>
      <c r="AC705" s="209" t="s">
        <v>182</v>
      </c>
      <c r="AD705" s="209">
        <v>2</v>
      </c>
      <c r="AE705" s="209">
        <v>2025</v>
      </c>
      <c r="AF705" s="227">
        <v>45699</v>
      </c>
      <c r="AG705" s="227">
        <v>45700</v>
      </c>
      <c r="AH705" s="227">
        <v>45700</v>
      </c>
      <c r="AI705" s="228">
        <v>316944</v>
      </c>
      <c r="AJ705" s="228">
        <v>31</v>
      </c>
      <c r="AK705" s="228">
        <v>316944</v>
      </c>
      <c r="AL705" s="228">
        <v>31</v>
      </c>
      <c r="AM705" s="228">
        <v>0</v>
      </c>
      <c r="AN705" s="228">
        <v>0</v>
      </c>
      <c r="AO705" s="229">
        <v>7</v>
      </c>
      <c r="AP705" s="231">
        <v>2</v>
      </c>
      <c r="AQ705" s="231">
        <v>2025</v>
      </c>
      <c r="AR705" s="231" t="str">
        <f t="shared" si="90"/>
        <v>02/2025</v>
      </c>
      <c r="AS705" s="231">
        <f t="shared" si="91"/>
        <v>37.200000000000003</v>
      </c>
      <c r="AT705" s="239">
        <f>IF(G705="CERVECERIA Y MALTERIA",(AS705*AK705/1000000)*(1-VLOOKUP(N705,FCST!D:I,6,FALSE)),0)</f>
        <v>11.790316800000001</v>
      </c>
      <c r="AU705" s="232">
        <v>5.0000000000000001E-3</v>
      </c>
      <c r="AV705" s="239">
        <f t="shared" si="92"/>
        <v>11.849268384</v>
      </c>
      <c r="AW705" s="239">
        <f>(AS705*AK705/1000000)*(VLOOKUP(N705,FCST!D:I,6,FALSE))</f>
        <v>0</v>
      </c>
      <c r="AX705" s="239">
        <f t="shared" si="93"/>
        <v>0</v>
      </c>
      <c r="AY705" s="239">
        <f>IF($G705="CERVECERIA Y MALTERIA.",($AS705*$AK705/1000000)*(1-VLOOKUP($N705,FCST!D:I,6,FALSE)),0)</f>
        <v>0</v>
      </c>
      <c r="AZ705" s="239">
        <f t="shared" si="94"/>
        <v>0</v>
      </c>
    </row>
    <row r="706" spans="1:52" x14ac:dyDescent="0.25">
      <c r="A706" s="209">
        <v>1100790</v>
      </c>
      <c r="B706" s="209">
        <v>20</v>
      </c>
      <c r="C706" s="209" t="s">
        <v>1563</v>
      </c>
      <c r="D706" s="209">
        <v>10</v>
      </c>
      <c r="E706" s="209">
        <v>10000002</v>
      </c>
      <c r="F706" s="209">
        <v>20000336</v>
      </c>
      <c r="G706" s="209" t="s">
        <v>105</v>
      </c>
      <c r="H706" s="209">
        <v>20000336</v>
      </c>
      <c r="I706" s="209">
        <v>2</v>
      </c>
      <c r="J706" s="209" t="s">
        <v>169</v>
      </c>
      <c r="K706" s="209" t="s">
        <v>1564</v>
      </c>
      <c r="L706" s="209" t="s">
        <v>171</v>
      </c>
      <c r="M706" s="209" t="s">
        <v>184</v>
      </c>
      <c r="N706" s="209">
        <v>50034634</v>
      </c>
      <c r="O706" s="209" t="s">
        <v>219</v>
      </c>
      <c r="P706" s="209">
        <v>5121</v>
      </c>
      <c r="Q706" s="209" t="s">
        <v>174</v>
      </c>
      <c r="R706" s="209" t="s">
        <v>175</v>
      </c>
      <c r="S706" s="209" t="s">
        <v>176</v>
      </c>
      <c r="T706" s="209" t="s">
        <v>177</v>
      </c>
      <c r="U706" s="209" t="s">
        <v>178</v>
      </c>
      <c r="V706" s="209" t="s">
        <v>179</v>
      </c>
      <c r="W706" s="209" t="s">
        <v>179</v>
      </c>
      <c r="X706" s="209" t="s">
        <v>180</v>
      </c>
      <c r="Y706" s="209" t="s">
        <v>180</v>
      </c>
      <c r="Z706" s="209" t="s">
        <v>1565</v>
      </c>
      <c r="AA706" s="209" t="s">
        <v>1566</v>
      </c>
      <c r="AB706" s="209" t="s">
        <v>180</v>
      </c>
      <c r="AC706" s="209" t="s">
        <v>182</v>
      </c>
      <c r="AD706" s="209">
        <v>2</v>
      </c>
      <c r="AE706" s="209">
        <v>2025</v>
      </c>
      <c r="AF706" s="227">
        <v>45699</v>
      </c>
      <c r="AG706" s="227">
        <v>45700</v>
      </c>
      <c r="AH706" s="227">
        <v>45700</v>
      </c>
      <c r="AI706" s="228">
        <v>147168</v>
      </c>
      <c r="AJ706" s="228">
        <v>21</v>
      </c>
      <c r="AK706" s="228">
        <v>147168</v>
      </c>
      <c r="AL706" s="228">
        <v>21</v>
      </c>
      <c r="AM706" s="228">
        <v>0</v>
      </c>
      <c r="AN706" s="228">
        <v>0</v>
      </c>
      <c r="AO706" s="229">
        <v>7</v>
      </c>
      <c r="AP706" s="231">
        <v>2</v>
      </c>
      <c r="AQ706" s="231">
        <v>2025</v>
      </c>
      <c r="AR706" s="231" t="str">
        <f t="shared" si="90"/>
        <v>02/2025</v>
      </c>
      <c r="AS706" s="231">
        <f t="shared" si="91"/>
        <v>52</v>
      </c>
      <c r="AT706" s="239">
        <f>IF(G706="CERVECERIA Y MALTERIA",(AS706*AK706/1000000)*(1-VLOOKUP(N706,FCST!D:I,6,FALSE)),0)</f>
        <v>7.652736</v>
      </c>
      <c r="AU706" s="232">
        <v>5.0000000000000001E-3</v>
      </c>
      <c r="AV706" s="239">
        <f t="shared" si="92"/>
        <v>7.6909996799999991</v>
      </c>
      <c r="AW706" s="239">
        <f>(AS706*AK706/1000000)*(VLOOKUP(N706,FCST!D:I,6,FALSE))</f>
        <v>0</v>
      </c>
      <c r="AX706" s="239">
        <f t="shared" si="93"/>
        <v>0</v>
      </c>
      <c r="AY706" s="239">
        <f>IF($G706="CERVECERIA Y MALTERIA.",($AS706*$AK706/1000000)*(1-VLOOKUP($N706,FCST!D:I,6,FALSE)),0)</f>
        <v>0</v>
      </c>
      <c r="AZ706" s="239">
        <f t="shared" si="94"/>
        <v>0</v>
      </c>
    </row>
    <row r="707" spans="1:52" x14ac:dyDescent="0.25">
      <c r="A707" s="209">
        <v>1100203</v>
      </c>
      <c r="B707" s="209">
        <v>100</v>
      </c>
      <c r="C707" s="209" t="s">
        <v>1567</v>
      </c>
      <c r="D707" s="209">
        <v>10</v>
      </c>
      <c r="E707" s="209">
        <v>10000002</v>
      </c>
      <c r="F707" s="209">
        <v>20000335</v>
      </c>
      <c r="G707" s="209" t="s">
        <v>105</v>
      </c>
      <c r="H707" s="209">
        <v>20000335</v>
      </c>
      <c r="I707" s="209">
        <v>2</v>
      </c>
      <c r="J707" s="209" t="s">
        <v>169</v>
      </c>
      <c r="K707" s="209" t="s">
        <v>1568</v>
      </c>
      <c r="L707" s="209" t="s">
        <v>171</v>
      </c>
      <c r="M707" s="209" t="s">
        <v>184</v>
      </c>
      <c r="N707" s="209">
        <v>50034616</v>
      </c>
      <c r="O707" s="209" t="s">
        <v>191</v>
      </c>
      <c r="P707" s="209">
        <v>5121</v>
      </c>
      <c r="Q707" s="209" t="s">
        <v>174</v>
      </c>
      <c r="R707" s="209" t="s">
        <v>175</v>
      </c>
      <c r="S707" s="209" t="s">
        <v>176</v>
      </c>
      <c r="T707" s="209" t="s">
        <v>177</v>
      </c>
      <c r="U707" s="209" t="s">
        <v>178</v>
      </c>
      <c r="V707" s="209" t="s">
        <v>179</v>
      </c>
      <c r="W707" s="209" t="s">
        <v>179</v>
      </c>
      <c r="X707" s="209" t="s">
        <v>180</v>
      </c>
      <c r="Y707" s="209" t="s">
        <v>180</v>
      </c>
      <c r="Z707" s="209" t="s">
        <v>1437</v>
      </c>
      <c r="AA707" s="209" t="s">
        <v>1438</v>
      </c>
      <c r="AB707" s="209" t="s">
        <v>180</v>
      </c>
      <c r="AC707" s="209" t="s">
        <v>182</v>
      </c>
      <c r="AD707" s="209">
        <v>2</v>
      </c>
      <c r="AE707" s="209">
        <v>2025</v>
      </c>
      <c r="AF707" s="227">
        <v>45695</v>
      </c>
      <c r="AG707" s="227">
        <v>45700</v>
      </c>
      <c r="AH707" s="227">
        <v>45700</v>
      </c>
      <c r="AI707" s="228">
        <v>426816</v>
      </c>
      <c r="AJ707" s="228">
        <v>52</v>
      </c>
      <c r="AK707" s="228">
        <v>426816</v>
      </c>
      <c r="AL707" s="228">
        <v>52</v>
      </c>
      <c r="AM707" s="228">
        <v>0</v>
      </c>
      <c r="AN707" s="228">
        <v>0</v>
      </c>
      <c r="AO707" s="229">
        <v>7</v>
      </c>
      <c r="AP707" s="231">
        <v>2</v>
      </c>
      <c r="AQ707" s="231">
        <v>2025</v>
      </c>
      <c r="AR707" s="231" t="str">
        <f t="shared" si="90"/>
        <v>02/2025</v>
      </c>
      <c r="AS707" s="231">
        <f t="shared" si="91"/>
        <v>46.6</v>
      </c>
      <c r="AT707" s="239">
        <f>IF(G707="CERVECERIA Y MALTERIA",(AS707*AK707/1000000)*(1-VLOOKUP(N707,FCST!D:I,6,FALSE)),0)</f>
        <v>19.889625600000002</v>
      </c>
      <c r="AU707" s="232">
        <v>5.0000000000000001E-3</v>
      </c>
      <c r="AV707" s="239">
        <f t="shared" si="92"/>
        <v>19.989073728000001</v>
      </c>
      <c r="AW707" s="239">
        <f>(AS707*AK707/1000000)*(VLOOKUP(N707,FCST!D:I,6,FALSE))</f>
        <v>0</v>
      </c>
      <c r="AX707" s="239">
        <f t="shared" si="93"/>
        <v>0</v>
      </c>
      <c r="AY707" s="239">
        <f>IF($G707="CERVECERIA Y MALTERIA.",($AS707*$AK707/1000000)*(1-VLOOKUP($N707,FCST!D:I,6,FALSE)),0)</f>
        <v>0</v>
      </c>
      <c r="AZ707" s="239">
        <f t="shared" si="94"/>
        <v>0</v>
      </c>
    </row>
    <row r="708" spans="1:52" x14ac:dyDescent="0.25">
      <c r="A708" s="209">
        <v>1100203</v>
      </c>
      <c r="B708" s="209">
        <v>50</v>
      </c>
      <c r="C708" s="209" t="s">
        <v>1569</v>
      </c>
      <c r="D708" s="209">
        <v>10</v>
      </c>
      <c r="E708" s="209">
        <v>10000002</v>
      </c>
      <c r="F708" s="209">
        <v>20000335</v>
      </c>
      <c r="G708" s="209" t="s">
        <v>105</v>
      </c>
      <c r="H708" s="209">
        <v>20000335</v>
      </c>
      <c r="I708" s="209">
        <v>2</v>
      </c>
      <c r="J708" s="209" t="s">
        <v>169</v>
      </c>
      <c r="K708" s="209" t="s">
        <v>1570</v>
      </c>
      <c r="L708" s="209" t="s">
        <v>171</v>
      </c>
      <c r="M708" s="209" t="s">
        <v>199</v>
      </c>
      <c r="N708" s="209">
        <v>50032573</v>
      </c>
      <c r="O708" s="209" t="s">
        <v>173</v>
      </c>
      <c r="P708" s="209">
        <v>5121</v>
      </c>
      <c r="Q708" s="209" t="s">
        <v>200</v>
      </c>
      <c r="R708" s="209" t="s">
        <v>201</v>
      </c>
      <c r="S708" s="209" t="s">
        <v>202</v>
      </c>
      <c r="T708" s="209" t="s">
        <v>203</v>
      </c>
      <c r="U708" s="209" t="s">
        <v>201</v>
      </c>
      <c r="V708" s="209" t="s">
        <v>179</v>
      </c>
      <c r="W708" s="209" t="s">
        <v>179</v>
      </c>
      <c r="X708" s="209" t="s">
        <v>180</v>
      </c>
      <c r="Y708" s="209" t="s">
        <v>180</v>
      </c>
      <c r="Z708" s="209" t="s">
        <v>1461</v>
      </c>
      <c r="AA708" s="209" t="s">
        <v>1462</v>
      </c>
      <c r="AB708" s="209" t="s">
        <v>180</v>
      </c>
      <c r="AC708" s="209" t="s">
        <v>182</v>
      </c>
      <c r="AD708" s="209">
        <v>2</v>
      </c>
      <c r="AE708" s="209">
        <v>2025</v>
      </c>
      <c r="AF708" s="227">
        <v>45695</v>
      </c>
      <c r="AG708" s="227">
        <v>45700</v>
      </c>
      <c r="AH708" s="227">
        <v>45700</v>
      </c>
      <c r="AI708" s="228">
        <v>531648</v>
      </c>
      <c r="AJ708" s="228">
        <v>52</v>
      </c>
      <c r="AK708" s="228">
        <v>531648</v>
      </c>
      <c r="AL708" s="228">
        <v>52</v>
      </c>
      <c r="AM708" s="228">
        <v>0</v>
      </c>
      <c r="AN708" s="228">
        <v>0</v>
      </c>
      <c r="AO708" s="229">
        <v>7</v>
      </c>
      <c r="AP708" s="231">
        <v>2</v>
      </c>
      <c r="AQ708" s="231">
        <v>2025</v>
      </c>
      <c r="AR708" s="231" t="str">
        <f t="shared" si="90"/>
        <v>02/2025</v>
      </c>
      <c r="AS708" s="231">
        <f t="shared" si="91"/>
        <v>37.200000000000003</v>
      </c>
      <c r="AT708" s="239">
        <f>IF(G708="CERVECERIA Y MALTERIA",(AS708*AK708/1000000)*(1-VLOOKUP(N708,FCST!D:I,6,FALSE)),0)</f>
        <v>19.777305600000002</v>
      </c>
      <c r="AU708" s="232">
        <v>5.0000000000000001E-3</v>
      </c>
      <c r="AV708" s="239">
        <f t="shared" si="92"/>
        <v>19.876192128</v>
      </c>
      <c r="AW708" s="239">
        <f>(AS708*AK708/1000000)*(VLOOKUP(N708,FCST!D:I,6,FALSE))</f>
        <v>0</v>
      </c>
      <c r="AX708" s="239">
        <f t="shared" si="93"/>
        <v>0</v>
      </c>
      <c r="AY708" s="239">
        <f>IF($G708="CERVECERIA Y MALTERIA.",($AS708*$AK708/1000000)*(1-VLOOKUP($N708,FCST!D:I,6,FALSE)),0)</f>
        <v>0</v>
      </c>
      <c r="AZ708" s="239">
        <f t="shared" si="94"/>
        <v>0</v>
      </c>
    </row>
    <row r="709" spans="1:52" x14ac:dyDescent="0.25">
      <c r="A709" s="209">
        <v>1102662</v>
      </c>
      <c r="B709" s="209">
        <v>20</v>
      </c>
      <c r="C709" s="209" t="s">
        <v>1571</v>
      </c>
      <c r="D709" s="209">
        <v>10</v>
      </c>
      <c r="E709" s="209">
        <v>10000002</v>
      </c>
      <c r="F709" s="209">
        <v>20000340</v>
      </c>
      <c r="G709" s="209" t="s">
        <v>117</v>
      </c>
      <c r="H709" s="209">
        <v>20000340</v>
      </c>
      <c r="I709" s="209">
        <v>2</v>
      </c>
      <c r="J709" s="209" t="s">
        <v>169</v>
      </c>
      <c r="K709" s="209" t="s">
        <v>1572</v>
      </c>
      <c r="L709" s="209" t="s">
        <v>171</v>
      </c>
      <c r="M709" s="209" t="s">
        <v>184</v>
      </c>
      <c r="N709" s="209">
        <v>50036718</v>
      </c>
      <c r="O709" s="209" t="s">
        <v>259</v>
      </c>
      <c r="P709" s="209">
        <v>5101</v>
      </c>
      <c r="Q709" s="209" t="s">
        <v>186</v>
      </c>
      <c r="R709" s="209" t="s">
        <v>175</v>
      </c>
      <c r="S709" s="209" t="s">
        <v>176</v>
      </c>
      <c r="T709" s="209" t="s">
        <v>187</v>
      </c>
      <c r="U709" s="209" t="s">
        <v>188</v>
      </c>
      <c r="V709" s="209" t="s">
        <v>179</v>
      </c>
      <c r="W709" s="209" t="s">
        <v>179</v>
      </c>
      <c r="X709" s="209" t="s">
        <v>180</v>
      </c>
      <c r="Y709" s="209" t="s">
        <v>180</v>
      </c>
      <c r="Z709" s="209" t="s">
        <v>1573</v>
      </c>
      <c r="AA709" s="209" t="s">
        <v>1574</v>
      </c>
      <c r="AB709" s="209" t="s">
        <v>180</v>
      </c>
      <c r="AC709" s="209" t="s">
        <v>182</v>
      </c>
      <c r="AD709" s="209">
        <v>2</v>
      </c>
      <c r="AE709" s="209">
        <v>2025</v>
      </c>
      <c r="AF709" s="227">
        <v>45708</v>
      </c>
      <c r="AG709" s="227">
        <v>45712</v>
      </c>
      <c r="AH709" s="227">
        <v>45712</v>
      </c>
      <c r="AI709" s="228">
        <v>519168</v>
      </c>
      <c r="AJ709" s="228">
        <v>52</v>
      </c>
      <c r="AK709" s="228">
        <v>519168</v>
      </c>
      <c r="AL709" s="228">
        <v>52</v>
      </c>
      <c r="AM709" s="228">
        <v>0</v>
      </c>
      <c r="AN709" s="228">
        <v>0</v>
      </c>
      <c r="AO709" s="229">
        <v>9</v>
      </c>
      <c r="AP709" s="231">
        <v>2</v>
      </c>
      <c r="AQ709" s="231">
        <v>2025</v>
      </c>
      <c r="AR709" s="231" t="str">
        <f t="shared" si="90"/>
        <v>02/2025</v>
      </c>
      <c r="AS709" s="231">
        <f t="shared" si="91"/>
        <v>34</v>
      </c>
      <c r="AT709" s="239">
        <f>IF(G709="CERVECERIA Y MALTERIA",(AS709*AK709/1000000)*(1-VLOOKUP(N709,FCST!D:I,6,FALSE)),0)</f>
        <v>0</v>
      </c>
      <c r="AU709" s="232">
        <v>5.0000000000000001E-3</v>
      </c>
      <c r="AV709" s="239">
        <f t="shared" si="92"/>
        <v>0</v>
      </c>
      <c r="AW709" s="239">
        <f>(AS709*AK709/1000000)*(VLOOKUP(N709,FCST!D:I,6,FALSE))</f>
        <v>0</v>
      </c>
      <c r="AX709" s="239">
        <f t="shared" si="93"/>
        <v>0</v>
      </c>
      <c r="AY709" s="239">
        <f>IF($G709="CERVECERIA Y MALTERIA.",($AS709*$AK709/1000000)*(1-VLOOKUP($N709,FCST!D:I,6,FALSE)),0)</f>
        <v>17.651712</v>
      </c>
      <c r="AZ709" s="239">
        <f t="shared" si="94"/>
        <v>17.73997056</v>
      </c>
    </row>
    <row r="710" spans="1:52" x14ac:dyDescent="0.25">
      <c r="A710" s="209">
        <v>1102662</v>
      </c>
      <c r="B710" s="209">
        <v>50</v>
      </c>
      <c r="C710" s="209" t="s">
        <v>1575</v>
      </c>
      <c r="D710" s="209">
        <v>10</v>
      </c>
      <c r="E710" s="209">
        <v>10000002</v>
      </c>
      <c r="F710" s="209">
        <v>20000340</v>
      </c>
      <c r="G710" s="209" t="s">
        <v>117</v>
      </c>
      <c r="H710" s="209">
        <v>20000340</v>
      </c>
      <c r="I710" s="209">
        <v>2</v>
      </c>
      <c r="J710" s="209" t="s">
        <v>169</v>
      </c>
      <c r="K710" s="209" t="s">
        <v>1576</v>
      </c>
      <c r="L710" s="209" t="s">
        <v>171</v>
      </c>
      <c r="M710" s="209" t="s">
        <v>184</v>
      </c>
      <c r="N710" s="209">
        <v>50029817</v>
      </c>
      <c r="O710" s="209" t="s">
        <v>396</v>
      </c>
      <c r="P710" s="209">
        <v>5101</v>
      </c>
      <c r="Q710" s="209" t="s">
        <v>186</v>
      </c>
      <c r="R710" s="209" t="s">
        <v>175</v>
      </c>
      <c r="S710" s="209" t="s">
        <v>176</v>
      </c>
      <c r="T710" s="209" t="s">
        <v>187</v>
      </c>
      <c r="U710" s="209" t="s">
        <v>188</v>
      </c>
      <c r="V710" s="209" t="s">
        <v>179</v>
      </c>
      <c r="W710" s="209" t="s">
        <v>179</v>
      </c>
      <c r="X710" s="209" t="s">
        <v>180</v>
      </c>
      <c r="Y710" s="209" t="s">
        <v>180</v>
      </c>
      <c r="Z710" s="209" t="s">
        <v>1577</v>
      </c>
      <c r="AA710" s="209" t="s">
        <v>1578</v>
      </c>
      <c r="AB710" s="209" t="s">
        <v>180</v>
      </c>
      <c r="AC710" s="209" t="s">
        <v>182</v>
      </c>
      <c r="AD710" s="209">
        <v>2</v>
      </c>
      <c r="AE710" s="209">
        <v>2025</v>
      </c>
      <c r="AF710" s="227">
        <v>45708</v>
      </c>
      <c r="AG710" s="227">
        <v>45713</v>
      </c>
      <c r="AH710" s="227">
        <v>45713</v>
      </c>
      <c r="AI710" s="228">
        <v>606528</v>
      </c>
      <c r="AJ710" s="228">
        <v>52</v>
      </c>
      <c r="AK710" s="228">
        <v>606528</v>
      </c>
      <c r="AL710" s="228">
        <v>52</v>
      </c>
      <c r="AM710" s="228">
        <v>0</v>
      </c>
      <c r="AN710" s="228">
        <v>0</v>
      </c>
      <c r="AO710" s="229">
        <v>9</v>
      </c>
      <c r="AP710" s="231">
        <v>2</v>
      </c>
      <c r="AQ710" s="231">
        <v>2025</v>
      </c>
      <c r="AR710" s="231" t="str">
        <f t="shared" si="90"/>
        <v>02/2025</v>
      </c>
      <c r="AS710" s="231">
        <f t="shared" si="91"/>
        <v>30</v>
      </c>
      <c r="AT710" s="239">
        <f>IF(G710="CERVECERIA Y MALTERIA",(AS710*AK710/1000000)*(1-VLOOKUP(N710,FCST!D:I,6,FALSE)),0)</f>
        <v>0</v>
      </c>
      <c r="AU710" s="232">
        <v>5.0000000000000001E-3</v>
      </c>
      <c r="AV710" s="239">
        <f t="shared" si="92"/>
        <v>0</v>
      </c>
      <c r="AW710" s="239">
        <f>(AS710*AK710/1000000)*(VLOOKUP(N710,FCST!D:I,6,FALSE))</f>
        <v>5.4587519999999996</v>
      </c>
      <c r="AX710" s="239">
        <f t="shared" si="93"/>
        <v>5.4860457599999988</v>
      </c>
      <c r="AY710" s="239">
        <f>IF($G710="CERVECERIA Y MALTERIA.",($AS710*$AK710/1000000)*(1-VLOOKUP($N710,FCST!D:I,6,FALSE)),0)</f>
        <v>12.737088</v>
      </c>
      <c r="AZ710" s="239">
        <f t="shared" si="94"/>
        <v>12.800773439999999</v>
      </c>
    </row>
    <row r="711" spans="1:52" x14ac:dyDescent="0.25">
      <c r="A711" s="209">
        <v>1102662</v>
      </c>
      <c r="B711" s="209">
        <v>30</v>
      </c>
      <c r="C711" s="209" t="s">
        <v>1579</v>
      </c>
      <c r="D711" s="209">
        <v>10</v>
      </c>
      <c r="E711" s="209">
        <v>10000002</v>
      </c>
      <c r="F711" s="209">
        <v>20000340</v>
      </c>
      <c r="G711" s="209" t="s">
        <v>117</v>
      </c>
      <c r="H711" s="209">
        <v>20000340</v>
      </c>
      <c r="I711" s="209">
        <v>2</v>
      </c>
      <c r="J711" s="209" t="s">
        <v>169</v>
      </c>
      <c r="K711" s="209" t="s">
        <v>1580</v>
      </c>
      <c r="L711" s="209" t="s">
        <v>171</v>
      </c>
      <c r="M711" s="209" t="s">
        <v>184</v>
      </c>
      <c r="N711" s="209">
        <v>50029817</v>
      </c>
      <c r="O711" s="209" t="s">
        <v>396</v>
      </c>
      <c r="P711" s="209">
        <v>5101</v>
      </c>
      <c r="Q711" s="209" t="s">
        <v>186</v>
      </c>
      <c r="R711" s="209" t="s">
        <v>175</v>
      </c>
      <c r="S711" s="209" t="s">
        <v>176</v>
      </c>
      <c r="T711" s="209" t="s">
        <v>187</v>
      </c>
      <c r="U711" s="209" t="s">
        <v>188</v>
      </c>
      <c r="V711" s="209" t="s">
        <v>179</v>
      </c>
      <c r="W711" s="209" t="s">
        <v>179</v>
      </c>
      <c r="X711" s="209" t="s">
        <v>180</v>
      </c>
      <c r="Y711" s="209" t="s">
        <v>180</v>
      </c>
      <c r="Z711" s="209" t="s">
        <v>1581</v>
      </c>
      <c r="AA711" s="209" t="s">
        <v>1582</v>
      </c>
      <c r="AB711" s="209" t="s">
        <v>180</v>
      </c>
      <c r="AC711" s="209" t="s">
        <v>182</v>
      </c>
      <c r="AD711" s="209">
        <v>2</v>
      </c>
      <c r="AE711" s="209">
        <v>2025</v>
      </c>
      <c r="AF711" s="227">
        <v>45708</v>
      </c>
      <c r="AG711" s="227">
        <v>45712</v>
      </c>
      <c r="AH711" s="227">
        <v>45712</v>
      </c>
      <c r="AI711" s="228">
        <v>606528</v>
      </c>
      <c r="AJ711" s="228">
        <v>52</v>
      </c>
      <c r="AK711" s="228">
        <v>606528</v>
      </c>
      <c r="AL711" s="228">
        <v>52</v>
      </c>
      <c r="AM711" s="228">
        <v>0</v>
      </c>
      <c r="AN711" s="228">
        <v>0</v>
      </c>
      <c r="AO711" s="229">
        <v>9</v>
      </c>
      <c r="AP711" s="231">
        <v>2</v>
      </c>
      <c r="AQ711" s="231">
        <v>2025</v>
      </c>
      <c r="AR711" s="231" t="str">
        <f t="shared" si="90"/>
        <v>02/2025</v>
      </c>
      <c r="AS711" s="231">
        <f t="shared" si="91"/>
        <v>30</v>
      </c>
      <c r="AT711" s="239">
        <f>IF(G711="CERVECERIA Y MALTERIA",(AS711*AK711/1000000)*(1-VLOOKUP(N711,FCST!D:I,6,FALSE)),0)</f>
        <v>0</v>
      </c>
      <c r="AU711" s="232">
        <v>5.0000000000000001E-3</v>
      </c>
      <c r="AV711" s="239">
        <f t="shared" si="92"/>
        <v>0</v>
      </c>
      <c r="AW711" s="239">
        <f>(AS711*AK711/1000000)*(VLOOKUP(N711,FCST!D:I,6,FALSE))</f>
        <v>5.4587519999999996</v>
      </c>
      <c r="AX711" s="239">
        <f t="shared" si="93"/>
        <v>5.4860457599999988</v>
      </c>
      <c r="AY711" s="239">
        <f>IF($G711="CERVECERIA Y MALTERIA.",($AS711*$AK711/1000000)*(1-VLOOKUP($N711,FCST!D:I,6,FALSE)),0)</f>
        <v>12.737088</v>
      </c>
      <c r="AZ711" s="239">
        <f t="shared" si="94"/>
        <v>12.800773439999999</v>
      </c>
    </row>
    <row r="712" spans="1:52" x14ac:dyDescent="0.25">
      <c r="A712" s="209">
        <v>1101565</v>
      </c>
      <c r="B712" s="209">
        <v>40</v>
      </c>
      <c r="C712" s="209" t="s">
        <v>1583</v>
      </c>
      <c r="D712" s="209">
        <v>10</v>
      </c>
      <c r="E712" s="209">
        <v>10000002</v>
      </c>
      <c r="F712" s="209">
        <v>20000340</v>
      </c>
      <c r="G712" s="209" t="s">
        <v>117</v>
      </c>
      <c r="H712" s="209">
        <v>20000340</v>
      </c>
      <c r="I712" s="209">
        <v>2</v>
      </c>
      <c r="J712" s="209" t="s">
        <v>169</v>
      </c>
      <c r="K712" s="209" t="s">
        <v>1584</v>
      </c>
      <c r="L712" s="209" t="s">
        <v>171</v>
      </c>
      <c r="M712" s="209" t="s">
        <v>328</v>
      </c>
      <c r="N712" s="209">
        <v>50036718</v>
      </c>
      <c r="O712" s="209" t="s">
        <v>259</v>
      </c>
      <c r="P712" s="209">
        <v>5101</v>
      </c>
      <c r="Q712" s="209" t="s">
        <v>186</v>
      </c>
      <c r="R712" s="209" t="s">
        <v>175</v>
      </c>
      <c r="S712" s="209" t="s">
        <v>176</v>
      </c>
      <c r="T712" s="209" t="s">
        <v>187</v>
      </c>
      <c r="U712" s="209" t="s">
        <v>188</v>
      </c>
      <c r="V712" s="209" t="s">
        <v>179</v>
      </c>
      <c r="W712" s="209" t="s">
        <v>179</v>
      </c>
      <c r="X712" s="209" t="s">
        <v>180</v>
      </c>
      <c r="Y712" s="209" t="s">
        <v>180</v>
      </c>
      <c r="Z712" s="209" t="s">
        <v>1585</v>
      </c>
      <c r="AA712" s="209" t="s">
        <v>1586</v>
      </c>
      <c r="AB712" s="209" t="s">
        <v>180</v>
      </c>
      <c r="AC712" s="209" t="s">
        <v>182</v>
      </c>
      <c r="AD712" s="209">
        <v>2</v>
      </c>
      <c r="AE712" s="209">
        <v>2025</v>
      </c>
      <c r="AF712" s="227">
        <v>45701</v>
      </c>
      <c r="AG712" s="227">
        <v>45707</v>
      </c>
      <c r="AH712" s="227">
        <v>45707</v>
      </c>
      <c r="AI712" s="228">
        <v>519168</v>
      </c>
      <c r="AJ712" s="228">
        <v>52</v>
      </c>
      <c r="AK712" s="228">
        <v>519168</v>
      </c>
      <c r="AL712" s="228">
        <v>52</v>
      </c>
      <c r="AM712" s="228">
        <v>0</v>
      </c>
      <c r="AN712" s="228">
        <v>0</v>
      </c>
      <c r="AO712" s="229">
        <v>8</v>
      </c>
      <c r="AP712" s="231">
        <v>2</v>
      </c>
      <c r="AQ712" s="231">
        <v>2025</v>
      </c>
      <c r="AR712" s="231" t="str">
        <f t="shared" si="90"/>
        <v>02/2025</v>
      </c>
      <c r="AS712" s="231">
        <f t="shared" si="91"/>
        <v>34</v>
      </c>
      <c r="AT712" s="239">
        <f>IF(G712="CERVECERIA Y MALTERIA",(AS712*AK712/1000000)*(1-VLOOKUP(N712,FCST!D:I,6,FALSE)),0)</f>
        <v>0</v>
      </c>
      <c r="AU712" s="232">
        <v>5.0000000000000001E-3</v>
      </c>
      <c r="AV712" s="239">
        <f t="shared" si="92"/>
        <v>0</v>
      </c>
      <c r="AW712" s="239">
        <f>(AS712*AK712/1000000)*(VLOOKUP(N712,FCST!D:I,6,FALSE))</f>
        <v>0</v>
      </c>
      <c r="AX712" s="239">
        <f t="shared" si="93"/>
        <v>0</v>
      </c>
      <c r="AY712" s="239">
        <f>IF($G712="CERVECERIA Y MALTERIA.",($AS712*$AK712/1000000)*(1-VLOOKUP($N712,FCST!D:I,6,FALSE)),0)</f>
        <v>17.651712</v>
      </c>
      <c r="AZ712" s="239">
        <f t="shared" si="94"/>
        <v>17.73997056</v>
      </c>
    </row>
    <row r="713" spans="1:52" x14ac:dyDescent="0.25">
      <c r="A713" s="209">
        <v>1101565</v>
      </c>
      <c r="B713" s="209">
        <v>50</v>
      </c>
      <c r="C713" s="209" t="s">
        <v>1587</v>
      </c>
      <c r="D713" s="209">
        <v>10</v>
      </c>
      <c r="E713" s="209">
        <v>10000002</v>
      </c>
      <c r="F713" s="209">
        <v>20000340</v>
      </c>
      <c r="G713" s="209" t="s">
        <v>117</v>
      </c>
      <c r="H713" s="209">
        <v>20000340</v>
      </c>
      <c r="I713" s="209">
        <v>2</v>
      </c>
      <c r="J713" s="209" t="s">
        <v>169</v>
      </c>
      <c r="K713" s="209" t="s">
        <v>1588</v>
      </c>
      <c r="L713" s="209" t="s">
        <v>171</v>
      </c>
      <c r="M713" s="209" t="s">
        <v>184</v>
      </c>
      <c r="N713" s="209">
        <v>50036718</v>
      </c>
      <c r="O713" s="209" t="s">
        <v>259</v>
      </c>
      <c r="P713" s="209">
        <v>5101</v>
      </c>
      <c r="Q713" s="209" t="s">
        <v>186</v>
      </c>
      <c r="R713" s="209" t="s">
        <v>175</v>
      </c>
      <c r="S713" s="209" t="s">
        <v>176</v>
      </c>
      <c r="T713" s="209" t="s">
        <v>187</v>
      </c>
      <c r="U713" s="209" t="s">
        <v>188</v>
      </c>
      <c r="V713" s="209" t="s">
        <v>179</v>
      </c>
      <c r="W713" s="209" t="s">
        <v>179</v>
      </c>
      <c r="X713" s="209" t="s">
        <v>180</v>
      </c>
      <c r="Y713" s="209" t="s">
        <v>180</v>
      </c>
      <c r="Z713" s="209" t="s">
        <v>1589</v>
      </c>
      <c r="AA713" s="209" t="s">
        <v>1590</v>
      </c>
      <c r="AB713" s="209" t="s">
        <v>180</v>
      </c>
      <c r="AC713" s="209" t="s">
        <v>182</v>
      </c>
      <c r="AD713" s="209">
        <v>2</v>
      </c>
      <c r="AE713" s="209">
        <v>2025</v>
      </c>
      <c r="AF713" s="227">
        <v>45701</v>
      </c>
      <c r="AG713" s="227">
        <v>45708</v>
      </c>
      <c r="AH713" s="227">
        <v>45709</v>
      </c>
      <c r="AI713" s="228">
        <v>519168</v>
      </c>
      <c r="AJ713" s="228">
        <v>52</v>
      </c>
      <c r="AK713" s="228">
        <v>519168</v>
      </c>
      <c r="AL713" s="228">
        <v>52</v>
      </c>
      <c r="AM713" s="228">
        <v>0</v>
      </c>
      <c r="AN713" s="228">
        <v>0</v>
      </c>
      <c r="AO713" s="229">
        <v>8</v>
      </c>
      <c r="AP713" s="231">
        <v>2</v>
      </c>
      <c r="AQ713" s="231">
        <v>2025</v>
      </c>
      <c r="AR713" s="231" t="str">
        <f t="shared" si="90"/>
        <v>02/2025</v>
      </c>
      <c r="AS713" s="231">
        <f t="shared" si="91"/>
        <v>34</v>
      </c>
      <c r="AT713" s="239">
        <f>IF(G713="CERVECERIA Y MALTERIA",(AS713*AK713/1000000)*(1-VLOOKUP(N713,FCST!D:I,6,FALSE)),0)</f>
        <v>0</v>
      </c>
      <c r="AU713" s="232">
        <v>5.0000000000000001E-3</v>
      </c>
      <c r="AV713" s="239">
        <f t="shared" si="92"/>
        <v>0</v>
      </c>
      <c r="AW713" s="239">
        <f>(AS713*AK713/1000000)*(VLOOKUP(N713,FCST!D:I,6,FALSE))</f>
        <v>0</v>
      </c>
      <c r="AX713" s="239">
        <f t="shared" si="93"/>
        <v>0</v>
      </c>
      <c r="AY713" s="239">
        <f>IF($G713="CERVECERIA Y MALTERIA.",($AS713*$AK713/1000000)*(1-VLOOKUP($N713,FCST!D:I,6,FALSE)),0)</f>
        <v>17.651712</v>
      </c>
      <c r="AZ713" s="239">
        <f t="shared" si="94"/>
        <v>17.73997056</v>
      </c>
    </row>
    <row r="714" spans="1:52" x14ac:dyDescent="0.25">
      <c r="A714" s="209">
        <v>1101565</v>
      </c>
      <c r="B714" s="209">
        <v>70</v>
      </c>
      <c r="C714" s="209" t="s">
        <v>1591</v>
      </c>
      <c r="D714" s="209">
        <v>10</v>
      </c>
      <c r="E714" s="209">
        <v>10000002</v>
      </c>
      <c r="F714" s="209">
        <v>20000340</v>
      </c>
      <c r="G714" s="209" t="s">
        <v>117</v>
      </c>
      <c r="H714" s="209">
        <v>20000340</v>
      </c>
      <c r="I714" s="209">
        <v>2</v>
      </c>
      <c r="J714" s="209" t="s">
        <v>169</v>
      </c>
      <c r="K714" s="209" t="s">
        <v>1592</v>
      </c>
      <c r="L714" s="209" t="s">
        <v>171</v>
      </c>
      <c r="M714" s="209" t="s">
        <v>328</v>
      </c>
      <c r="N714" s="209">
        <v>50036718</v>
      </c>
      <c r="O714" s="209" t="s">
        <v>259</v>
      </c>
      <c r="P714" s="209">
        <v>5101</v>
      </c>
      <c r="Q714" s="209" t="s">
        <v>186</v>
      </c>
      <c r="R714" s="209" t="s">
        <v>175</v>
      </c>
      <c r="S714" s="209" t="s">
        <v>176</v>
      </c>
      <c r="T714" s="209" t="s">
        <v>187</v>
      </c>
      <c r="U714" s="209" t="s">
        <v>188</v>
      </c>
      <c r="V714" s="209" t="s">
        <v>179</v>
      </c>
      <c r="W714" s="209" t="s">
        <v>179</v>
      </c>
      <c r="X714" s="209" t="s">
        <v>180</v>
      </c>
      <c r="Y714" s="209" t="s">
        <v>180</v>
      </c>
      <c r="Z714" s="209" t="s">
        <v>1593</v>
      </c>
      <c r="AA714" s="209" t="s">
        <v>1594</v>
      </c>
      <c r="AB714" s="209" t="s">
        <v>180</v>
      </c>
      <c r="AC714" s="209" t="s">
        <v>182</v>
      </c>
      <c r="AD714" s="209">
        <v>2</v>
      </c>
      <c r="AE714" s="209">
        <v>2025</v>
      </c>
      <c r="AF714" s="227">
        <v>45701</v>
      </c>
      <c r="AG714" s="227">
        <v>45709</v>
      </c>
      <c r="AH714" s="227">
        <v>45708</v>
      </c>
      <c r="AI714" s="228">
        <v>519168</v>
      </c>
      <c r="AJ714" s="228">
        <v>52</v>
      </c>
      <c r="AK714" s="228">
        <v>519168</v>
      </c>
      <c r="AL714" s="228">
        <v>52</v>
      </c>
      <c r="AM714" s="228">
        <v>0</v>
      </c>
      <c r="AN714" s="228">
        <v>0</v>
      </c>
      <c r="AO714" s="229">
        <v>8</v>
      </c>
      <c r="AP714" s="231">
        <v>2</v>
      </c>
      <c r="AQ714" s="231">
        <v>2025</v>
      </c>
      <c r="AR714" s="231" t="str">
        <f t="shared" si="90"/>
        <v>02/2025</v>
      </c>
      <c r="AS714" s="231">
        <f t="shared" si="91"/>
        <v>34</v>
      </c>
      <c r="AT714" s="239">
        <f>IF(G714="CERVECERIA Y MALTERIA",(AS714*AK714/1000000)*(1-VLOOKUP(N714,FCST!D:I,6,FALSE)),0)</f>
        <v>0</v>
      </c>
      <c r="AU714" s="232">
        <v>5.0000000000000001E-3</v>
      </c>
      <c r="AV714" s="239">
        <f t="shared" si="92"/>
        <v>0</v>
      </c>
      <c r="AW714" s="239">
        <f>(AS714*AK714/1000000)*(VLOOKUP(N714,FCST!D:I,6,FALSE))</f>
        <v>0</v>
      </c>
      <c r="AX714" s="239">
        <f t="shared" si="93"/>
        <v>0</v>
      </c>
      <c r="AY714" s="239">
        <f>IF($G714="CERVECERIA Y MALTERIA.",($AS714*$AK714/1000000)*(1-VLOOKUP($N714,FCST!D:I,6,FALSE)),0)</f>
        <v>17.651712</v>
      </c>
      <c r="AZ714" s="239">
        <f t="shared" si="94"/>
        <v>17.73997056</v>
      </c>
    </row>
    <row r="715" spans="1:52" x14ac:dyDescent="0.25">
      <c r="A715" s="209">
        <v>1101565</v>
      </c>
      <c r="B715" s="209">
        <v>60</v>
      </c>
      <c r="C715" s="209" t="s">
        <v>1595</v>
      </c>
      <c r="D715" s="209">
        <v>10</v>
      </c>
      <c r="E715" s="209">
        <v>10000002</v>
      </c>
      <c r="F715" s="209">
        <v>20000340</v>
      </c>
      <c r="G715" s="209" t="s">
        <v>117</v>
      </c>
      <c r="H715" s="209">
        <v>20000340</v>
      </c>
      <c r="I715" s="209">
        <v>2</v>
      </c>
      <c r="J715" s="209" t="s">
        <v>169</v>
      </c>
      <c r="K715" s="209" t="s">
        <v>1596</v>
      </c>
      <c r="L715" s="209" t="s">
        <v>171</v>
      </c>
      <c r="M715" s="209" t="s">
        <v>328</v>
      </c>
      <c r="N715" s="209">
        <v>50036718</v>
      </c>
      <c r="O715" s="209" t="s">
        <v>259</v>
      </c>
      <c r="P715" s="209">
        <v>5101</v>
      </c>
      <c r="Q715" s="209" t="s">
        <v>186</v>
      </c>
      <c r="R715" s="209" t="s">
        <v>175</v>
      </c>
      <c r="S715" s="209" t="s">
        <v>176</v>
      </c>
      <c r="T715" s="209" t="s">
        <v>187</v>
      </c>
      <c r="U715" s="209" t="s">
        <v>188</v>
      </c>
      <c r="V715" s="209" t="s">
        <v>179</v>
      </c>
      <c r="W715" s="209" t="s">
        <v>179</v>
      </c>
      <c r="X715" s="209" t="s">
        <v>180</v>
      </c>
      <c r="Y715" s="209" t="s">
        <v>180</v>
      </c>
      <c r="Z715" s="209" t="s">
        <v>1593</v>
      </c>
      <c r="AA715" s="209" t="s">
        <v>1594</v>
      </c>
      <c r="AB715" s="209" t="s">
        <v>180</v>
      </c>
      <c r="AC715" s="209" t="s">
        <v>182</v>
      </c>
      <c r="AD715" s="209">
        <v>2</v>
      </c>
      <c r="AE715" s="209">
        <v>2025</v>
      </c>
      <c r="AF715" s="227">
        <v>45701</v>
      </c>
      <c r="AG715" s="227">
        <v>45708</v>
      </c>
      <c r="AH715" s="227">
        <v>45708</v>
      </c>
      <c r="AI715" s="228">
        <v>519168</v>
      </c>
      <c r="AJ715" s="228">
        <v>52</v>
      </c>
      <c r="AK715" s="228">
        <v>519168</v>
      </c>
      <c r="AL715" s="228">
        <v>52</v>
      </c>
      <c r="AM715" s="228">
        <v>0</v>
      </c>
      <c r="AN715" s="228">
        <v>0</v>
      </c>
      <c r="AO715" s="229">
        <v>8</v>
      </c>
      <c r="AP715" s="231">
        <v>2</v>
      </c>
      <c r="AQ715" s="231">
        <v>2025</v>
      </c>
      <c r="AR715" s="231" t="str">
        <f t="shared" si="90"/>
        <v>02/2025</v>
      </c>
      <c r="AS715" s="231">
        <f t="shared" si="91"/>
        <v>34</v>
      </c>
      <c r="AT715" s="239">
        <f>IF(G715="CERVECERIA Y MALTERIA",(AS715*AK715/1000000)*(1-VLOOKUP(N715,FCST!D:I,6,FALSE)),0)</f>
        <v>0</v>
      </c>
      <c r="AU715" s="232">
        <v>5.0000000000000001E-3</v>
      </c>
      <c r="AV715" s="239">
        <f t="shared" si="92"/>
        <v>0</v>
      </c>
      <c r="AW715" s="239">
        <f>(AS715*AK715/1000000)*(VLOOKUP(N715,FCST!D:I,6,FALSE))</f>
        <v>0</v>
      </c>
      <c r="AX715" s="239">
        <f t="shared" si="93"/>
        <v>0</v>
      </c>
      <c r="AY715" s="239">
        <f>IF($G715="CERVECERIA Y MALTERIA.",($AS715*$AK715/1000000)*(1-VLOOKUP($N715,FCST!D:I,6,FALSE)),0)</f>
        <v>17.651712</v>
      </c>
      <c r="AZ715" s="239">
        <f t="shared" si="94"/>
        <v>17.73997056</v>
      </c>
    </row>
    <row r="716" spans="1:52" x14ac:dyDescent="0.25">
      <c r="A716" s="209">
        <v>1102662</v>
      </c>
      <c r="B716" s="209">
        <v>60</v>
      </c>
      <c r="C716" s="209" t="s">
        <v>1597</v>
      </c>
      <c r="D716" s="209">
        <v>10</v>
      </c>
      <c r="E716" s="209">
        <v>10000002</v>
      </c>
      <c r="F716" s="209">
        <v>20000340</v>
      </c>
      <c r="G716" s="209" t="s">
        <v>117</v>
      </c>
      <c r="H716" s="209">
        <v>20000340</v>
      </c>
      <c r="I716" s="209">
        <v>2</v>
      </c>
      <c r="J716" s="209" t="s">
        <v>169</v>
      </c>
      <c r="K716" s="209" t="s">
        <v>1598</v>
      </c>
      <c r="L716" s="209" t="s">
        <v>171</v>
      </c>
      <c r="M716" s="209" t="s">
        <v>184</v>
      </c>
      <c r="N716" s="209">
        <v>50027468</v>
      </c>
      <c r="O716" s="209" t="s">
        <v>285</v>
      </c>
      <c r="P716" s="209">
        <v>5101</v>
      </c>
      <c r="Q716" s="209" t="s">
        <v>186</v>
      </c>
      <c r="R716" s="209" t="s">
        <v>175</v>
      </c>
      <c r="S716" s="209" t="s">
        <v>176</v>
      </c>
      <c r="T716" s="209" t="s">
        <v>187</v>
      </c>
      <c r="U716" s="209" t="s">
        <v>188</v>
      </c>
      <c r="V716" s="209" t="s">
        <v>179</v>
      </c>
      <c r="W716" s="209" t="s">
        <v>179</v>
      </c>
      <c r="X716" s="209" t="s">
        <v>180</v>
      </c>
      <c r="Y716" s="209" t="s">
        <v>180</v>
      </c>
      <c r="Z716" s="209" t="s">
        <v>1599</v>
      </c>
      <c r="AA716" s="209" t="s">
        <v>1600</v>
      </c>
      <c r="AB716" s="209" t="s">
        <v>180</v>
      </c>
      <c r="AC716" s="209" t="s">
        <v>182</v>
      </c>
      <c r="AD716" s="209">
        <v>2</v>
      </c>
      <c r="AE716" s="209">
        <v>2025</v>
      </c>
      <c r="AF716" s="227">
        <v>45708</v>
      </c>
      <c r="AG716" s="227">
        <v>45716</v>
      </c>
      <c r="AH716" s="227">
        <v>45716</v>
      </c>
      <c r="AI716" s="228">
        <v>399360</v>
      </c>
      <c r="AJ716" s="228">
        <v>52</v>
      </c>
      <c r="AK716" s="228">
        <v>399360</v>
      </c>
      <c r="AL716" s="228">
        <v>52</v>
      </c>
      <c r="AM716" s="228">
        <v>0</v>
      </c>
      <c r="AN716" s="228">
        <v>0</v>
      </c>
      <c r="AO716" s="229">
        <v>9</v>
      </c>
      <c r="AP716" s="231">
        <v>2</v>
      </c>
      <c r="AQ716" s="231">
        <v>2025</v>
      </c>
      <c r="AR716" s="231" t="str">
        <f t="shared" si="90"/>
        <v>02/2025</v>
      </c>
      <c r="AS716" s="231">
        <f t="shared" si="91"/>
        <v>52</v>
      </c>
      <c r="AT716" s="239">
        <f>IF(G716="CERVECERIA Y MALTERIA",(AS716*AK716/1000000)*(1-VLOOKUP(N716,FCST!D:I,6,FALSE)),0)</f>
        <v>0</v>
      </c>
      <c r="AU716" s="232">
        <v>5.0000000000000001E-3</v>
      </c>
      <c r="AV716" s="239">
        <f t="shared" si="92"/>
        <v>0</v>
      </c>
      <c r="AW716" s="239">
        <f>(AS716*AK716/1000000)*(VLOOKUP(N716,FCST!D:I,6,FALSE))</f>
        <v>0</v>
      </c>
      <c r="AX716" s="239">
        <f t="shared" si="93"/>
        <v>0</v>
      </c>
      <c r="AY716" s="239">
        <f>IF($G716="CERVECERIA Y MALTERIA.",($AS716*$AK716/1000000)*(1-VLOOKUP($N716,FCST!D:I,6,FALSE)),0)</f>
        <v>20.766719999999999</v>
      </c>
      <c r="AZ716" s="239">
        <f t="shared" si="94"/>
        <v>20.870553599999997</v>
      </c>
    </row>
    <row r="717" spans="1:52" x14ac:dyDescent="0.25">
      <c r="A717" s="209">
        <v>1102662</v>
      </c>
      <c r="B717" s="209">
        <v>70</v>
      </c>
      <c r="C717" s="209" t="s">
        <v>1601</v>
      </c>
      <c r="D717" s="209">
        <v>10</v>
      </c>
      <c r="E717" s="209">
        <v>10000002</v>
      </c>
      <c r="F717" s="209">
        <v>20000340</v>
      </c>
      <c r="G717" s="209" t="s">
        <v>117</v>
      </c>
      <c r="H717" s="209">
        <v>20000340</v>
      </c>
      <c r="I717" s="209">
        <v>2</v>
      </c>
      <c r="J717" s="209" t="s">
        <v>169</v>
      </c>
      <c r="K717" s="209" t="s">
        <v>1602</v>
      </c>
      <c r="L717" s="209" t="s">
        <v>171</v>
      </c>
      <c r="M717" s="209" t="s">
        <v>184</v>
      </c>
      <c r="N717" s="209">
        <v>50027468</v>
      </c>
      <c r="O717" s="209" t="s">
        <v>285</v>
      </c>
      <c r="P717" s="209">
        <v>5101</v>
      </c>
      <c r="Q717" s="209" t="s">
        <v>186</v>
      </c>
      <c r="R717" s="209" t="s">
        <v>175</v>
      </c>
      <c r="S717" s="209" t="s">
        <v>176</v>
      </c>
      <c r="T717" s="209" t="s">
        <v>187</v>
      </c>
      <c r="U717" s="209" t="s">
        <v>188</v>
      </c>
      <c r="V717" s="209" t="s">
        <v>179</v>
      </c>
      <c r="W717" s="209" t="s">
        <v>179</v>
      </c>
      <c r="X717" s="209" t="s">
        <v>180</v>
      </c>
      <c r="Y717" s="209" t="s">
        <v>180</v>
      </c>
      <c r="Z717" s="209" t="s">
        <v>1599</v>
      </c>
      <c r="AA717" s="209" t="s">
        <v>1600</v>
      </c>
      <c r="AB717" s="209" t="s">
        <v>180</v>
      </c>
      <c r="AC717" s="209" t="s">
        <v>182</v>
      </c>
      <c r="AD717" s="209">
        <v>2</v>
      </c>
      <c r="AE717" s="209">
        <v>2025</v>
      </c>
      <c r="AF717" s="227">
        <v>45708</v>
      </c>
      <c r="AG717" s="227">
        <v>45716</v>
      </c>
      <c r="AH717" s="227">
        <v>45716</v>
      </c>
      <c r="AI717" s="228">
        <v>399360</v>
      </c>
      <c r="AJ717" s="228">
        <v>52</v>
      </c>
      <c r="AK717" s="228">
        <v>399360</v>
      </c>
      <c r="AL717" s="228">
        <v>52</v>
      </c>
      <c r="AM717" s="228">
        <v>0</v>
      </c>
      <c r="AN717" s="228">
        <v>0</v>
      </c>
      <c r="AO717" s="229">
        <v>9</v>
      </c>
      <c r="AP717" s="231">
        <v>2</v>
      </c>
      <c r="AQ717" s="231">
        <v>2025</v>
      </c>
      <c r="AR717" s="231" t="str">
        <f t="shared" si="90"/>
        <v>02/2025</v>
      </c>
      <c r="AS717" s="231">
        <f t="shared" si="91"/>
        <v>52</v>
      </c>
      <c r="AT717" s="239">
        <f>IF(G717="CERVECERIA Y MALTERIA",(AS717*AK717/1000000)*(1-VLOOKUP(N717,FCST!D:I,6,FALSE)),0)</f>
        <v>0</v>
      </c>
      <c r="AU717" s="232">
        <v>5.0000000000000001E-3</v>
      </c>
      <c r="AV717" s="239">
        <f t="shared" si="92"/>
        <v>0</v>
      </c>
      <c r="AW717" s="239">
        <f>(AS717*AK717/1000000)*(VLOOKUP(N717,FCST!D:I,6,FALSE))</f>
        <v>0</v>
      </c>
      <c r="AX717" s="239">
        <f t="shared" si="93"/>
        <v>0</v>
      </c>
      <c r="AY717" s="239">
        <f>IF($G717="CERVECERIA Y MALTERIA.",($AS717*$AK717/1000000)*(1-VLOOKUP($N717,FCST!D:I,6,FALSE)),0)</f>
        <v>20.766719999999999</v>
      </c>
      <c r="AZ717" s="239">
        <f t="shared" si="94"/>
        <v>20.870553599999997</v>
      </c>
    </row>
    <row r="718" spans="1:52" x14ac:dyDescent="0.25">
      <c r="A718" s="209">
        <v>1102662</v>
      </c>
      <c r="B718" s="209">
        <v>80</v>
      </c>
      <c r="C718" s="209" t="s">
        <v>1603</v>
      </c>
      <c r="D718" s="209">
        <v>10</v>
      </c>
      <c r="E718" s="209">
        <v>10000002</v>
      </c>
      <c r="F718" s="209">
        <v>20000340</v>
      </c>
      <c r="G718" s="209" t="s">
        <v>117</v>
      </c>
      <c r="H718" s="209">
        <v>20000340</v>
      </c>
      <c r="I718" s="209">
        <v>2</v>
      </c>
      <c r="J718" s="209" t="s">
        <v>169</v>
      </c>
      <c r="K718" s="209" t="s">
        <v>1604</v>
      </c>
      <c r="L718" s="209" t="s">
        <v>171</v>
      </c>
      <c r="M718" s="209" t="s">
        <v>184</v>
      </c>
      <c r="N718" s="209">
        <v>50029817</v>
      </c>
      <c r="O718" s="209" t="s">
        <v>396</v>
      </c>
      <c r="P718" s="209">
        <v>5101</v>
      </c>
      <c r="Q718" s="209" t="s">
        <v>186</v>
      </c>
      <c r="R718" s="209" t="s">
        <v>175</v>
      </c>
      <c r="S718" s="209" t="s">
        <v>176</v>
      </c>
      <c r="T718" s="209" t="s">
        <v>187</v>
      </c>
      <c r="U718" s="209" t="s">
        <v>188</v>
      </c>
      <c r="V718" s="209" t="s">
        <v>179</v>
      </c>
      <c r="W718" s="209" t="s">
        <v>179</v>
      </c>
      <c r="X718" s="209" t="s">
        <v>180</v>
      </c>
      <c r="Y718" s="209" t="s">
        <v>180</v>
      </c>
      <c r="Z718" s="209" t="s">
        <v>1605</v>
      </c>
      <c r="AA718" s="209" t="s">
        <v>1606</v>
      </c>
      <c r="AB718" s="209" t="s">
        <v>180</v>
      </c>
      <c r="AC718" s="209" t="s">
        <v>182</v>
      </c>
      <c r="AD718" s="209">
        <v>2</v>
      </c>
      <c r="AE718" s="209">
        <v>2025</v>
      </c>
      <c r="AF718" s="227">
        <v>45708</v>
      </c>
      <c r="AG718" s="227">
        <v>45715</v>
      </c>
      <c r="AH718" s="227">
        <v>45715</v>
      </c>
      <c r="AI718" s="228">
        <v>606528</v>
      </c>
      <c r="AJ718" s="228">
        <v>52</v>
      </c>
      <c r="AK718" s="228">
        <v>606528</v>
      </c>
      <c r="AL718" s="228">
        <v>52</v>
      </c>
      <c r="AM718" s="228">
        <v>0</v>
      </c>
      <c r="AN718" s="228">
        <v>0</v>
      </c>
      <c r="AO718" s="229">
        <v>9</v>
      </c>
      <c r="AP718" s="231">
        <v>2</v>
      </c>
      <c r="AQ718" s="231">
        <v>2025</v>
      </c>
      <c r="AR718" s="231" t="str">
        <f t="shared" si="90"/>
        <v>02/2025</v>
      </c>
      <c r="AS718" s="231">
        <f t="shared" si="91"/>
        <v>30</v>
      </c>
      <c r="AT718" s="239">
        <f>IF(G718="CERVECERIA Y MALTERIA",(AS718*AK718/1000000)*(1-VLOOKUP(N718,FCST!D:I,6,FALSE)),0)</f>
        <v>0</v>
      </c>
      <c r="AU718" s="232">
        <v>5.0000000000000001E-3</v>
      </c>
      <c r="AV718" s="239">
        <f t="shared" si="92"/>
        <v>0</v>
      </c>
      <c r="AW718" s="239">
        <f>(AS718*AK718/1000000)*(VLOOKUP(N718,FCST!D:I,6,FALSE))</f>
        <v>5.4587519999999996</v>
      </c>
      <c r="AX718" s="239">
        <f t="shared" si="93"/>
        <v>5.4860457599999988</v>
      </c>
      <c r="AY718" s="239">
        <f>IF($G718="CERVECERIA Y MALTERIA.",($AS718*$AK718/1000000)*(1-VLOOKUP($N718,FCST!D:I,6,FALSE)),0)</f>
        <v>12.737088</v>
      </c>
      <c r="AZ718" s="239">
        <f t="shared" si="94"/>
        <v>12.800773439999999</v>
      </c>
    </row>
    <row r="719" spans="1:52" x14ac:dyDescent="0.25">
      <c r="A719" s="209">
        <v>1102662</v>
      </c>
      <c r="B719" s="209">
        <v>40</v>
      </c>
      <c r="C719" s="209" t="s">
        <v>1607</v>
      </c>
      <c r="D719" s="209">
        <v>10</v>
      </c>
      <c r="E719" s="209">
        <v>10000002</v>
      </c>
      <c r="F719" s="209">
        <v>20000340</v>
      </c>
      <c r="G719" s="209" t="s">
        <v>117</v>
      </c>
      <c r="H719" s="209">
        <v>20000340</v>
      </c>
      <c r="I719" s="209">
        <v>2</v>
      </c>
      <c r="J719" s="209" t="s">
        <v>169</v>
      </c>
      <c r="K719" s="209" t="s">
        <v>1608</v>
      </c>
      <c r="L719" s="209" t="s">
        <v>171</v>
      </c>
      <c r="M719" s="209" t="s">
        <v>328</v>
      </c>
      <c r="N719" s="209">
        <v>50029817</v>
      </c>
      <c r="O719" s="209" t="s">
        <v>396</v>
      </c>
      <c r="P719" s="209">
        <v>5101</v>
      </c>
      <c r="Q719" s="209" t="s">
        <v>186</v>
      </c>
      <c r="R719" s="209" t="s">
        <v>175</v>
      </c>
      <c r="S719" s="209" t="s">
        <v>176</v>
      </c>
      <c r="T719" s="209" t="s">
        <v>187</v>
      </c>
      <c r="U719" s="209" t="s">
        <v>188</v>
      </c>
      <c r="V719" s="209" t="s">
        <v>179</v>
      </c>
      <c r="W719" s="209" t="s">
        <v>179</v>
      </c>
      <c r="X719" s="209" t="s">
        <v>180</v>
      </c>
      <c r="Y719" s="209" t="s">
        <v>180</v>
      </c>
      <c r="Z719" s="209" t="s">
        <v>1605</v>
      </c>
      <c r="AA719" s="209" t="s">
        <v>1606</v>
      </c>
      <c r="AB719" s="209" t="s">
        <v>180</v>
      </c>
      <c r="AC719" s="209" t="s">
        <v>182</v>
      </c>
      <c r="AD719" s="209">
        <v>2</v>
      </c>
      <c r="AE719" s="209">
        <v>2025</v>
      </c>
      <c r="AF719" s="227">
        <v>45708</v>
      </c>
      <c r="AG719" s="227">
        <v>45714</v>
      </c>
      <c r="AH719" s="227">
        <v>45715</v>
      </c>
      <c r="AI719" s="228">
        <v>606528</v>
      </c>
      <c r="AJ719" s="228">
        <v>52</v>
      </c>
      <c r="AK719" s="228">
        <v>606528</v>
      </c>
      <c r="AL719" s="228">
        <v>52</v>
      </c>
      <c r="AM719" s="228">
        <v>0</v>
      </c>
      <c r="AN719" s="228">
        <v>0</v>
      </c>
      <c r="AO719" s="229">
        <v>9</v>
      </c>
      <c r="AP719" s="231">
        <v>2</v>
      </c>
      <c r="AQ719" s="231">
        <v>2025</v>
      </c>
      <c r="AR719" s="231" t="str">
        <f t="shared" si="90"/>
        <v>02/2025</v>
      </c>
      <c r="AS719" s="231">
        <f t="shared" si="91"/>
        <v>30</v>
      </c>
      <c r="AT719" s="239">
        <f>IF(G719="CERVECERIA Y MALTERIA",(AS719*AK719/1000000)*(1-VLOOKUP(N719,FCST!D:I,6,FALSE)),0)</f>
        <v>0</v>
      </c>
      <c r="AU719" s="232">
        <v>5.0000000000000001E-3</v>
      </c>
      <c r="AV719" s="239">
        <f t="shared" si="92"/>
        <v>0</v>
      </c>
      <c r="AW719" s="239">
        <f>(AS719*AK719/1000000)*(VLOOKUP(N719,FCST!D:I,6,FALSE))</f>
        <v>5.4587519999999996</v>
      </c>
      <c r="AX719" s="239">
        <f t="shared" si="93"/>
        <v>5.4860457599999988</v>
      </c>
      <c r="AY719" s="239">
        <f>IF($G719="CERVECERIA Y MALTERIA.",($AS719*$AK719/1000000)*(1-VLOOKUP($N719,FCST!D:I,6,FALSE)),0)</f>
        <v>12.737088</v>
      </c>
      <c r="AZ719" s="239">
        <f t="shared" si="94"/>
        <v>12.800773439999999</v>
      </c>
    </row>
    <row r="720" spans="1:52" x14ac:dyDescent="0.25">
      <c r="A720" s="209">
        <v>1100204</v>
      </c>
      <c r="B720" s="209">
        <v>10</v>
      </c>
      <c r="C720" s="209" t="s">
        <v>1609</v>
      </c>
      <c r="D720" s="209">
        <v>10</v>
      </c>
      <c r="E720" s="209">
        <v>10000002</v>
      </c>
      <c r="F720" s="209">
        <v>20000340</v>
      </c>
      <c r="G720" s="209" t="s">
        <v>117</v>
      </c>
      <c r="H720" s="209">
        <v>20000340</v>
      </c>
      <c r="I720" s="209">
        <v>2</v>
      </c>
      <c r="J720" s="209" t="s">
        <v>169</v>
      </c>
      <c r="K720" s="209" t="s">
        <v>1610</v>
      </c>
      <c r="L720" s="209" t="s">
        <v>171</v>
      </c>
      <c r="M720" s="209" t="s">
        <v>172</v>
      </c>
      <c r="N720" s="209">
        <v>50029817</v>
      </c>
      <c r="O720" s="209" t="s">
        <v>396</v>
      </c>
      <c r="P720" s="209">
        <v>5101</v>
      </c>
      <c r="Q720" s="209" t="s">
        <v>186</v>
      </c>
      <c r="R720" s="209" t="s">
        <v>175</v>
      </c>
      <c r="S720" s="209" t="s">
        <v>176</v>
      </c>
      <c r="T720" s="209" t="s">
        <v>187</v>
      </c>
      <c r="U720" s="209" t="s">
        <v>188</v>
      </c>
      <c r="V720" s="209" t="s">
        <v>179</v>
      </c>
      <c r="W720" s="209" t="s">
        <v>179</v>
      </c>
      <c r="X720" s="209" t="s">
        <v>180</v>
      </c>
      <c r="Y720" s="209" t="s">
        <v>180</v>
      </c>
      <c r="Z720" s="209" t="s">
        <v>1611</v>
      </c>
      <c r="AA720" s="209" t="s">
        <v>1612</v>
      </c>
      <c r="AB720" s="209" t="s">
        <v>180</v>
      </c>
      <c r="AC720" s="209" t="s">
        <v>182</v>
      </c>
      <c r="AD720" s="209">
        <v>2</v>
      </c>
      <c r="AE720" s="209">
        <v>2025</v>
      </c>
      <c r="AF720" s="227">
        <v>45695</v>
      </c>
      <c r="AG720" s="227">
        <v>45698</v>
      </c>
      <c r="AH720" s="227">
        <v>45698</v>
      </c>
      <c r="AI720" s="228">
        <v>606528</v>
      </c>
      <c r="AJ720" s="228">
        <v>52</v>
      </c>
      <c r="AK720" s="228">
        <v>606528</v>
      </c>
      <c r="AL720" s="228">
        <v>52</v>
      </c>
      <c r="AM720" s="228">
        <v>0</v>
      </c>
      <c r="AN720" s="228">
        <v>0</v>
      </c>
      <c r="AO720" s="229">
        <v>7</v>
      </c>
      <c r="AP720" s="231">
        <v>2</v>
      </c>
      <c r="AQ720" s="231">
        <v>2025</v>
      </c>
      <c r="AR720" s="231" t="str">
        <f t="shared" si="90"/>
        <v>02/2025</v>
      </c>
      <c r="AS720" s="231">
        <f t="shared" si="91"/>
        <v>30</v>
      </c>
      <c r="AT720" s="239">
        <f>IF(G720="CERVECERIA Y MALTERIA",(AS720*AK720/1000000)*(1-VLOOKUP(N720,FCST!D:I,6,FALSE)),0)</f>
        <v>0</v>
      </c>
      <c r="AU720" s="232">
        <v>5.0000000000000001E-3</v>
      </c>
      <c r="AV720" s="239">
        <f t="shared" si="92"/>
        <v>0</v>
      </c>
      <c r="AW720" s="239">
        <f>(AS720*AK720/1000000)*(VLOOKUP(N720,FCST!D:I,6,FALSE))</f>
        <v>5.4587519999999996</v>
      </c>
      <c r="AX720" s="239">
        <f t="shared" si="93"/>
        <v>5.4860457599999988</v>
      </c>
      <c r="AY720" s="239">
        <f>IF($G720="CERVECERIA Y MALTERIA.",($AS720*$AK720/1000000)*(1-VLOOKUP($N720,FCST!D:I,6,FALSE)),0)</f>
        <v>12.737088</v>
      </c>
      <c r="AZ720" s="239">
        <f t="shared" si="94"/>
        <v>12.800773439999999</v>
      </c>
    </row>
    <row r="721" spans="1:52" x14ac:dyDescent="0.25">
      <c r="A721" s="209">
        <v>1098749</v>
      </c>
      <c r="B721" s="209">
        <v>10</v>
      </c>
      <c r="C721" s="209" t="s">
        <v>1613</v>
      </c>
      <c r="D721" s="209">
        <v>10</v>
      </c>
      <c r="E721" s="209">
        <v>10000002</v>
      </c>
      <c r="F721" s="209">
        <v>20000340</v>
      </c>
      <c r="G721" s="209" t="s">
        <v>117</v>
      </c>
      <c r="H721" s="209">
        <v>20000340</v>
      </c>
      <c r="I721" s="209">
        <v>2</v>
      </c>
      <c r="J721" s="209" t="s">
        <v>169</v>
      </c>
      <c r="K721" s="209" t="s">
        <v>1614</v>
      </c>
      <c r="L721" s="209" t="s">
        <v>171</v>
      </c>
      <c r="M721" s="209" t="s">
        <v>184</v>
      </c>
      <c r="N721" s="209">
        <v>50027468</v>
      </c>
      <c r="O721" s="209" t="s">
        <v>285</v>
      </c>
      <c r="P721" s="209">
        <v>5101</v>
      </c>
      <c r="Q721" s="209" t="s">
        <v>186</v>
      </c>
      <c r="R721" s="209" t="s">
        <v>175</v>
      </c>
      <c r="S721" s="209" t="s">
        <v>176</v>
      </c>
      <c r="T721" s="209" t="s">
        <v>187</v>
      </c>
      <c r="U721" s="209" t="s">
        <v>188</v>
      </c>
      <c r="V721" s="209" t="s">
        <v>179</v>
      </c>
      <c r="W721" s="209" t="s">
        <v>179</v>
      </c>
      <c r="X721" s="209" t="s">
        <v>180</v>
      </c>
      <c r="Y721" s="209" t="s">
        <v>180</v>
      </c>
      <c r="Z721" s="209" t="s">
        <v>1615</v>
      </c>
      <c r="AA721" s="209" t="s">
        <v>1616</v>
      </c>
      <c r="AB721" s="209" t="s">
        <v>180</v>
      </c>
      <c r="AC721" s="209" t="s">
        <v>182</v>
      </c>
      <c r="AD721" s="209">
        <v>2</v>
      </c>
      <c r="AE721" s="209">
        <v>2025</v>
      </c>
      <c r="AF721" s="227">
        <v>45687</v>
      </c>
      <c r="AG721" s="227">
        <v>45691</v>
      </c>
      <c r="AH721" s="227">
        <v>45691</v>
      </c>
      <c r="AI721" s="228">
        <v>399360</v>
      </c>
      <c r="AJ721" s="228">
        <v>52</v>
      </c>
      <c r="AK721" s="228">
        <v>399360</v>
      </c>
      <c r="AL721" s="228">
        <v>52</v>
      </c>
      <c r="AM721" s="228">
        <v>0</v>
      </c>
      <c r="AN721" s="228">
        <v>0</v>
      </c>
      <c r="AO721" s="229">
        <v>6</v>
      </c>
      <c r="AP721" s="231">
        <v>2</v>
      </c>
      <c r="AQ721" s="231">
        <v>2025</v>
      </c>
      <c r="AR721" s="231" t="str">
        <f t="shared" si="90"/>
        <v>02/2025</v>
      </c>
      <c r="AS721" s="231">
        <f t="shared" si="91"/>
        <v>52</v>
      </c>
      <c r="AT721" s="239">
        <f>IF(G721="CERVECERIA Y MALTERIA",(AS721*AK721/1000000)*(1-VLOOKUP(N721,FCST!D:I,6,FALSE)),0)</f>
        <v>0</v>
      </c>
      <c r="AU721" s="232">
        <v>5.0000000000000001E-3</v>
      </c>
      <c r="AV721" s="239">
        <f t="shared" si="92"/>
        <v>0</v>
      </c>
      <c r="AW721" s="239">
        <f>(AS721*AK721/1000000)*(VLOOKUP(N721,FCST!D:I,6,FALSE))</f>
        <v>0</v>
      </c>
      <c r="AX721" s="239">
        <f t="shared" si="93"/>
        <v>0</v>
      </c>
      <c r="AY721" s="239">
        <f>IF($G721="CERVECERIA Y MALTERIA.",($AS721*$AK721/1000000)*(1-VLOOKUP($N721,FCST!D:I,6,FALSE)),0)</f>
        <v>20.766719999999999</v>
      </c>
      <c r="AZ721" s="239">
        <f t="shared" si="94"/>
        <v>20.870553599999997</v>
      </c>
    </row>
    <row r="722" spans="1:52" x14ac:dyDescent="0.25">
      <c r="A722" s="209">
        <v>1098749</v>
      </c>
      <c r="B722" s="209">
        <v>30</v>
      </c>
      <c r="C722" s="209" t="s">
        <v>1617</v>
      </c>
      <c r="D722" s="209">
        <v>10</v>
      </c>
      <c r="E722" s="209">
        <v>10000002</v>
      </c>
      <c r="F722" s="209">
        <v>20000340</v>
      </c>
      <c r="G722" s="209" t="s">
        <v>117</v>
      </c>
      <c r="H722" s="209">
        <v>20000340</v>
      </c>
      <c r="I722" s="209">
        <v>2</v>
      </c>
      <c r="J722" s="209" t="s">
        <v>169</v>
      </c>
      <c r="K722" s="209" t="s">
        <v>1618</v>
      </c>
      <c r="L722" s="209" t="s">
        <v>171</v>
      </c>
      <c r="M722" s="209" t="s">
        <v>184</v>
      </c>
      <c r="N722" s="209">
        <v>50027468</v>
      </c>
      <c r="O722" s="209" t="s">
        <v>285</v>
      </c>
      <c r="P722" s="209">
        <v>5101</v>
      </c>
      <c r="Q722" s="209" t="s">
        <v>186</v>
      </c>
      <c r="R722" s="209" t="s">
        <v>175</v>
      </c>
      <c r="S722" s="209" t="s">
        <v>176</v>
      </c>
      <c r="T722" s="209" t="s">
        <v>187</v>
      </c>
      <c r="U722" s="209" t="s">
        <v>188</v>
      </c>
      <c r="V722" s="209" t="s">
        <v>179</v>
      </c>
      <c r="W722" s="209" t="s">
        <v>179</v>
      </c>
      <c r="X722" s="209" t="s">
        <v>180</v>
      </c>
      <c r="Y722" s="209" t="s">
        <v>180</v>
      </c>
      <c r="Z722" s="209" t="s">
        <v>1615</v>
      </c>
      <c r="AA722" s="209" t="s">
        <v>1616</v>
      </c>
      <c r="AB722" s="209" t="s">
        <v>180</v>
      </c>
      <c r="AC722" s="209" t="s">
        <v>182</v>
      </c>
      <c r="AD722" s="209">
        <v>2</v>
      </c>
      <c r="AE722" s="209">
        <v>2025</v>
      </c>
      <c r="AF722" s="227">
        <v>45687</v>
      </c>
      <c r="AG722" s="227">
        <v>45693</v>
      </c>
      <c r="AH722" s="227">
        <v>45693</v>
      </c>
      <c r="AI722" s="228">
        <v>399360</v>
      </c>
      <c r="AJ722" s="228">
        <v>52</v>
      </c>
      <c r="AK722" s="228">
        <v>399360</v>
      </c>
      <c r="AL722" s="228">
        <v>52</v>
      </c>
      <c r="AM722" s="228">
        <v>0</v>
      </c>
      <c r="AN722" s="228">
        <v>0</v>
      </c>
      <c r="AO722" s="229">
        <v>6</v>
      </c>
      <c r="AP722" s="231">
        <v>2</v>
      </c>
      <c r="AQ722" s="231">
        <v>2025</v>
      </c>
      <c r="AR722" s="231" t="str">
        <f t="shared" si="90"/>
        <v>02/2025</v>
      </c>
      <c r="AS722" s="231">
        <f t="shared" si="91"/>
        <v>52</v>
      </c>
      <c r="AT722" s="239">
        <f>IF(G722="CERVECERIA Y MALTERIA",(AS722*AK722/1000000)*(1-VLOOKUP(N722,FCST!D:I,6,FALSE)),0)</f>
        <v>0</v>
      </c>
      <c r="AU722" s="232">
        <v>5.0000000000000001E-3</v>
      </c>
      <c r="AV722" s="239">
        <f t="shared" si="92"/>
        <v>0</v>
      </c>
      <c r="AW722" s="239">
        <f>(AS722*AK722/1000000)*(VLOOKUP(N722,FCST!D:I,6,FALSE))</f>
        <v>0</v>
      </c>
      <c r="AX722" s="239">
        <f t="shared" si="93"/>
        <v>0</v>
      </c>
      <c r="AY722" s="239">
        <f>IF($G722="CERVECERIA Y MALTERIA.",($AS722*$AK722/1000000)*(1-VLOOKUP($N722,FCST!D:I,6,FALSE)),0)</f>
        <v>20.766719999999999</v>
      </c>
      <c r="AZ722" s="239">
        <f t="shared" si="94"/>
        <v>20.870553599999997</v>
      </c>
    </row>
    <row r="723" spans="1:52" x14ac:dyDescent="0.25">
      <c r="A723" s="209">
        <v>1098749</v>
      </c>
      <c r="B723" s="209">
        <v>20</v>
      </c>
      <c r="C723" s="209" t="s">
        <v>1619</v>
      </c>
      <c r="D723" s="209">
        <v>10</v>
      </c>
      <c r="E723" s="209">
        <v>10000002</v>
      </c>
      <c r="F723" s="209">
        <v>20000340</v>
      </c>
      <c r="G723" s="209" t="s">
        <v>117</v>
      </c>
      <c r="H723" s="209">
        <v>20000340</v>
      </c>
      <c r="I723" s="209">
        <v>2</v>
      </c>
      <c r="J723" s="209" t="s">
        <v>169</v>
      </c>
      <c r="K723" s="209" t="s">
        <v>1620</v>
      </c>
      <c r="L723" s="209" t="s">
        <v>171</v>
      </c>
      <c r="M723" s="209" t="s">
        <v>184</v>
      </c>
      <c r="N723" s="209">
        <v>50027468</v>
      </c>
      <c r="O723" s="209" t="s">
        <v>285</v>
      </c>
      <c r="P723" s="209">
        <v>5101</v>
      </c>
      <c r="Q723" s="209" t="s">
        <v>186</v>
      </c>
      <c r="R723" s="209" t="s">
        <v>175</v>
      </c>
      <c r="S723" s="209" t="s">
        <v>176</v>
      </c>
      <c r="T723" s="209" t="s">
        <v>187</v>
      </c>
      <c r="U723" s="209" t="s">
        <v>188</v>
      </c>
      <c r="V723" s="209" t="s">
        <v>179</v>
      </c>
      <c r="W723" s="209" t="s">
        <v>179</v>
      </c>
      <c r="X723" s="209" t="s">
        <v>180</v>
      </c>
      <c r="Y723" s="209" t="s">
        <v>180</v>
      </c>
      <c r="Z723" s="209" t="s">
        <v>1615</v>
      </c>
      <c r="AA723" s="209" t="s">
        <v>1616</v>
      </c>
      <c r="AB723" s="209" t="s">
        <v>180</v>
      </c>
      <c r="AC723" s="209" t="s">
        <v>182</v>
      </c>
      <c r="AD723" s="209">
        <v>2</v>
      </c>
      <c r="AE723" s="209">
        <v>2025</v>
      </c>
      <c r="AF723" s="227">
        <v>45687</v>
      </c>
      <c r="AG723" s="227">
        <v>45692</v>
      </c>
      <c r="AH723" s="227">
        <v>45692</v>
      </c>
      <c r="AI723" s="228">
        <v>399360</v>
      </c>
      <c r="AJ723" s="228">
        <v>52</v>
      </c>
      <c r="AK723" s="228">
        <v>399360</v>
      </c>
      <c r="AL723" s="228">
        <v>52</v>
      </c>
      <c r="AM723" s="228">
        <v>0</v>
      </c>
      <c r="AN723" s="228">
        <v>0</v>
      </c>
      <c r="AO723" s="229">
        <v>6</v>
      </c>
      <c r="AP723" s="231">
        <v>2</v>
      </c>
      <c r="AQ723" s="231">
        <v>2025</v>
      </c>
      <c r="AR723" s="231" t="str">
        <f t="shared" si="90"/>
        <v>02/2025</v>
      </c>
      <c r="AS723" s="231">
        <f t="shared" si="91"/>
        <v>52</v>
      </c>
      <c r="AT723" s="239">
        <f>IF(G723="CERVECERIA Y MALTERIA",(AS723*AK723/1000000)*(1-VLOOKUP(N723,FCST!D:I,6,FALSE)),0)</f>
        <v>0</v>
      </c>
      <c r="AU723" s="232">
        <v>5.0000000000000001E-3</v>
      </c>
      <c r="AV723" s="239">
        <f t="shared" si="92"/>
        <v>0</v>
      </c>
      <c r="AW723" s="239">
        <f>(AS723*AK723/1000000)*(VLOOKUP(N723,FCST!D:I,6,FALSE))</f>
        <v>0</v>
      </c>
      <c r="AX723" s="239">
        <f t="shared" si="93"/>
        <v>0</v>
      </c>
      <c r="AY723" s="239">
        <f>IF($G723="CERVECERIA Y MALTERIA.",($AS723*$AK723/1000000)*(1-VLOOKUP($N723,FCST!D:I,6,FALSE)),0)</f>
        <v>20.766719999999999</v>
      </c>
      <c r="AZ723" s="239">
        <f t="shared" si="94"/>
        <v>20.870553599999997</v>
      </c>
    </row>
    <row r="724" spans="1:52" x14ac:dyDescent="0.25">
      <c r="A724" s="209">
        <v>1100204</v>
      </c>
      <c r="B724" s="209">
        <v>60</v>
      </c>
      <c r="C724" s="209" t="s">
        <v>1621</v>
      </c>
      <c r="D724" s="209">
        <v>10</v>
      </c>
      <c r="E724" s="209">
        <v>10000002</v>
      </c>
      <c r="F724" s="209">
        <v>20000340</v>
      </c>
      <c r="G724" s="209" t="s">
        <v>117</v>
      </c>
      <c r="H724" s="209">
        <v>20000340</v>
      </c>
      <c r="I724" s="209">
        <v>2</v>
      </c>
      <c r="J724" s="209" t="s">
        <v>169</v>
      </c>
      <c r="K724" s="209" t="s">
        <v>1622</v>
      </c>
      <c r="L724" s="209" t="s">
        <v>171</v>
      </c>
      <c r="M724" s="209" t="s">
        <v>172</v>
      </c>
      <c r="N724" s="209">
        <v>50036718</v>
      </c>
      <c r="O724" s="209" t="s">
        <v>259</v>
      </c>
      <c r="P724" s="209">
        <v>5101</v>
      </c>
      <c r="Q724" s="209" t="s">
        <v>186</v>
      </c>
      <c r="R724" s="209" t="s">
        <v>175</v>
      </c>
      <c r="S724" s="209" t="s">
        <v>176</v>
      </c>
      <c r="T724" s="209" t="s">
        <v>187</v>
      </c>
      <c r="U724" s="209" t="s">
        <v>188</v>
      </c>
      <c r="V724" s="209" t="s">
        <v>179</v>
      </c>
      <c r="W724" s="209" t="s">
        <v>179</v>
      </c>
      <c r="X724" s="209" t="s">
        <v>180</v>
      </c>
      <c r="Y724" s="209" t="s">
        <v>180</v>
      </c>
      <c r="Z724" s="209" t="s">
        <v>1623</v>
      </c>
      <c r="AA724" s="209" t="s">
        <v>1624</v>
      </c>
      <c r="AB724" s="209" t="s">
        <v>180</v>
      </c>
      <c r="AC724" s="209" t="s">
        <v>182</v>
      </c>
      <c r="AD724" s="209">
        <v>2</v>
      </c>
      <c r="AE724" s="209">
        <v>2025</v>
      </c>
      <c r="AF724" s="227">
        <v>45695</v>
      </c>
      <c r="AG724" s="227">
        <v>45702</v>
      </c>
      <c r="AH724" s="227">
        <v>45702</v>
      </c>
      <c r="AI724" s="228">
        <v>519168</v>
      </c>
      <c r="AJ724" s="228">
        <v>52</v>
      </c>
      <c r="AK724" s="228">
        <v>519168</v>
      </c>
      <c r="AL724" s="228">
        <v>52</v>
      </c>
      <c r="AM724" s="228">
        <v>0</v>
      </c>
      <c r="AN724" s="228">
        <v>0</v>
      </c>
      <c r="AO724" s="229">
        <v>7</v>
      </c>
      <c r="AP724" s="231">
        <v>2</v>
      </c>
      <c r="AQ724" s="231">
        <v>2025</v>
      </c>
      <c r="AR724" s="231" t="str">
        <f t="shared" si="90"/>
        <v>02/2025</v>
      </c>
      <c r="AS724" s="231">
        <f t="shared" si="91"/>
        <v>34</v>
      </c>
      <c r="AT724" s="239">
        <f>IF(G724="CERVECERIA Y MALTERIA",(AS724*AK724/1000000)*(1-VLOOKUP(N724,FCST!D:I,6,FALSE)),0)</f>
        <v>0</v>
      </c>
      <c r="AU724" s="232">
        <v>5.0000000000000001E-3</v>
      </c>
      <c r="AV724" s="239">
        <f t="shared" si="92"/>
        <v>0</v>
      </c>
      <c r="AW724" s="239">
        <f>(AS724*AK724/1000000)*(VLOOKUP(N724,FCST!D:I,6,FALSE))</f>
        <v>0</v>
      </c>
      <c r="AX724" s="239">
        <f t="shared" si="93"/>
        <v>0</v>
      </c>
      <c r="AY724" s="239">
        <f>IF($G724="CERVECERIA Y MALTERIA.",($AS724*$AK724/1000000)*(1-VLOOKUP($N724,FCST!D:I,6,FALSE)),0)</f>
        <v>17.651712</v>
      </c>
      <c r="AZ724" s="239">
        <f t="shared" si="94"/>
        <v>17.73997056</v>
      </c>
    </row>
    <row r="725" spans="1:52" x14ac:dyDescent="0.25">
      <c r="A725" s="209">
        <v>1101565</v>
      </c>
      <c r="B725" s="209">
        <v>30</v>
      </c>
      <c r="C725" s="209" t="s">
        <v>1625</v>
      </c>
      <c r="D725" s="209">
        <v>10</v>
      </c>
      <c r="E725" s="209">
        <v>10000002</v>
      </c>
      <c r="F725" s="209">
        <v>20000340</v>
      </c>
      <c r="G725" s="209" t="s">
        <v>117</v>
      </c>
      <c r="H725" s="209">
        <v>20000340</v>
      </c>
      <c r="I725" s="209">
        <v>2</v>
      </c>
      <c r="J725" s="209" t="s">
        <v>169</v>
      </c>
      <c r="K725" s="209" t="s">
        <v>1626</v>
      </c>
      <c r="L725" s="209" t="s">
        <v>171</v>
      </c>
      <c r="M725" s="209" t="s">
        <v>184</v>
      </c>
      <c r="N725" s="209">
        <v>50036718</v>
      </c>
      <c r="O725" s="209" t="s">
        <v>259</v>
      </c>
      <c r="P725" s="209">
        <v>5101</v>
      </c>
      <c r="Q725" s="209" t="s">
        <v>186</v>
      </c>
      <c r="R725" s="209" t="s">
        <v>175</v>
      </c>
      <c r="S725" s="209" t="s">
        <v>176</v>
      </c>
      <c r="T725" s="209" t="s">
        <v>187</v>
      </c>
      <c r="U725" s="209" t="s">
        <v>188</v>
      </c>
      <c r="V725" s="209" t="s">
        <v>179</v>
      </c>
      <c r="W725" s="209" t="s">
        <v>179</v>
      </c>
      <c r="X725" s="209" t="s">
        <v>180</v>
      </c>
      <c r="Y725" s="209" t="s">
        <v>180</v>
      </c>
      <c r="Z725" s="209" t="s">
        <v>1627</v>
      </c>
      <c r="AA725" s="209" t="s">
        <v>1628</v>
      </c>
      <c r="AB725" s="209" t="s">
        <v>180</v>
      </c>
      <c r="AC725" s="209" t="s">
        <v>182</v>
      </c>
      <c r="AD725" s="209">
        <v>2</v>
      </c>
      <c r="AE725" s="209">
        <v>2025</v>
      </c>
      <c r="AF725" s="227">
        <v>45701</v>
      </c>
      <c r="AG725" s="227">
        <v>45706</v>
      </c>
      <c r="AH725" s="227">
        <v>45706</v>
      </c>
      <c r="AI725" s="228">
        <v>519168</v>
      </c>
      <c r="AJ725" s="228">
        <v>52</v>
      </c>
      <c r="AK725" s="228">
        <v>519168</v>
      </c>
      <c r="AL725" s="228">
        <v>52</v>
      </c>
      <c r="AM725" s="228">
        <v>0</v>
      </c>
      <c r="AN725" s="228">
        <v>0</v>
      </c>
      <c r="AO725" s="229">
        <v>8</v>
      </c>
      <c r="AP725" s="231">
        <v>2</v>
      </c>
      <c r="AQ725" s="231">
        <v>2025</v>
      </c>
      <c r="AR725" s="231" t="str">
        <f t="shared" si="90"/>
        <v>02/2025</v>
      </c>
      <c r="AS725" s="231">
        <f t="shared" si="91"/>
        <v>34</v>
      </c>
      <c r="AT725" s="239">
        <f>IF(G725="CERVECERIA Y MALTERIA",(AS725*AK725/1000000)*(1-VLOOKUP(N725,FCST!D:I,6,FALSE)),0)</f>
        <v>0</v>
      </c>
      <c r="AU725" s="232">
        <v>5.0000000000000001E-3</v>
      </c>
      <c r="AV725" s="239">
        <f t="shared" si="92"/>
        <v>0</v>
      </c>
      <c r="AW725" s="239">
        <f>(AS725*AK725/1000000)*(VLOOKUP(N725,FCST!D:I,6,FALSE))</f>
        <v>0</v>
      </c>
      <c r="AX725" s="239">
        <f t="shared" si="93"/>
        <v>0</v>
      </c>
      <c r="AY725" s="239">
        <f>IF($G725="CERVECERIA Y MALTERIA.",($AS725*$AK725/1000000)*(1-VLOOKUP($N725,FCST!D:I,6,FALSE)),0)</f>
        <v>17.651712</v>
      </c>
      <c r="AZ725" s="239">
        <f t="shared" si="94"/>
        <v>17.73997056</v>
      </c>
    </row>
    <row r="726" spans="1:52" x14ac:dyDescent="0.25">
      <c r="A726" s="209">
        <v>1101565</v>
      </c>
      <c r="B726" s="209">
        <v>10</v>
      </c>
      <c r="C726" s="209" t="s">
        <v>1629</v>
      </c>
      <c r="D726" s="209">
        <v>10</v>
      </c>
      <c r="E726" s="209">
        <v>10000002</v>
      </c>
      <c r="F726" s="209">
        <v>20000340</v>
      </c>
      <c r="G726" s="209" t="s">
        <v>117</v>
      </c>
      <c r="H726" s="209">
        <v>20000340</v>
      </c>
      <c r="I726" s="209">
        <v>2</v>
      </c>
      <c r="J726" s="209" t="s">
        <v>169</v>
      </c>
      <c r="K726" s="209" t="s">
        <v>1630</v>
      </c>
      <c r="L726" s="209" t="s">
        <v>171</v>
      </c>
      <c r="M726" s="209" t="s">
        <v>184</v>
      </c>
      <c r="N726" s="209">
        <v>50029817</v>
      </c>
      <c r="O726" s="209" t="s">
        <v>396</v>
      </c>
      <c r="P726" s="209">
        <v>5101</v>
      </c>
      <c r="Q726" s="209" t="s">
        <v>186</v>
      </c>
      <c r="R726" s="209" t="s">
        <v>175</v>
      </c>
      <c r="S726" s="209" t="s">
        <v>176</v>
      </c>
      <c r="T726" s="209" t="s">
        <v>187</v>
      </c>
      <c r="U726" s="209" t="s">
        <v>188</v>
      </c>
      <c r="V726" s="209" t="s">
        <v>179</v>
      </c>
      <c r="W726" s="209" t="s">
        <v>179</v>
      </c>
      <c r="X726" s="209" t="s">
        <v>180</v>
      </c>
      <c r="Y726" s="209" t="s">
        <v>180</v>
      </c>
      <c r="Z726" s="209" t="s">
        <v>1631</v>
      </c>
      <c r="AA726" s="209" t="s">
        <v>1632</v>
      </c>
      <c r="AB726" s="209" t="s">
        <v>180</v>
      </c>
      <c r="AC726" s="209" t="s">
        <v>182</v>
      </c>
      <c r="AD726" s="209">
        <v>2</v>
      </c>
      <c r="AE726" s="209">
        <v>2025</v>
      </c>
      <c r="AF726" s="227">
        <v>45701</v>
      </c>
      <c r="AG726" s="227">
        <v>45705</v>
      </c>
      <c r="AH726" s="227">
        <v>45705</v>
      </c>
      <c r="AI726" s="228">
        <v>606528</v>
      </c>
      <c r="AJ726" s="228">
        <v>52</v>
      </c>
      <c r="AK726" s="228">
        <v>606528</v>
      </c>
      <c r="AL726" s="228">
        <v>52</v>
      </c>
      <c r="AM726" s="228">
        <v>0</v>
      </c>
      <c r="AN726" s="228">
        <v>0</v>
      </c>
      <c r="AO726" s="229">
        <v>8</v>
      </c>
      <c r="AP726" s="231">
        <v>2</v>
      </c>
      <c r="AQ726" s="231">
        <v>2025</v>
      </c>
      <c r="AR726" s="231" t="str">
        <f t="shared" si="90"/>
        <v>02/2025</v>
      </c>
      <c r="AS726" s="231">
        <f t="shared" si="91"/>
        <v>30</v>
      </c>
      <c r="AT726" s="239">
        <f>IF(G726="CERVECERIA Y MALTERIA",(AS726*AK726/1000000)*(1-VLOOKUP(N726,FCST!D:I,6,FALSE)),0)</f>
        <v>0</v>
      </c>
      <c r="AU726" s="232">
        <v>5.0000000000000001E-3</v>
      </c>
      <c r="AV726" s="239">
        <f t="shared" si="92"/>
        <v>0</v>
      </c>
      <c r="AW726" s="239">
        <f>(AS726*AK726/1000000)*(VLOOKUP(N726,FCST!D:I,6,FALSE))</f>
        <v>5.4587519999999996</v>
      </c>
      <c r="AX726" s="239">
        <f t="shared" si="93"/>
        <v>5.4860457599999988</v>
      </c>
      <c r="AY726" s="239">
        <f>IF($G726="CERVECERIA Y MALTERIA.",($AS726*$AK726/1000000)*(1-VLOOKUP($N726,FCST!D:I,6,FALSE)),0)</f>
        <v>12.737088</v>
      </c>
      <c r="AZ726" s="239">
        <f t="shared" si="94"/>
        <v>12.800773439999999</v>
      </c>
    </row>
    <row r="727" spans="1:52" x14ac:dyDescent="0.25">
      <c r="A727" s="209">
        <v>1101565</v>
      </c>
      <c r="B727" s="209">
        <v>20</v>
      </c>
      <c r="C727" s="209" t="s">
        <v>1633</v>
      </c>
      <c r="D727" s="209">
        <v>10</v>
      </c>
      <c r="E727" s="209">
        <v>10000002</v>
      </c>
      <c r="F727" s="209">
        <v>20000340</v>
      </c>
      <c r="G727" s="209" t="s">
        <v>117</v>
      </c>
      <c r="H727" s="209">
        <v>20000340</v>
      </c>
      <c r="I727" s="209">
        <v>2</v>
      </c>
      <c r="J727" s="209" t="s">
        <v>169</v>
      </c>
      <c r="K727" s="209" t="s">
        <v>1634</v>
      </c>
      <c r="L727" s="209" t="s">
        <v>171</v>
      </c>
      <c r="M727" s="209" t="s">
        <v>184</v>
      </c>
      <c r="N727" s="209">
        <v>50029817</v>
      </c>
      <c r="O727" s="209" t="s">
        <v>396</v>
      </c>
      <c r="P727" s="209">
        <v>5101</v>
      </c>
      <c r="Q727" s="209" t="s">
        <v>186</v>
      </c>
      <c r="R727" s="209" t="s">
        <v>175</v>
      </c>
      <c r="S727" s="209" t="s">
        <v>176</v>
      </c>
      <c r="T727" s="209" t="s">
        <v>187</v>
      </c>
      <c r="U727" s="209" t="s">
        <v>188</v>
      </c>
      <c r="V727" s="209" t="s">
        <v>179</v>
      </c>
      <c r="W727" s="209" t="s">
        <v>179</v>
      </c>
      <c r="X727" s="209" t="s">
        <v>180</v>
      </c>
      <c r="Y727" s="209" t="s">
        <v>180</v>
      </c>
      <c r="Z727" s="209" t="s">
        <v>1631</v>
      </c>
      <c r="AA727" s="209" t="s">
        <v>1632</v>
      </c>
      <c r="AB727" s="209" t="s">
        <v>180</v>
      </c>
      <c r="AC727" s="209" t="s">
        <v>182</v>
      </c>
      <c r="AD727" s="209">
        <v>2</v>
      </c>
      <c r="AE727" s="209">
        <v>2025</v>
      </c>
      <c r="AF727" s="227">
        <v>45701</v>
      </c>
      <c r="AG727" s="227">
        <v>45705</v>
      </c>
      <c r="AH727" s="227">
        <v>45705</v>
      </c>
      <c r="AI727" s="228">
        <v>606528</v>
      </c>
      <c r="AJ727" s="228">
        <v>52</v>
      </c>
      <c r="AK727" s="228">
        <v>606528</v>
      </c>
      <c r="AL727" s="228">
        <v>52</v>
      </c>
      <c r="AM727" s="228">
        <v>0</v>
      </c>
      <c r="AN727" s="228">
        <v>0</v>
      </c>
      <c r="AO727" s="229">
        <v>8</v>
      </c>
      <c r="AP727" s="231">
        <v>2</v>
      </c>
      <c r="AQ727" s="231">
        <v>2025</v>
      </c>
      <c r="AR727" s="231" t="str">
        <f t="shared" si="90"/>
        <v>02/2025</v>
      </c>
      <c r="AS727" s="231">
        <f t="shared" si="91"/>
        <v>30</v>
      </c>
      <c r="AT727" s="239">
        <f>IF(G727="CERVECERIA Y MALTERIA",(AS727*AK727/1000000)*(1-VLOOKUP(N727,FCST!D:I,6,FALSE)),0)</f>
        <v>0</v>
      </c>
      <c r="AU727" s="232">
        <v>5.0000000000000001E-3</v>
      </c>
      <c r="AV727" s="239">
        <f t="shared" si="92"/>
        <v>0</v>
      </c>
      <c r="AW727" s="239">
        <f>(AS727*AK727/1000000)*(VLOOKUP(N727,FCST!D:I,6,FALSE))</f>
        <v>5.4587519999999996</v>
      </c>
      <c r="AX727" s="239">
        <f t="shared" si="93"/>
        <v>5.4860457599999988</v>
      </c>
      <c r="AY727" s="239">
        <f>IF($G727="CERVECERIA Y MALTERIA.",($AS727*$AK727/1000000)*(1-VLOOKUP($N727,FCST!D:I,6,FALSE)),0)</f>
        <v>12.737088</v>
      </c>
      <c r="AZ727" s="239">
        <f t="shared" si="94"/>
        <v>12.800773439999999</v>
      </c>
    </row>
    <row r="728" spans="1:52" x14ac:dyDescent="0.25">
      <c r="A728" s="209">
        <v>1100204</v>
      </c>
      <c r="B728" s="209">
        <v>30</v>
      </c>
      <c r="C728" s="209" t="s">
        <v>1635</v>
      </c>
      <c r="D728" s="209">
        <v>10</v>
      </c>
      <c r="E728" s="209">
        <v>10000002</v>
      </c>
      <c r="F728" s="209">
        <v>20000340</v>
      </c>
      <c r="G728" s="209" t="s">
        <v>117</v>
      </c>
      <c r="H728" s="209">
        <v>20000340</v>
      </c>
      <c r="I728" s="209">
        <v>2</v>
      </c>
      <c r="J728" s="209" t="s">
        <v>169</v>
      </c>
      <c r="K728" s="209" t="s">
        <v>1636</v>
      </c>
      <c r="L728" s="209" t="s">
        <v>171</v>
      </c>
      <c r="M728" s="209" t="s">
        <v>184</v>
      </c>
      <c r="N728" s="209">
        <v>50029817</v>
      </c>
      <c r="O728" s="209" t="s">
        <v>396</v>
      </c>
      <c r="P728" s="209">
        <v>5101</v>
      </c>
      <c r="Q728" s="209" t="s">
        <v>186</v>
      </c>
      <c r="R728" s="209" t="s">
        <v>175</v>
      </c>
      <c r="S728" s="209" t="s">
        <v>176</v>
      </c>
      <c r="T728" s="209" t="s">
        <v>187</v>
      </c>
      <c r="U728" s="209" t="s">
        <v>188</v>
      </c>
      <c r="V728" s="209" t="s">
        <v>179</v>
      </c>
      <c r="W728" s="209" t="s">
        <v>179</v>
      </c>
      <c r="X728" s="209" t="s">
        <v>180</v>
      </c>
      <c r="Y728" s="209" t="s">
        <v>180</v>
      </c>
      <c r="Z728" s="209" t="s">
        <v>1611</v>
      </c>
      <c r="AA728" s="209" t="s">
        <v>1612</v>
      </c>
      <c r="AB728" s="209" t="s">
        <v>180</v>
      </c>
      <c r="AC728" s="209" t="s">
        <v>182</v>
      </c>
      <c r="AD728" s="209">
        <v>2</v>
      </c>
      <c r="AE728" s="209">
        <v>2025</v>
      </c>
      <c r="AF728" s="227">
        <v>45695</v>
      </c>
      <c r="AG728" s="227">
        <v>45700</v>
      </c>
      <c r="AH728" s="227">
        <v>45700</v>
      </c>
      <c r="AI728" s="228">
        <v>606528</v>
      </c>
      <c r="AJ728" s="228">
        <v>52</v>
      </c>
      <c r="AK728" s="228">
        <v>606528</v>
      </c>
      <c r="AL728" s="228">
        <v>52</v>
      </c>
      <c r="AM728" s="228">
        <v>0</v>
      </c>
      <c r="AN728" s="228">
        <v>0</v>
      </c>
      <c r="AO728" s="229">
        <v>7</v>
      </c>
      <c r="AP728" s="231">
        <v>2</v>
      </c>
      <c r="AQ728" s="231">
        <v>2025</v>
      </c>
      <c r="AR728" s="231" t="str">
        <f t="shared" si="90"/>
        <v>02/2025</v>
      </c>
      <c r="AS728" s="231">
        <f t="shared" si="91"/>
        <v>30</v>
      </c>
      <c r="AT728" s="239">
        <f>IF(G728="CERVECERIA Y MALTERIA",(AS728*AK728/1000000)*(1-VLOOKUP(N728,FCST!D:I,6,FALSE)),0)</f>
        <v>0</v>
      </c>
      <c r="AU728" s="232">
        <v>5.0000000000000001E-3</v>
      </c>
      <c r="AV728" s="239">
        <f t="shared" si="92"/>
        <v>0</v>
      </c>
      <c r="AW728" s="239">
        <f>(AS728*AK728/1000000)*(VLOOKUP(N728,FCST!D:I,6,FALSE))</f>
        <v>5.4587519999999996</v>
      </c>
      <c r="AX728" s="239">
        <f t="shared" si="93"/>
        <v>5.4860457599999988</v>
      </c>
      <c r="AY728" s="239">
        <f>IF($G728="CERVECERIA Y MALTERIA.",($AS728*$AK728/1000000)*(1-VLOOKUP($N728,FCST!D:I,6,FALSE)),0)</f>
        <v>12.737088</v>
      </c>
      <c r="AZ728" s="239">
        <f t="shared" si="94"/>
        <v>12.800773439999999</v>
      </c>
    </row>
    <row r="729" spans="1:52" x14ac:dyDescent="0.25">
      <c r="A729" s="209">
        <v>1100204</v>
      </c>
      <c r="B729" s="209">
        <v>20</v>
      </c>
      <c r="C729" s="209" t="s">
        <v>1637</v>
      </c>
      <c r="D729" s="209">
        <v>10</v>
      </c>
      <c r="E729" s="209">
        <v>10000002</v>
      </c>
      <c r="F729" s="209">
        <v>20000340</v>
      </c>
      <c r="G729" s="209" t="s">
        <v>117</v>
      </c>
      <c r="H729" s="209">
        <v>20000340</v>
      </c>
      <c r="I729" s="209">
        <v>2</v>
      </c>
      <c r="J729" s="209" t="s">
        <v>169</v>
      </c>
      <c r="K729" s="209" t="s">
        <v>1638</v>
      </c>
      <c r="L729" s="209" t="s">
        <v>171</v>
      </c>
      <c r="M729" s="209" t="s">
        <v>172</v>
      </c>
      <c r="N729" s="209">
        <v>50029817</v>
      </c>
      <c r="O729" s="209" t="s">
        <v>396</v>
      </c>
      <c r="P729" s="209">
        <v>5101</v>
      </c>
      <c r="Q729" s="209" t="s">
        <v>186</v>
      </c>
      <c r="R729" s="209" t="s">
        <v>175</v>
      </c>
      <c r="S729" s="209" t="s">
        <v>176</v>
      </c>
      <c r="T729" s="209" t="s">
        <v>187</v>
      </c>
      <c r="U729" s="209" t="s">
        <v>188</v>
      </c>
      <c r="V729" s="209" t="s">
        <v>179</v>
      </c>
      <c r="W729" s="209" t="s">
        <v>179</v>
      </c>
      <c r="X729" s="209" t="s">
        <v>180</v>
      </c>
      <c r="Y729" s="209" t="s">
        <v>180</v>
      </c>
      <c r="Z729" s="209" t="s">
        <v>1611</v>
      </c>
      <c r="AA729" s="209" t="s">
        <v>1612</v>
      </c>
      <c r="AB729" s="209" t="s">
        <v>180</v>
      </c>
      <c r="AC729" s="209" t="s">
        <v>182</v>
      </c>
      <c r="AD729" s="209">
        <v>2</v>
      </c>
      <c r="AE729" s="209">
        <v>2025</v>
      </c>
      <c r="AF729" s="227">
        <v>45695</v>
      </c>
      <c r="AG729" s="227">
        <v>45699</v>
      </c>
      <c r="AH729" s="227">
        <v>45699</v>
      </c>
      <c r="AI729" s="228">
        <v>606528</v>
      </c>
      <c r="AJ729" s="228">
        <v>52</v>
      </c>
      <c r="AK729" s="228">
        <v>606528</v>
      </c>
      <c r="AL729" s="228">
        <v>52</v>
      </c>
      <c r="AM729" s="228">
        <v>0</v>
      </c>
      <c r="AN729" s="228">
        <v>0</v>
      </c>
      <c r="AO729" s="229">
        <v>7</v>
      </c>
      <c r="AP729" s="231">
        <v>2</v>
      </c>
      <c r="AQ729" s="231">
        <v>2025</v>
      </c>
      <c r="AR729" s="231" t="str">
        <f t="shared" si="90"/>
        <v>02/2025</v>
      </c>
      <c r="AS729" s="231">
        <f t="shared" si="91"/>
        <v>30</v>
      </c>
      <c r="AT729" s="239">
        <f>IF(G729="CERVECERIA Y MALTERIA",(AS729*AK729/1000000)*(1-VLOOKUP(N729,FCST!D:I,6,FALSE)),0)</f>
        <v>0</v>
      </c>
      <c r="AU729" s="232">
        <v>5.0000000000000001E-3</v>
      </c>
      <c r="AV729" s="239">
        <f t="shared" si="92"/>
        <v>0</v>
      </c>
      <c r="AW729" s="239">
        <f>(AS729*AK729/1000000)*(VLOOKUP(N729,FCST!D:I,6,FALSE))</f>
        <v>5.4587519999999996</v>
      </c>
      <c r="AX729" s="239">
        <f t="shared" si="93"/>
        <v>5.4860457599999988</v>
      </c>
      <c r="AY729" s="239">
        <f>IF($G729="CERVECERIA Y MALTERIA.",($AS729*$AK729/1000000)*(1-VLOOKUP($N729,FCST!D:I,6,FALSE)),0)</f>
        <v>12.737088</v>
      </c>
      <c r="AZ729" s="239">
        <f t="shared" si="94"/>
        <v>12.800773439999999</v>
      </c>
    </row>
    <row r="730" spans="1:52" x14ac:dyDescent="0.25">
      <c r="A730" s="209">
        <v>1100204</v>
      </c>
      <c r="B730" s="209">
        <v>40</v>
      </c>
      <c r="C730" s="209" t="s">
        <v>1639</v>
      </c>
      <c r="D730" s="209">
        <v>10</v>
      </c>
      <c r="E730" s="209">
        <v>10000002</v>
      </c>
      <c r="F730" s="209">
        <v>20000340</v>
      </c>
      <c r="G730" s="209" t="s">
        <v>117</v>
      </c>
      <c r="H730" s="209">
        <v>20000340</v>
      </c>
      <c r="I730" s="209">
        <v>2</v>
      </c>
      <c r="J730" s="209" t="s">
        <v>169</v>
      </c>
      <c r="K730" s="209" t="s">
        <v>1640</v>
      </c>
      <c r="L730" s="209" t="s">
        <v>171</v>
      </c>
      <c r="M730" s="209" t="s">
        <v>184</v>
      </c>
      <c r="N730" s="209">
        <v>50029817</v>
      </c>
      <c r="O730" s="209" t="s">
        <v>396</v>
      </c>
      <c r="P730" s="209">
        <v>5101</v>
      </c>
      <c r="Q730" s="209" t="s">
        <v>186</v>
      </c>
      <c r="R730" s="209" t="s">
        <v>175</v>
      </c>
      <c r="S730" s="209" t="s">
        <v>176</v>
      </c>
      <c r="T730" s="209" t="s">
        <v>187</v>
      </c>
      <c r="U730" s="209" t="s">
        <v>188</v>
      </c>
      <c r="V730" s="209" t="s">
        <v>179</v>
      </c>
      <c r="W730" s="209" t="s">
        <v>179</v>
      </c>
      <c r="X730" s="209" t="s">
        <v>180</v>
      </c>
      <c r="Y730" s="209" t="s">
        <v>180</v>
      </c>
      <c r="Z730" s="209" t="s">
        <v>1611</v>
      </c>
      <c r="AA730" s="209" t="s">
        <v>1612</v>
      </c>
      <c r="AB730" s="209" t="s">
        <v>180</v>
      </c>
      <c r="AC730" s="209" t="s">
        <v>182</v>
      </c>
      <c r="AD730" s="209">
        <v>2</v>
      </c>
      <c r="AE730" s="209">
        <v>2025</v>
      </c>
      <c r="AF730" s="227">
        <v>45695</v>
      </c>
      <c r="AG730" s="227">
        <v>45701</v>
      </c>
      <c r="AH730" s="227">
        <v>45701</v>
      </c>
      <c r="AI730" s="228">
        <v>606528</v>
      </c>
      <c r="AJ730" s="228">
        <v>52</v>
      </c>
      <c r="AK730" s="228">
        <v>606528</v>
      </c>
      <c r="AL730" s="228">
        <v>52</v>
      </c>
      <c r="AM730" s="228">
        <v>0</v>
      </c>
      <c r="AN730" s="228">
        <v>0</v>
      </c>
      <c r="AO730" s="229">
        <v>7</v>
      </c>
      <c r="AP730" s="231">
        <v>2</v>
      </c>
      <c r="AQ730" s="231">
        <v>2025</v>
      </c>
      <c r="AR730" s="231" t="str">
        <f t="shared" si="90"/>
        <v>02/2025</v>
      </c>
      <c r="AS730" s="231">
        <f t="shared" si="91"/>
        <v>30</v>
      </c>
      <c r="AT730" s="239">
        <f>IF(G730="CERVECERIA Y MALTERIA",(AS730*AK730/1000000)*(1-VLOOKUP(N730,FCST!D:I,6,FALSE)),0)</f>
        <v>0</v>
      </c>
      <c r="AU730" s="232">
        <v>5.0000000000000001E-3</v>
      </c>
      <c r="AV730" s="239">
        <f t="shared" si="92"/>
        <v>0</v>
      </c>
      <c r="AW730" s="239">
        <f>(AS730*AK730/1000000)*(VLOOKUP(N730,FCST!D:I,6,FALSE))</f>
        <v>5.4587519999999996</v>
      </c>
      <c r="AX730" s="239">
        <f t="shared" si="93"/>
        <v>5.4860457599999988</v>
      </c>
      <c r="AY730" s="239">
        <f>IF($G730="CERVECERIA Y MALTERIA.",($AS730*$AK730/1000000)*(1-VLOOKUP($N730,FCST!D:I,6,FALSE)),0)</f>
        <v>12.737088</v>
      </c>
      <c r="AZ730" s="239">
        <f t="shared" si="94"/>
        <v>12.800773439999999</v>
      </c>
    </row>
    <row r="731" spans="1:52" x14ac:dyDescent="0.25">
      <c r="A731" s="209">
        <v>1100204</v>
      </c>
      <c r="B731" s="209">
        <v>50</v>
      </c>
      <c r="C731" s="209" t="s">
        <v>1641</v>
      </c>
      <c r="D731" s="209">
        <v>10</v>
      </c>
      <c r="E731" s="209">
        <v>10000002</v>
      </c>
      <c r="F731" s="209">
        <v>20000340</v>
      </c>
      <c r="G731" s="209" t="s">
        <v>117</v>
      </c>
      <c r="H731" s="209">
        <v>20000340</v>
      </c>
      <c r="I731" s="209">
        <v>2</v>
      </c>
      <c r="J731" s="209" t="s">
        <v>169</v>
      </c>
      <c r="K731" s="209" t="s">
        <v>1642</v>
      </c>
      <c r="L731" s="209" t="s">
        <v>171</v>
      </c>
      <c r="M731" s="209" t="s">
        <v>184</v>
      </c>
      <c r="N731" s="209">
        <v>50036718</v>
      </c>
      <c r="O731" s="209" t="s">
        <v>259</v>
      </c>
      <c r="P731" s="209">
        <v>5101</v>
      </c>
      <c r="Q731" s="209" t="s">
        <v>186</v>
      </c>
      <c r="R731" s="209" t="s">
        <v>175</v>
      </c>
      <c r="S731" s="209" t="s">
        <v>176</v>
      </c>
      <c r="T731" s="209" t="s">
        <v>187</v>
      </c>
      <c r="U731" s="209" t="s">
        <v>188</v>
      </c>
      <c r="V731" s="209" t="s">
        <v>179</v>
      </c>
      <c r="W731" s="209" t="s">
        <v>179</v>
      </c>
      <c r="X731" s="209" t="s">
        <v>180</v>
      </c>
      <c r="Y731" s="209" t="s">
        <v>180</v>
      </c>
      <c r="Z731" s="209" t="s">
        <v>1623</v>
      </c>
      <c r="AA731" s="209" t="s">
        <v>1624</v>
      </c>
      <c r="AB731" s="209" t="s">
        <v>180</v>
      </c>
      <c r="AC731" s="209" t="s">
        <v>182</v>
      </c>
      <c r="AD731" s="209">
        <v>2</v>
      </c>
      <c r="AE731" s="209">
        <v>2025</v>
      </c>
      <c r="AF731" s="227">
        <v>45695</v>
      </c>
      <c r="AG731" s="227">
        <v>45701</v>
      </c>
      <c r="AH731" s="227">
        <v>45701</v>
      </c>
      <c r="AI731" s="228">
        <v>519168</v>
      </c>
      <c r="AJ731" s="228">
        <v>52</v>
      </c>
      <c r="AK731" s="228">
        <v>519168</v>
      </c>
      <c r="AL731" s="228">
        <v>52</v>
      </c>
      <c r="AM731" s="228">
        <v>0</v>
      </c>
      <c r="AN731" s="228">
        <v>0</v>
      </c>
      <c r="AO731" s="229">
        <v>7</v>
      </c>
      <c r="AP731" s="231">
        <v>2</v>
      </c>
      <c r="AQ731" s="231">
        <v>2025</v>
      </c>
      <c r="AR731" s="231" t="str">
        <f t="shared" si="90"/>
        <v>02/2025</v>
      </c>
      <c r="AS731" s="231">
        <f t="shared" si="91"/>
        <v>34</v>
      </c>
      <c r="AT731" s="239">
        <f>IF(G731="CERVECERIA Y MALTERIA",(AS731*AK731/1000000)*(1-VLOOKUP(N731,FCST!D:I,6,FALSE)),0)</f>
        <v>0</v>
      </c>
      <c r="AU731" s="232">
        <v>5.0000000000000001E-3</v>
      </c>
      <c r="AV731" s="239">
        <f t="shared" si="92"/>
        <v>0</v>
      </c>
      <c r="AW731" s="239">
        <f>(AS731*AK731/1000000)*(VLOOKUP(N731,FCST!D:I,6,FALSE))</f>
        <v>0</v>
      </c>
      <c r="AX731" s="239">
        <f t="shared" si="93"/>
        <v>0</v>
      </c>
      <c r="AY731" s="239">
        <f>IF($G731="CERVECERIA Y MALTERIA.",($AS731*$AK731/1000000)*(1-VLOOKUP($N731,FCST!D:I,6,FALSE)),0)</f>
        <v>17.651712</v>
      </c>
      <c r="AZ731" s="239">
        <f t="shared" si="94"/>
        <v>17.73997056</v>
      </c>
    </row>
    <row r="733" spans="1:52" x14ac:dyDescent="0.25">
      <c r="A733" s="209">
        <v>1107878</v>
      </c>
      <c r="B733" s="209">
        <v>20</v>
      </c>
      <c r="C733" s="209" t="s">
        <v>1643</v>
      </c>
      <c r="D733" s="209">
        <v>10</v>
      </c>
      <c r="E733" s="209">
        <v>10000002</v>
      </c>
      <c r="F733" s="209">
        <v>20000335</v>
      </c>
      <c r="G733" s="209" t="s">
        <v>105</v>
      </c>
      <c r="H733" s="209">
        <v>20000335</v>
      </c>
      <c r="I733" s="209">
        <v>2</v>
      </c>
      <c r="J733" s="209" t="s">
        <v>169</v>
      </c>
      <c r="K733" s="209" t="s">
        <v>1644</v>
      </c>
      <c r="L733" s="209" t="s">
        <v>171</v>
      </c>
      <c r="M733" s="209" t="s">
        <v>184</v>
      </c>
      <c r="N733" s="209">
        <v>50035183</v>
      </c>
      <c r="O733" s="209" t="s">
        <v>215</v>
      </c>
      <c r="P733" s="209">
        <v>5121</v>
      </c>
      <c r="Q733" s="209" t="s">
        <v>174</v>
      </c>
      <c r="R733" s="209" t="s">
        <v>175</v>
      </c>
      <c r="S733" s="209" t="s">
        <v>176</v>
      </c>
      <c r="T733" s="209" t="s">
        <v>177</v>
      </c>
      <c r="U733" s="209" t="s">
        <v>178</v>
      </c>
      <c r="V733" s="209" t="s">
        <v>179</v>
      </c>
      <c r="W733" s="209" t="s">
        <v>179</v>
      </c>
      <c r="X733" s="209" t="s">
        <v>180</v>
      </c>
      <c r="Y733" s="209" t="s">
        <v>180</v>
      </c>
      <c r="Z733" s="209" t="s">
        <v>1645</v>
      </c>
      <c r="AA733" s="209" t="s">
        <v>1646</v>
      </c>
      <c r="AB733" s="209" t="s">
        <v>180</v>
      </c>
      <c r="AC733" s="209" t="s">
        <v>182</v>
      </c>
      <c r="AD733" s="209">
        <v>3</v>
      </c>
      <c r="AE733" s="209">
        <v>2025</v>
      </c>
      <c r="AF733" s="227">
        <v>45736</v>
      </c>
      <c r="AG733" s="227">
        <v>45742</v>
      </c>
      <c r="AH733" s="227">
        <v>45742</v>
      </c>
      <c r="AI733" s="228">
        <v>426816</v>
      </c>
      <c r="AJ733" s="228">
        <v>52</v>
      </c>
      <c r="AK733" s="228">
        <v>426816</v>
      </c>
      <c r="AL733" s="228">
        <v>52</v>
      </c>
      <c r="AM733" s="228">
        <v>0</v>
      </c>
      <c r="AN733" s="228">
        <v>0</v>
      </c>
      <c r="AO733" s="229">
        <v>13</v>
      </c>
      <c r="AP733" s="231">
        <v>3</v>
      </c>
      <c r="AQ733" s="231">
        <v>2025</v>
      </c>
      <c r="AR733" s="231" t="str">
        <f t="shared" ref="AR733" si="95">+IF(AP733&lt;10,"0"&amp;AP733&amp; "/"&amp;AQ733,AP733&amp; "/"&amp;AQ733)</f>
        <v>03/2025</v>
      </c>
      <c r="AS733" s="231">
        <f t="shared" ref="AS733" si="96">VALUE(MID(INDEX(_xlfn.TEXTSPLIT(O733, ","), 1, 3), 1,FIND("G", INDEX(_xlfn.TEXTSPLIT(O733, ","), 1, 3))-1))</f>
        <v>46.6</v>
      </c>
      <c r="AT733" s="239">
        <f>IF(G733="CERVECERIA Y MALTERIA",(AS733*AK733/1000000)*(1-VLOOKUP(N733,FCST!D:I,6,FALSE)),0)</f>
        <v>19.889625600000002</v>
      </c>
      <c r="AU733" s="232">
        <v>5.0000000000000001E-3</v>
      </c>
      <c r="AV733" s="239">
        <f t="shared" ref="AV733" si="97">+AT733*(1+AU733)</f>
        <v>19.989073728000001</v>
      </c>
      <c r="AW733" s="239">
        <f>(AS733*AK733/1000000)*(VLOOKUP(N733,FCST!D:I,6,FALSE))</f>
        <v>0</v>
      </c>
      <c r="AX733" s="239">
        <f t="shared" ref="AX733" si="98">+AW733*(1+AU733)</f>
        <v>0</v>
      </c>
      <c r="AY733" s="239">
        <f>IF($G733="CERVECERIA Y MALTERIA.",($AS733*$AK733/1000000)*(1-VLOOKUP($N733,FCST!D:I,6,FALSE)),0)</f>
        <v>0</v>
      </c>
      <c r="AZ733" s="239">
        <f t="shared" ref="AZ733" si="99">+AY733*(1+AU733)</f>
        <v>0</v>
      </c>
    </row>
    <row r="734" spans="1:52" x14ac:dyDescent="0.25">
      <c r="A734" s="209">
        <v>1107879</v>
      </c>
      <c r="B734" s="209">
        <v>40</v>
      </c>
      <c r="C734" s="209" t="s">
        <v>1647</v>
      </c>
      <c r="D734" s="209">
        <v>10</v>
      </c>
      <c r="E734" s="209">
        <v>10000002</v>
      </c>
      <c r="F734" s="209">
        <v>20000340</v>
      </c>
      <c r="G734" s="209" t="s">
        <v>117</v>
      </c>
      <c r="H734" s="209">
        <v>20000340</v>
      </c>
      <c r="I734" s="209">
        <v>2</v>
      </c>
      <c r="J734" s="209" t="s">
        <v>169</v>
      </c>
      <c r="K734" s="209" t="s">
        <v>1648</v>
      </c>
      <c r="L734" s="209" t="s">
        <v>171</v>
      </c>
      <c r="M734" s="209" t="s">
        <v>184</v>
      </c>
      <c r="N734" s="209">
        <v>50029817</v>
      </c>
      <c r="O734" s="209" t="s">
        <v>396</v>
      </c>
      <c r="P734" s="209">
        <v>5101</v>
      </c>
      <c r="Q734" s="209" t="s">
        <v>186</v>
      </c>
      <c r="R734" s="209" t="s">
        <v>175</v>
      </c>
      <c r="S734" s="209" t="s">
        <v>176</v>
      </c>
      <c r="T734" s="209" t="s">
        <v>187</v>
      </c>
      <c r="U734" s="209" t="s">
        <v>188</v>
      </c>
      <c r="V734" s="209" t="s">
        <v>179</v>
      </c>
      <c r="W734" s="209" t="s">
        <v>179</v>
      </c>
      <c r="X734" s="209" t="s">
        <v>180</v>
      </c>
      <c r="Y734" s="209" t="s">
        <v>180</v>
      </c>
      <c r="Z734" s="209" t="s">
        <v>1649</v>
      </c>
      <c r="AA734" s="209" t="s">
        <v>1650</v>
      </c>
      <c r="AB734" s="209" t="s">
        <v>180</v>
      </c>
      <c r="AC734" s="209" t="s">
        <v>182</v>
      </c>
      <c r="AD734" s="209">
        <v>3</v>
      </c>
      <c r="AE734" s="209">
        <v>2025</v>
      </c>
      <c r="AF734" s="227">
        <v>45736</v>
      </c>
      <c r="AG734" s="227">
        <v>45742</v>
      </c>
      <c r="AH734" s="227">
        <v>45742</v>
      </c>
      <c r="AI734" s="228">
        <v>606528</v>
      </c>
      <c r="AJ734" s="228">
        <v>52</v>
      </c>
      <c r="AK734" s="228">
        <v>606528</v>
      </c>
      <c r="AL734" s="228">
        <v>52</v>
      </c>
      <c r="AM734" s="228">
        <v>0</v>
      </c>
      <c r="AN734" s="228">
        <v>0</v>
      </c>
      <c r="AO734" s="229">
        <v>13</v>
      </c>
      <c r="AP734" s="231">
        <v>3</v>
      </c>
      <c r="AQ734" s="231">
        <v>2025</v>
      </c>
      <c r="AR734" s="231" t="str">
        <f t="shared" ref="AR734:AR797" si="100">+IF(AP734&lt;10,"0"&amp;AP734&amp; "/"&amp;AQ734,AP734&amp; "/"&amp;AQ734)</f>
        <v>03/2025</v>
      </c>
      <c r="AS734" s="231">
        <f t="shared" ref="AS734:AS797" si="101">VALUE(MID(INDEX(_xlfn.TEXTSPLIT(O734, ","), 1, 3), 1,FIND("G", INDEX(_xlfn.TEXTSPLIT(O734, ","), 1, 3))-1))</f>
        <v>30</v>
      </c>
      <c r="AT734" s="239">
        <f>IF(G734="CERVECERIA Y MALTERIA",(AS734*AK734/1000000)*(1-VLOOKUP(N734,FCST!D:I,6,FALSE)),0)</f>
        <v>0</v>
      </c>
      <c r="AU734" s="232">
        <v>5.0000000000000001E-3</v>
      </c>
      <c r="AV734" s="239">
        <f t="shared" ref="AV734:AV797" si="102">+AT734*(1+AU734)</f>
        <v>0</v>
      </c>
      <c r="AW734" s="239">
        <f>(AS734*AK734/1000000)*(VLOOKUP(N734,FCST!D:I,6,FALSE))</f>
        <v>5.4587519999999996</v>
      </c>
      <c r="AX734" s="239">
        <f t="shared" ref="AX734:AX797" si="103">+AW734*(1+AU734)</f>
        <v>5.4860457599999988</v>
      </c>
      <c r="AY734" s="239">
        <f>IF($G734="CERVECERIA Y MALTERIA.",($AS734*$AK734/1000000)*(1-VLOOKUP($N734,FCST!D:I,6,FALSE)),0)</f>
        <v>12.737088</v>
      </c>
      <c r="AZ734" s="239">
        <f t="shared" ref="AZ734:AZ797" si="104">+AY734*(1+AU734)</f>
        <v>12.800773439999999</v>
      </c>
    </row>
    <row r="735" spans="1:52" x14ac:dyDescent="0.25">
      <c r="A735" s="209">
        <v>1107879</v>
      </c>
      <c r="B735" s="209">
        <v>50</v>
      </c>
      <c r="C735" s="209" t="s">
        <v>1651</v>
      </c>
      <c r="D735" s="209">
        <v>10</v>
      </c>
      <c r="E735" s="209">
        <v>10000002</v>
      </c>
      <c r="F735" s="209">
        <v>20000340</v>
      </c>
      <c r="G735" s="209" t="s">
        <v>117</v>
      </c>
      <c r="H735" s="209">
        <v>20000340</v>
      </c>
      <c r="I735" s="209">
        <v>2</v>
      </c>
      <c r="J735" s="209" t="s">
        <v>169</v>
      </c>
      <c r="K735" s="209" t="s">
        <v>1652</v>
      </c>
      <c r="L735" s="209" t="s">
        <v>171</v>
      </c>
      <c r="M735" s="209" t="s">
        <v>184</v>
      </c>
      <c r="N735" s="209">
        <v>50029817</v>
      </c>
      <c r="O735" s="209" t="s">
        <v>396</v>
      </c>
      <c r="P735" s="209">
        <v>5101</v>
      </c>
      <c r="Q735" s="209" t="s">
        <v>186</v>
      </c>
      <c r="R735" s="209" t="s">
        <v>175</v>
      </c>
      <c r="S735" s="209" t="s">
        <v>176</v>
      </c>
      <c r="T735" s="209" t="s">
        <v>187</v>
      </c>
      <c r="U735" s="209" t="s">
        <v>188</v>
      </c>
      <c r="V735" s="209" t="s">
        <v>179</v>
      </c>
      <c r="W735" s="209" t="s">
        <v>179</v>
      </c>
      <c r="X735" s="209" t="s">
        <v>180</v>
      </c>
      <c r="Y735" s="209" t="s">
        <v>180</v>
      </c>
      <c r="Z735" s="209" t="s">
        <v>1653</v>
      </c>
      <c r="AA735" s="209" t="s">
        <v>1654</v>
      </c>
      <c r="AB735" s="209" t="s">
        <v>180</v>
      </c>
      <c r="AC735" s="209" t="s">
        <v>182</v>
      </c>
      <c r="AD735" s="209">
        <v>3</v>
      </c>
      <c r="AE735" s="209">
        <v>2025</v>
      </c>
      <c r="AF735" s="227">
        <v>45736</v>
      </c>
      <c r="AG735" s="227">
        <v>45743</v>
      </c>
      <c r="AH735" s="227">
        <v>45743</v>
      </c>
      <c r="AI735" s="228">
        <v>606528</v>
      </c>
      <c r="AJ735" s="228">
        <v>52</v>
      </c>
      <c r="AK735" s="228">
        <v>606528</v>
      </c>
      <c r="AL735" s="228">
        <v>52</v>
      </c>
      <c r="AM735" s="228">
        <v>0</v>
      </c>
      <c r="AN735" s="228">
        <v>0</v>
      </c>
      <c r="AO735" s="229">
        <v>13</v>
      </c>
      <c r="AP735" s="231">
        <v>3</v>
      </c>
      <c r="AQ735" s="231">
        <v>2025</v>
      </c>
      <c r="AR735" s="231" t="str">
        <f t="shared" si="100"/>
        <v>03/2025</v>
      </c>
      <c r="AS735" s="231">
        <f t="shared" si="101"/>
        <v>30</v>
      </c>
      <c r="AT735" s="239">
        <f>IF(G735="CERVECERIA Y MALTERIA",(AS735*AK735/1000000)*(1-VLOOKUP(N735,FCST!D:I,6,FALSE)),0)</f>
        <v>0</v>
      </c>
      <c r="AU735" s="232">
        <v>5.0000000000000001E-3</v>
      </c>
      <c r="AV735" s="239">
        <f t="shared" si="102"/>
        <v>0</v>
      </c>
      <c r="AW735" s="239">
        <f>(AS735*AK735/1000000)*(VLOOKUP(N735,FCST!D:I,6,FALSE))</f>
        <v>5.4587519999999996</v>
      </c>
      <c r="AX735" s="239">
        <f t="shared" si="103"/>
        <v>5.4860457599999988</v>
      </c>
      <c r="AY735" s="239">
        <f>IF($G735="CERVECERIA Y MALTERIA.",($AS735*$AK735/1000000)*(1-VLOOKUP($N735,FCST!D:I,6,FALSE)),0)</f>
        <v>12.737088</v>
      </c>
      <c r="AZ735" s="239">
        <f t="shared" si="104"/>
        <v>12.800773439999999</v>
      </c>
    </row>
    <row r="736" spans="1:52" x14ac:dyDescent="0.25">
      <c r="A736" s="209">
        <v>1106858</v>
      </c>
      <c r="B736" s="209">
        <v>70</v>
      </c>
      <c r="C736" s="209" t="s">
        <v>1655</v>
      </c>
      <c r="D736" s="209">
        <v>10</v>
      </c>
      <c r="E736" s="209">
        <v>10000002</v>
      </c>
      <c r="F736" s="209">
        <v>20000340</v>
      </c>
      <c r="G736" s="209" t="s">
        <v>117</v>
      </c>
      <c r="H736" s="209">
        <v>20000340</v>
      </c>
      <c r="I736" s="209">
        <v>2</v>
      </c>
      <c r="J736" s="209" t="s">
        <v>169</v>
      </c>
      <c r="K736" s="209" t="s">
        <v>1656</v>
      </c>
      <c r="L736" s="209" t="s">
        <v>171</v>
      </c>
      <c r="M736" s="209" t="s">
        <v>184</v>
      </c>
      <c r="N736" s="209">
        <v>50029817</v>
      </c>
      <c r="O736" s="209" t="s">
        <v>396</v>
      </c>
      <c r="P736" s="209">
        <v>5101</v>
      </c>
      <c r="Q736" s="209" t="s">
        <v>186</v>
      </c>
      <c r="R736" s="209" t="s">
        <v>175</v>
      </c>
      <c r="S736" s="209" t="s">
        <v>176</v>
      </c>
      <c r="T736" s="209" t="s">
        <v>187</v>
      </c>
      <c r="U736" s="209" t="s">
        <v>188</v>
      </c>
      <c r="V736" s="209" t="s">
        <v>179</v>
      </c>
      <c r="W736" s="209" t="s">
        <v>179</v>
      </c>
      <c r="X736" s="209" t="s">
        <v>180</v>
      </c>
      <c r="Y736" s="209" t="s">
        <v>180</v>
      </c>
      <c r="Z736" s="209" t="s">
        <v>1657</v>
      </c>
      <c r="AA736" s="209" t="s">
        <v>1658</v>
      </c>
      <c r="AB736" s="209" t="s">
        <v>180</v>
      </c>
      <c r="AC736" s="209" t="s">
        <v>182</v>
      </c>
      <c r="AD736" s="209">
        <v>3</v>
      </c>
      <c r="AE736" s="209">
        <v>2025</v>
      </c>
      <c r="AF736" s="227">
        <v>45730</v>
      </c>
      <c r="AG736" s="227">
        <v>45737</v>
      </c>
      <c r="AH736" s="227">
        <v>45737</v>
      </c>
      <c r="AI736" s="228">
        <v>606528</v>
      </c>
      <c r="AJ736" s="228">
        <v>52</v>
      </c>
      <c r="AK736" s="228">
        <v>606528</v>
      </c>
      <c r="AL736" s="228">
        <v>52</v>
      </c>
      <c r="AM736" s="228">
        <v>0</v>
      </c>
      <c r="AN736" s="228">
        <v>0</v>
      </c>
      <c r="AO736" s="229">
        <v>12</v>
      </c>
      <c r="AP736" s="231">
        <v>3</v>
      </c>
      <c r="AQ736" s="231">
        <v>2025</v>
      </c>
      <c r="AR736" s="231" t="str">
        <f t="shared" si="100"/>
        <v>03/2025</v>
      </c>
      <c r="AS736" s="231">
        <f t="shared" si="101"/>
        <v>30</v>
      </c>
      <c r="AT736" s="239">
        <f>IF(G736="CERVECERIA Y MALTERIA",(AS736*AK736/1000000)*(1-VLOOKUP(N736,FCST!D:I,6,FALSE)),0)</f>
        <v>0</v>
      </c>
      <c r="AU736" s="232">
        <v>5.0000000000000001E-3</v>
      </c>
      <c r="AV736" s="239">
        <f t="shared" si="102"/>
        <v>0</v>
      </c>
      <c r="AW736" s="239">
        <f>(AS736*AK736/1000000)*(VLOOKUP(N736,FCST!D:I,6,FALSE))</f>
        <v>5.4587519999999996</v>
      </c>
      <c r="AX736" s="239">
        <f t="shared" si="103"/>
        <v>5.4860457599999988</v>
      </c>
      <c r="AY736" s="239">
        <f>IF($G736="CERVECERIA Y MALTERIA.",($AS736*$AK736/1000000)*(1-VLOOKUP($N736,FCST!D:I,6,FALSE)),0)</f>
        <v>12.737088</v>
      </c>
      <c r="AZ736" s="239">
        <f t="shared" si="104"/>
        <v>12.800773439999999</v>
      </c>
    </row>
    <row r="737" spans="1:52" x14ac:dyDescent="0.25">
      <c r="A737" s="209">
        <v>1107879</v>
      </c>
      <c r="B737" s="209">
        <v>20</v>
      </c>
      <c r="C737" s="209" t="s">
        <v>1659</v>
      </c>
      <c r="D737" s="209">
        <v>10</v>
      </c>
      <c r="E737" s="209">
        <v>10000002</v>
      </c>
      <c r="F737" s="209">
        <v>20000340</v>
      </c>
      <c r="G737" s="209" t="s">
        <v>117</v>
      </c>
      <c r="H737" s="209">
        <v>20000340</v>
      </c>
      <c r="I737" s="209">
        <v>2</v>
      </c>
      <c r="J737" s="209" t="s">
        <v>169</v>
      </c>
      <c r="K737" s="209" t="s">
        <v>1660</v>
      </c>
      <c r="L737" s="209" t="s">
        <v>171</v>
      </c>
      <c r="M737" s="209" t="s">
        <v>172</v>
      </c>
      <c r="N737" s="209">
        <v>50029817</v>
      </c>
      <c r="O737" s="209" t="s">
        <v>396</v>
      </c>
      <c r="P737" s="209">
        <v>5101</v>
      </c>
      <c r="Q737" s="209" t="s">
        <v>186</v>
      </c>
      <c r="R737" s="209" t="s">
        <v>175</v>
      </c>
      <c r="S737" s="209" t="s">
        <v>176</v>
      </c>
      <c r="T737" s="209" t="s">
        <v>187</v>
      </c>
      <c r="U737" s="209" t="s">
        <v>188</v>
      </c>
      <c r="V737" s="209" t="s">
        <v>179</v>
      </c>
      <c r="W737" s="209" t="s">
        <v>179</v>
      </c>
      <c r="X737" s="209" t="s">
        <v>180</v>
      </c>
      <c r="Y737" s="209" t="s">
        <v>180</v>
      </c>
      <c r="Z737" s="209" t="s">
        <v>1657</v>
      </c>
      <c r="AA737" s="209" t="s">
        <v>1658</v>
      </c>
      <c r="AB737" s="209" t="s">
        <v>180</v>
      </c>
      <c r="AC737" s="209" t="s">
        <v>182</v>
      </c>
      <c r="AD737" s="209">
        <v>3</v>
      </c>
      <c r="AE737" s="209">
        <v>2025</v>
      </c>
      <c r="AF737" s="227">
        <v>45736</v>
      </c>
      <c r="AG737" s="227">
        <v>45741</v>
      </c>
      <c r="AH737" s="227">
        <v>45741</v>
      </c>
      <c r="AI737" s="228">
        <v>606528</v>
      </c>
      <c r="AJ737" s="228">
        <v>52</v>
      </c>
      <c r="AK737" s="228">
        <v>606528</v>
      </c>
      <c r="AL737" s="228">
        <v>52</v>
      </c>
      <c r="AM737" s="228">
        <v>0</v>
      </c>
      <c r="AN737" s="228">
        <v>0</v>
      </c>
      <c r="AO737" s="229">
        <v>13</v>
      </c>
      <c r="AP737" s="231">
        <v>3</v>
      </c>
      <c r="AQ737" s="231">
        <v>2025</v>
      </c>
      <c r="AR737" s="231" t="str">
        <f t="shared" si="100"/>
        <v>03/2025</v>
      </c>
      <c r="AS737" s="231">
        <f t="shared" si="101"/>
        <v>30</v>
      </c>
      <c r="AT737" s="239">
        <f>IF(G737="CERVECERIA Y MALTERIA",(AS737*AK737/1000000)*(1-VLOOKUP(N737,FCST!D:I,6,FALSE)),0)</f>
        <v>0</v>
      </c>
      <c r="AU737" s="232">
        <v>5.0000000000000001E-3</v>
      </c>
      <c r="AV737" s="239">
        <f t="shared" si="102"/>
        <v>0</v>
      </c>
      <c r="AW737" s="239">
        <f>(AS737*AK737/1000000)*(VLOOKUP(N737,FCST!D:I,6,FALSE))</f>
        <v>5.4587519999999996</v>
      </c>
      <c r="AX737" s="239">
        <f t="shared" si="103"/>
        <v>5.4860457599999988</v>
      </c>
      <c r="AY737" s="239">
        <f>IF($G737="CERVECERIA Y MALTERIA.",($AS737*$AK737/1000000)*(1-VLOOKUP($N737,FCST!D:I,6,FALSE)),0)</f>
        <v>12.737088</v>
      </c>
      <c r="AZ737" s="239">
        <f t="shared" si="104"/>
        <v>12.800773439999999</v>
      </c>
    </row>
    <row r="738" spans="1:52" x14ac:dyDescent="0.25">
      <c r="A738" s="209">
        <v>1105046</v>
      </c>
      <c r="B738" s="209">
        <v>60</v>
      </c>
      <c r="C738" s="209" t="s">
        <v>1661</v>
      </c>
      <c r="D738" s="209">
        <v>10</v>
      </c>
      <c r="E738" s="209">
        <v>10000002</v>
      </c>
      <c r="F738" s="209">
        <v>20001057</v>
      </c>
      <c r="G738" s="209" t="s">
        <v>105</v>
      </c>
      <c r="H738" s="209">
        <v>20001057</v>
      </c>
      <c r="I738" s="209">
        <v>2</v>
      </c>
      <c r="J738" s="209" t="s">
        <v>169</v>
      </c>
      <c r="K738" s="209" t="s">
        <v>1662</v>
      </c>
      <c r="L738" s="209" t="s">
        <v>171</v>
      </c>
      <c r="M738" s="209" t="s">
        <v>172</v>
      </c>
      <c r="N738" s="209">
        <v>50035183</v>
      </c>
      <c r="O738" s="209" t="s">
        <v>215</v>
      </c>
      <c r="P738" s="209">
        <v>5121</v>
      </c>
      <c r="Q738" s="209" t="s">
        <v>174</v>
      </c>
      <c r="R738" s="209" t="s">
        <v>175</v>
      </c>
      <c r="S738" s="209" t="s">
        <v>176</v>
      </c>
      <c r="T738" s="209" t="s">
        <v>177</v>
      </c>
      <c r="U738" s="209" t="s">
        <v>178</v>
      </c>
      <c r="V738" s="209" t="s">
        <v>179</v>
      </c>
      <c r="W738" s="209" t="s">
        <v>179</v>
      </c>
      <c r="X738" s="209" t="s">
        <v>180</v>
      </c>
      <c r="Y738" s="209" t="s">
        <v>180</v>
      </c>
      <c r="Z738" s="209" t="s">
        <v>1663</v>
      </c>
      <c r="AA738" s="209" t="s">
        <v>1664</v>
      </c>
      <c r="AB738" s="209" t="s">
        <v>180</v>
      </c>
      <c r="AC738" s="209" t="s">
        <v>182</v>
      </c>
      <c r="AD738" s="209">
        <v>3</v>
      </c>
      <c r="AE738" s="209">
        <v>2025</v>
      </c>
      <c r="AF738" s="227">
        <v>45722</v>
      </c>
      <c r="AG738" s="227">
        <v>45741</v>
      </c>
      <c r="AH738" s="227">
        <v>45741</v>
      </c>
      <c r="AI738" s="228">
        <v>213408</v>
      </c>
      <c r="AJ738" s="228">
        <v>26</v>
      </c>
      <c r="AK738" s="228">
        <v>213408</v>
      </c>
      <c r="AL738" s="228">
        <v>26</v>
      </c>
      <c r="AM738" s="228">
        <v>0</v>
      </c>
      <c r="AN738" s="228">
        <v>0</v>
      </c>
      <c r="AO738" s="229">
        <v>10</v>
      </c>
      <c r="AP738" s="231">
        <v>3</v>
      </c>
      <c r="AQ738" s="231">
        <v>2025</v>
      </c>
      <c r="AR738" s="231" t="str">
        <f t="shared" si="100"/>
        <v>03/2025</v>
      </c>
      <c r="AS738" s="231">
        <f t="shared" si="101"/>
        <v>46.6</v>
      </c>
      <c r="AT738" s="239">
        <f>IF(G738="CERVECERIA Y MALTERIA",(AS738*AK738/1000000)*(1-VLOOKUP(N738,FCST!D:I,6,FALSE)),0)</f>
        <v>9.9448128000000011</v>
      </c>
      <c r="AU738" s="232">
        <v>5.0000000000000001E-3</v>
      </c>
      <c r="AV738" s="239">
        <f t="shared" si="102"/>
        <v>9.9945368640000005</v>
      </c>
      <c r="AW738" s="239">
        <f>(AS738*AK738/1000000)*(VLOOKUP(N738,FCST!D:I,6,FALSE))</f>
        <v>0</v>
      </c>
      <c r="AX738" s="239">
        <f t="shared" si="103"/>
        <v>0</v>
      </c>
      <c r="AY738" s="239">
        <f>IF($G738="CERVECERIA Y MALTERIA.",($AS738*$AK738/1000000)*(1-VLOOKUP($N738,FCST!D:I,6,FALSE)),0)</f>
        <v>0</v>
      </c>
      <c r="AZ738" s="239">
        <f t="shared" si="104"/>
        <v>0</v>
      </c>
    </row>
    <row r="739" spans="1:52" x14ac:dyDescent="0.25">
      <c r="A739" s="209">
        <v>1104116</v>
      </c>
      <c r="B739" s="209">
        <v>90</v>
      </c>
      <c r="C739" s="209" t="s">
        <v>1665</v>
      </c>
      <c r="D739" s="209">
        <v>10</v>
      </c>
      <c r="E739" s="209">
        <v>10000002</v>
      </c>
      <c r="F739" s="209">
        <v>20000337</v>
      </c>
      <c r="G739" s="209" t="s">
        <v>105</v>
      </c>
      <c r="H739" s="209">
        <v>20000337</v>
      </c>
      <c r="I739" s="209">
        <v>2</v>
      </c>
      <c r="J739" s="209" t="s">
        <v>169</v>
      </c>
      <c r="K739" s="209" t="s">
        <v>1666</v>
      </c>
      <c r="L739" s="209" t="s">
        <v>171</v>
      </c>
      <c r="M739" s="209" t="s">
        <v>184</v>
      </c>
      <c r="N739" s="209">
        <v>50034616</v>
      </c>
      <c r="O739" s="209" t="s">
        <v>191</v>
      </c>
      <c r="P739" s="209">
        <v>5121</v>
      </c>
      <c r="Q739" s="209" t="s">
        <v>174</v>
      </c>
      <c r="R739" s="209" t="s">
        <v>175</v>
      </c>
      <c r="S739" s="209" t="s">
        <v>176</v>
      </c>
      <c r="T739" s="209" t="s">
        <v>177</v>
      </c>
      <c r="U739" s="209" t="s">
        <v>178</v>
      </c>
      <c r="V739" s="209" t="s">
        <v>179</v>
      </c>
      <c r="W739" s="209" t="s">
        <v>179</v>
      </c>
      <c r="X739" s="209" t="s">
        <v>180</v>
      </c>
      <c r="Y739" s="209" t="s">
        <v>180</v>
      </c>
      <c r="Z739" s="209" t="s">
        <v>1667</v>
      </c>
      <c r="AA739" s="209" t="s">
        <v>1668</v>
      </c>
      <c r="AB739" s="209" t="s">
        <v>180</v>
      </c>
      <c r="AC739" s="209" t="s">
        <v>182</v>
      </c>
      <c r="AD739" s="209">
        <v>3</v>
      </c>
      <c r="AE739" s="209">
        <v>2025</v>
      </c>
      <c r="AF739" s="227">
        <v>45716</v>
      </c>
      <c r="AG739" s="227">
        <v>45738</v>
      </c>
      <c r="AH739" s="227">
        <v>45738</v>
      </c>
      <c r="AI739" s="228">
        <v>385776</v>
      </c>
      <c r="AJ739" s="228">
        <v>47</v>
      </c>
      <c r="AK739" s="228">
        <v>385776</v>
      </c>
      <c r="AL739" s="228">
        <v>47</v>
      </c>
      <c r="AM739" s="228">
        <v>0</v>
      </c>
      <c r="AN739" s="228">
        <v>0</v>
      </c>
      <c r="AO739" s="229">
        <v>10</v>
      </c>
      <c r="AP739" s="231">
        <v>3</v>
      </c>
      <c r="AQ739" s="231">
        <v>2025</v>
      </c>
      <c r="AR739" s="231" t="str">
        <f t="shared" si="100"/>
        <v>03/2025</v>
      </c>
      <c r="AS739" s="231">
        <f t="shared" si="101"/>
        <v>46.6</v>
      </c>
      <c r="AT739" s="239">
        <f>IF(G739="CERVECERIA Y MALTERIA",(AS739*AK739/1000000)*(1-VLOOKUP(N739,FCST!D:I,6,FALSE)),0)</f>
        <v>17.977161600000002</v>
      </c>
      <c r="AU739" s="232">
        <v>5.0000000000000001E-3</v>
      </c>
      <c r="AV739" s="239">
        <f t="shared" si="102"/>
        <v>18.067047408000001</v>
      </c>
      <c r="AW739" s="239">
        <f>(AS739*AK739/1000000)*(VLOOKUP(N739,FCST!D:I,6,FALSE))</f>
        <v>0</v>
      </c>
      <c r="AX739" s="239">
        <f t="shared" si="103"/>
        <v>0</v>
      </c>
      <c r="AY739" s="239">
        <f>IF($G739="CERVECERIA Y MALTERIA.",($AS739*$AK739/1000000)*(1-VLOOKUP($N739,FCST!D:I,6,FALSE)),0)</f>
        <v>0</v>
      </c>
      <c r="AZ739" s="239">
        <f t="shared" si="104"/>
        <v>0</v>
      </c>
    </row>
    <row r="740" spans="1:52" x14ac:dyDescent="0.25">
      <c r="A740" s="209">
        <v>1107879</v>
      </c>
      <c r="B740" s="209">
        <v>10</v>
      </c>
      <c r="C740" s="209" t="s">
        <v>1669</v>
      </c>
      <c r="D740" s="209">
        <v>10</v>
      </c>
      <c r="E740" s="209">
        <v>10000002</v>
      </c>
      <c r="F740" s="209">
        <v>20000340</v>
      </c>
      <c r="G740" s="209" t="s">
        <v>117</v>
      </c>
      <c r="H740" s="209">
        <v>20000340</v>
      </c>
      <c r="I740" s="209">
        <v>2</v>
      </c>
      <c r="J740" s="209" t="s">
        <v>169</v>
      </c>
      <c r="K740" s="209" t="s">
        <v>1670</v>
      </c>
      <c r="L740" s="209" t="s">
        <v>171</v>
      </c>
      <c r="M740" s="209" t="s">
        <v>172</v>
      </c>
      <c r="N740" s="209">
        <v>50029817</v>
      </c>
      <c r="O740" s="209" t="s">
        <v>396</v>
      </c>
      <c r="P740" s="209">
        <v>5101</v>
      </c>
      <c r="Q740" s="209" t="s">
        <v>186</v>
      </c>
      <c r="R740" s="209" t="s">
        <v>175</v>
      </c>
      <c r="S740" s="209" t="s">
        <v>176</v>
      </c>
      <c r="T740" s="209" t="s">
        <v>187</v>
      </c>
      <c r="U740" s="209" t="s">
        <v>188</v>
      </c>
      <c r="V740" s="209" t="s">
        <v>179</v>
      </c>
      <c r="W740" s="209" t="s">
        <v>179</v>
      </c>
      <c r="X740" s="209" t="s">
        <v>180</v>
      </c>
      <c r="Y740" s="209" t="s">
        <v>180</v>
      </c>
      <c r="Z740" s="209" t="s">
        <v>1657</v>
      </c>
      <c r="AA740" s="209" t="s">
        <v>1658</v>
      </c>
      <c r="AB740" s="209" t="s">
        <v>180</v>
      </c>
      <c r="AC740" s="209" t="s">
        <v>182</v>
      </c>
      <c r="AD740" s="209">
        <v>3</v>
      </c>
      <c r="AE740" s="209">
        <v>2025</v>
      </c>
      <c r="AF740" s="227">
        <v>45736</v>
      </c>
      <c r="AG740" s="227">
        <v>45741</v>
      </c>
      <c r="AH740" s="227">
        <v>45741</v>
      </c>
      <c r="AI740" s="228">
        <v>606528</v>
      </c>
      <c r="AJ740" s="228">
        <v>52</v>
      </c>
      <c r="AK740" s="228">
        <v>606528</v>
      </c>
      <c r="AL740" s="228">
        <v>52</v>
      </c>
      <c r="AM740" s="228">
        <v>0</v>
      </c>
      <c r="AN740" s="228">
        <v>0</v>
      </c>
      <c r="AO740" s="229">
        <v>13</v>
      </c>
      <c r="AP740" s="231">
        <v>3</v>
      </c>
      <c r="AQ740" s="231">
        <v>2025</v>
      </c>
      <c r="AR740" s="231" t="str">
        <f t="shared" si="100"/>
        <v>03/2025</v>
      </c>
      <c r="AS740" s="231">
        <f t="shared" si="101"/>
        <v>30</v>
      </c>
      <c r="AT740" s="239">
        <f>IF(G740="CERVECERIA Y MALTERIA",(AS740*AK740/1000000)*(1-VLOOKUP(N740,FCST!D:I,6,FALSE)),0)</f>
        <v>0</v>
      </c>
      <c r="AU740" s="232">
        <v>5.0000000000000001E-3</v>
      </c>
      <c r="AV740" s="239">
        <f t="shared" si="102"/>
        <v>0</v>
      </c>
      <c r="AW740" s="239">
        <f>(AS740*AK740/1000000)*(VLOOKUP(N740,FCST!D:I,6,FALSE))</f>
        <v>5.4587519999999996</v>
      </c>
      <c r="AX740" s="239">
        <f t="shared" si="103"/>
        <v>5.4860457599999988</v>
      </c>
      <c r="AY740" s="239">
        <f>IF($G740="CERVECERIA Y MALTERIA.",($AS740*$AK740/1000000)*(1-VLOOKUP($N740,FCST!D:I,6,FALSE)),0)</f>
        <v>12.737088</v>
      </c>
      <c r="AZ740" s="239">
        <f t="shared" si="104"/>
        <v>12.800773439999999</v>
      </c>
    </row>
    <row r="741" spans="1:52" x14ac:dyDescent="0.25">
      <c r="A741" s="209">
        <v>1105046</v>
      </c>
      <c r="B741" s="209">
        <v>90</v>
      </c>
      <c r="C741" s="209" t="s">
        <v>1671</v>
      </c>
      <c r="D741" s="209">
        <v>10</v>
      </c>
      <c r="E741" s="209">
        <v>10000002</v>
      </c>
      <c r="F741" s="209">
        <v>20001057</v>
      </c>
      <c r="G741" s="209" t="s">
        <v>105</v>
      </c>
      <c r="H741" s="209">
        <v>20001057</v>
      </c>
      <c r="I741" s="209">
        <v>2</v>
      </c>
      <c r="J741" s="209" t="s">
        <v>169</v>
      </c>
      <c r="K741" s="209" t="s">
        <v>1672</v>
      </c>
      <c r="L741" s="209" t="s">
        <v>171</v>
      </c>
      <c r="M741" s="209" t="s">
        <v>172</v>
      </c>
      <c r="N741" s="209">
        <v>50037887</v>
      </c>
      <c r="O741" s="209" t="s">
        <v>679</v>
      </c>
      <c r="P741" s="209">
        <v>5121</v>
      </c>
      <c r="Q741" s="209" t="s">
        <v>174</v>
      </c>
      <c r="R741" s="209" t="s">
        <v>175</v>
      </c>
      <c r="S741" s="209" t="s">
        <v>176</v>
      </c>
      <c r="T741" s="209" t="s">
        <v>177</v>
      </c>
      <c r="U741" s="209" t="s">
        <v>178</v>
      </c>
      <c r="V741" s="209" t="s">
        <v>179</v>
      </c>
      <c r="W741" s="209" t="s">
        <v>179</v>
      </c>
      <c r="X741" s="209" t="s">
        <v>180</v>
      </c>
      <c r="Y741" s="209" t="s">
        <v>180</v>
      </c>
      <c r="Z741" s="209" t="s">
        <v>1673</v>
      </c>
      <c r="AA741" s="209" t="s">
        <v>1674</v>
      </c>
      <c r="AB741" s="209" t="s">
        <v>180</v>
      </c>
      <c r="AC741" s="209" t="s">
        <v>182</v>
      </c>
      <c r="AD741" s="209">
        <v>3</v>
      </c>
      <c r="AE741" s="209">
        <v>2025</v>
      </c>
      <c r="AF741" s="227">
        <v>45722</v>
      </c>
      <c r="AG741" s="227">
        <v>45745</v>
      </c>
      <c r="AH741" s="227">
        <v>45745</v>
      </c>
      <c r="AI741" s="228">
        <v>153360</v>
      </c>
      <c r="AJ741" s="228">
        <v>15</v>
      </c>
      <c r="AK741" s="228">
        <v>153360</v>
      </c>
      <c r="AL741" s="228">
        <v>15</v>
      </c>
      <c r="AM741" s="228">
        <v>0</v>
      </c>
      <c r="AN741" s="228">
        <v>0</v>
      </c>
      <c r="AO741" s="229">
        <v>10</v>
      </c>
      <c r="AP741" s="231">
        <v>3</v>
      </c>
      <c r="AQ741" s="231">
        <v>2025</v>
      </c>
      <c r="AR741" s="231" t="str">
        <f t="shared" si="100"/>
        <v>03/2025</v>
      </c>
      <c r="AS741" s="231">
        <f t="shared" si="101"/>
        <v>37.200000000000003</v>
      </c>
      <c r="AT741" s="239">
        <f>IF(G741="CERVECERIA Y MALTERIA",(AS741*AK741/1000000)*(1-VLOOKUP(N741,FCST!D:I,6,FALSE)),0)</f>
        <v>5.7049919999999998</v>
      </c>
      <c r="AU741" s="232">
        <v>5.0000000000000001E-3</v>
      </c>
      <c r="AV741" s="239">
        <f t="shared" si="102"/>
        <v>5.7335169599999993</v>
      </c>
      <c r="AW741" s="239">
        <f>(AS741*AK741/1000000)*(VLOOKUP(N741,FCST!D:I,6,FALSE))</f>
        <v>0</v>
      </c>
      <c r="AX741" s="239">
        <f t="shared" si="103"/>
        <v>0</v>
      </c>
      <c r="AY741" s="239">
        <f>IF($G741="CERVECERIA Y MALTERIA.",($AS741*$AK741/1000000)*(1-VLOOKUP($N741,FCST!D:I,6,FALSE)),0)</f>
        <v>0</v>
      </c>
      <c r="AZ741" s="239">
        <f t="shared" si="104"/>
        <v>0</v>
      </c>
    </row>
    <row r="742" spans="1:52" x14ac:dyDescent="0.25">
      <c r="A742" s="209">
        <v>1105046</v>
      </c>
      <c r="B742" s="209">
        <v>80</v>
      </c>
      <c r="C742" s="209" t="s">
        <v>1675</v>
      </c>
      <c r="D742" s="209">
        <v>10</v>
      </c>
      <c r="E742" s="209">
        <v>10000002</v>
      </c>
      <c r="F742" s="209">
        <v>20001057</v>
      </c>
      <c r="G742" s="209" t="s">
        <v>105</v>
      </c>
      <c r="H742" s="209">
        <v>20001057</v>
      </c>
      <c r="I742" s="209">
        <v>2</v>
      </c>
      <c r="J742" s="209" t="s">
        <v>169</v>
      </c>
      <c r="K742" s="209" t="s">
        <v>1676</v>
      </c>
      <c r="L742" s="209" t="s">
        <v>171</v>
      </c>
      <c r="M742" s="209" t="s">
        <v>172</v>
      </c>
      <c r="N742" s="209">
        <v>50024497</v>
      </c>
      <c r="O742" s="209" t="s">
        <v>1352</v>
      </c>
      <c r="P742" s="209">
        <v>5121</v>
      </c>
      <c r="Q742" s="209" t="s">
        <v>174</v>
      </c>
      <c r="R742" s="209" t="s">
        <v>175</v>
      </c>
      <c r="S742" s="209" t="s">
        <v>176</v>
      </c>
      <c r="T742" s="209" t="s">
        <v>177</v>
      </c>
      <c r="U742" s="209" t="s">
        <v>178</v>
      </c>
      <c r="V742" s="209" t="s">
        <v>179</v>
      </c>
      <c r="W742" s="209" t="s">
        <v>179</v>
      </c>
      <c r="X742" s="209" t="s">
        <v>180</v>
      </c>
      <c r="Y742" s="209" t="s">
        <v>180</v>
      </c>
      <c r="Z742" s="209" t="s">
        <v>1677</v>
      </c>
      <c r="AA742" s="209" t="s">
        <v>1678</v>
      </c>
      <c r="AB742" s="209" t="s">
        <v>180</v>
      </c>
      <c r="AC742" s="209" t="s">
        <v>182</v>
      </c>
      <c r="AD742" s="209">
        <v>3</v>
      </c>
      <c r="AE742" s="209">
        <v>2025</v>
      </c>
      <c r="AF742" s="227">
        <v>45722</v>
      </c>
      <c r="AG742" s="227">
        <v>45745</v>
      </c>
      <c r="AH742" s="227">
        <v>45745</v>
      </c>
      <c r="AI742" s="228">
        <v>250416</v>
      </c>
      <c r="AJ742" s="228">
        <v>37</v>
      </c>
      <c r="AK742" s="228">
        <v>250416</v>
      </c>
      <c r="AL742" s="228">
        <v>37</v>
      </c>
      <c r="AM742" s="228">
        <v>0</v>
      </c>
      <c r="AN742" s="228">
        <v>0</v>
      </c>
      <c r="AO742" s="229">
        <v>10</v>
      </c>
      <c r="AP742" s="231">
        <v>3</v>
      </c>
      <c r="AQ742" s="231">
        <v>2025</v>
      </c>
      <c r="AR742" s="231" t="str">
        <f t="shared" si="100"/>
        <v>03/2025</v>
      </c>
      <c r="AS742" s="231">
        <f t="shared" si="101"/>
        <v>54.7</v>
      </c>
      <c r="AT742" s="239">
        <f>IF(G742="CERVECERIA Y MALTERIA",(AS742*AK742/1000000)*(1-VLOOKUP(N742,FCST!D:I,6,FALSE)),0)</f>
        <v>13.697755200000001</v>
      </c>
      <c r="AU742" s="232">
        <v>5.0000000000000001E-3</v>
      </c>
      <c r="AV742" s="239">
        <f t="shared" si="102"/>
        <v>13.766243976</v>
      </c>
      <c r="AW742" s="239">
        <f>(AS742*AK742/1000000)*(VLOOKUP(N742,FCST!D:I,6,FALSE))</f>
        <v>0</v>
      </c>
      <c r="AX742" s="239">
        <f t="shared" si="103"/>
        <v>0</v>
      </c>
      <c r="AY742" s="239">
        <f>IF($G742="CERVECERIA Y MALTERIA.",($AS742*$AK742/1000000)*(1-VLOOKUP($N742,FCST!D:I,6,FALSE)),0)</f>
        <v>0</v>
      </c>
      <c r="AZ742" s="239">
        <f t="shared" si="104"/>
        <v>0</v>
      </c>
    </row>
    <row r="743" spans="1:52" x14ac:dyDescent="0.25">
      <c r="A743" s="209">
        <v>1109333</v>
      </c>
      <c r="B743" s="209">
        <v>10</v>
      </c>
      <c r="C743" s="209" t="s">
        <v>1679</v>
      </c>
      <c r="D743" s="209">
        <v>10</v>
      </c>
      <c r="E743" s="209">
        <v>10000002</v>
      </c>
      <c r="F743" s="209">
        <v>20000340</v>
      </c>
      <c r="G743" s="209" t="s">
        <v>117</v>
      </c>
      <c r="H743" s="209">
        <v>20000340</v>
      </c>
      <c r="I743" s="209">
        <v>2</v>
      </c>
      <c r="J743" s="209" t="s">
        <v>169</v>
      </c>
      <c r="K743" s="209" t="s">
        <v>1680</v>
      </c>
      <c r="L743" s="209" t="s">
        <v>171</v>
      </c>
      <c r="M743" s="209" t="s">
        <v>184</v>
      </c>
      <c r="N743" s="209">
        <v>50029817</v>
      </c>
      <c r="O743" s="209" t="s">
        <v>396</v>
      </c>
      <c r="P743" s="209">
        <v>5101</v>
      </c>
      <c r="Q743" s="209" t="s">
        <v>186</v>
      </c>
      <c r="R743" s="209" t="s">
        <v>175</v>
      </c>
      <c r="S743" s="209" t="s">
        <v>176</v>
      </c>
      <c r="T743" s="209" t="s">
        <v>187</v>
      </c>
      <c r="U743" s="209" t="s">
        <v>188</v>
      </c>
      <c r="V743" s="209" t="s">
        <v>179</v>
      </c>
      <c r="W743" s="209" t="s">
        <v>179</v>
      </c>
      <c r="X743" s="209" t="s">
        <v>180</v>
      </c>
      <c r="Y743" s="209" t="s">
        <v>180</v>
      </c>
      <c r="Z743" s="209" t="s">
        <v>1681</v>
      </c>
      <c r="AA743" s="209" t="s">
        <v>1682</v>
      </c>
      <c r="AB743" s="209" t="s">
        <v>180</v>
      </c>
      <c r="AC743" s="209" t="s">
        <v>182</v>
      </c>
      <c r="AD743" s="209">
        <v>3</v>
      </c>
      <c r="AE743" s="209">
        <v>2025</v>
      </c>
      <c r="AF743" s="227">
        <v>45744</v>
      </c>
      <c r="AG743" s="227">
        <v>45747</v>
      </c>
      <c r="AH743" s="227">
        <v>45747</v>
      </c>
      <c r="AI743" s="228">
        <v>606528</v>
      </c>
      <c r="AJ743" s="228">
        <v>52</v>
      </c>
      <c r="AK743" s="228">
        <v>606528</v>
      </c>
      <c r="AL743" s="228">
        <v>52</v>
      </c>
      <c r="AM743" s="228">
        <v>0</v>
      </c>
      <c r="AN743" s="228">
        <v>0</v>
      </c>
      <c r="AO743" s="229">
        <v>14</v>
      </c>
      <c r="AP743" s="231">
        <v>3</v>
      </c>
      <c r="AQ743" s="231">
        <v>2025</v>
      </c>
      <c r="AR743" s="231" t="str">
        <f t="shared" si="100"/>
        <v>03/2025</v>
      </c>
      <c r="AS743" s="231">
        <f t="shared" si="101"/>
        <v>30</v>
      </c>
      <c r="AT743" s="239">
        <f>IF(G743="CERVECERIA Y MALTERIA",(AS743*AK743/1000000)*(1-VLOOKUP(N743,FCST!D:I,6,FALSE)),0)</f>
        <v>0</v>
      </c>
      <c r="AU743" s="232">
        <v>5.0000000000000001E-3</v>
      </c>
      <c r="AV743" s="239">
        <f t="shared" si="102"/>
        <v>0</v>
      </c>
      <c r="AW743" s="239">
        <f>(AS743*AK743/1000000)*(VLOOKUP(N743,FCST!D:I,6,FALSE))</f>
        <v>5.4587519999999996</v>
      </c>
      <c r="AX743" s="239">
        <f t="shared" si="103"/>
        <v>5.4860457599999988</v>
      </c>
      <c r="AY743" s="239">
        <f>IF($G743="CERVECERIA Y MALTERIA.",($AS743*$AK743/1000000)*(1-VLOOKUP($N743,FCST!D:I,6,FALSE)),0)</f>
        <v>12.737088</v>
      </c>
      <c r="AZ743" s="239">
        <f t="shared" si="104"/>
        <v>12.800773439999999</v>
      </c>
    </row>
    <row r="744" spans="1:52" x14ac:dyDescent="0.25">
      <c r="A744" s="209">
        <v>1105046</v>
      </c>
      <c r="B744" s="209">
        <v>100</v>
      </c>
      <c r="C744" s="209" t="s">
        <v>1683</v>
      </c>
      <c r="D744" s="209">
        <v>10</v>
      </c>
      <c r="E744" s="209">
        <v>10000002</v>
      </c>
      <c r="F744" s="209">
        <v>20001057</v>
      </c>
      <c r="G744" s="209" t="s">
        <v>105</v>
      </c>
      <c r="H744" s="209">
        <v>20001057</v>
      </c>
      <c r="I744" s="209">
        <v>2</v>
      </c>
      <c r="J744" s="209" t="s">
        <v>169</v>
      </c>
      <c r="K744" s="209" t="s">
        <v>1684</v>
      </c>
      <c r="L744" s="209" t="s">
        <v>171</v>
      </c>
      <c r="M744" s="209" t="s">
        <v>172</v>
      </c>
      <c r="N744" s="209">
        <v>50034616</v>
      </c>
      <c r="O744" s="209" t="s">
        <v>191</v>
      </c>
      <c r="P744" s="209">
        <v>5121</v>
      </c>
      <c r="Q744" s="209" t="s">
        <v>174</v>
      </c>
      <c r="R744" s="209" t="s">
        <v>175</v>
      </c>
      <c r="S744" s="209" t="s">
        <v>176</v>
      </c>
      <c r="T744" s="209" t="s">
        <v>177</v>
      </c>
      <c r="U744" s="209" t="s">
        <v>178</v>
      </c>
      <c r="V744" s="209" t="s">
        <v>179</v>
      </c>
      <c r="W744" s="209" t="s">
        <v>179</v>
      </c>
      <c r="X744" s="209" t="s">
        <v>180</v>
      </c>
      <c r="Y744" s="209" t="s">
        <v>180</v>
      </c>
      <c r="Z744" s="209" t="s">
        <v>1685</v>
      </c>
      <c r="AA744" s="209" t="s">
        <v>1686</v>
      </c>
      <c r="AB744" s="209" t="s">
        <v>180</v>
      </c>
      <c r="AC744" s="209" t="s">
        <v>182</v>
      </c>
      <c r="AD744" s="209">
        <v>3</v>
      </c>
      <c r="AE744" s="209">
        <v>2025</v>
      </c>
      <c r="AF744" s="227">
        <v>45722</v>
      </c>
      <c r="AG744" s="227">
        <v>45747</v>
      </c>
      <c r="AH744" s="227">
        <v>45747</v>
      </c>
      <c r="AI744" s="228">
        <v>229824</v>
      </c>
      <c r="AJ744" s="228">
        <v>28</v>
      </c>
      <c r="AK744" s="228">
        <v>229824</v>
      </c>
      <c r="AL744" s="228">
        <v>28</v>
      </c>
      <c r="AM744" s="228">
        <v>0</v>
      </c>
      <c r="AN744" s="228">
        <v>0</v>
      </c>
      <c r="AO744" s="229">
        <v>10</v>
      </c>
      <c r="AP744" s="231">
        <v>3</v>
      </c>
      <c r="AQ744" s="231">
        <v>2025</v>
      </c>
      <c r="AR744" s="231" t="str">
        <f t="shared" si="100"/>
        <v>03/2025</v>
      </c>
      <c r="AS744" s="231">
        <f t="shared" si="101"/>
        <v>46.6</v>
      </c>
      <c r="AT744" s="239">
        <f>IF(G744="CERVECERIA Y MALTERIA",(AS744*AK744/1000000)*(1-VLOOKUP(N744,FCST!D:I,6,FALSE)),0)</f>
        <v>10.7097984</v>
      </c>
      <c r="AU744" s="232">
        <v>5.0000000000000001E-3</v>
      </c>
      <c r="AV744" s="239">
        <f t="shared" si="102"/>
        <v>10.763347392</v>
      </c>
      <c r="AW744" s="239">
        <f>(AS744*AK744/1000000)*(VLOOKUP(N744,FCST!D:I,6,FALSE))</f>
        <v>0</v>
      </c>
      <c r="AX744" s="239">
        <f t="shared" si="103"/>
        <v>0</v>
      </c>
      <c r="AY744" s="239">
        <f>IF($G744="CERVECERIA Y MALTERIA.",($AS744*$AK744/1000000)*(1-VLOOKUP($N744,FCST!D:I,6,FALSE)),0)</f>
        <v>0</v>
      </c>
      <c r="AZ744" s="239">
        <f t="shared" si="104"/>
        <v>0</v>
      </c>
    </row>
    <row r="745" spans="1:52" x14ac:dyDescent="0.25">
      <c r="A745" s="209">
        <v>1104303</v>
      </c>
      <c r="B745" s="209">
        <v>30</v>
      </c>
      <c r="C745" s="209" t="s">
        <v>1687</v>
      </c>
      <c r="D745" s="209">
        <v>10</v>
      </c>
      <c r="E745" s="209">
        <v>10000002</v>
      </c>
      <c r="F745" s="209">
        <v>20000336</v>
      </c>
      <c r="G745" s="209" t="s">
        <v>105</v>
      </c>
      <c r="H745" s="209">
        <v>20000336</v>
      </c>
      <c r="I745" s="209">
        <v>2</v>
      </c>
      <c r="J745" s="209" t="s">
        <v>169</v>
      </c>
      <c r="K745" s="209" t="s">
        <v>1688</v>
      </c>
      <c r="L745" s="209" t="s">
        <v>171</v>
      </c>
      <c r="M745" s="209" t="s">
        <v>172</v>
      </c>
      <c r="N745" s="209">
        <v>50034616</v>
      </c>
      <c r="O745" s="209" t="s">
        <v>191</v>
      </c>
      <c r="P745" s="209">
        <v>5121</v>
      </c>
      <c r="Q745" s="209" t="s">
        <v>174</v>
      </c>
      <c r="R745" s="209" t="s">
        <v>175</v>
      </c>
      <c r="S745" s="209" t="s">
        <v>176</v>
      </c>
      <c r="T745" s="209" t="s">
        <v>177</v>
      </c>
      <c r="U745" s="209" t="s">
        <v>178</v>
      </c>
      <c r="V745" s="209" t="s">
        <v>179</v>
      </c>
      <c r="W745" s="209" t="s">
        <v>179</v>
      </c>
      <c r="X745" s="209" t="s">
        <v>180</v>
      </c>
      <c r="Y745" s="209" t="s">
        <v>180</v>
      </c>
      <c r="Z745" s="209" t="s">
        <v>1689</v>
      </c>
      <c r="AA745" s="209" t="s">
        <v>1690</v>
      </c>
      <c r="AB745" s="209" t="s">
        <v>180</v>
      </c>
      <c r="AC745" s="209" t="s">
        <v>182</v>
      </c>
      <c r="AD745" s="209">
        <v>3</v>
      </c>
      <c r="AE745" s="209">
        <v>2025</v>
      </c>
      <c r="AF745" s="227">
        <v>45716</v>
      </c>
      <c r="AG745" s="227">
        <v>45743</v>
      </c>
      <c r="AH745" s="227">
        <v>45743</v>
      </c>
      <c r="AI745" s="228">
        <v>426816</v>
      </c>
      <c r="AJ745" s="228">
        <v>52</v>
      </c>
      <c r="AK745" s="228">
        <v>426816</v>
      </c>
      <c r="AL745" s="228">
        <v>52</v>
      </c>
      <c r="AM745" s="228">
        <v>0</v>
      </c>
      <c r="AN745" s="228">
        <v>0</v>
      </c>
      <c r="AO745" s="229">
        <v>10</v>
      </c>
      <c r="AP745" s="231">
        <v>3</v>
      </c>
      <c r="AQ745" s="231">
        <v>2025</v>
      </c>
      <c r="AR745" s="231" t="str">
        <f t="shared" si="100"/>
        <v>03/2025</v>
      </c>
      <c r="AS745" s="231">
        <f t="shared" si="101"/>
        <v>46.6</v>
      </c>
      <c r="AT745" s="239">
        <f>IF(G745="CERVECERIA Y MALTERIA",(AS745*AK745/1000000)*(1-VLOOKUP(N745,FCST!D:I,6,FALSE)),0)</f>
        <v>19.889625600000002</v>
      </c>
      <c r="AU745" s="232">
        <v>5.0000000000000001E-3</v>
      </c>
      <c r="AV745" s="239">
        <f t="shared" si="102"/>
        <v>19.989073728000001</v>
      </c>
      <c r="AW745" s="239">
        <f>(AS745*AK745/1000000)*(VLOOKUP(N745,FCST!D:I,6,FALSE))</f>
        <v>0</v>
      </c>
      <c r="AX745" s="239">
        <f t="shared" si="103"/>
        <v>0</v>
      </c>
      <c r="AY745" s="239">
        <f>IF($G745="CERVECERIA Y MALTERIA.",($AS745*$AK745/1000000)*(1-VLOOKUP($N745,FCST!D:I,6,FALSE)),0)</f>
        <v>0</v>
      </c>
      <c r="AZ745" s="239">
        <f t="shared" si="104"/>
        <v>0</v>
      </c>
    </row>
    <row r="746" spans="1:52" x14ac:dyDescent="0.25">
      <c r="A746" s="209">
        <v>1105485</v>
      </c>
      <c r="B746" s="209">
        <v>30</v>
      </c>
      <c r="C746" s="209" t="s">
        <v>1691</v>
      </c>
      <c r="D746" s="209">
        <v>10</v>
      </c>
      <c r="E746" s="209">
        <v>10000002</v>
      </c>
      <c r="F746" s="209">
        <v>20000339</v>
      </c>
      <c r="G746" s="209" t="s">
        <v>105</v>
      </c>
      <c r="H746" s="209">
        <v>20000339</v>
      </c>
      <c r="I746" s="209">
        <v>2</v>
      </c>
      <c r="J746" s="209" t="s">
        <v>169</v>
      </c>
      <c r="K746" s="209" t="s">
        <v>1692</v>
      </c>
      <c r="L746" s="209" t="s">
        <v>171</v>
      </c>
      <c r="M746" s="209" t="s">
        <v>184</v>
      </c>
      <c r="N746" s="209">
        <v>50034577</v>
      </c>
      <c r="O746" s="209" t="s">
        <v>237</v>
      </c>
      <c r="P746" s="209">
        <v>5101</v>
      </c>
      <c r="Q746" s="209" t="s">
        <v>186</v>
      </c>
      <c r="R746" s="209" t="s">
        <v>175</v>
      </c>
      <c r="S746" s="209" t="s">
        <v>176</v>
      </c>
      <c r="T746" s="209" t="s">
        <v>187</v>
      </c>
      <c r="U746" s="209" t="s">
        <v>188</v>
      </c>
      <c r="V746" s="209" t="s">
        <v>179</v>
      </c>
      <c r="W746" s="209" t="s">
        <v>179</v>
      </c>
      <c r="X746" s="209" t="s">
        <v>180</v>
      </c>
      <c r="Y746" s="209" t="s">
        <v>180</v>
      </c>
      <c r="Z746" s="209" t="s">
        <v>1693</v>
      </c>
      <c r="AA746" s="209" t="s">
        <v>1694</v>
      </c>
      <c r="AB746" s="209" t="s">
        <v>180</v>
      </c>
      <c r="AC746" s="209" t="s">
        <v>182</v>
      </c>
      <c r="AD746" s="209">
        <v>3</v>
      </c>
      <c r="AE746" s="209">
        <v>2025</v>
      </c>
      <c r="AF746" s="227">
        <v>45723</v>
      </c>
      <c r="AG746" s="227">
        <v>45743</v>
      </c>
      <c r="AH746" s="227">
        <v>45743</v>
      </c>
      <c r="AI746" s="228">
        <v>743808</v>
      </c>
      <c r="AJ746" s="228">
        <v>52</v>
      </c>
      <c r="AK746" s="228">
        <v>743808</v>
      </c>
      <c r="AL746" s="228">
        <v>52</v>
      </c>
      <c r="AM746" s="228">
        <v>0</v>
      </c>
      <c r="AN746" s="228">
        <v>0</v>
      </c>
      <c r="AO746" s="229">
        <v>10</v>
      </c>
      <c r="AP746" s="231">
        <v>3</v>
      </c>
      <c r="AQ746" s="231">
        <v>2025</v>
      </c>
      <c r="AR746" s="231" t="str">
        <f t="shared" si="100"/>
        <v>03/2025</v>
      </c>
      <c r="AS746" s="231">
        <f t="shared" si="101"/>
        <v>25</v>
      </c>
      <c r="AT746" s="239">
        <f>IF(G746="CERVECERIA Y MALTERIA",(AS746*AK746/1000000)*(1-VLOOKUP(N746,FCST!D:I,6,FALSE)),0)</f>
        <v>18.595199999999998</v>
      </c>
      <c r="AU746" s="232">
        <v>5.0000000000000001E-3</v>
      </c>
      <c r="AV746" s="239">
        <f t="shared" si="102"/>
        <v>18.688175999999995</v>
      </c>
      <c r="AW746" s="239">
        <f>(AS746*AK746/1000000)*(VLOOKUP(N746,FCST!D:I,6,FALSE))</f>
        <v>0</v>
      </c>
      <c r="AX746" s="239">
        <f t="shared" si="103"/>
        <v>0</v>
      </c>
      <c r="AY746" s="239">
        <f>IF($G746="CERVECERIA Y MALTERIA.",($AS746*$AK746/1000000)*(1-VLOOKUP($N746,FCST!D:I,6,FALSE)),0)</f>
        <v>0</v>
      </c>
      <c r="AZ746" s="239">
        <f t="shared" si="104"/>
        <v>0</v>
      </c>
    </row>
    <row r="747" spans="1:52" x14ac:dyDescent="0.25">
      <c r="A747" s="209">
        <v>1104116</v>
      </c>
      <c r="B747" s="209">
        <v>130</v>
      </c>
      <c r="C747" s="209" t="s">
        <v>1695</v>
      </c>
      <c r="D747" s="209">
        <v>10</v>
      </c>
      <c r="E747" s="209">
        <v>10000002</v>
      </c>
      <c r="F747" s="209">
        <v>20000337</v>
      </c>
      <c r="G747" s="209" t="s">
        <v>105</v>
      </c>
      <c r="H747" s="209">
        <v>20000337</v>
      </c>
      <c r="I747" s="209">
        <v>2</v>
      </c>
      <c r="J747" s="209" t="s">
        <v>169</v>
      </c>
      <c r="K747" s="209" t="s">
        <v>1696</v>
      </c>
      <c r="L747" s="209" t="s">
        <v>171</v>
      </c>
      <c r="M747" s="209" t="s">
        <v>172</v>
      </c>
      <c r="N747" s="209">
        <v>50035183</v>
      </c>
      <c r="O747" s="209" t="s">
        <v>215</v>
      </c>
      <c r="P747" s="209">
        <v>5121</v>
      </c>
      <c r="Q747" s="209" t="s">
        <v>174</v>
      </c>
      <c r="R747" s="209" t="s">
        <v>175</v>
      </c>
      <c r="S747" s="209" t="s">
        <v>176</v>
      </c>
      <c r="T747" s="209" t="s">
        <v>177</v>
      </c>
      <c r="U747" s="209" t="s">
        <v>178</v>
      </c>
      <c r="V747" s="209" t="s">
        <v>179</v>
      </c>
      <c r="W747" s="209" t="s">
        <v>179</v>
      </c>
      <c r="X747" s="209" t="s">
        <v>180</v>
      </c>
      <c r="Y747" s="209" t="s">
        <v>180</v>
      </c>
      <c r="Z747" s="209" t="s">
        <v>1697</v>
      </c>
      <c r="AA747" s="209" t="s">
        <v>1698</v>
      </c>
      <c r="AB747" s="209" t="s">
        <v>180</v>
      </c>
      <c r="AC747" s="209" t="s">
        <v>182</v>
      </c>
      <c r="AD747" s="209">
        <v>3</v>
      </c>
      <c r="AE747" s="209">
        <v>2025</v>
      </c>
      <c r="AF747" s="227">
        <v>45716</v>
      </c>
      <c r="AG747" s="227">
        <v>45744</v>
      </c>
      <c r="AH747" s="227">
        <v>45744</v>
      </c>
      <c r="AI747" s="228">
        <v>426816</v>
      </c>
      <c r="AJ747" s="228">
        <v>52</v>
      </c>
      <c r="AK747" s="228">
        <v>426816</v>
      </c>
      <c r="AL747" s="228">
        <v>52</v>
      </c>
      <c r="AM747" s="228">
        <v>0</v>
      </c>
      <c r="AN747" s="228">
        <v>0</v>
      </c>
      <c r="AO747" s="229">
        <v>10</v>
      </c>
      <c r="AP747" s="231">
        <v>3</v>
      </c>
      <c r="AQ747" s="231">
        <v>2025</v>
      </c>
      <c r="AR747" s="231" t="str">
        <f t="shared" si="100"/>
        <v>03/2025</v>
      </c>
      <c r="AS747" s="231">
        <f t="shared" si="101"/>
        <v>46.6</v>
      </c>
      <c r="AT747" s="239">
        <f>IF(G747="CERVECERIA Y MALTERIA",(AS747*AK747/1000000)*(1-VLOOKUP(N747,FCST!D:I,6,FALSE)),0)</f>
        <v>19.889625600000002</v>
      </c>
      <c r="AU747" s="232">
        <v>5.0000000000000001E-3</v>
      </c>
      <c r="AV747" s="239">
        <f t="shared" si="102"/>
        <v>19.989073728000001</v>
      </c>
      <c r="AW747" s="239">
        <f>(AS747*AK747/1000000)*(VLOOKUP(N747,FCST!D:I,6,FALSE))</f>
        <v>0</v>
      </c>
      <c r="AX747" s="239">
        <f t="shared" si="103"/>
        <v>0</v>
      </c>
      <c r="AY747" s="239">
        <f>IF($G747="CERVECERIA Y MALTERIA.",($AS747*$AK747/1000000)*(1-VLOOKUP($N747,FCST!D:I,6,FALSE)),0)</f>
        <v>0</v>
      </c>
      <c r="AZ747" s="239">
        <f t="shared" si="104"/>
        <v>0</v>
      </c>
    </row>
    <row r="748" spans="1:52" x14ac:dyDescent="0.25">
      <c r="A748" s="209">
        <v>1105489</v>
      </c>
      <c r="B748" s="209">
        <v>30</v>
      </c>
      <c r="C748" s="209" t="s">
        <v>1699</v>
      </c>
      <c r="D748" s="209">
        <v>10</v>
      </c>
      <c r="E748" s="209">
        <v>10000002</v>
      </c>
      <c r="F748" s="209">
        <v>20000339</v>
      </c>
      <c r="G748" s="209" t="s">
        <v>105</v>
      </c>
      <c r="H748" s="209">
        <v>20000339</v>
      </c>
      <c r="I748" s="209">
        <v>2</v>
      </c>
      <c r="J748" s="209" t="s">
        <v>169</v>
      </c>
      <c r="K748" s="209" t="s">
        <v>1700</v>
      </c>
      <c r="L748" s="209" t="s">
        <v>171</v>
      </c>
      <c r="M748" s="209" t="s">
        <v>184</v>
      </c>
      <c r="N748" s="209">
        <v>50034634</v>
      </c>
      <c r="O748" s="209" t="s">
        <v>219</v>
      </c>
      <c r="P748" s="209">
        <v>5121</v>
      </c>
      <c r="Q748" s="209" t="s">
        <v>174</v>
      </c>
      <c r="R748" s="209" t="s">
        <v>175</v>
      </c>
      <c r="S748" s="209" t="s">
        <v>176</v>
      </c>
      <c r="T748" s="209" t="s">
        <v>177</v>
      </c>
      <c r="U748" s="209" t="s">
        <v>178</v>
      </c>
      <c r="V748" s="209" t="s">
        <v>179</v>
      </c>
      <c r="W748" s="209" t="s">
        <v>179</v>
      </c>
      <c r="X748" s="209" t="s">
        <v>180</v>
      </c>
      <c r="Y748" s="209" t="s">
        <v>180</v>
      </c>
      <c r="Z748" s="209" t="s">
        <v>1701</v>
      </c>
      <c r="AA748" s="209" t="s">
        <v>1702</v>
      </c>
      <c r="AB748" s="209" t="s">
        <v>180</v>
      </c>
      <c r="AC748" s="209" t="s">
        <v>182</v>
      </c>
      <c r="AD748" s="209">
        <v>3</v>
      </c>
      <c r="AE748" s="209">
        <v>2025</v>
      </c>
      <c r="AF748" s="227">
        <v>45723</v>
      </c>
      <c r="AG748" s="227">
        <v>45744</v>
      </c>
      <c r="AH748" s="227">
        <v>45744</v>
      </c>
      <c r="AI748" s="228">
        <v>84096</v>
      </c>
      <c r="AJ748" s="228">
        <v>12</v>
      </c>
      <c r="AK748" s="228">
        <v>84096</v>
      </c>
      <c r="AL748" s="228">
        <v>12</v>
      </c>
      <c r="AM748" s="228">
        <v>0</v>
      </c>
      <c r="AN748" s="228">
        <v>0</v>
      </c>
      <c r="AO748" s="229">
        <v>10</v>
      </c>
      <c r="AP748" s="231">
        <v>3</v>
      </c>
      <c r="AQ748" s="231">
        <v>2025</v>
      </c>
      <c r="AR748" s="231" t="str">
        <f t="shared" si="100"/>
        <v>03/2025</v>
      </c>
      <c r="AS748" s="231">
        <f t="shared" si="101"/>
        <v>52</v>
      </c>
      <c r="AT748" s="239">
        <f>IF(G748="CERVECERIA Y MALTERIA",(AS748*AK748/1000000)*(1-VLOOKUP(N748,FCST!D:I,6,FALSE)),0)</f>
        <v>4.372992</v>
      </c>
      <c r="AU748" s="232">
        <v>5.0000000000000001E-3</v>
      </c>
      <c r="AV748" s="239">
        <f t="shared" si="102"/>
        <v>4.3948569599999994</v>
      </c>
      <c r="AW748" s="239">
        <f>(AS748*AK748/1000000)*(VLOOKUP(N748,FCST!D:I,6,FALSE))</f>
        <v>0</v>
      </c>
      <c r="AX748" s="239">
        <f t="shared" si="103"/>
        <v>0</v>
      </c>
      <c r="AY748" s="239">
        <f>IF($G748="CERVECERIA Y MALTERIA.",($AS748*$AK748/1000000)*(1-VLOOKUP($N748,FCST!D:I,6,FALSE)),0)</f>
        <v>0</v>
      </c>
      <c r="AZ748" s="239">
        <f t="shared" si="104"/>
        <v>0</v>
      </c>
    </row>
    <row r="749" spans="1:52" x14ac:dyDescent="0.25">
      <c r="A749" s="209">
        <v>1104116</v>
      </c>
      <c r="B749" s="209">
        <v>40</v>
      </c>
      <c r="C749" s="209" t="s">
        <v>1703</v>
      </c>
      <c r="D749" s="209">
        <v>10</v>
      </c>
      <c r="E749" s="209">
        <v>10000002</v>
      </c>
      <c r="F749" s="209">
        <v>20000337</v>
      </c>
      <c r="G749" s="209" t="s">
        <v>105</v>
      </c>
      <c r="H749" s="209">
        <v>20000337</v>
      </c>
      <c r="I749" s="209">
        <v>2</v>
      </c>
      <c r="J749" s="209" t="s">
        <v>169</v>
      </c>
      <c r="K749" s="209" t="s">
        <v>1704</v>
      </c>
      <c r="L749" s="209" t="s">
        <v>171</v>
      </c>
      <c r="M749" s="209" t="s">
        <v>172</v>
      </c>
      <c r="N749" s="209">
        <v>50034616</v>
      </c>
      <c r="O749" s="209" t="s">
        <v>191</v>
      </c>
      <c r="P749" s="209">
        <v>5121</v>
      </c>
      <c r="Q749" s="209" t="s">
        <v>174</v>
      </c>
      <c r="R749" s="209" t="s">
        <v>175</v>
      </c>
      <c r="S749" s="209" t="s">
        <v>176</v>
      </c>
      <c r="T749" s="209" t="s">
        <v>177</v>
      </c>
      <c r="U749" s="209" t="s">
        <v>178</v>
      </c>
      <c r="V749" s="209" t="s">
        <v>179</v>
      </c>
      <c r="W749" s="209" t="s">
        <v>179</v>
      </c>
      <c r="X749" s="209" t="s">
        <v>180</v>
      </c>
      <c r="Y749" s="209" t="s">
        <v>180</v>
      </c>
      <c r="Z749" s="209" t="s">
        <v>1705</v>
      </c>
      <c r="AA749" s="209" t="s">
        <v>1706</v>
      </c>
      <c r="AB749" s="209" t="s">
        <v>180</v>
      </c>
      <c r="AC749" s="209" t="s">
        <v>182</v>
      </c>
      <c r="AD749" s="209">
        <v>3</v>
      </c>
      <c r="AE749" s="209">
        <v>2025</v>
      </c>
      <c r="AF749" s="227">
        <v>45716</v>
      </c>
      <c r="AG749" s="227">
        <v>45726</v>
      </c>
      <c r="AH749" s="227">
        <v>45727</v>
      </c>
      <c r="AI749" s="228">
        <v>426816</v>
      </c>
      <c r="AJ749" s="228">
        <v>52</v>
      </c>
      <c r="AK749" s="228">
        <v>426816</v>
      </c>
      <c r="AL749" s="228">
        <v>52</v>
      </c>
      <c r="AM749" s="228">
        <v>0</v>
      </c>
      <c r="AN749" s="228">
        <v>0</v>
      </c>
      <c r="AO749" s="229">
        <v>10</v>
      </c>
      <c r="AP749" s="231">
        <v>3</v>
      </c>
      <c r="AQ749" s="231">
        <v>2025</v>
      </c>
      <c r="AR749" s="231" t="str">
        <f t="shared" si="100"/>
        <v>03/2025</v>
      </c>
      <c r="AS749" s="231">
        <f t="shared" si="101"/>
        <v>46.6</v>
      </c>
      <c r="AT749" s="239">
        <f>IF(G749="CERVECERIA Y MALTERIA",(AS749*AK749/1000000)*(1-VLOOKUP(N749,FCST!D:I,6,FALSE)),0)</f>
        <v>19.889625600000002</v>
      </c>
      <c r="AU749" s="232">
        <v>5.0000000000000001E-3</v>
      </c>
      <c r="AV749" s="239">
        <f t="shared" si="102"/>
        <v>19.989073728000001</v>
      </c>
      <c r="AW749" s="239">
        <f>(AS749*AK749/1000000)*(VLOOKUP(N749,FCST!D:I,6,FALSE))</f>
        <v>0</v>
      </c>
      <c r="AX749" s="239">
        <f t="shared" si="103"/>
        <v>0</v>
      </c>
      <c r="AY749" s="239">
        <f>IF($G749="CERVECERIA Y MALTERIA.",($AS749*$AK749/1000000)*(1-VLOOKUP($N749,FCST!D:I,6,FALSE)),0)</f>
        <v>0</v>
      </c>
      <c r="AZ749" s="239">
        <f t="shared" si="104"/>
        <v>0</v>
      </c>
    </row>
    <row r="750" spans="1:52" x14ac:dyDescent="0.25">
      <c r="A750" s="209">
        <v>1105038</v>
      </c>
      <c r="B750" s="209">
        <v>20</v>
      </c>
      <c r="C750" s="209" t="s">
        <v>1707</v>
      </c>
      <c r="D750" s="209">
        <v>10</v>
      </c>
      <c r="E750" s="209">
        <v>10000002</v>
      </c>
      <c r="F750" s="209">
        <v>20000340</v>
      </c>
      <c r="G750" s="209" t="s">
        <v>117</v>
      </c>
      <c r="H750" s="209">
        <v>20000340</v>
      </c>
      <c r="I750" s="209">
        <v>2</v>
      </c>
      <c r="J750" s="209" t="s">
        <v>169</v>
      </c>
      <c r="K750" s="209" t="s">
        <v>1708</v>
      </c>
      <c r="L750" s="209" t="s">
        <v>171</v>
      </c>
      <c r="M750" s="209" t="s">
        <v>172</v>
      </c>
      <c r="N750" s="209">
        <v>50027468</v>
      </c>
      <c r="O750" s="209" t="s">
        <v>285</v>
      </c>
      <c r="P750" s="209">
        <v>5101</v>
      </c>
      <c r="Q750" s="209" t="s">
        <v>186</v>
      </c>
      <c r="R750" s="209" t="s">
        <v>175</v>
      </c>
      <c r="S750" s="209" t="s">
        <v>176</v>
      </c>
      <c r="T750" s="209" t="s">
        <v>187</v>
      </c>
      <c r="U750" s="209" t="s">
        <v>188</v>
      </c>
      <c r="V750" s="209" t="s">
        <v>179</v>
      </c>
      <c r="W750" s="209" t="s">
        <v>179</v>
      </c>
      <c r="X750" s="209" t="s">
        <v>180</v>
      </c>
      <c r="Y750" s="209" t="s">
        <v>180</v>
      </c>
      <c r="Z750" s="209" t="s">
        <v>1709</v>
      </c>
      <c r="AA750" s="209" t="s">
        <v>1710</v>
      </c>
      <c r="AB750" s="209" t="s">
        <v>180</v>
      </c>
      <c r="AC750" s="209" t="s">
        <v>182</v>
      </c>
      <c r="AD750" s="209">
        <v>3</v>
      </c>
      <c r="AE750" s="209">
        <v>2025</v>
      </c>
      <c r="AF750" s="227">
        <v>45722</v>
      </c>
      <c r="AG750" s="227">
        <v>45727</v>
      </c>
      <c r="AH750" s="227">
        <v>45727</v>
      </c>
      <c r="AI750" s="228">
        <v>322560</v>
      </c>
      <c r="AJ750" s="228">
        <v>42</v>
      </c>
      <c r="AK750" s="228">
        <v>322560</v>
      </c>
      <c r="AL750" s="228">
        <v>42</v>
      </c>
      <c r="AM750" s="228">
        <v>0</v>
      </c>
      <c r="AN750" s="228">
        <v>0</v>
      </c>
      <c r="AO750" s="229">
        <v>11</v>
      </c>
      <c r="AP750" s="231">
        <v>3</v>
      </c>
      <c r="AQ750" s="231">
        <v>2025</v>
      </c>
      <c r="AR750" s="231" t="str">
        <f t="shared" si="100"/>
        <v>03/2025</v>
      </c>
      <c r="AS750" s="231">
        <f t="shared" si="101"/>
        <v>52</v>
      </c>
      <c r="AT750" s="239">
        <f>IF(G750="CERVECERIA Y MALTERIA",(AS750*AK750/1000000)*(1-VLOOKUP(N750,FCST!D:I,6,FALSE)),0)</f>
        <v>0</v>
      </c>
      <c r="AU750" s="232">
        <v>5.0000000000000001E-3</v>
      </c>
      <c r="AV750" s="239">
        <f t="shared" si="102"/>
        <v>0</v>
      </c>
      <c r="AW750" s="239">
        <f>(AS750*AK750/1000000)*(VLOOKUP(N750,FCST!D:I,6,FALSE))</f>
        <v>0</v>
      </c>
      <c r="AX750" s="239">
        <f t="shared" si="103"/>
        <v>0</v>
      </c>
      <c r="AY750" s="239">
        <f>IF($G750="CERVECERIA Y MALTERIA.",($AS750*$AK750/1000000)*(1-VLOOKUP($N750,FCST!D:I,6,FALSE)),0)</f>
        <v>16.773119999999999</v>
      </c>
      <c r="AZ750" s="239">
        <f t="shared" si="104"/>
        <v>16.856985599999998</v>
      </c>
    </row>
    <row r="751" spans="1:52" x14ac:dyDescent="0.25">
      <c r="A751" s="209">
        <v>1105035</v>
      </c>
      <c r="B751" s="209">
        <v>30</v>
      </c>
      <c r="C751" s="209" t="s">
        <v>1711</v>
      </c>
      <c r="D751" s="209">
        <v>10</v>
      </c>
      <c r="E751" s="209">
        <v>10000002</v>
      </c>
      <c r="F751" s="209">
        <v>20000335</v>
      </c>
      <c r="G751" s="209" t="s">
        <v>105</v>
      </c>
      <c r="H751" s="209">
        <v>20000335</v>
      </c>
      <c r="I751" s="209">
        <v>2</v>
      </c>
      <c r="J751" s="209" t="s">
        <v>169</v>
      </c>
      <c r="K751" s="209" t="s">
        <v>1712</v>
      </c>
      <c r="L751" s="209" t="s">
        <v>171</v>
      </c>
      <c r="M751" s="209" t="s">
        <v>172</v>
      </c>
      <c r="N751" s="209">
        <v>50034561</v>
      </c>
      <c r="O751" s="209" t="s">
        <v>307</v>
      </c>
      <c r="P751" s="209">
        <v>5121</v>
      </c>
      <c r="Q751" s="209" t="s">
        <v>174</v>
      </c>
      <c r="R751" s="209" t="s">
        <v>175</v>
      </c>
      <c r="S751" s="209" t="s">
        <v>176</v>
      </c>
      <c r="T751" s="209" t="s">
        <v>177</v>
      </c>
      <c r="U751" s="209" t="s">
        <v>178</v>
      </c>
      <c r="V751" s="209" t="s">
        <v>179</v>
      </c>
      <c r="W751" s="209" t="s">
        <v>179</v>
      </c>
      <c r="X751" s="209" t="s">
        <v>180</v>
      </c>
      <c r="Y751" s="209" t="s">
        <v>180</v>
      </c>
      <c r="Z751" s="209" t="s">
        <v>1713</v>
      </c>
      <c r="AA751" s="209" t="s">
        <v>1714</v>
      </c>
      <c r="AB751" s="209" t="s">
        <v>180</v>
      </c>
      <c r="AC751" s="209" t="s">
        <v>182</v>
      </c>
      <c r="AD751" s="209">
        <v>3</v>
      </c>
      <c r="AE751" s="209">
        <v>2025</v>
      </c>
      <c r="AF751" s="227">
        <v>45722</v>
      </c>
      <c r="AG751" s="227">
        <v>45727</v>
      </c>
      <c r="AH751" s="227">
        <v>45727</v>
      </c>
      <c r="AI751" s="228">
        <v>150336</v>
      </c>
      <c r="AJ751" s="228">
        <v>8</v>
      </c>
      <c r="AK751" s="228">
        <v>150336</v>
      </c>
      <c r="AL751" s="228">
        <v>8</v>
      </c>
      <c r="AM751" s="228">
        <v>0</v>
      </c>
      <c r="AN751" s="228">
        <v>0</v>
      </c>
      <c r="AO751" s="229">
        <v>11</v>
      </c>
      <c r="AP751" s="231">
        <v>3</v>
      </c>
      <c r="AQ751" s="231">
        <v>2025</v>
      </c>
      <c r="AR751" s="231" t="str">
        <f t="shared" si="100"/>
        <v>03/2025</v>
      </c>
      <c r="AS751" s="231">
        <f t="shared" si="101"/>
        <v>19.5</v>
      </c>
      <c r="AT751" s="239">
        <f>IF(G751="CERVECERIA Y MALTERIA",(AS751*AK751/1000000)*(1-VLOOKUP(N751,FCST!D:I,6,FALSE)),0)</f>
        <v>2.9315519999999999</v>
      </c>
      <c r="AU751" s="232">
        <v>5.0000000000000001E-3</v>
      </c>
      <c r="AV751" s="239">
        <f t="shared" si="102"/>
        <v>2.9462097599999995</v>
      </c>
      <c r="AW751" s="239">
        <f>(AS751*AK751/1000000)*(VLOOKUP(N751,FCST!D:I,6,FALSE))</f>
        <v>0</v>
      </c>
      <c r="AX751" s="239">
        <f t="shared" si="103"/>
        <v>0</v>
      </c>
      <c r="AY751" s="239">
        <f>IF($G751="CERVECERIA Y MALTERIA.",($AS751*$AK751/1000000)*(1-VLOOKUP($N751,FCST!D:I,6,FALSE)),0)</f>
        <v>0</v>
      </c>
      <c r="AZ751" s="239">
        <f t="shared" si="104"/>
        <v>0</v>
      </c>
    </row>
    <row r="752" spans="1:52" x14ac:dyDescent="0.25">
      <c r="A752" s="209">
        <v>1105035</v>
      </c>
      <c r="B752" s="209">
        <v>40</v>
      </c>
      <c r="C752" s="209" t="s">
        <v>1715</v>
      </c>
      <c r="D752" s="209">
        <v>10</v>
      </c>
      <c r="E752" s="209">
        <v>10000002</v>
      </c>
      <c r="F752" s="209">
        <v>20000335</v>
      </c>
      <c r="G752" s="209" t="s">
        <v>105</v>
      </c>
      <c r="H752" s="209">
        <v>20000335</v>
      </c>
      <c r="I752" s="209">
        <v>2</v>
      </c>
      <c r="J752" s="209" t="s">
        <v>169</v>
      </c>
      <c r="K752" s="209" t="s">
        <v>1716</v>
      </c>
      <c r="L752" s="209" t="s">
        <v>171</v>
      </c>
      <c r="M752" s="209" t="s">
        <v>172</v>
      </c>
      <c r="N752" s="209">
        <v>50037887</v>
      </c>
      <c r="O752" s="209" t="s">
        <v>679</v>
      </c>
      <c r="P752" s="209">
        <v>5121</v>
      </c>
      <c r="Q752" s="209" t="s">
        <v>174</v>
      </c>
      <c r="R752" s="209" t="s">
        <v>175</v>
      </c>
      <c r="S752" s="209" t="s">
        <v>176</v>
      </c>
      <c r="T752" s="209" t="s">
        <v>177</v>
      </c>
      <c r="U752" s="209" t="s">
        <v>178</v>
      </c>
      <c r="V752" s="209" t="s">
        <v>179</v>
      </c>
      <c r="W752" s="209" t="s">
        <v>179</v>
      </c>
      <c r="X752" s="209" t="s">
        <v>180</v>
      </c>
      <c r="Y752" s="209" t="s">
        <v>180</v>
      </c>
      <c r="Z752" s="209" t="s">
        <v>1717</v>
      </c>
      <c r="AA752" s="209" t="s">
        <v>1718</v>
      </c>
      <c r="AB752" s="209" t="s">
        <v>180</v>
      </c>
      <c r="AC752" s="209" t="s">
        <v>182</v>
      </c>
      <c r="AD752" s="209">
        <v>3</v>
      </c>
      <c r="AE752" s="209">
        <v>2025</v>
      </c>
      <c r="AF752" s="227">
        <v>45722</v>
      </c>
      <c r="AG752" s="227">
        <v>45727</v>
      </c>
      <c r="AH752" s="227">
        <v>45727</v>
      </c>
      <c r="AI752" s="228">
        <v>531648</v>
      </c>
      <c r="AJ752" s="228">
        <v>52</v>
      </c>
      <c r="AK752" s="228">
        <v>531648</v>
      </c>
      <c r="AL752" s="228">
        <v>52</v>
      </c>
      <c r="AM752" s="228">
        <v>0</v>
      </c>
      <c r="AN752" s="228">
        <v>0</v>
      </c>
      <c r="AO752" s="229">
        <v>11</v>
      </c>
      <c r="AP752" s="231">
        <v>3</v>
      </c>
      <c r="AQ752" s="231">
        <v>2025</v>
      </c>
      <c r="AR752" s="231" t="str">
        <f t="shared" si="100"/>
        <v>03/2025</v>
      </c>
      <c r="AS752" s="231">
        <f t="shared" si="101"/>
        <v>37.200000000000003</v>
      </c>
      <c r="AT752" s="239">
        <f>IF(G752="CERVECERIA Y MALTERIA",(AS752*AK752/1000000)*(1-VLOOKUP(N752,FCST!D:I,6,FALSE)),0)</f>
        <v>19.777305600000002</v>
      </c>
      <c r="AU752" s="232">
        <v>5.0000000000000001E-3</v>
      </c>
      <c r="AV752" s="239">
        <f t="shared" si="102"/>
        <v>19.876192128</v>
      </c>
      <c r="AW752" s="239">
        <f>(AS752*AK752/1000000)*(VLOOKUP(N752,FCST!D:I,6,FALSE))</f>
        <v>0</v>
      </c>
      <c r="AX752" s="239">
        <f t="shared" si="103"/>
        <v>0</v>
      </c>
      <c r="AY752" s="239">
        <f>IF($G752="CERVECERIA Y MALTERIA.",($AS752*$AK752/1000000)*(1-VLOOKUP($N752,FCST!D:I,6,FALSE)),0)</f>
        <v>0</v>
      </c>
      <c r="AZ752" s="239">
        <f t="shared" si="104"/>
        <v>0</v>
      </c>
    </row>
    <row r="753" spans="1:52" x14ac:dyDescent="0.25">
      <c r="A753" s="209">
        <v>1105035</v>
      </c>
      <c r="B753" s="209">
        <v>20</v>
      </c>
      <c r="C753" s="209" t="s">
        <v>1719</v>
      </c>
      <c r="D753" s="209">
        <v>10</v>
      </c>
      <c r="E753" s="209">
        <v>10000002</v>
      </c>
      <c r="F753" s="209">
        <v>20000335</v>
      </c>
      <c r="G753" s="209" t="s">
        <v>105</v>
      </c>
      <c r="H753" s="209">
        <v>20000335</v>
      </c>
      <c r="I753" s="209">
        <v>2</v>
      </c>
      <c r="J753" s="209" t="s">
        <v>169</v>
      </c>
      <c r="K753" s="209" t="s">
        <v>1720</v>
      </c>
      <c r="L753" s="209" t="s">
        <v>171</v>
      </c>
      <c r="M753" s="209" t="s">
        <v>172</v>
      </c>
      <c r="N753" s="209">
        <v>50024497</v>
      </c>
      <c r="O753" s="209" t="s">
        <v>1352</v>
      </c>
      <c r="P753" s="209">
        <v>5121</v>
      </c>
      <c r="Q753" s="209" t="s">
        <v>174</v>
      </c>
      <c r="R753" s="209" t="s">
        <v>175</v>
      </c>
      <c r="S753" s="209" t="s">
        <v>176</v>
      </c>
      <c r="T753" s="209" t="s">
        <v>177</v>
      </c>
      <c r="U753" s="209" t="s">
        <v>178</v>
      </c>
      <c r="V753" s="209" t="s">
        <v>179</v>
      </c>
      <c r="W753" s="209" t="s">
        <v>179</v>
      </c>
      <c r="X753" s="209" t="s">
        <v>180</v>
      </c>
      <c r="Y753" s="209" t="s">
        <v>180</v>
      </c>
      <c r="Z753" s="209" t="s">
        <v>1721</v>
      </c>
      <c r="AA753" s="209" t="s">
        <v>1722</v>
      </c>
      <c r="AB753" s="209" t="s">
        <v>180</v>
      </c>
      <c r="AC753" s="209" t="s">
        <v>182</v>
      </c>
      <c r="AD753" s="209">
        <v>3</v>
      </c>
      <c r="AE753" s="209">
        <v>2025</v>
      </c>
      <c r="AF753" s="227">
        <v>45722</v>
      </c>
      <c r="AG753" s="227">
        <v>45726</v>
      </c>
      <c r="AH753" s="227">
        <v>45726</v>
      </c>
      <c r="AI753" s="228">
        <v>351936</v>
      </c>
      <c r="AJ753" s="228">
        <v>52</v>
      </c>
      <c r="AK753" s="228">
        <v>351936</v>
      </c>
      <c r="AL753" s="228">
        <v>52</v>
      </c>
      <c r="AM753" s="228">
        <v>0</v>
      </c>
      <c r="AN753" s="228">
        <v>0</v>
      </c>
      <c r="AO753" s="229">
        <v>11</v>
      </c>
      <c r="AP753" s="231">
        <v>3</v>
      </c>
      <c r="AQ753" s="231">
        <v>2025</v>
      </c>
      <c r="AR753" s="231" t="str">
        <f t="shared" si="100"/>
        <v>03/2025</v>
      </c>
      <c r="AS753" s="231">
        <f t="shared" si="101"/>
        <v>54.7</v>
      </c>
      <c r="AT753" s="239">
        <f>IF(G753="CERVECERIA Y MALTERIA",(AS753*AK753/1000000)*(1-VLOOKUP(N753,FCST!D:I,6,FALSE)),0)</f>
        <v>19.250899199999999</v>
      </c>
      <c r="AU753" s="232">
        <v>5.0000000000000001E-3</v>
      </c>
      <c r="AV753" s="239">
        <f t="shared" si="102"/>
        <v>19.347153695999996</v>
      </c>
      <c r="AW753" s="239">
        <f>(AS753*AK753/1000000)*(VLOOKUP(N753,FCST!D:I,6,FALSE))</f>
        <v>0</v>
      </c>
      <c r="AX753" s="239">
        <f t="shared" si="103"/>
        <v>0</v>
      </c>
      <c r="AY753" s="239">
        <f>IF($G753="CERVECERIA Y MALTERIA.",($AS753*$AK753/1000000)*(1-VLOOKUP($N753,FCST!D:I,6,FALSE)),0)</f>
        <v>0</v>
      </c>
      <c r="AZ753" s="239">
        <f t="shared" si="104"/>
        <v>0</v>
      </c>
    </row>
    <row r="754" spans="1:52" x14ac:dyDescent="0.25">
      <c r="A754" s="209">
        <v>1105038</v>
      </c>
      <c r="B754" s="209">
        <v>10</v>
      </c>
      <c r="C754" s="209" t="s">
        <v>1723</v>
      </c>
      <c r="D754" s="209">
        <v>10</v>
      </c>
      <c r="E754" s="209">
        <v>10000002</v>
      </c>
      <c r="F754" s="209">
        <v>20000340</v>
      </c>
      <c r="G754" s="209" t="s">
        <v>117</v>
      </c>
      <c r="H754" s="209">
        <v>20000340</v>
      </c>
      <c r="I754" s="209">
        <v>2</v>
      </c>
      <c r="J754" s="209" t="s">
        <v>169</v>
      </c>
      <c r="K754" s="209" t="s">
        <v>1724</v>
      </c>
      <c r="L754" s="209" t="s">
        <v>171</v>
      </c>
      <c r="M754" s="209" t="s">
        <v>172</v>
      </c>
      <c r="N754" s="209">
        <v>50027468</v>
      </c>
      <c r="O754" s="209" t="s">
        <v>285</v>
      </c>
      <c r="P754" s="209">
        <v>5101</v>
      </c>
      <c r="Q754" s="209" t="s">
        <v>186</v>
      </c>
      <c r="R754" s="209" t="s">
        <v>175</v>
      </c>
      <c r="S754" s="209" t="s">
        <v>176</v>
      </c>
      <c r="T754" s="209" t="s">
        <v>187</v>
      </c>
      <c r="U754" s="209" t="s">
        <v>188</v>
      </c>
      <c r="V754" s="209" t="s">
        <v>179</v>
      </c>
      <c r="W754" s="209" t="s">
        <v>179</v>
      </c>
      <c r="X754" s="209" t="s">
        <v>180</v>
      </c>
      <c r="Y754" s="209" t="s">
        <v>180</v>
      </c>
      <c r="Z754" s="209" t="s">
        <v>1709</v>
      </c>
      <c r="AA754" s="209" t="s">
        <v>1710</v>
      </c>
      <c r="AB754" s="209" t="s">
        <v>180</v>
      </c>
      <c r="AC754" s="209" t="s">
        <v>182</v>
      </c>
      <c r="AD754" s="209">
        <v>3</v>
      </c>
      <c r="AE754" s="209">
        <v>2025</v>
      </c>
      <c r="AF754" s="227">
        <v>45722</v>
      </c>
      <c r="AG754" s="227">
        <v>45726</v>
      </c>
      <c r="AH754" s="227">
        <v>45726</v>
      </c>
      <c r="AI754" s="228">
        <v>399360</v>
      </c>
      <c r="AJ754" s="228">
        <v>52</v>
      </c>
      <c r="AK754" s="228">
        <v>399360</v>
      </c>
      <c r="AL754" s="228">
        <v>52</v>
      </c>
      <c r="AM754" s="228">
        <v>0</v>
      </c>
      <c r="AN754" s="228">
        <v>0</v>
      </c>
      <c r="AO754" s="229">
        <v>11</v>
      </c>
      <c r="AP754" s="231">
        <v>3</v>
      </c>
      <c r="AQ754" s="231">
        <v>2025</v>
      </c>
      <c r="AR754" s="231" t="str">
        <f t="shared" si="100"/>
        <v>03/2025</v>
      </c>
      <c r="AS754" s="231">
        <f t="shared" si="101"/>
        <v>52</v>
      </c>
      <c r="AT754" s="239">
        <f>IF(G754="CERVECERIA Y MALTERIA",(AS754*AK754/1000000)*(1-VLOOKUP(N754,FCST!D:I,6,FALSE)),0)</f>
        <v>0</v>
      </c>
      <c r="AU754" s="232">
        <v>5.0000000000000001E-3</v>
      </c>
      <c r="AV754" s="239">
        <f t="shared" si="102"/>
        <v>0</v>
      </c>
      <c r="AW754" s="239">
        <f>(AS754*AK754/1000000)*(VLOOKUP(N754,FCST!D:I,6,FALSE))</f>
        <v>0</v>
      </c>
      <c r="AX754" s="239">
        <f t="shared" si="103"/>
        <v>0</v>
      </c>
      <c r="AY754" s="239">
        <f>IF($G754="CERVECERIA Y MALTERIA.",($AS754*$AK754/1000000)*(1-VLOOKUP($N754,FCST!D:I,6,FALSE)),0)</f>
        <v>20.766719999999999</v>
      </c>
      <c r="AZ754" s="239">
        <f t="shared" si="104"/>
        <v>20.870553599999997</v>
      </c>
    </row>
    <row r="755" spans="1:52" x14ac:dyDescent="0.25">
      <c r="A755" s="209">
        <v>1105035</v>
      </c>
      <c r="B755" s="209">
        <v>110</v>
      </c>
      <c r="C755" s="209" t="s">
        <v>1725</v>
      </c>
      <c r="D755" s="209">
        <v>10</v>
      </c>
      <c r="E755" s="209">
        <v>10000002</v>
      </c>
      <c r="F755" s="209">
        <v>20000335</v>
      </c>
      <c r="G755" s="209" t="s">
        <v>105</v>
      </c>
      <c r="H755" s="209">
        <v>20000335</v>
      </c>
      <c r="I755" s="209">
        <v>2</v>
      </c>
      <c r="J755" s="209" t="s">
        <v>169</v>
      </c>
      <c r="K755" s="209" t="s">
        <v>1726</v>
      </c>
      <c r="L755" s="209" t="s">
        <v>171</v>
      </c>
      <c r="M755" s="209" t="s">
        <v>184</v>
      </c>
      <c r="N755" s="209">
        <v>50024497</v>
      </c>
      <c r="O755" s="209" t="s">
        <v>1352</v>
      </c>
      <c r="P755" s="209">
        <v>5121</v>
      </c>
      <c r="Q755" s="209" t="s">
        <v>174</v>
      </c>
      <c r="R755" s="209" t="s">
        <v>175</v>
      </c>
      <c r="S755" s="209" t="s">
        <v>176</v>
      </c>
      <c r="T755" s="209" t="s">
        <v>177</v>
      </c>
      <c r="U755" s="209" t="s">
        <v>178</v>
      </c>
      <c r="V755" s="209" t="s">
        <v>179</v>
      </c>
      <c r="W755" s="209" t="s">
        <v>179</v>
      </c>
      <c r="X755" s="209" t="s">
        <v>180</v>
      </c>
      <c r="Y755" s="209" t="s">
        <v>180</v>
      </c>
      <c r="Z755" s="209" t="s">
        <v>1721</v>
      </c>
      <c r="AA755" s="209" t="s">
        <v>1722</v>
      </c>
      <c r="AB755" s="209" t="s">
        <v>180</v>
      </c>
      <c r="AC755" s="209" t="s">
        <v>182</v>
      </c>
      <c r="AD755" s="209">
        <v>3</v>
      </c>
      <c r="AE755" s="209">
        <v>2025</v>
      </c>
      <c r="AF755" s="227">
        <v>45722</v>
      </c>
      <c r="AG755" s="227">
        <v>45728</v>
      </c>
      <c r="AH755" s="227">
        <v>45728</v>
      </c>
      <c r="AI755" s="228">
        <v>175968</v>
      </c>
      <c r="AJ755" s="228">
        <v>26</v>
      </c>
      <c r="AK755" s="228">
        <v>175968</v>
      </c>
      <c r="AL755" s="228">
        <v>26</v>
      </c>
      <c r="AM755" s="228">
        <v>0</v>
      </c>
      <c r="AN755" s="228">
        <v>0</v>
      </c>
      <c r="AO755" s="229">
        <v>11</v>
      </c>
      <c r="AP755" s="231">
        <v>3</v>
      </c>
      <c r="AQ755" s="231">
        <v>2025</v>
      </c>
      <c r="AR755" s="231" t="str">
        <f t="shared" si="100"/>
        <v>03/2025</v>
      </c>
      <c r="AS755" s="231">
        <f t="shared" si="101"/>
        <v>54.7</v>
      </c>
      <c r="AT755" s="239">
        <f>IF(G755="CERVECERIA Y MALTERIA",(AS755*AK755/1000000)*(1-VLOOKUP(N755,FCST!D:I,6,FALSE)),0)</f>
        <v>9.6254495999999996</v>
      </c>
      <c r="AU755" s="232">
        <v>5.0000000000000001E-3</v>
      </c>
      <c r="AV755" s="239">
        <f t="shared" si="102"/>
        <v>9.673576847999998</v>
      </c>
      <c r="AW755" s="239">
        <f>(AS755*AK755/1000000)*(VLOOKUP(N755,FCST!D:I,6,FALSE))</f>
        <v>0</v>
      </c>
      <c r="AX755" s="239">
        <f t="shared" si="103"/>
        <v>0</v>
      </c>
      <c r="AY755" s="239">
        <f>IF($G755="CERVECERIA Y MALTERIA.",($AS755*$AK755/1000000)*(1-VLOOKUP($N755,FCST!D:I,6,FALSE)),0)</f>
        <v>0</v>
      </c>
      <c r="AZ755" s="239">
        <f t="shared" si="104"/>
        <v>0</v>
      </c>
    </row>
    <row r="756" spans="1:52" x14ac:dyDescent="0.25">
      <c r="A756" s="209">
        <v>1105040</v>
      </c>
      <c r="B756" s="209">
        <v>20</v>
      </c>
      <c r="C756" s="209" t="s">
        <v>1727</v>
      </c>
      <c r="D756" s="209">
        <v>10</v>
      </c>
      <c r="E756" s="209">
        <v>10000002</v>
      </c>
      <c r="F756" s="209">
        <v>20000340</v>
      </c>
      <c r="G756" s="209" t="s">
        <v>117</v>
      </c>
      <c r="H756" s="209">
        <v>20000340</v>
      </c>
      <c r="I756" s="209">
        <v>2</v>
      </c>
      <c r="J756" s="209" t="s">
        <v>169</v>
      </c>
      <c r="K756" s="209" t="s">
        <v>1728</v>
      </c>
      <c r="L756" s="209" t="s">
        <v>171</v>
      </c>
      <c r="M756" s="209" t="s">
        <v>184</v>
      </c>
      <c r="N756" s="209">
        <v>50029843</v>
      </c>
      <c r="O756" s="209" t="s">
        <v>460</v>
      </c>
      <c r="P756" s="209">
        <v>5121</v>
      </c>
      <c r="Q756" s="209" t="s">
        <v>174</v>
      </c>
      <c r="R756" s="209" t="s">
        <v>175</v>
      </c>
      <c r="S756" s="209" t="s">
        <v>176</v>
      </c>
      <c r="T756" s="209" t="s">
        <v>177</v>
      </c>
      <c r="U756" s="209" t="s">
        <v>178</v>
      </c>
      <c r="V756" s="209" t="s">
        <v>179</v>
      </c>
      <c r="W756" s="209" t="s">
        <v>179</v>
      </c>
      <c r="X756" s="209" t="s">
        <v>180</v>
      </c>
      <c r="Y756" s="209" t="s">
        <v>180</v>
      </c>
      <c r="Z756" s="209" t="s">
        <v>1729</v>
      </c>
      <c r="AA756" s="209" t="s">
        <v>1730</v>
      </c>
      <c r="AB756" s="209" t="s">
        <v>180</v>
      </c>
      <c r="AC756" s="209" t="s">
        <v>182</v>
      </c>
      <c r="AD756" s="209">
        <v>3</v>
      </c>
      <c r="AE756" s="209">
        <v>2025</v>
      </c>
      <c r="AF756" s="227">
        <v>45722</v>
      </c>
      <c r="AG756" s="227">
        <v>45728</v>
      </c>
      <c r="AH756" s="227">
        <v>45728</v>
      </c>
      <c r="AI756" s="228">
        <v>209664</v>
      </c>
      <c r="AJ756" s="228">
        <v>26</v>
      </c>
      <c r="AK756" s="228">
        <v>209664</v>
      </c>
      <c r="AL756" s="228">
        <v>26</v>
      </c>
      <c r="AM756" s="228">
        <v>0</v>
      </c>
      <c r="AN756" s="228">
        <v>0</v>
      </c>
      <c r="AO756" s="229">
        <v>11</v>
      </c>
      <c r="AP756" s="231">
        <v>3</v>
      </c>
      <c r="AQ756" s="231">
        <v>2025</v>
      </c>
      <c r="AR756" s="231" t="str">
        <f t="shared" si="100"/>
        <v>03/2025</v>
      </c>
      <c r="AS756" s="231">
        <f t="shared" si="101"/>
        <v>44.8</v>
      </c>
      <c r="AT756" s="239">
        <f>IF(G756="CERVECERIA Y MALTERIA",(AS756*AK756/1000000)*(1-VLOOKUP(N756,FCST!D:I,6,FALSE)),0)</f>
        <v>0</v>
      </c>
      <c r="AU756" s="232">
        <v>5.0000000000000001E-3</v>
      </c>
      <c r="AV756" s="239">
        <f t="shared" si="102"/>
        <v>0</v>
      </c>
      <c r="AW756" s="239">
        <f>(AS756*AK756/1000000)*(VLOOKUP(N756,FCST!D:I,6,FALSE))</f>
        <v>0</v>
      </c>
      <c r="AX756" s="239">
        <f t="shared" si="103"/>
        <v>0</v>
      </c>
      <c r="AY756" s="239">
        <f>IF($G756="CERVECERIA Y MALTERIA.",($AS756*$AK756/1000000)*(1-VLOOKUP($N756,FCST!D:I,6,FALSE)),0)</f>
        <v>9.3929472000000001</v>
      </c>
      <c r="AZ756" s="239">
        <f t="shared" si="104"/>
        <v>9.4399119359999997</v>
      </c>
    </row>
    <row r="757" spans="1:52" x14ac:dyDescent="0.25">
      <c r="A757" s="209">
        <v>1105035</v>
      </c>
      <c r="B757" s="209">
        <v>100</v>
      </c>
      <c r="C757" s="209" t="s">
        <v>1731</v>
      </c>
      <c r="D757" s="209">
        <v>10</v>
      </c>
      <c r="E757" s="209">
        <v>10000002</v>
      </c>
      <c r="F757" s="209">
        <v>20000335</v>
      </c>
      <c r="G757" s="209" t="s">
        <v>105</v>
      </c>
      <c r="H757" s="209">
        <v>20000335</v>
      </c>
      <c r="I757" s="209">
        <v>2</v>
      </c>
      <c r="J757" s="209" t="s">
        <v>169</v>
      </c>
      <c r="K757" s="209" t="s">
        <v>1732</v>
      </c>
      <c r="L757" s="209" t="s">
        <v>171</v>
      </c>
      <c r="M757" s="209" t="s">
        <v>184</v>
      </c>
      <c r="N757" s="209">
        <v>50034616</v>
      </c>
      <c r="O757" s="209" t="s">
        <v>191</v>
      </c>
      <c r="P757" s="209">
        <v>5121</v>
      </c>
      <c r="Q757" s="209" t="s">
        <v>174</v>
      </c>
      <c r="R757" s="209" t="s">
        <v>175</v>
      </c>
      <c r="S757" s="209" t="s">
        <v>176</v>
      </c>
      <c r="T757" s="209" t="s">
        <v>177</v>
      </c>
      <c r="U757" s="209" t="s">
        <v>178</v>
      </c>
      <c r="V757" s="209" t="s">
        <v>179</v>
      </c>
      <c r="W757" s="209" t="s">
        <v>179</v>
      </c>
      <c r="X757" s="209" t="s">
        <v>180</v>
      </c>
      <c r="Y757" s="209" t="s">
        <v>180</v>
      </c>
      <c r="Z757" s="209" t="s">
        <v>1733</v>
      </c>
      <c r="AA757" s="209" t="s">
        <v>1734</v>
      </c>
      <c r="AB757" s="209" t="s">
        <v>180</v>
      </c>
      <c r="AC757" s="209" t="s">
        <v>182</v>
      </c>
      <c r="AD757" s="209">
        <v>3</v>
      </c>
      <c r="AE757" s="209">
        <v>2025</v>
      </c>
      <c r="AF757" s="227">
        <v>45722</v>
      </c>
      <c r="AG757" s="227">
        <v>45729</v>
      </c>
      <c r="AH757" s="227">
        <v>45729</v>
      </c>
      <c r="AI757" s="228">
        <v>213408</v>
      </c>
      <c r="AJ757" s="228">
        <v>26</v>
      </c>
      <c r="AK757" s="228">
        <v>213408</v>
      </c>
      <c r="AL757" s="228">
        <v>26</v>
      </c>
      <c r="AM757" s="228">
        <v>0</v>
      </c>
      <c r="AN757" s="228">
        <v>0</v>
      </c>
      <c r="AO757" s="229">
        <v>11</v>
      </c>
      <c r="AP757" s="231">
        <v>3</v>
      </c>
      <c r="AQ757" s="231">
        <v>2025</v>
      </c>
      <c r="AR757" s="231" t="str">
        <f t="shared" si="100"/>
        <v>03/2025</v>
      </c>
      <c r="AS757" s="231">
        <f t="shared" si="101"/>
        <v>46.6</v>
      </c>
      <c r="AT757" s="239">
        <f>IF(G757="CERVECERIA Y MALTERIA",(AS757*AK757/1000000)*(1-VLOOKUP(N757,FCST!D:I,6,FALSE)),0)</f>
        <v>9.9448128000000011</v>
      </c>
      <c r="AU757" s="232">
        <v>5.0000000000000001E-3</v>
      </c>
      <c r="AV757" s="239">
        <f t="shared" si="102"/>
        <v>9.9945368640000005</v>
      </c>
      <c r="AW757" s="239">
        <f>(AS757*AK757/1000000)*(VLOOKUP(N757,FCST!D:I,6,FALSE))</f>
        <v>0</v>
      </c>
      <c r="AX757" s="239">
        <f t="shared" si="103"/>
        <v>0</v>
      </c>
      <c r="AY757" s="239">
        <f>IF($G757="CERVECERIA Y MALTERIA.",($AS757*$AK757/1000000)*(1-VLOOKUP($N757,FCST!D:I,6,FALSE)),0)</f>
        <v>0</v>
      </c>
      <c r="AZ757" s="239">
        <f t="shared" si="104"/>
        <v>0</v>
      </c>
    </row>
    <row r="758" spans="1:52" x14ac:dyDescent="0.25">
      <c r="A758" s="209">
        <v>1105038</v>
      </c>
      <c r="B758" s="209">
        <v>30</v>
      </c>
      <c r="C758" s="209" t="s">
        <v>1735</v>
      </c>
      <c r="D758" s="209">
        <v>10</v>
      </c>
      <c r="E758" s="209">
        <v>10000002</v>
      </c>
      <c r="F758" s="209">
        <v>20000340</v>
      </c>
      <c r="G758" s="209" t="s">
        <v>117</v>
      </c>
      <c r="H758" s="209">
        <v>20000340</v>
      </c>
      <c r="I758" s="209">
        <v>2</v>
      </c>
      <c r="J758" s="209" t="s">
        <v>169</v>
      </c>
      <c r="K758" s="209" t="s">
        <v>1736</v>
      </c>
      <c r="L758" s="209" t="s">
        <v>171</v>
      </c>
      <c r="M758" s="209" t="s">
        <v>184</v>
      </c>
      <c r="N758" s="209">
        <v>50027468</v>
      </c>
      <c r="O758" s="209" t="s">
        <v>285</v>
      </c>
      <c r="P758" s="209">
        <v>5101</v>
      </c>
      <c r="Q758" s="209" t="s">
        <v>186</v>
      </c>
      <c r="R758" s="209" t="s">
        <v>175</v>
      </c>
      <c r="S758" s="209" t="s">
        <v>176</v>
      </c>
      <c r="T758" s="209" t="s">
        <v>187</v>
      </c>
      <c r="U758" s="209" t="s">
        <v>188</v>
      </c>
      <c r="V758" s="209" t="s">
        <v>179</v>
      </c>
      <c r="W758" s="209" t="s">
        <v>179</v>
      </c>
      <c r="X758" s="209" t="s">
        <v>180</v>
      </c>
      <c r="Y758" s="209" t="s">
        <v>180</v>
      </c>
      <c r="Z758" s="209" t="s">
        <v>1709</v>
      </c>
      <c r="AA758" s="209" t="s">
        <v>1710</v>
      </c>
      <c r="AB758" s="209" t="s">
        <v>180</v>
      </c>
      <c r="AC758" s="209" t="s">
        <v>182</v>
      </c>
      <c r="AD758" s="209">
        <v>3</v>
      </c>
      <c r="AE758" s="209">
        <v>2025</v>
      </c>
      <c r="AF758" s="227">
        <v>45722</v>
      </c>
      <c r="AG758" s="227">
        <v>45729</v>
      </c>
      <c r="AH758" s="227">
        <v>45729</v>
      </c>
      <c r="AI758" s="228">
        <v>192000</v>
      </c>
      <c r="AJ758" s="228">
        <v>25</v>
      </c>
      <c r="AK758" s="228">
        <v>192000</v>
      </c>
      <c r="AL758" s="228">
        <v>25</v>
      </c>
      <c r="AM758" s="228">
        <v>0</v>
      </c>
      <c r="AN758" s="228">
        <v>0</v>
      </c>
      <c r="AO758" s="229">
        <v>11</v>
      </c>
      <c r="AP758" s="231">
        <v>3</v>
      </c>
      <c r="AQ758" s="231">
        <v>2025</v>
      </c>
      <c r="AR758" s="231" t="str">
        <f t="shared" si="100"/>
        <v>03/2025</v>
      </c>
      <c r="AS758" s="231">
        <f t="shared" si="101"/>
        <v>52</v>
      </c>
      <c r="AT758" s="239">
        <f>IF(G758="CERVECERIA Y MALTERIA",(AS758*AK758/1000000)*(1-VLOOKUP(N758,FCST!D:I,6,FALSE)),0)</f>
        <v>0</v>
      </c>
      <c r="AU758" s="232">
        <v>5.0000000000000001E-3</v>
      </c>
      <c r="AV758" s="239">
        <f t="shared" si="102"/>
        <v>0</v>
      </c>
      <c r="AW758" s="239">
        <f>(AS758*AK758/1000000)*(VLOOKUP(N758,FCST!D:I,6,FALSE))</f>
        <v>0</v>
      </c>
      <c r="AX758" s="239">
        <f t="shared" si="103"/>
        <v>0</v>
      </c>
      <c r="AY758" s="239">
        <f>IF($G758="CERVECERIA Y MALTERIA.",($AS758*$AK758/1000000)*(1-VLOOKUP($N758,FCST!D:I,6,FALSE)),0)</f>
        <v>9.984</v>
      </c>
      <c r="AZ758" s="239">
        <f t="shared" si="104"/>
        <v>10.033919999999998</v>
      </c>
    </row>
    <row r="759" spans="1:52" x14ac:dyDescent="0.25">
      <c r="A759" s="209">
        <v>1105035</v>
      </c>
      <c r="B759" s="209">
        <v>70</v>
      </c>
      <c r="C759" s="209" t="s">
        <v>1737</v>
      </c>
      <c r="D759" s="209">
        <v>10</v>
      </c>
      <c r="E759" s="209">
        <v>10000002</v>
      </c>
      <c r="F759" s="209">
        <v>20000335</v>
      </c>
      <c r="G759" s="209" t="s">
        <v>105</v>
      </c>
      <c r="H759" s="209">
        <v>20000335</v>
      </c>
      <c r="I759" s="209">
        <v>2</v>
      </c>
      <c r="J759" s="209" t="s">
        <v>169</v>
      </c>
      <c r="K759" s="209" t="s">
        <v>1738</v>
      </c>
      <c r="L759" s="209" t="s">
        <v>171</v>
      </c>
      <c r="M759" s="209" t="s">
        <v>184</v>
      </c>
      <c r="N759" s="209">
        <v>50024497</v>
      </c>
      <c r="O759" s="209" t="s">
        <v>1352</v>
      </c>
      <c r="P759" s="209">
        <v>5121</v>
      </c>
      <c r="Q759" s="209" t="s">
        <v>174</v>
      </c>
      <c r="R759" s="209" t="s">
        <v>175</v>
      </c>
      <c r="S759" s="209" t="s">
        <v>176</v>
      </c>
      <c r="T759" s="209" t="s">
        <v>177</v>
      </c>
      <c r="U759" s="209" t="s">
        <v>178</v>
      </c>
      <c r="V759" s="209" t="s">
        <v>179</v>
      </c>
      <c r="W759" s="209" t="s">
        <v>179</v>
      </c>
      <c r="X759" s="209" t="s">
        <v>180</v>
      </c>
      <c r="Y759" s="209" t="s">
        <v>180</v>
      </c>
      <c r="Z759" s="209" t="s">
        <v>1721</v>
      </c>
      <c r="AA759" s="209" t="s">
        <v>1722</v>
      </c>
      <c r="AB759" s="209" t="s">
        <v>180</v>
      </c>
      <c r="AC759" s="209" t="s">
        <v>182</v>
      </c>
      <c r="AD759" s="209">
        <v>3</v>
      </c>
      <c r="AE759" s="209">
        <v>2025</v>
      </c>
      <c r="AF759" s="227">
        <v>45722</v>
      </c>
      <c r="AG759" s="227">
        <v>45727</v>
      </c>
      <c r="AH759" s="227">
        <v>45727</v>
      </c>
      <c r="AI759" s="228">
        <v>351936</v>
      </c>
      <c r="AJ759" s="228">
        <v>52</v>
      </c>
      <c r="AK759" s="228">
        <v>351936</v>
      </c>
      <c r="AL759" s="228">
        <v>52</v>
      </c>
      <c r="AM759" s="228">
        <v>0</v>
      </c>
      <c r="AN759" s="228">
        <v>0</v>
      </c>
      <c r="AO759" s="229">
        <v>11</v>
      </c>
      <c r="AP759" s="231">
        <v>3</v>
      </c>
      <c r="AQ759" s="231">
        <v>2025</v>
      </c>
      <c r="AR759" s="231" t="str">
        <f t="shared" si="100"/>
        <v>03/2025</v>
      </c>
      <c r="AS759" s="231">
        <f t="shared" si="101"/>
        <v>54.7</v>
      </c>
      <c r="AT759" s="239">
        <f>IF(G759="CERVECERIA Y MALTERIA",(AS759*AK759/1000000)*(1-VLOOKUP(N759,FCST!D:I,6,FALSE)),0)</f>
        <v>19.250899199999999</v>
      </c>
      <c r="AU759" s="232">
        <v>5.0000000000000001E-3</v>
      </c>
      <c r="AV759" s="239">
        <f t="shared" si="102"/>
        <v>19.347153695999996</v>
      </c>
      <c r="AW759" s="239">
        <f>(AS759*AK759/1000000)*(VLOOKUP(N759,FCST!D:I,6,FALSE))</f>
        <v>0</v>
      </c>
      <c r="AX759" s="239">
        <f t="shared" si="103"/>
        <v>0</v>
      </c>
      <c r="AY759" s="239">
        <f>IF($G759="CERVECERIA Y MALTERIA.",($AS759*$AK759/1000000)*(1-VLOOKUP($N759,FCST!D:I,6,FALSE)),0)</f>
        <v>0</v>
      </c>
      <c r="AZ759" s="239">
        <f t="shared" si="104"/>
        <v>0</v>
      </c>
    </row>
    <row r="760" spans="1:52" x14ac:dyDescent="0.25">
      <c r="A760" s="209">
        <v>1105035</v>
      </c>
      <c r="B760" s="209">
        <v>60</v>
      </c>
      <c r="C760" s="209" t="s">
        <v>1739</v>
      </c>
      <c r="D760" s="209">
        <v>10</v>
      </c>
      <c r="E760" s="209">
        <v>10000002</v>
      </c>
      <c r="F760" s="209">
        <v>20000335</v>
      </c>
      <c r="G760" s="209" t="s">
        <v>105</v>
      </c>
      <c r="H760" s="209">
        <v>20000335</v>
      </c>
      <c r="I760" s="209">
        <v>2</v>
      </c>
      <c r="J760" s="209" t="s">
        <v>169</v>
      </c>
      <c r="K760" s="209" t="s">
        <v>1740</v>
      </c>
      <c r="L760" s="209" t="s">
        <v>171</v>
      </c>
      <c r="M760" s="209" t="s">
        <v>172</v>
      </c>
      <c r="N760" s="209">
        <v>50035183</v>
      </c>
      <c r="O760" s="209" t="s">
        <v>215</v>
      </c>
      <c r="P760" s="209">
        <v>5121</v>
      </c>
      <c r="Q760" s="209" t="s">
        <v>174</v>
      </c>
      <c r="R760" s="209" t="s">
        <v>175</v>
      </c>
      <c r="S760" s="209" t="s">
        <v>176</v>
      </c>
      <c r="T760" s="209" t="s">
        <v>177</v>
      </c>
      <c r="U760" s="209" t="s">
        <v>178</v>
      </c>
      <c r="V760" s="209" t="s">
        <v>179</v>
      </c>
      <c r="W760" s="209" t="s">
        <v>179</v>
      </c>
      <c r="X760" s="209" t="s">
        <v>180</v>
      </c>
      <c r="Y760" s="209" t="s">
        <v>180</v>
      </c>
      <c r="Z760" s="209" t="s">
        <v>1741</v>
      </c>
      <c r="AA760" s="209" t="s">
        <v>1742</v>
      </c>
      <c r="AB760" s="209" t="s">
        <v>180</v>
      </c>
      <c r="AC760" s="209" t="s">
        <v>182</v>
      </c>
      <c r="AD760" s="209">
        <v>3</v>
      </c>
      <c r="AE760" s="209">
        <v>2025</v>
      </c>
      <c r="AF760" s="227">
        <v>45722</v>
      </c>
      <c r="AG760" s="227">
        <v>45728</v>
      </c>
      <c r="AH760" s="227">
        <v>45728</v>
      </c>
      <c r="AI760" s="228">
        <v>377568</v>
      </c>
      <c r="AJ760" s="228">
        <v>46</v>
      </c>
      <c r="AK760" s="228">
        <v>377568</v>
      </c>
      <c r="AL760" s="228">
        <v>46</v>
      </c>
      <c r="AM760" s="228">
        <v>0</v>
      </c>
      <c r="AN760" s="228">
        <v>0</v>
      </c>
      <c r="AO760" s="229">
        <v>11</v>
      </c>
      <c r="AP760" s="231">
        <v>3</v>
      </c>
      <c r="AQ760" s="231">
        <v>2025</v>
      </c>
      <c r="AR760" s="231" t="str">
        <f t="shared" si="100"/>
        <v>03/2025</v>
      </c>
      <c r="AS760" s="231">
        <f t="shared" si="101"/>
        <v>46.6</v>
      </c>
      <c r="AT760" s="239">
        <f>IF(G760="CERVECERIA Y MALTERIA",(AS760*AK760/1000000)*(1-VLOOKUP(N760,FCST!D:I,6,FALSE)),0)</f>
        <v>17.594668800000001</v>
      </c>
      <c r="AU760" s="232">
        <v>5.0000000000000001E-3</v>
      </c>
      <c r="AV760" s="239">
        <f t="shared" si="102"/>
        <v>17.682642143999999</v>
      </c>
      <c r="AW760" s="239">
        <f>(AS760*AK760/1000000)*(VLOOKUP(N760,FCST!D:I,6,FALSE))</f>
        <v>0</v>
      </c>
      <c r="AX760" s="239">
        <f t="shared" si="103"/>
        <v>0</v>
      </c>
      <c r="AY760" s="239">
        <f>IF($G760="CERVECERIA Y MALTERIA.",($AS760*$AK760/1000000)*(1-VLOOKUP($N760,FCST!D:I,6,FALSE)),0)</f>
        <v>0</v>
      </c>
      <c r="AZ760" s="239">
        <f t="shared" si="104"/>
        <v>0</v>
      </c>
    </row>
    <row r="761" spans="1:52" x14ac:dyDescent="0.25">
      <c r="A761" s="209">
        <v>1105040</v>
      </c>
      <c r="B761" s="209">
        <v>10</v>
      </c>
      <c r="C761" s="209" t="s">
        <v>1743</v>
      </c>
      <c r="D761" s="209">
        <v>10</v>
      </c>
      <c r="E761" s="209">
        <v>10000002</v>
      </c>
      <c r="F761" s="209">
        <v>20000340</v>
      </c>
      <c r="G761" s="209" t="s">
        <v>117</v>
      </c>
      <c r="H761" s="209">
        <v>20000340</v>
      </c>
      <c r="I761" s="209">
        <v>2</v>
      </c>
      <c r="J761" s="209" t="s">
        <v>169</v>
      </c>
      <c r="K761" s="209" t="s">
        <v>1744</v>
      </c>
      <c r="L761" s="209" t="s">
        <v>171</v>
      </c>
      <c r="M761" s="209" t="s">
        <v>172</v>
      </c>
      <c r="N761" s="209">
        <v>50029843</v>
      </c>
      <c r="O761" s="209" t="s">
        <v>460</v>
      </c>
      <c r="P761" s="209">
        <v>5121</v>
      </c>
      <c r="Q761" s="209" t="s">
        <v>174</v>
      </c>
      <c r="R761" s="209" t="s">
        <v>175</v>
      </c>
      <c r="S761" s="209" t="s">
        <v>176</v>
      </c>
      <c r="T761" s="209" t="s">
        <v>177</v>
      </c>
      <c r="U761" s="209" t="s">
        <v>178</v>
      </c>
      <c r="V761" s="209" t="s">
        <v>179</v>
      </c>
      <c r="W761" s="209" t="s">
        <v>179</v>
      </c>
      <c r="X761" s="209" t="s">
        <v>180</v>
      </c>
      <c r="Y761" s="209" t="s">
        <v>180</v>
      </c>
      <c r="Z761" s="209" t="s">
        <v>1729</v>
      </c>
      <c r="AA761" s="209" t="s">
        <v>1730</v>
      </c>
      <c r="AB761" s="209" t="s">
        <v>180</v>
      </c>
      <c r="AC761" s="209" t="s">
        <v>182</v>
      </c>
      <c r="AD761" s="209">
        <v>3</v>
      </c>
      <c r="AE761" s="209">
        <v>2025</v>
      </c>
      <c r="AF761" s="227">
        <v>45722</v>
      </c>
      <c r="AG761" s="227">
        <v>45728</v>
      </c>
      <c r="AH761" s="227">
        <v>45728</v>
      </c>
      <c r="AI761" s="228">
        <v>40320</v>
      </c>
      <c r="AJ761" s="228">
        <v>5</v>
      </c>
      <c r="AK761" s="228">
        <v>40320</v>
      </c>
      <c r="AL761" s="228">
        <v>5</v>
      </c>
      <c r="AM761" s="228">
        <v>0</v>
      </c>
      <c r="AN761" s="228">
        <v>0</v>
      </c>
      <c r="AO761" s="229">
        <v>11</v>
      </c>
      <c r="AP761" s="231">
        <v>3</v>
      </c>
      <c r="AQ761" s="231">
        <v>2025</v>
      </c>
      <c r="AR761" s="231" t="str">
        <f t="shared" si="100"/>
        <v>03/2025</v>
      </c>
      <c r="AS761" s="231">
        <f t="shared" si="101"/>
        <v>44.8</v>
      </c>
      <c r="AT761" s="239">
        <f>IF(G761="CERVECERIA Y MALTERIA",(AS761*AK761/1000000)*(1-VLOOKUP(N761,FCST!D:I,6,FALSE)),0)</f>
        <v>0</v>
      </c>
      <c r="AU761" s="232">
        <v>5.0000000000000001E-3</v>
      </c>
      <c r="AV761" s="239">
        <f t="shared" si="102"/>
        <v>0</v>
      </c>
      <c r="AW761" s="239">
        <f>(AS761*AK761/1000000)*(VLOOKUP(N761,FCST!D:I,6,FALSE))</f>
        <v>0</v>
      </c>
      <c r="AX761" s="239">
        <f t="shared" si="103"/>
        <v>0</v>
      </c>
      <c r="AY761" s="239">
        <f>IF($G761="CERVECERIA Y MALTERIA.",($AS761*$AK761/1000000)*(1-VLOOKUP($N761,FCST!D:I,6,FALSE)),0)</f>
        <v>1.8063359999999999</v>
      </c>
      <c r="AZ761" s="239">
        <f t="shared" si="104"/>
        <v>1.8153676799999998</v>
      </c>
    </row>
    <row r="762" spans="1:52" x14ac:dyDescent="0.25">
      <c r="A762" s="209">
        <v>1104116</v>
      </c>
      <c r="B762" s="209">
        <v>30</v>
      </c>
      <c r="C762" s="209" t="s">
        <v>1745</v>
      </c>
      <c r="D762" s="209">
        <v>10</v>
      </c>
      <c r="E762" s="209">
        <v>10000002</v>
      </c>
      <c r="F762" s="209">
        <v>20000337</v>
      </c>
      <c r="G762" s="209" t="s">
        <v>105</v>
      </c>
      <c r="H762" s="209">
        <v>20000337</v>
      </c>
      <c r="I762" s="209">
        <v>2</v>
      </c>
      <c r="J762" s="209" t="s">
        <v>169</v>
      </c>
      <c r="K762" s="209" t="s">
        <v>1746</v>
      </c>
      <c r="L762" s="209" t="s">
        <v>171</v>
      </c>
      <c r="M762" s="209" t="s">
        <v>184</v>
      </c>
      <c r="N762" s="209">
        <v>50035183</v>
      </c>
      <c r="O762" s="209" t="s">
        <v>215</v>
      </c>
      <c r="P762" s="209">
        <v>5121</v>
      </c>
      <c r="Q762" s="209" t="s">
        <v>174</v>
      </c>
      <c r="R762" s="209" t="s">
        <v>175</v>
      </c>
      <c r="S762" s="209" t="s">
        <v>176</v>
      </c>
      <c r="T762" s="209" t="s">
        <v>177</v>
      </c>
      <c r="U762" s="209" t="s">
        <v>178</v>
      </c>
      <c r="V762" s="209" t="s">
        <v>179</v>
      </c>
      <c r="W762" s="209" t="s">
        <v>179</v>
      </c>
      <c r="X762" s="209" t="s">
        <v>180</v>
      </c>
      <c r="Y762" s="209" t="s">
        <v>180</v>
      </c>
      <c r="Z762" s="209" t="s">
        <v>1747</v>
      </c>
      <c r="AA762" s="209" t="s">
        <v>1748</v>
      </c>
      <c r="AB762" s="209" t="s">
        <v>180</v>
      </c>
      <c r="AC762" s="209" t="s">
        <v>182</v>
      </c>
      <c r="AD762" s="209">
        <v>3</v>
      </c>
      <c r="AE762" s="209">
        <v>2025</v>
      </c>
      <c r="AF762" s="227">
        <v>45716</v>
      </c>
      <c r="AG762" s="227">
        <v>45724</v>
      </c>
      <c r="AH762" s="227">
        <v>45724</v>
      </c>
      <c r="AI762" s="228">
        <v>393984</v>
      </c>
      <c r="AJ762" s="228">
        <v>48</v>
      </c>
      <c r="AK762" s="228">
        <v>393984</v>
      </c>
      <c r="AL762" s="228">
        <v>48</v>
      </c>
      <c r="AM762" s="228">
        <v>0</v>
      </c>
      <c r="AN762" s="228">
        <v>0</v>
      </c>
      <c r="AO762" s="229">
        <v>10</v>
      </c>
      <c r="AP762" s="231">
        <v>3</v>
      </c>
      <c r="AQ762" s="231">
        <v>2025</v>
      </c>
      <c r="AR762" s="231" t="str">
        <f t="shared" si="100"/>
        <v>03/2025</v>
      </c>
      <c r="AS762" s="231">
        <f t="shared" si="101"/>
        <v>46.6</v>
      </c>
      <c r="AT762" s="239">
        <f>IF(G762="CERVECERIA Y MALTERIA",(AS762*AK762/1000000)*(1-VLOOKUP(N762,FCST!D:I,6,FALSE)),0)</f>
        <v>18.359654400000004</v>
      </c>
      <c r="AU762" s="232">
        <v>5.0000000000000001E-3</v>
      </c>
      <c r="AV762" s="239">
        <f t="shared" si="102"/>
        <v>18.451452672000002</v>
      </c>
      <c r="AW762" s="239">
        <f>(AS762*AK762/1000000)*(VLOOKUP(N762,FCST!D:I,6,FALSE))</f>
        <v>0</v>
      </c>
      <c r="AX762" s="239">
        <f t="shared" si="103"/>
        <v>0</v>
      </c>
      <c r="AY762" s="239">
        <f>IF($G762="CERVECERIA Y MALTERIA.",($AS762*$AK762/1000000)*(1-VLOOKUP($N762,FCST!D:I,6,FALSE)),0)</f>
        <v>0</v>
      </c>
      <c r="AZ762" s="239">
        <f t="shared" si="104"/>
        <v>0</v>
      </c>
    </row>
    <row r="763" spans="1:52" x14ac:dyDescent="0.25">
      <c r="A763" s="209">
        <v>1104117</v>
      </c>
      <c r="B763" s="209">
        <v>10</v>
      </c>
      <c r="C763" s="209" t="s">
        <v>1749</v>
      </c>
      <c r="D763" s="209">
        <v>10</v>
      </c>
      <c r="E763" s="209">
        <v>10000002</v>
      </c>
      <c r="F763" s="209">
        <v>20000335</v>
      </c>
      <c r="G763" s="209" t="s">
        <v>105</v>
      </c>
      <c r="H763" s="209">
        <v>20000335</v>
      </c>
      <c r="I763" s="209">
        <v>2</v>
      </c>
      <c r="J763" s="209" t="s">
        <v>169</v>
      </c>
      <c r="K763" s="209" t="s">
        <v>1750</v>
      </c>
      <c r="L763" s="209" t="s">
        <v>171</v>
      </c>
      <c r="M763" s="209" t="s">
        <v>184</v>
      </c>
      <c r="N763" s="209">
        <v>50034561</v>
      </c>
      <c r="O763" s="209" t="s">
        <v>307</v>
      </c>
      <c r="P763" s="209">
        <v>5121</v>
      </c>
      <c r="Q763" s="209" t="s">
        <v>174</v>
      </c>
      <c r="R763" s="209" t="s">
        <v>175</v>
      </c>
      <c r="S763" s="209" t="s">
        <v>176</v>
      </c>
      <c r="T763" s="209" t="s">
        <v>177</v>
      </c>
      <c r="U763" s="209" t="s">
        <v>178</v>
      </c>
      <c r="V763" s="209" t="s">
        <v>179</v>
      </c>
      <c r="W763" s="209" t="s">
        <v>179</v>
      </c>
      <c r="X763" s="209" t="s">
        <v>180</v>
      </c>
      <c r="Y763" s="209" t="s">
        <v>180</v>
      </c>
      <c r="Z763" s="209" t="s">
        <v>1713</v>
      </c>
      <c r="AA763" s="209" t="s">
        <v>1714</v>
      </c>
      <c r="AB763" s="209" t="s">
        <v>180</v>
      </c>
      <c r="AC763" s="209" t="s">
        <v>182</v>
      </c>
      <c r="AD763" s="209">
        <v>3</v>
      </c>
      <c r="AE763" s="209">
        <v>2025</v>
      </c>
      <c r="AF763" s="227">
        <v>45716</v>
      </c>
      <c r="AG763" s="227">
        <v>45721</v>
      </c>
      <c r="AH763" s="227">
        <v>45722</v>
      </c>
      <c r="AI763" s="228">
        <v>977184</v>
      </c>
      <c r="AJ763" s="228">
        <v>52</v>
      </c>
      <c r="AK763" s="228">
        <v>544968</v>
      </c>
      <c r="AL763" s="228">
        <v>29</v>
      </c>
      <c r="AM763" s="228">
        <v>0</v>
      </c>
      <c r="AN763" s="228">
        <v>0</v>
      </c>
      <c r="AO763" s="229">
        <v>10</v>
      </c>
      <c r="AP763" s="231">
        <v>3</v>
      </c>
      <c r="AQ763" s="231">
        <v>2025</v>
      </c>
      <c r="AR763" s="231" t="str">
        <f t="shared" si="100"/>
        <v>03/2025</v>
      </c>
      <c r="AS763" s="231">
        <f t="shared" si="101"/>
        <v>19.5</v>
      </c>
      <c r="AT763" s="239">
        <f>IF(G763="CERVECERIA Y MALTERIA",(AS763*AK763/1000000)*(1-VLOOKUP(N763,FCST!D:I,6,FALSE)),0)</f>
        <v>10.626875999999999</v>
      </c>
      <c r="AU763" s="232">
        <v>5.0000000000000001E-3</v>
      </c>
      <c r="AV763" s="239">
        <f t="shared" si="102"/>
        <v>10.680010379999999</v>
      </c>
      <c r="AW763" s="239">
        <f>(AS763*AK763/1000000)*(VLOOKUP(N763,FCST!D:I,6,FALSE))</f>
        <v>0</v>
      </c>
      <c r="AX763" s="239">
        <f t="shared" si="103"/>
        <v>0</v>
      </c>
      <c r="AY763" s="239">
        <f>IF($G763="CERVECERIA Y MALTERIA.",($AS763*$AK763/1000000)*(1-VLOOKUP($N763,FCST!D:I,6,FALSE)),0)</f>
        <v>0</v>
      </c>
      <c r="AZ763" s="239">
        <f t="shared" si="104"/>
        <v>0</v>
      </c>
    </row>
    <row r="764" spans="1:52" x14ac:dyDescent="0.25">
      <c r="A764" s="209">
        <v>1104117</v>
      </c>
      <c r="B764" s="209">
        <v>40</v>
      </c>
      <c r="C764" s="209" t="s">
        <v>1751</v>
      </c>
      <c r="D764" s="209">
        <v>10</v>
      </c>
      <c r="E764" s="209">
        <v>10000002</v>
      </c>
      <c r="F764" s="209">
        <v>20000335</v>
      </c>
      <c r="G764" s="209" t="s">
        <v>105</v>
      </c>
      <c r="H764" s="209">
        <v>20000335</v>
      </c>
      <c r="I764" s="209">
        <v>2</v>
      </c>
      <c r="J764" s="209" t="s">
        <v>169</v>
      </c>
      <c r="K764" s="209" t="s">
        <v>1752</v>
      </c>
      <c r="L764" s="209" t="s">
        <v>171</v>
      </c>
      <c r="M764" s="209" t="s">
        <v>184</v>
      </c>
      <c r="N764" s="209">
        <v>50035183</v>
      </c>
      <c r="O764" s="209" t="s">
        <v>215</v>
      </c>
      <c r="P764" s="209">
        <v>5121</v>
      </c>
      <c r="Q764" s="209" t="s">
        <v>174</v>
      </c>
      <c r="R764" s="209" t="s">
        <v>175</v>
      </c>
      <c r="S764" s="209" t="s">
        <v>176</v>
      </c>
      <c r="T764" s="209" t="s">
        <v>177</v>
      </c>
      <c r="U764" s="209" t="s">
        <v>178</v>
      </c>
      <c r="V764" s="209" t="s">
        <v>179</v>
      </c>
      <c r="W764" s="209" t="s">
        <v>179</v>
      </c>
      <c r="X764" s="209" t="s">
        <v>180</v>
      </c>
      <c r="Y764" s="209" t="s">
        <v>180</v>
      </c>
      <c r="Z764" s="209" t="s">
        <v>1741</v>
      </c>
      <c r="AA764" s="209" t="s">
        <v>1742</v>
      </c>
      <c r="AB764" s="209" t="s">
        <v>180</v>
      </c>
      <c r="AC764" s="209" t="s">
        <v>182</v>
      </c>
      <c r="AD764" s="209">
        <v>3</v>
      </c>
      <c r="AE764" s="209">
        <v>2025</v>
      </c>
      <c r="AF764" s="227">
        <v>45716</v>
      </c>
      <c r="AG764" s="227">
        <v>45722</v>
      </c>
      <c r="AH764" s="227">
        <v>45722</v>
      </c>
      <c r="AI764" s="228">
        <v>426816</v>
      </c>
      <c r="AJ764" s="228">
        <v>52</v>
      </c>
      <c r="AK764" s="228">
        <v>188784</v>
      </c>
      <c r="AL764" s="228">
        <v>23</v>
      </c>
      <c r="AM764" s="228">
        <v>0</v>
      </c>
      <c r="AN764" s="228">
        <v>0</v>
      </c>
      <c r="AO764" s="229">
        <v>10</v>
      </c>
      <c r="AP764" s="231">
        <v>3</v>
      </c>
      <c r="AQ764" s="231">
        <v>2025</v>
      </c>
      <c r="AR764" s="231" t="str">
        <f t="shared" si="100"/>
        <v>03/2025</v>
      </c>
      <c r="AS764" s="231">
        <f t="shared" si="101"/>
        <v>46.6</v>
      </c>
      <c r="AT764" s="239">
        <f>IF(G764="CERVECERIA Y MALTERIA",(AS764*AK764/1000000)*(1-VLOOKUP(N764,FCST!D:I,6,FALSE)),0)</f>
        <v>8.7973344000000004</v>
      </c>
      <c r="AU764" s="232">
        <v>5.0000000000000001E-3</v>
      </c>
      <c r="AV764" s="239">
        <f t="shared" si="102"/>
        <v>8.8413210719999995</v>
      </c>
      <c r="AW764" s="239">
        <f>(AS764*AK764/1000000)*(VLOOKUP(N764,FCST!D:I,6,FALSE))</f>
        <v>0</v>
      </c>
      <c r="AX764" s="239">
        <f t="shared" si="103"/>
        <v>0</v>
      </c>
      <c r="AY764" s="239">
        <f>IF($G764="CERVECERIA Y MALTERIA.",($AS764*$AK764/1000000)*(1-VLOOKUP($N764,FCST!D:I,6,FALSE)),0)</f>
        <v>0</v>
      </c>
      <c r="AZ764" s="239">
        <f t="shared" si="104"/>
        <v>0</v>
      </c>
    </row>
    <row r="765" spans="1:52" x14ac:dyDescent="0.25">
      <c r="A765" s="209">
        <v>1104118</v>
      </c>
      <c r="B765" s="209">
        <v>10</v>
      </c>
      <c r="C765" s="209" t="s">
        <v>1753</v>
      </c>
      <c r="D765" s="209">
        <v>10</v>
      </c>
      <c r="E765" s="209">
        <v>10000002</v>
      </c>
      <c r="F765" s="209">
        <v>20000340</v>
      </c>
      <c r="G765" s="209" t="s">
        <v>117</v>
      </c>
      <c r="H765" s="209">
        <v>20000340</v>
      </c>
      <c r="I765" s="209">
        <v>2</v>
      </c>
      <c r="J765" s="209" t="s">
        <v>169</v>
      </c>
      <c r="K765" s="209" t="s">
        <v>1754</v>
      </c>
      <c r="L765" s="209" t="s">
        <v>171</v>
      </c>
      <c r="M765" s="209" t="s">
        <v>184</v>
      </c>
      <c r="N765" s="209">
        <v>50027468</v>
      </c>
      <c r="O765" s="209" t="s">
        <v>285</v>
      </c>
      <c r="P765" s="209">
        <v>5101</v>
      </c>
      <c r="Q765" s="209" t="s">
        <v>186</v>
      </c>
      <c r="R765" s="209" t="s">
        <v>175</v>
      </c>
      <c r="S765" s="209" t="s">
        <v>176</v>
      </c>
      <c r="T765" s="209" t="s">
        <v>187</v>
      </c>
      <c r="U765" s="209" t="s">
        <v>188</v>
      </c>
      <c r="V765" s="209" t="s">
        <v>179</v>
      </c>
      <c r="W765" s="209" t="s">
        <v>179</v>
      </c>
      <c r="X765" s="209" t="s">
        <v>180</v>
      </c>
      <c r="Y765" s="209" t="s">
        <v>180</v>
      </c>
      <c r="Z765" s="209" t="s">
        <v>1709</v>
      </c>
      <c r="AA765" s="209" t="s">
        <v>1710</v>
      </c>
      <c r="AB765" s="209" t="s">
        <v>180</v>
      </c>
      <c r="AC765" s="209" t="s">
        <v>182</v>
      </c>
      <c r="AD765" s="209">
        <v>3</v>
      </c>
      <c r="AE765" s="209">
        <v>2025</v>
      </c>
      <c r="AF765" s="227">
        <v>45716</v>
      </c>
      <c r="AG765" s="227">
        <v>45721</v>
      </c>
      <c r="AH765" s="227">
        <v>45721</v>
      </c>
      <c r="AI765" s="228">
        <v>399360</v>
      </c>
      <c r="AJ765" s="228">
        <v>52</v>
      </c>
      <c r="AK765" s="228">
        <v>399360</v>
      </c>
      <c r="AL765" s="228">
        <v>52</v>
      </c>
      <c r="AM765" s="228">
        <v>0</v>
      </c>
      <c r="AN765" s="228">
        <v>0</v>
      </c>
      <c r="AO765" s="229">
        <v>10</v>
      </c>
      <c r="AP765" s="231">
        <v>3</v>
      </c>
      <c r="AQ765" s="231">
        <v>2025</v>
      </c>
      <c r="AR765" s="231" t="str">
        <f t="shared" si="100"/>
        <v>03/2025</v>
      </c>
      <c r="AS765" s="231">
        <f t="shared" si="101"/>
        <v>52</v>
      </c>
      <c r="AT765" s="239">
        <f>IF(G765="CERVECERIA Y MALTERIA",(AS765*AK765/1000000)*(1-VLOOKUP(N765,FCST!D:I,6,FALSE)),0)</f>
        <v>0</v>
      </c>
      <c r="AU765" s="232">
        <v>5.0000000000000001E-3</v>
      </c>
      <c r="AV765" s="239">
        <f t="shared" si="102"/>
        <v>0</v>
      </c>
      <c r="AW765" s="239">
        <f>(AS765*AK765/1000000)*(VLOOKUP(N765,FCST!D:I,6,FALSE))</f>
        <v>0</v>
      </c>
      <c r="AX765" s="239">
        <f t="shared" si="103"/>
        <v>0</v>
      </c>
      <c r="AY765" s="239">
        <f>IF($G765="CERVECERIA Y MALTERIA.",($AS765*$AK765/1000000)*(1-VLOOKUP($N765,FCST!D:I,6,FALSE)),0)</f>
        <v>20.766719999999999</v>
      </c>
      <c r="AZ765" s="239">
        <f t="shared" si="104"/>
        <v>20.870553599999997</v>
      </c>
    </row>
    <row r="766" spans="1:52" x14ac:dyDescent="0.25">
      <c r="A766" s="209">
        <v>1104303</v>
      </c>
      <c r="B766" s="209">
        <v>10</v>
      </c>
      <c r="C766" s="209" t="s">
        <v>1755</v>
      </c>
      <c r="D766" s="209">
        <v>10</v>
      </c>
      <c r="E766" s="209">
        <v>10000002</v>
      </c>
      <c r="F766" s="209">
        <v>20000336</v>
      </c>
      <c r="G766" s="209" t="s">
        <v>105</v>
      </c>
      <c r="H766" s="209">
        <v>20000336</v>
      </c>
      <c r="I766" s="209">
        <v>2</v>
      </c>
      <c r="J766" s="209" t="s">
        <v>169</v>
      </c>
      <c r="K766" s="209" t="s">
        <v>1756</v>
      </c>
      <c r="L766" s="209" t="s">
        <v>171</v>
      </c>
      <c r="M766" s="209" t="s">
        <v>172</v>
      </c>
      <c r="N766" s="209">
        <v>50024497</v>
      </c>
      <c r="O766" s="209" t="s">
        <v>1352</v>
      </c>
      <c r="P766" s="209">
        <v>5121</v>
      </c>
      <c r="Q766" s="209" t="s">
        <v>174</v>
      </c>
      <c r="R766" s="209" t="s">
        <v>175</v>
      </c>
      <c r="S766" s="209" t="s">
        <v>176</v>
      </c>
      <c r="T766" s="209" t="s">
        <v>177</v>
      </c>
      <c r="U766" s="209" t="s">
        <v>178</v>
      </c>
      <c r="V766" s="209" t="s">
        <v>179</v>
      </c>
      <c r="W766" s="209" t="s">
        <v>179</v>
      </c>
      <c r="X766" s="209" t="s">
        <v>180</v>
      </c>
      <c r="Y766" s="209" t="s">
        <v>180</v>
      </c>
      <c r="Z766" s="209" t="s">
        <v>1757</v>
      </c>
      <c r="AA766" s="209" t="s">
        <v>1758</v>
      </c>
      <c r="AB766" s="209" t="s">
        <v>180</v>
      </c>
      <c r="AC766" s="209" t="s">
        <v>182</v>
      </c>
      <c r="AD766" s="209">
        <v>3</v>
      </c>
      <c r="AE766" s="209">
        <v>2025</v>
      </c>
      <c r="AF766" s="227">
        <v>45716</v>
      </c>
      <c r="AG766" s="227">
        <v>45721</v>
      </c>
      <c r="AH766" s="227">
        <v>45721</v>
      </c>
      <c r="AI766" s="228">
        <v>351936</v>
      </c>
      <c r="AJ766" s="228">
        <v>52</v>
      </c>
      <c r="AK766" s="228">
        <v>351936</v>
      </c>
      <c r="AL766" s="228">
        <v>52</v>
      </c>
      <c r="AM766" s="228">
        <v>0</v>
      </c>
      <c r="AN766" s="228">
        <v>0</v>
      </c>
      <c r="AO766" s="229">
        <v>10</v>
      </c>
      <c r="AP766" s="231">
        <v>3</v>
      </c>
      <c r="AQ766" s="231">
        <v>2025</v>
      </c>
      <c r="AR766" s="231" t="str">
        <f t="shared" si="100"/>
        <v>03/2025</v>
      </c>
      <c r="AS766" s="231">
        <f t="shared" si="101"/>
        <v>54.7</v>
      </c>
      <c r="AT766" s="239">
        <f>IF(G766="CERVECERIA Y MALTERIA",(AS766*AK766/1000000)*(1-VLOOKUP(N766,FCST!D:I,6,FALSE)),0)</f>
        <v>19.250899199999999</v>
      </c>
      <c r="AU766" s="232">
        <v>5.0000000000000001E-3</v>
      </c>
      <c r="AV766" s="239">
        <f t="shared" si="102"/>
        <v>19.347153695999996</v>
      </c>
      <c r="AW766" s="239">
        <f>(AS766*AK766/1000000)*(VLOOKUP(N766,FCST!D:I,6,FALSE))</f>
        <v>0</v>
      </c>
      <c r="AX766" s="239">
        <f t="shared" si="103"/>
        <v>0</v>
      </c>
      <c r="AY766" s="239">
        <f>IF($G766="CERVECERIA Y MALTERIA.",($AS766*$AK766/1000000)*(1-VLOOKUP($N766,FCST!D:I,6,FALSE)),0)</f>
        <v>0</v>
      </c>
      <c r="AZ766" s="239">
        <f t="shared" si="104"/>
        <v>0</v>
      </c>
    </row>
    <row r="767" spans="1:52" x14ac:dyDescent="0.25">
      <c r="A767" s="209">
        <v>1104118</v>
      </c>
      <c r="B767" s="209">
        <v>20</v>
      </c>
      <c r="C767" s="209" t="s">
        <v>1759</v>
      </c>
      <c r="D767" s="209">
        <v>10</v>
      </c>
      <c r="E767" s="209">
        <v>10000002</v>
      </c>
      <c r="F767" s="209">
        <v>20000340</v>
      </c>
      <c r="G767" s="209" t="s">
        <v>117</v>
      </c>
      <c r="H767" s="209">
        <v>20000340</v>
      </c>
      <c r="I767" s="209">
        <v>2</v>
      </c>
      <c r="J767" s="209" t="s">
        <v>169</v>
      </c>
      <c r="K767" s="209" t="s">
        <v>1760</v>
      </c>
      <c r="L767" s="209" t="s">
        <v>171</v>
      </c>
      <c r="M767" s="209" t="s">
        <v>184</v>
      </c>
      <c r="N767" s="209">
        <v>50027468</v>
      </c>
      <c r="O767" s="209" t="s">
        <v>285</v>
      </c>
      <c r="P767" s="209">
        <v>5101</v>
      </c>
      <c r="Q767" s="209" t="s">
        <v>186</v>
      </c>
      <c r="R767" s="209" t="s">
        <v>175</v>
      </c>
      <c r="S767" s="209" t="s">
        <v>176</v>
      </c>
      <c r="T767" s="209" t="s">
        <v>187</v>
      </c>
      <c r="U767" s="209" t="s">
        <v>188</v>
      </c>
      <c r="V767" s="209" t="s">
        <v>179</v>
      </c>
      <c r="W767" s="209" t="s">
        <v>179</v>
      </c>
      <c r="X767" s="209" t="s">
        <v>180</v>
      </c>
      <c r="Y767" s="209" t="s">
        <v>180</v>
      </c>
      <c r="Z767" s="209" t="s">
        <v>1709</v>
      </c>
      <c r="AA767" s="209" t="s">
        <v>1710</v>
      </c>
      <c r="AB767" s="209" t="s">
        <v>180</v>
      </c>
      <c r="AC767" s="209" t="s">
        <v>182</v>
      </c>
      <c r="AD767" s="209">
        <v>3</v>
      </c>
      <c r="AE767" s="209">
        <v>2025</v>
      </c>
      <c r="AF767" s="227">
        <v>45716</v>
      </c>
      <c r="AG767" s="227">
        <v>45722</v>
      </c>
      <c r="AH767" s="227">
        <v>45722</v>
      </c>
      <c r="AI767" s="228">
        <v>399360</v>
      </c>
      <c r="AJ767" s="228">
        <v>52</v>
      </c>
      <c r="AK767" s="228">
        <v>399360</v>
      </c>
      <c r="AL767" s="228">
        <v>52</v>
      </c>
      <c r="AM767" s="228">
        <v>0</v>
      </c>
      <c r="AN767" s="228">
        <v>0</v>
      </c>
      <c r="AO767" s="229">
        <v>10</v>
      </c>
      <c r="AP767" s="231">
        <v>3</v>
      </c>
      <c r="AQ767" s="231">
        <v>2025</v>
      </c>
      <c r="AR767" s="231" t="str">
        <f t="shared" si="100"/>
        <v>03/2025</v>
      </c>
      <c r="AS767" s="231">
        <f t="shared" si="101"/>
        <v>52</v>
      </c>
      <c r="AT767" s="239">
        <f>IF(G767="CERVECERIA Y MALTERIA",(AS767*AK767/1000000)*(1-VLOOKUP(N767,FCST!D:I,6,FALSE)),0)</f>
        <v>0</v>
      </c>
      <c r="AU767" s="232">
        <v>5.0000000000000001E-3</v>
      </c>
      <c r="AV767" s="239">
        <f t="shared" si="102"/>
        <v>0</v>
      </c>
      <c r="AW767" s="239">
        <f>(AS767*AK767/1000000)*(VLOOKUP(N767,FCST!D:I,6,FALSE))</f>
        <v>0</v>
      </c>
      <c r="AX767" s="239">
        <f t="shared" si="103"/>
        <v>0</v>
      </c>
      <c r="AY767" s="239">
        <f>IF($G767="CERVECERIA Y MALTERIA.",($AS767*$AK767/1000000)*(1-VLOOKUP($N767,FCST!D:I,6,FALSE)),0)</f>
        <v>20.766719999999999</v>
      </c>
      <c r="AZ767" s="239">
        <f t="shared" si="104"/>
        <v>20.870553599999997</v>
      </c>
    </row>
    <row r="768" spans="1:52" x14ac:dyDescent="0.25">
      <c r="A768" s="209">
        <v>1104117</v>
      </c>
      <c r="B768" s="209">
        <v>30</v>
      </c>
      <c r="C768" s="209" t="s">
        <v>1761</v>
      </c>
      <c r="D768" s="209">
        <v>10</v>
      </c>
      <c r="E768" s="209">
        <v>10000002</v>
      </c>
      <c r="F768" s="209">
        <v>20000335</v>
      </c>
      <c r="G768" s="209" t="s">
        <v>105</v>
      </c>
      <c r="H768" s="209">
        <v>20000335</v>
      </c>
      <c r="I768" s="209">
        <v>2</v>
      </c>
      <c r="J768" s="209" t="s">
        <v>169</v>
      </c>
      <c r="K768" s="209" t="s">
        <v>1762</v>
      </c>
      <c r="L768" s="209" t="s">
        <v>171</v>
      </c>
      <c r="M768" s="209" t="s">
        <v>184</v>
      </c>
      <c r="N768" s="209">
        <v>50037887</v>
      </c>
      <c r="O768" s="209" t="s">
        <v>679</v>
      </c>
      <c r="P768" s="209">
        <v>5121</v>
      </c>
      <c r="Q768" s="209" t="s">
        <v>174</v>
      </c>
      <c r="R768" s="209" t="s">
        <v>175</v>
      </c>
      <c r="S768" s="209" t="s">
        <v>176</v>
      </c>
      <c r="T768" s="209" t="s">
        <v>177</v>
      </c>
      <c r="U768" s="209" t="s">
        <v>178</v>
      </c>
      <c r="V768" s="209" t="s">
        <v>179</v>
      </c>
      <c r="W768" s="209" t="s">
        <v>179</v>
      </c>
      <c r="X768" s="209" t="s">
        <v>180</v>
      </c>
      <c r="Y768" s="209" t="s">
        <v>180</v>
      </c>
      <c r="Z768" s="209" t="s">
        <v>1717</v>
      </c>
      <c r="AA768" s="209" t="s">
        <v>1718</v>
      </c>
      <c r="AB768" s="209" t="s">
        <v>180</v>
      </c>
      <c r="AC768" s="209" t="s">
        <v>182</v>
      </c>
      <c r="AD768" s="209">
        <v>3</v>
      </c>
      <c r="AE768" s="209">
        <v>2025</v>
      </c>
      <c r="AF768" s="227">
        <v>45716</v>
      </c>
      <c r="AG768" s="227">
        <v>45722</v>
      </c>
      <c r="AH768" s="227">
        <v>45722</v>
      </c>
      <c r="AI768" s="228">
        <v>531648</v>
      </c>
      <c r="AJ768" s="228">
        <v>52</v>
      </c>
      <c r="AK768" s="228">
        <v>531648</v>
      </c>
      <c r="AL768" s="228">
        <v>52</v>
      </c>
      <c r="AM768" s="228">
        <v>0</v>
      </c>
      <c r="AN768" s="228">
        <v>0</v>
      </c>
      <c r="AO768" s="229">
        <v>10</v>
      </c>
      <c r="AP768" s="231">
        <v>3</v>
      </c>
      <c r="AQ768" s="231">
        <v>2025</v>
      </c>
      <c r="AR768" s="231" t="str">
        <f t="shared" si="100"/>
        <v>03/2025</v>
      </c>
      <c r="AS768" s="231">
        <f t="shared" si="101"/>
        <v>37.200000000000003</v>
      </c>
      <c r="AT768" s="239">
        <f>IF(G768="CERVECERIA Y MALTERIA",(AS768*AK768/1000000)*(1-VLOOKUP(N768,FCST!D:I,6,FALSE)),0)</f>
        <v>19.777305600000002</v>
      </c>
      <c r="AU768" s="232">
        <v>5.0000000000000001E-3</v>
      </c>
      <c r="AV768" s="239">
        <f t="shared" si="102"/>
        <v>19.876192128</v>
      </c>
      <c r="AW768" s="239">
        <f>(AS768*AK768/1000000)*(VLOOKUP(N768,FCST!D:I,6,FALSE))</f>
        <v>0</v>
      </c>
      <c r="AX768" s="239">
        <f t="shared" si="103"/>
        <v>0</v>
      </c>
      <c r="AY768" s="239">
        <f>IF($G768="CERVECERIA Y MALTERIA.",($AS768*$AK768/1000000)*(1-VLOOKUP($N768,FCST!D:I,6,FALSE)),0)</f>
        <v>0</v>
      </c>
      <c r="AZ768" s="239">
        <f t="shared" si="104"/>
        <v>0</v>
      </c>
    </row>
    <row r="769" spans="1:52" x14ac:dyDescent="0.25">
      <c r="A769" s="209">
        <v>1105485</v>
      </c>
      <c r="B769" s="209">
        <v>20</v>
      </c>
      <c r="C769" s="209" t="s">
        <v>1763</v>
      </c>
      <c r="D769" s="209">
        <v>10</v>
      </c>
      <c r="E769" s="209">
        <v>10000002</v>
      </c>
      <c r="F769" s="209">
        <v>20000339</v>
      </c>
      <c r="G769" s="209" t="s">
        <v>105</v>
      </c>
      <c r="H769" s="209">
        <v>20000339</v>
      </c>
      <c r="I769" s="209">
        <v>2</v>
      </c>
      <c r="J769" s="209" t="s">
        <v>169</v>
      </c>
      <c r="K769" s="209" t="s">
        <v>1764</v>
      </c>
      <c r="L769" s="209" t="s">
        <v>171</v>
      </c>
      <c r="M769" s="209" t="s">
        <v>184</v>
      </c>
      <c r="N769" s="209">
        <v>50034577</v>
      </c>
      <c r="O769" s="209" t="s">
        <v>237</v>
      </c>
      <c r="P769" s="209">
        <v>5101</v>
      </c>
      <c r="Q769" s="209" t="s">
        <v>186</v>
      </c>
      <c r="R769" s="209" t="s">
        <v>175</v>
      </c>
      <c r="S769" s="209" t="s">
        <v>176</v>
      </c>
      <c r="T769" s="209" t="s">
        <v>187</v>
      </c>
      <c r="U769" s="209" t="s">
        <v>188</v>
      </c>
      <c r="V769" s="209" t="s">
        <v>179</v>
      </c>
      <c r="W769" s="209" t="s">
        <v>179</v>
      </c>
      <c r="X769" s="209" t="s">
        <v>180</v>
      </c>
      <c r="Y769" s="209" t="s">
        <v>180</v>
      </c>
      <c r="Z769" s="209" t="s">
        <v>1765</v>
      </c>
      <c r="AA769" s="209" t="s">
        <v>1766</v>
      </c>
      <c r="AB769" s="209" t="s">
        <v>180</v>
      </c>
      <c r="AC769" s="209" t="s">
        <v>182</v>
      </c>
      <c r="AD769" s="209">
        <v>3</v>
      </c>
      <c r="AE769" s="209">
        <v>2025</v>
      </c>
      <c r="AF769" s="227">
        <v>45723</v>
      </c>
      <c r="AG769" s="227">
        <v>45723</v>
      </c>
      <c r="AH769" s="227">
        <v>45723</v>
      </c>
      <c r="AI769" s="228">
        <v>514944</v>
      </c>
      <c r="AJ769" s="228">
        <v>36</v>
      </c>
      <c r="AK769" s="228">
        <v>514944</v>
      </c>
      <c r="AL769" s="228">
        <v>36</v>
      </c>
      <c r="AM769" s="228">
        <v>0</v>
      </c>
      <c r="AN769" s="228">
        <v>0</v>
      </c>
      <c r="AO769" s="229">
        <v>10</v>
      </c>
      <c r="AP769" s="231">
        <v>3</v>
      </c>
      <c r="AQ769" s="231">
        <v>2025</v>
      </c>
      <c r="AR769" s="231" t="str">
        <f t="shared" si="100"/>
        <v>03/2025</v>
      </c>
      <c r="AS769" s="231">
        <f t="shared" si="101"/>
        <v>25</v>
      </c>
      <c r="AT769" s="239">
        <f>IF(G769="CERVECERIA Y MALTERIA",(AS769*AK769/1000000)*(1-VLOOKUP(N769,FCST!D:I,6,FALSE)),0)</f>
        <v>12.8736</v>
      </c>
      <c r="AU769" s="232">
        <v>5.0000000000000001E-3</v>
      </c>
      <c r="AV769" s="239">
        <f t="shared" si="102"/>
        <v>12.937967999999998</v>
      </c>
      <c r="AW769" s="239">
        <f>(AS769*AK769/1000000)*(VLOOKUP(N769,FCST!D:I,6,FALSE))</f>
        <v>0</v>
      </c>
      <c r="AX769" s="239">
        <f t="shared" si="103"/>
        <v>0</v>
      </c>
      <c r="AY769" s="239">
        <f>IF($G769="CERVECERIA Y MALTERIA.",($AS769*$AK769/1000000)*(1-VLOOKUP($N769,FCST!D:I,6,FALSE)),0)</f>
        <v>0</v>
      </c>
      <c r="AZ769" s="239">
        <f t="shared" si="104"/>
        <v>0</v>
      </c>
    </row>
    <row r="770" spans="1:52" x14ac:dyDescent="0.25">
      <c r="A770" s="209">
        <v>1105489</v>
      </c>
      <c r="B770" s="209">
        <v>10</v>
      </c>
      <c r="C770" s="209" t="s">
        <v>1767</v>
      </c>
      <c r="D770" s="209">
        <v>10</v>
      </c>
      <c r="E770" s="209">
        <v>10000002</v>
      </c>
      <c r="F770" s="209">
        <v>20000339</v>
      </c>
      <c r="G770" s="209" t="s">
        <v>105</v>
      </c>
      <c r="H770" s="209">
        <v>20000339</v>
      </c>
      <c r="I770" s="209">
        <v>2</v>
      </c>
      <c r="J770" s="209" t="s">
        <v>169</v>
      </c>
      <c r="K770" s="209" t="s">
        <v>1768</v>
      </c>
      <c r="L770" s="209" t="s">
        <v>171</v>
      </c>
      <c r="M770" s="209" t="s">
        <v>184</v>
      </c>
      <c r="N770" s="209">
        <v>50034634</v>
      </c>
      <c r="O770" s="209" t="s">
        <v>219</v>
      </c>
      <c r="P770" s="209">
        <v>5121</v>
      </c>
      <c r="Q770" s="209" t="s">
        <v>174</v>
      </c>
      <c r="R770" s="209" t="s">
        <v>175</v>
      </c>
      <c r="S770" s="209" t="s">
        <v>176</v>
      </c>
      <c r="T770" s="209" t="s">
        <v>177</v>
      </c>
      <c r="U770" s="209" t="s">
        <v>178</v>
      </c>
      <c r="V770" s="209" t="s">
        <v>179</v>
      </c>
      <c r="W770" s="209" t="s">
        <v>179</v>
      </c>
      <c r="X770" s="209" t="s">
        <v>180</v>
      </c>
      <c r="Y770" s="209" t="s">
        <v>180</v>
      </c>
      <c r="Z770" s="209" t="s">
        <v>1769</v>
      </c>
      <c r="AA770" s="209" t="s">
        <v>1770</v>
      </c>
      <c r="AB770" s="209" t="s">
        <v>180</v>
      </c>
      <c r="AC770" s="209" t="s">
        <v>182</v>
      </c>
      <c r="AD770" s="209">
        <v>3</v>
      </c>
      <c r="AE770" s="209">
        <v>2025</v>
      </c>
      <c r="AF770" s="227">
        <v>45723</v>
      </c>
      <c r="AG770" s="227">
        <v>45723</v>
      </c>
      <c r="AH770" s="227">
        <v>45723</v>
      </c>
      <c r="AI770" s="228">
        <v>112128</v>
      </c>
      <c r="AJ770" s="228">
        <v>16</v>
      </c>
      <c r="AK770" s="228">
        <v>112128</v>
      </c>
      <c r="AL770" s="228">
        <v>16</v>
      </c>
      <c r="AM770" s="228">
        <v>0</v>
      </c>
      <c r="AN770" s="228">
        <v>0</v>
      </c>
      <c r="AO770" s="229">
        <v>10</v>
      </c>
      <c r="AP770" s="231">
        <v>3</v>
      </c>
      <c r="AQ770" s="231">
        <v>2025</v>
      </c>
      <c r="AR770" s="231" t="str">
        <f t="shared" si="100"/>
        <v>03/2025</v>
      </c>
      <c r="AS770" s="231">
        <f t="shared" si="101"/>
        <v>52</v>
      </c>
      <c r="AT770" s="239">
        <f>IF(G770="CERVECERIA Y MALTERIA",(AS770*AK770/1000000)*(1-VLOOKUP(N770,FCST!D:I,6,FALSE)),0)</f>
        <v>5.8306560000000003</v>
      </c>
      <c r="AU770" s="232">
        <v>5.0000000000000001E-3</v>
      </c>
      <c r="AV770" s="239">
        <f t="shared" si="102"/>
        <v>5.8598092799999995</v>
      </c>
      <c r="AW770" s="239">
        <f>(AS770*AK770/1000000)*(VLOOKUP(N770,FCST!D:I,6,FALSE))</f>
        <v>0</v>
      </c>
      <c r="AX770" s="239">
        <f t="shared" si="103"/>
        <v>0</v>
      </c>
      <c r="AY770" s="239">
        <f>IF($G770="CERVECERIA Y MALTERIA.",($AS770*$AK770/1000000)*(1-VLOOKUP($N770,FCST!D:I,6,FALSE)),0)</f>
        <v>0</v>
      </c>
      <c r="AZ770" s="239">
        <f t="shared" si="104"/>
        <v>0</v>
      </c>
    </row>
    <row r="771" spans="1:52" x14ac:dyDescent="0.25">
      <c r="A771" s="209">
        <v>1105046</v>
      </c>
      <c r="B771" s="209">
        <v>20</v>
      </c>
      <c r="C771" s="209" t="s">
        <v>1771</v>
      </c>
      <c r="D771" s="209">
        <v>10</v>
      </c>
      <c r="E771" s="209">
        <v>10000002</v>
      </c>
      <c r="F771" s="209">
        <v>20001057</v>
      </c>
      <c r="G771" s="209" t="s">
        <v>105</v>
      </c>
      <c r="H771" s="209">
        <v>20001057</v>
      </c>
      <c r="I771" s="209">
        <v>2</v>
      </c>
      <c r="J771" s="209" t="s">
        <v>169</v>
      </c>
      <c r="K771" s="209" t="s">
        <v>1772</v>
      </c>
      <c r="L771" s="209" t="s">
        <v>171</v>
      </c>
      <c r="M771" s="209" t="s">
        <v>184</v>
      </c>
      <c r="N771" s="209">
        <v>50035184</v>
      </c>
      <c r="O771" s="209" t="s">
        <v>672</v>
      </c>
      <c r="P771" s="209">
        <v>5121</v>
      </c>
      <c r="Q771" s="209" t="s">
        <v>174</v>
      </c>
      <c r="R771" s="209" t="s">
        <v>175</v>
      </c>
      <c r="S771" s="209" t="s">
        <v>176</v>
      </c>
      <c r="T771" s="209" t="s">
        <v>177</v>
      </c>
      <c r="U771" s="209" t="s">
        <v>178</v>
      </c>
      <c r="V771" s="209" t="s">
        <v>179</v>
      </c>
      <c r="W771" s="209" t="s">
        <v>179</v>
      </c>
      <c r="X771" s="209" t="s">
        <v>180</v>
      </c>
      <c r="Y771" s="209" t="s">
        <v>180</v>
      </c>
      <c r="Z771" s="209" t="s">
        <v>1773</v>
      </c>
      <c r="AA771" s="209" t="s">
        <v>1774</v>
      </c>
      <c r="AB771" s="209" t="s">
        <v>180</v>
      </c>
      <c r="AC771" s="209" t="s">
        <v>182</v>
      </c>
      <c r="AD771" s="209">
        <v>3</v>
      </c>
      <c r="AE771" s="209">
        <v>2025</v>
      </c>
      <c r="AF771" s="227">
        <v>45722</v>
      </c>
      <c r="AG771" s="227">
        <v>45723</v>
      </c>
      <c r="AH771" s="227">
        <v>45724</v>
      </c>
      <c r="AI771" s="228">
        <v>375840</v>
      </c>
      <c r="AJ771" s="228">
        <v>20</v>
      </c>
      <c r="AK771" s="228">
        <v>375840</v>
      </c>
      <c r="AL771" s="228">
        <v>20</v>
      </c>
      <c r="AM771" s="228">
        <v>0</v>
      </c>
      <c r="AN771" s="228">
        <v>0</v>
      </c>
      <c r="AO771" s="229">
        <v>10</v>
      </c>
      <c r="AP771" s="231">
        <v>3</v>
      </c>
      <c r="AQ771" s="231">
        <v>2025</v>
      </c>
      <c r="AR771" s="231" t="str">
        <f t="shared" si="100"/>
        <v>03/2025</v>
      </c>
      <c r="AS771" s="231">
        <f t="shared" si="101"/>
        <v>19.5</v>
      </c>
      <c r="AT771" s="239">
        <f>IF(G771="CERVECERIA Y MALTERIA",(AS771*AK771/1000000)*(1-VLOOKUP(N771,FCST!D:I,6,FALSE)),0)</f>
        <v>7.3288799999999998</v>
      </c>
      <c r="AU771" s="232">
        <v>5.0000000000000001E-3</v>
      </c>
      <c r="AV771" s="239">
        <f t="shared" si="102"/>
        <v>7.3655243999999991</v>
      </c>
      <c r="AW771" s="239">
        <f>(AS771*AK771/1000000)*(VLOOKUP(N771,FCST!D:I,6,FALSE))</f>
        <v>0</v>
      </c>
      <c r="AX771" s="239">
        <f t="shared" si="103"/>
        <v>0</v>
      </c>
      <c r="AY771" s="239">
        <f>IF($G771="CERVECERIA Y MALTERIA.",($AS771*$AK771/1000000)*(1-VLOOKUP($N771,FCST!D:I,6,FALSE)),0)</f>
        <v>0</v>
      </c>
      <c r="AZ771" s="239">
        <f t="shared" si="104"/>
        <v>0</v>
      </c>
    </row>
    <row r="772" spans="1:52" x14ac:dyDescent="0.25">
      <c r="A772" s="209">
        <v>1104117</v>
      </c>
      <c r="B772" s="209">
        <v>10</v>
      </c>
      <c r="C772" s="209" t="s">
        <v>1775</v>
      </c>
      <c r="D772" s="209">
        <v>10</v>
      </c>
      <c r="E772" s="209">
        <v>10000002</v>
      </c>
      <c r="F772" s="209">
        <v>20000335</v>
      </c>
      <c r="G772" s="209" t="s">
        <v>105</v>
      </c>
      <c r="H772" s="209">
        <v>20000335</v>
      </c>
      <c r="I772" s="209">
        <v>2</v>
      </c>
      <c r="J772" s="209" t="s">
        <v>169</v>
      </c>
      <c r="K772" s="209" t="s">
        <v>1776</v>
      </c>
      <c r="L772" s="209" t="s">
        <v>171</v>
      </c>
      <c r="M772" s="209" t="s">
        <v>184</v>
      </c>
      <c r="N772" s="209">
        <v>50034561</v>
      </c>
      <c r="O772" s="209" t="s">
        <v>307</v>
      </c>
      <c r="P772" s="209">
        <v>5121</v>
      </c>
      <c r="Q772" s="209" t="s">
        <v>174</v>
      </c>
      <c r="R772" s="209" t="s">
        <v>175</v>
      </c>
      <c r="S772" s="209" t="s">
        <v>176</v>
      </c>
      <c r="T772" s="209" t="s">
        <v>177</v>
      </c>
      <c r="U772" s="209" t="s">
        <v>178</v>
      </c>
      <c r="V772" s="209" t="s">
        <v>179</v>
      </c>
      <c r="W772" s="209" t="s">
        <v>179</v>
      </c>
      <c r="X772" s="209" t="s">
        <v>180</v>
      </c>
      <c r="Y772" s="209" t="s">
        <v>180</v>
      </c>
      <c r="Z772" s="209" t="s">
        <v>1713</v>
      </c>
      <c r="AA772" s="209" t="s">
        <v>1714</v>
      </c>
      <c r="AB772" s="209" t="s">
        <v>180</v>
      </c>
      <c r="AC772" s="209" t="s">
        <v>182</v>
      </c>
      <c r="AD772" s="209">
        <v>3</v>
      </c>
      <c r="AE772" s="209">
        <v>2025</v>
      </c>
      <c r="AF772" s="227">
        <v>45716</v>
      </c>
      <c r="AG772" s="227">
        <v>45721</v>
      </c>
      <c r="AH772" s="227">
        <v>45722</v>
      </c>
      <c r="AI772" s="228">
        <v>977184</v>
      </c>
      <c r="AJ772" s="228">
        <v>52</v>
      </c>
      <c r="AK772" s="228">
        <v>432216</v>
      </c>
      <c r="AL772" s="228">
        <v>23</v>
      </c>
      <c r="AM772" s="228">
        <v>0</v>
      </c>
      <c r="AN772" s="228">
        <v>0</v>
      </c>
      <c r="AO772" s="229">
        <v>10</v>
      </c>
      <c r="AP772" s="231">
        <v>3</v>
      </c>
      <c r="AQ772" s="231">
        <v>2025</v>
      </c>
      <c r="AR772" s="231" t="str">
        <f t="shared" si="100"/>
        <v>03/2025</v>
      </c>
      <c r="AS772" s="231">
        <f t="shared" si="101"/>
        <v>19.5</v>
      </c>
      <c r="AT772" s="239">
        <f>IF(G772="CERVECERIA Y MALTERIA",(AS772*AK772/1000000)*(1-VLOOKUP(N772,FCST!D:I,6,FALSE)),0)</f>
        <v>8.4282120000000003</v>
      </c>
      <c r="AU772" s="232">
        <v>5.0000000000000001E-3</v>
      </c>
      <c r="AV772" s="239">
        <f t="shared" si="102"/>
        <v>8.470353059999999</v>
      </c>
      <c r="AW772" s="239">
        <f>(AS772*AK772/1000000)*(VLOOKUP(N772,FCST!D:I,6,FALSE))</f>
        <v>0</v>
      </c>
      <c r="AX772" s="239">
        <f t="shared" si="103"/>
        <v>0</v>
      </c>
      <c r="AY772" s="239">
        <f>IF($G772="CERVECERIA Y MALTERIA.",($AS772*$AK772/1000000)*(1-VLOOKUP($N772,FCST!D:I,6,FALSE)),0)</f>
        <v>0</v>
      </c>
      <c r="AZ772" s="239">
        <f t="shared" si="104"/>
        <v>0</v>
      </c>
    </row>
    <row r="773" spans="1:52" x14ac:dyDescent="0.25">
      <c r="A773" s="209">
        <v>1104117</v>
      </c>
      <c r="B773" s="209">
        <v>40</v>
      </c>
      <c r="C773" s="209" t="s">
        <v>1777</v>
      </c>
      <c r="D773" s="209">
        <v>10</v>
      </c>
      <c r="E773" s="209">
        <v>10000002</v>
      </c>
      <c r="F773" s="209">
        <v>20000335</v>
      </c>
      <c r="G773" s="209" t="s">
        <v>105</v>
      </c>
      <c r="H773" s="209">
        <v>20000335</v>
      </c>
      <c r="I773" s="209">
        <v>2</v>
      </c>
      <c r="J773" s="209" t="s">
        <v>169</v>
      </c>
      <c r="K773" s="209" t="s">
        <v>1778</v>
      </c>
      <c r="L773" s="209" t="s">
        <v>171</v>
      </c>
      <c r="M773" s="209" t="s">
        <v>184</v>
      </c>
      <c r="N773" s="209">
        <v>50035183</v>
      </c>
      <c r="O773" s="209" t="s">
        <v>215</v>
      </c>
      <c r="P773" s="209">
        <v>5121</v>
      </c>
      <c r="Q773" s="209" t="s">
        <v>174</v>
      </c>
      <c r="R773" s="209" t="s">
        <v>175</v>
      </c>
      <c r="S773" s="209" t="s">
        <v>176</v>
      </c>
      <c r="T773" s="209" t="s">
        <v>177</v>
      </c>
      <c r="U773" s="209" t="s">
        <v>178</v>
      </c>
      <c r="V773" s="209" t="s">
        <v>179</v>
      </c>
      <c r="W773" s="209" t="s">
        <v>179</v>
      </c>
      <c r="X773" s="209" t="s">
        <v>180</v>
      </c>
      <c r="Y773" s="209" t="s">
        <v>180</v>
      </c>
      <c r="Z773" s="209" t="s">
        <v>1741</v>
      </c>
      <c r="AA773" s="209" t="s">
        <v>1742</v>
      </c>
      <c r="AB773" s="209" t="s">
        <v>180</v>
      </c>
      <c r="AC773" s="209" t="s">
        <v>182</v>
      </c>
      <c r="AD773" s="209">
        <v>3</v>
      </c>
      <c r="AE773" s="209">
        <v>2025</v>
      </c>
      <c r="AF773" s="227">
        <v>45716</v>
      </c>
      <c r="AG773" s="227">
        <v>45722</v>
      </c>
      <c r="AH773" s="227">
        <v>45722</v>
      </c>
      <c r="AI773" s="228">
        <v>426816</v>
      </c>
      <c r="AJ773" s="228">
        <v>52</v>
      </c>
      <c r="AK773" s="228">
        <v>238032</v>
      </c>
      <c r="AL773" s="228">
        <v>29</v>
      </c>
      <c r="AM773" s="228">
        <v>0</v>
      </c>
      <c r="AN773" s="228">
        <v>0</v>
      </c>
      <c r="AO773" s="229">
        <v>10</v>
      </c>
      <c r="AP773" s="231">
        <v>3</v>
      </c>
      <c r="AQ773" s="231">
        <v>2025</v>
      </c>
      <c r="AR773" s="231" t="str">
        <f t="shared" si="100"/>
        <v>03/2025</v>
      </c>
      <c r="AS773" s="231">
        <f t="shared" si="101"/>
        <v>46.6</v>
      </c>
      <c r="AT773" s="239">
        <f>IF(G773="CERVECERIA Y MALTERIA",(AS773*AK773/1000000)*(1-VLOOKUP(N773,FCST!D:I,6,FALSE)),0)</f>
        <v>11.092291200000002</v>
      </c>
      <c r="AU773" s="232">
        <v>5.0000000000000001E-3</v>
      </c>
      <c r="AV773" s="239">
        <f t="shared" si="102"/>
        <v>11.147752656</v>
      </c>
      <c r="AW773" s="239">
        <f>(AS773*AK773/1000000)*(VLOOKUP(N773,FCST!D:I,6,FALSE))</f>
        <v>0</v>
      </c>
      <c r="AX773" s="239">
        <f t="shared" si="103"/>
        <v>0</v>
      </c>
      <c r="AY773" s="239">
        <f>IF($G773="CERVECERIA Y MALTERIA.",($AS773*$AK773/1000000)*(1-VLOOKUP($N773,FCST!D:I,6,FALSE)),0)</f>
        <v>0</v>
      </c>
      <c r="AZ773" s="239">
        <f t="shared" si="104"/>
        <v>0</v>
      </c>
    </row>
    <row r="774" spans="1:52" x14ac:dyDescent="0.25">
      <c r="A774" s="209">
        <v>1104118</v>
      </c>
      <c r="B774" s="209">
        <v>30</v>
      </c>
      <c r="C774" s="209" t="s">
        <v>1779</v>
      </c>
      <c r="D774" s="209">
        <v>10</v>
      </c>
      <c r="E774" s="209">
        <v>10000002</v>
      </c>
      <c r="F774" s="209">
        <v>20000340</v>
      </c>
      <c r="G774" s="209" t="s">
        <v>117</v>
      </c>
      <c r="H774" s="209">
        <v>20000340</v>
      </c>
      <c r="I774" s="209">
        <v>2</v>
      </c>
      <c r="J774" s="209" t="s">
        <v>169</v>
      </c>
      <c r="K774" s="209" t="s">
        <v>1780</v>
      </c>
      <c r="L774" s="209" t="s">
        <v>171</v>
      </c>
      <c r="M774" s="209" t="s">
        <v>184</v>
      </c>
      <c r="N774" s="209">
        <v>50027468</v>
      </c>
      <c r="O774" s="209" t="s">
        <v>285</v>
      </c>
      <c r="P774" s="209">
        <v>5101</v>
      </c>
      <c r="Q774" s="209" t="s">
        <v>186</v>
      </c>
      <c r="R774" s="209" t="s">
        <v>175</v>
      </c>
      <c r="S774" s="209" t="s">
        <v>176</v>
      </c>
      <c r="T774" s="209" t="s">
        <v>187</v>
      </c>
      <c r="U774" s="209" t="s">
        <v>188</v>
      </c>
      <c r="V774" s="209" t="s">
        <v>179</v>
      </c>
      <c r="W774" s="209" t="s">
        <v>179</v>
      </c>
      <c r="X774" s="209" t="s">
        <v>180</v>
      </c>
      <c r="Y774" s="209" t="s">
        <v>180</v>
      </c>
      <c r="Z774" s="209" t="s">
        <v>1709</v>
      </c>
      <c r="AA774" s="209" t="s">
        <v>1710</v>
      </c>
      <c r="AB774" s="209" t="s">
        <v>180</v>
      </c>
      <c r="AC774" s="209" t="s">
        <v>182</v>
      </c>
      <c r="AD774" s="209">
        <v>3</v>
      </c>
      <c r="AE774" s="209">
        <v>2025</v>
      </c>
      <c r="AF774" s="227">
        <v>45716</v>
      </c>
      <c r="AG774" s="227">
        <v>45723</v>
      </c>
      <c r="AH774" s="227">
        <v>45723</v>
      </c>
      <c r="AI774" s="228">
        <v>399360</v>
      </c>
      <c r="AJ774" s="228">
        <v>52</v>
      </c>
      <c r="AK774" s="228">
        <v>399360</v>
      </c>
      <c r="AL774" s="228">
        <v>52</v>
      </c>
      <c r="AM774" s="228">
        <v>0</v>
      </c>
      <c r="AN774" s="228">
        <v>0</v>
      </c>
      <c r="AO774" s="229">
        <v>10</v>
      </c>
      <c r="AP774" s="231">
        <v>3</v>
      </c>
      <c r="AQ774" s="231">
        <v>2025</v>
      </c>
      <c r="AR774" s="231" t="str">
        <f t="shared" si="100"/>
        <v>03/2025</v>
      </c>
      <c r="AS774" s="231">
        <f t="shared" si="101"/>
        <v>52</v>
      </c>
      <c r="AT774" s="239">
        <f>IF(G774="CERVECERIA Y MALTERIA",(AS774*AK774/1000000)*(1-VLOOKUP(N774,FCST!D:I,6,FALSE)),0)</f>
        <v>0</v>
      </c>
      <c r="AU774" s="232">
        <v>5.0000000000000001E-3</v>
      </c>
      <c r="AV774" s="239">
        <f t="shared" si="102"/>
        <v>0</v>
      </c>
      <c r="AW774" s="239">
        <f>(AS774*AK774/1000000)*(VLOOKUP(N774,FCST!D:I,6,FALSE))</f>
        <v>0</v>
      </c>
      <c r="AX774" s="239">
        <f t="shared" si="103"/>
        <v>0</v>
      </c>
      <c r="AY774" s="239">
        <f>IF($G774="CERVECERIA Y MALTERIA.",($AS774*$AK774/1000000)*(1-VLOOKUP($N774,FCST!D:I,6,FALSE)),0)</f>
        <v>20.766719999999999</v>
      </c>
      <c r="AZ774" s="239">
        <f t="shared" si="104"/>
        <v>20.870553599999997</v>
      </c>
    </row>
    <row r="775" spans="1:52" x14ac:dyDescent="0.25">
      <c r="A775" s="209">
        <v>1105485</v>
      </c>
      <c r="B775" s="209">
        <v>10</v>
      </c>
      <c r="C775" s="209" t="s">
        <v>1781</v>
      </c>
      <c r="D775" s="209">
        <v>10</v>
      </c>
      <c r="E775" s="209">
        <v>10000002</v>
      </c>
      <c r="F775" s="209">
        <v>20000339</v>
      </c>
      <c r="G775" s="209" t="s">
        <v>105</v>
      </c>
      <c r="H775" s="209">
        <v>20000339</v>
      </c>
      <c r="I775" s="209">
        <v>2</v>
      </c>
      <c r="J775" s="209" t="s">
        <v>169</v>
      </c>
      <c r="K775" s="209" t="s">
        <v>1782</v>
      </c>
      <c r="L775" s="209" t="s">
        <v>171</v>
      </c>
      <c r="M775" s="209" t="s">
        <v>184</v>
      </c>
      <c r="N775" s="209">
        <v>50034577</v>
      </c>
      <c r="O775" s="209" t="s">
        <v>237</v>
      </c>
      <c r="P775" s="209">
        <v>5101</v>
      </c>
      <c r="Q775" s="209" t="s">
        <v>186</v>
      </c>
      <c r="R775" s="209" t="s">
        <v>175</v>
      </c>
      <c r="S775" s="209" t="s">
        <v>176</v>
      </c>
      <c r="T775" s="209" t="s">
        <v>187</v>
      </c>
      <c r="U775" s="209" t="s">
        <v>188</v>
      </c>
      <c r="V775" s="209" t="s">
        <v>179</v>
      </c>
      <c r="W775" s="209" t="s">
        <v>179</v>
      </c>
      <c r="X775" s="209" t="s">
        <v>180</v>
      </c>
      <c r="Y775" s="209" t="s">
        <v>180</v>
      </c>
      <c r="Z775" s="209" t="s">
        <v>1765</v>
      </c>
      <c r="AA775" s="209" t="s">
        <v>1766</v>
      </c>
      <c r="AB775" s="209" t="s">
        <v>180</v>
      </c>
      <c r="AC775" s="209" t="s">
        <v>182</v>
      </c>
      <c r="AD775" s="209">
        <v>3</v>
      </c>
      <c r="AE775" s="209">
        <v>2025</v>
      </c>
      <c r="AF775" s="227">
        <v>45723</v>
      </c>
      <c r="AG775" s="227">
        <v>45723</v>
      </c>
      <c r="AH775" s="227">
        <v>45723</v>
      </c>
      <c r="AI775" s="228">
        <v>743808</v>
      </c>
      <c r="AJ775" s="228">
        <v>52</v>
      </c>
      <c r="AK775" s="228">
        <v>743808</v>
      </c>
      <c r="AL775" s="228">
        <v>52</v>
      </c>
      <c r="AM775" s="228">
        <v>0</v>
      </c>
      <c r="AN775" s="228">
        <v>0</v>
      </c>
      <c r="AO775" s="229">
        <v>10</v>
      </c>
      <c r="AP775" s="231">
        <v>3</v>
      </c>
      <c r="AQ775" s="231">
        <v>2025</v>
      </c>
      <c r="AR775" s="231" t="str">
        <f t="shared" si="100"/>
        <v>03/2025</v>
      </c>
      <c r="AS775" s="231">
        <f t="shared" si="101"/>
        <v>25</v>
      </c>
      <c r="AT775" s="239">
        <f>IF(G775="CERVECERIA Y MALTERIA",(AS775*AK775/1000000)*(1-VLOOKUP(N775,FCST!D:I,6,FALSE)),0)</f>
        <v>18.595199999999998</v>
      </c>
      <c r="AU775" s="232">
        <v>5.0000000000000001E-3</v>
      </c>
      <c r="AV775" s="239">
        <f t="shared" si="102"/>
        <v>18.688175999999995</v>
      </c>
      <c r="AW775" s="239">
        <f>(AS775*AK775/1000000)*(VLOOKUP(N775,FCST!D:I,6,FALSE))</f>
        <v>0</v>
      </c>
      <c r="AX775" s="239">
        <f t="shared" si="103"/>
        <v>0</v>
      </c>
      <c r="AY775" s="239">
        <f>IF($G775="CERVECERIA Y MALTERIA.",($AS775*$AK775/1000000)*(1-VLOOKUP($N775,FCST!D:I,6,FALSE)),0)</f>
        <v>0</v>
      </c>
      <c r="AZ775" s="239">
        <f t="shared" si="104"/>
        <v>0</v>
      </c>
    </row>
    <row r="776" spans="1:52" x14ac:dyDescent="0.25">
      <c r="A776" s="209">
        <v>1106858</v>
      </c>
      <c r="B776" s="209">
        <v>20</v>
      </c>
      <c r="C776" s="209" t="s">
        <v>1783</v>
      </c>
      <c r="D776" s="209">
        <v>10</v>
      </c>
      <c r="E776" s="209">
        <v>10000002</v>
      </c>
      <c r="F776" s="209">
        <v>20000340</v>
      </c>
      <c r="G776" s="209" t="s">
        <v>117</v>
      </c>
      <c r="H776" s="209">
        <v>20000340</v>
      </c>
      <c r="I776" s="209">
        <v>2</v>
      </c>
      <c r="J776" s="209" t="s">
        <v>169</v>
      </c>
      <c r="K776" s="209" t="s">
        <v>1784</v>
      </c>
      <c r="L776" s="209" t="s">
        <v>171</v>
      </c>
      <c r="M776" s="209" t="s">
        <v>184</v>
      </c>
      <c r="N776" s="209">
        <v>50036718</v>
      </c>
      <c r="O776" s="209" t="s">
        <v>259</v>
      </c>
      <c r="P776" s="209">
        <v>5101</v>
      </c>
      <c r="Q776" s="209" t="s">
        <v>186</v>
      </c>
      <c r="R776" s="209" t="s">
        <v>175</v>
      </c>
      <c r="S776" s="209" t="s">
        <v>176</v>
      </c>
      <c r="T776" s="209" t="s">
        <v>187</v>
      </c>
      <c r="U776" s="209" t="s">
        <v>188</v>
      </c>
      <c r="V776" s="209" t="s">
        <v>179</v>
      </c>
      <c r="W776" s="209" t="s">
        <v>179</v>
      </c>
      <c r="X776" s="209" t="s">
        <v>180</v>
      </c>
      <c r="Y776" s="209" t="s">
        <v>180</v>
      </c>
      <c r="Z776" s="209" t="s">
        <v>1785</v>
      </c>
      <c r="AA776" s="209" t="s">
        <v>1786</v>
      </c>
      <c r="AB776" s="209" t="s">
        <v>180</v>
      </c>
      <c r="AC776" s="209" t="s">
        <v>182</v>
      </c>
      <c r="AD776" s="209">
        <v>3</v>
      </c>
      <c r="AE776" s="209">
        <v>2025</v>
      </c>
      <c r="AF776" s="227">
        <v>45730</v>
      </c>
      <c r="AG776" s="227">
        <v>45734</v>
      </c>
      <c r="AH776" s="227">
        <v>45734</v>
      </c>
      <c r="AI776" s="228">
        <v>99840</v>
      </c>
      <c r="AJ776" s="228">
        <v>10</v>
      </c>
      <c r="AK776" s="228">
        <v>99840</v>
      </c>
      <c r="AL776" s="228">
        <v>10</v>
      </c>
      <c r="AM776" s="228">
        <v>0</v>
      </c>
      <c r="AN776" s="228">
        <v>0</v>
      </c>
      <c r="AO776" s="229">
        <v>12</v>
      </c>
      <c r="AP776" s="231">
        <v>3</v>
      </c>
      <c r="AQ776" s="231">
        <v>2025</v>
      </c>
      <c r="AR776" s="231" t="str">
        <f t="shared" si="100"/>
        <v>03/2025</v>
      </c>
      <c r="AS776" s="231">
        <f t="shared" si="101"/>
        <v>34</v>
      </c>
      <c r="AT776" s="239">
        <f>IF(G776="CERVECERIA Y MALTERIA",(AS776*AK776/1000000)*(1-VLOOKUP(N776,FCST!D:I,6,FALSE)),0)</f>
        <v>0</v>
      </c>
      <c r="AU776" s="232">
        <v>5.0000000000000001E-3</v>
      </c>
      <c r="AV776" s="239">
        <f t="shared" si="102"/>
        <v>0</v>
      </c>
      <c r="AW776" s="239">
        <f>(AS776*AK776/1000000)*(VLOOKUP(N776,FCST!D:I,6,FALSE))</f>
        <v>0</v>
      </c>
      <c r="AX776" s="239">
        <f t="shared" si="103"/>
        <v>0</v>
      </c>
      <c r="AY776" s="239">
        <f>IF($G776="CERVECERIA Y MALTERIA.",($AS776*$AK776/1000000)*(1-VLOOKUP($N776,FCST!D:I,6,FALSE)),0)</f>
        <v>3.3945599999999998</v>
      </c>
      <c r="AZ776" s="239">
        <f t="shared" si="104"/>
        <v>3.4115327999999994</v>
      </c>
    </row>
    <row r="777" spans="1:52" x14ac:dyDescent="0.25">
      <c r="A777" s="209">
        <v>1106861</v>
      </c>
      <c r="B777" s="209">
        <v>50</v>
      </c>
      <c r="C777" s="209" t="s">
        <v>1787</v>
      </c>
      <c r="D777" s="209">
        <v>10</v>
      </c>
      <c r="E777" s="209">
        <v>10000002</v>
      </c>
      <c r="F777" s="209">
        <v>20000335</v>
      </c>
      <c r="G777" s="209" t="s">
        <v>105</v>
      </c>
      <c r="H777" s="209">
        <v>20000335</v>
      </c>
      <c r="I777" s="209">
        <v>2</v>
      </c>
      <c r="J777" s="209" t="s">
        <v>169</v>
      </c>
      <c r="K777" s="209" t="s">
        <v>1788</v>
      </c>
      <c r="L777" s="209" t="s">
        <v>171</v>
      </c>
      <c r="M777" s="209" t="s">
        <v>184</v>
      </c>
      <c r="N777" s="209">
        <v>50034616</v>
      </c>
      <c r="O777" s="209" t="s">
        <v>191</v>
      </c>
      <c r="P777" s="209">
        <v>5121</v>
      </c>
      <c r="Q777" s="209" t="s">
        <v>174</v>
      </c>
      <c r="R777" s="209" t="s">
        <v>175</v>
      </c>
      <c r="S777" s="209" t="s">
        <v>176</v>
      </c>
      <c r="T777" s="209" t="s">
        <v>177</v>
      </c>
      <c r="U777" s="209" t="s">
        <v>178</v>
      </c>
      <c r="V777" s="209" t="s">
        <v>179</v>
      </c>
      <c r="W777" s="209" t="s">
        <v>179</v>
      </c>
      <c r="X777" s="209" t="s">
        <v>180</v>
      </c>
      <c r="Y777" s="209" t="s">
        <v>180</v>
      </c>
      <c r="Z777" s="209" t="s">
        <v>1733</v>
      </c>
      <c r="AA777" s="209" t="s">
        <v>1734</v>
      </c>
      <c r="AB777" s="209" t="s">
        <v>180</v>
      </c>
      <c r="AC777" s="209" t="s">
        <v>182</v>
      </c>
      <c r="AD777" s="209">
        <v>3</v>
      </c>
      <c r="AE777" s="209">
        <v>2025</v>
      </c>
      <c r="AF777" s="227">
        <v>45730</v>
      </c>
      <c r="AG777" s="227">
        <v>45734</v>
      </c>
      <c r="AH777" s="227">
        <v>45734</v>
      </c>
      <c r="AI777" s="228">
        <v>344736</v>
      </c>
      <c r="AJ777" s="228">
        <v>42</v>
      </c>
      <c r="AK777" s="228">
        <v>344736</v>
      </c>
      <c r="AL777" s="228">
        <v>42</v>
      </c>
      <c r="AM777" s="228">
        <v>0</v>
      </c>
      <c r="AN777" s="228">
        <v>0</v>
      </c>
      <c r="AO777" s="229">
        <v>12</v>
      </c>
      <c r="AP777" s="231">
        <v>3</v>
      </c>
      <c r="AQ777" s="231">
        <v>2025</v>
      </c>
      <c r="AR777" s="231" t="str">
        <f t="shared" si="100"/>
        <v>03/2025</v>
      </c>
      <c r="AS777" s="231">
        <f t="shared" si="101"/>
        <v>46.6</v>
      </c>
      <c r="AT777" s="239">
        <f>IF(G777="CERVECERIA Y MALTERIA",(AS777*AK777/1000000)*(1-VLOOKUP(N777,FCST!D:I,6,FALSE)),0)</f>
        <v>16.064697599999999</v>
      </c>
      <c r="AU777" s="232">
        <v>5.0000000000000001E-3</v>
      </c>
      <c r="AV777" s="239">
        <f t="shared" si="102"/>
        <v>16.145021087999996</v>
      </c>
      <c r="AW777" s="239">
        <f>(AS777*AK777/1000000)*(VLOOKUP(N777,FCST!D:I,6,FALSE))</f>
        <v>0</v>
      </c>
      <c r="AX777" s="239">
        <f t="shared" si="103"/>
        <v>0</v>
      </c>
      <c r="AY777" s="239">
        <f>IF($G777="CERVECERIA Y MALTERIA.",($AS777*$AK777/1000000)*(1-VLOOKUP($N777,FCST!D:I,6,FALSE)),0)</f>
        <v>0</v>
      </c>
      <c r="AZ777" s="239">
        <f t="shared" si="104"/>
        <v>0</v>
      </c>
    </row>
    <row r="778" spans="1:52" x14ac:dyDescent="0.25">
      <c r="A778" s="209">
        <v>1106861</v>
      </c>
      <c r="B778" s="209">
        <v>40</v>
      </c>
      <c r="C778" s="209" t="s">
        <v>1789</v>
      </c>
      <c r="D778" s="209">
        <v>10</v>
      </c>
      <c r="E778" s="209">
        <v>10000002</v>
      </c>
      <c r="F778" s="209">
        <v>20000335</v>
      </c>
      <c r="G778" s="209" t="s">
        <v>105</v>
      </c>
      <c r="H778" s="209">
        <v>20000335</v>
      </c>
      <c r="I778" s="209">
        <v>2</v>
      </c>
      <c r="J778" s="209" t="s">
        <v>169</v>
      </c>
      <c r="K778" s="209" t="s">
        <v>1790</v>
      </c>
      <c r="L778" s="209" t="s">
        <v>171</v>
      </c>
      <c r="M778" s="209" t="s">
        <v>184</v>
      </c>
      <c r="N778" s="209">
        <v>50030381</v>
      </c>
      <c r="O778" s="209" t="s">
        <v>1791</v>
      </c>
      <c r="P778" s="209">
        <v>5121</v>
      </c>
      <c r="Q778" s="209" t="s">
        <v>174</v>
      </c>
      <c r="R778" s="209" t="s">
        <v>175</v>
      </c>
      <c r="S778" s="209" t="s">
        <v>176</v>
      </c>
      <c r="T778" s="209" t="s">
        <v>177</v>
      </c>
      <c r="U778" s="209" t="s">
        <v>178</v>
      </c>
      <c r="V778" s="209" t="s">
        <v>179</v>
      </c>
      <c r="W778" s="209" t="s">
        <v>179</v>
      </c>
      <c r="X778" s="209" t="s">
        <v>180</v>
      </c>
      <c r="Y778" s="209" t="s">
        <v>180</v>
      </c>
      <c r="Z778" s="209" t="s">
        <v>1792</v>
      </c>
      <c r="AA778" s="209" t="s">
        <v>1793</v>
      </c>
      <c r="AB778" s="209" t="s">
        <v>180</v>
      </c>
      <c r="AC778" s="209" t="s">
        <v>182</v>
      </c>
      <c r="AD778" s="209">
        <v>3</v>
      </c>
      <c r="AE778" s="209">
        <v>2025</v>
      </c>
      <c r="AF778" s="227">
        <v>45730</v>
      </c>
      <c r="AG778" s="227">
        <v>45734</v>
      </c>
      <c r="AH778" s="227">
        <v>45734</v>
      </c>
      <c r="AI778" s="228">
        <v>78080</v>
      </c>
      <c r="AJ778" s="228">
        <v>10</v>
      </c>
      <c r="AK778" s="228">
        <v>78080</v>
      </c>
      <c r="AL778" s="228">
        <v>10</v>
      </c>
      <c r="AM778" s="228">
        <v>0</v>
      </c>
      <c r="AN778" s="228">
        <v>0</v>
      </c>
      <c r="AO778" s="229">
        <v>12</v>
      </c>
      <c r="AP778" s="231">
        <v>3</v>
      </c>
      <c r="AQ778" s="231">
        <v>2025</v>
      </c>
      <c r="AR778" s="231" t="str">
        <f t="shared" si="100"/>
        <v>03/2025</v>
      </c>
      <c r="AS778" s="231">
        <f t="shared" si="101"/>
        <v>46.6</v>
      </c>
      <c r="AT778" s="239">
        <f>IF(G778="CERVECERIA Y MALTERIA",(AS778*AK778/1000000)*(1-VLOOKUP(N778,FCST!D:I,6,FALSE)),0)</f>
        <v>3.638528</v>
      </c>
      <c r="AU778" s="232">
        <v>5.0000000000000001E-3</v>
      </c>
      <c r="AV778" s="239">
        <f t="shared" si="102"/>
        <v>3.6567206399999996</v>
      </c>
      <c r="AW778" s="239">
        <f>(AS778*AK778/1000000)*(VLOOKUP(N778,FCST!D:I,6,FALSE))</f>
        <v>0</v>
      </c>
      <c r="AX778" s="239">
        <f t="shared" si="103"/>
        <v>0</v>
      </c>
      <c r="AY778" s="239">
        <f>IF($G778="CERVECERIA Y MALTERIA.",($AS778*$AK778/1000000)*(1-VLOOKUP($N778,FCST!D:I,6,FALSE)),0)</f>
        <v>0</v>
      </c>
      <c r="AZ778" s="239">
        <f t="shared" si="104"/>
        <v>0</v>
      </c>
    </row>
    <row r="779" spans="1:52" x14ac:dyDescent="0.25">
      <c r="A779" s="209">
        <v>1106858</v>
      </c>
      <c r="B779" s="209">
        <v>10</v>
      </c>
      <c r="C779" s="209" t="s">
        <v>1794</v>
      </c>
      <c r="D779" s="209">
        <v>10</v>
      </c>
      <c r="E779" s="209">
        <v>10000002</v>
      </c>
      <c r="F779" s="209">
        <v>20000340</v>
      </c>
      <c r="G779" s="209" t="s">
        <v>117</v>
      </c>
      <c r="H779" s="209">
        <v>20000340</v>
      </c>
      <c r="I779" s="209">
        <v>2</v>
      </c>
      <c r="J779" s="209" t="s">
        <v>169</v>
      </c>
      <c r="K779" s="209" t="s">
        <v>1795</v>
      </c>
      <c r="L779" s="209" t="s">
        <v>171</v>
      </c>
      <c r="M779" s="209" t="s">
        <v>184</v>
      </c>
      <c r="N779" s="209">
        <v>50036718</v>
      </c>
      <c r="O779" s="209" t="s">
        <v>259</v>
      </c>
      <c r="P779" s="209">
        <v>5101</v>
      </c>
      <c r="Q779" s="209" t="s">
        <v>186</v>
      </c>
      <c r="R779" s="209" t="s">
        <v>175</v>
      </c>
      <c r="S779" s="209" t="s">
        <v>176</v>
      </c>
      <c r="T779" s="209" t="s">
        <v>187</v>
      </c>
      <c r="U779" s="209" t="s">
        <v>188</v>
      </c>
      <c r="V779" s="209" t="s">
        <v>179</v>
      </c>
      <c r="W779" s="209" t="s">
        <v>179</v>
      </c>
      <c r="X779" s="209" t="s">
        <v>180</v>
      </c>
      <c r="Y779" s="209" t="s">
        <v>180</v>
      </c>
      <c r="Z779" s="209" t="s">
        <v>1785</v>
      </c>
      <c r="AA779" s="209" t="s">
        <v>1786</v>
      </c>
      <c r="AB779" s="209" t="s">
        <v>180</v>
      </c>
      <c r="AC779" s="209" t="s">
        <v>182</v>
      </c>
      <c r="AD779" s="209">
        <v>3</v>
      </c>
      <c r="AE779" s="209">
        <v>2025</v>
      </c>
      <c r="AF779" s="227">
        <v>45730</v>
      </c>
      <c r="AG779" s="227">
        <v>45734</v>
      </c>
      <c r="AH779" s="227">
        <v>45734</v>
      </c>
      <c r="AI779" s="228">
        <v>419328</v>
      </c>
      <c r="AJ779" s="228">
        <v>42</v>
      </c>
      <c r="AK779" s="228">
        <v>419328</v>
      </c>
      <c r="AL779" s="228">
        <v>42</v>
      </c>
      <c r="AM779" s="228">
        <v>0</v>
      </c>
      <c r="AN779" s="228">
        <v>0</v>
      </c>
      <c r="AO779" s="229">
        <v>12</v>
      </c>
      <c r="AP779" s="231">
        <v>3</v>
      </c>
      <c r="AQ779" s="231">
        <v>2025</v>
      </c>
      <c r="AR779" s="231" t="str">
        <f t="shared" si="100"/>
        <v>03/2025</v>
      </c>
      <c r="AS779" s="231">
        <f t="shared" si="101"/>
        <v>34</v>
      </c>
      <c r="AT779" s="239">
        <f>IF(G779="CERVECERIA Y MALTERIA",(AS779*AK779/1000000)*(1-VLOOKUP(N779,FCST!D:I,6,FALSE)),0)</f>
        <v>0</v>
      </c>
      <c r="AU779" s="232">
        <v>5.0000000000000001E-3</v>
      </c>
      <c r="AV779" s="239">
        <f t="shared" si="102"/>
        <v>0</v>
      </c>
      <c r="AW779" s="239">
        <f>(AS779*AK779/1000000)*(VLOOKUP(N779,FCST!D:I,6,FALSE))</f>
        <v>0</v>
      </c>
      <c r="AX779" s="239">
        <f t="shared" si="103"/>
        <v>0</v>
      </c>
      <c r="AY779" s="239">
        <f>IF($G779="CERVECERIA Y MALTERIA.",($AS779*$AK779/1000000)*(1-VLOOKUP($N779,FCST!D:I,6,FALSE)),0)</f>
        <v>14.257152</v>
      </c>
      <c r="AZ779" s="239">
        <f t="shared" si="104"/>
        <v>14.328437759999998</v>
      </c>
    </row>
    <row r="780" spans="1:52" x14ac:dyDescent="0.25">
      <c r="A780" s="209">
        <v>1106861</v>
      </c>
      <c r="B780" s="209">
        <v>70</v>
      </c>
      <c r="C780" s="209" t="s">
        <v>1796</v>
      </c>
      <c r="D780" s="209">
        <v>10</v>
      </c>
      <c r="E780" s="209">
        <v>10000002</v>
      </c>
      <c r="F780" s="209">
        <v>20000335</v>
      </c>
      <c r="G780" s="209" t="s">
        <v>105</v>
      </c>
      <c r="H780" s="209">
        <v>20000335</v>
      </c>
      <c r="I780" s="209">
        <v>2</v>
      </c>
      <c r="J780" s="209" t="s">
        <v>169</v>
      </c>
      <c r="K780" s="209" t="s">
        <v>1797</v>
      </c>
      <c r="L780" s="209" t="s">
        <v>171</v>
      </c>
      <c r="M780" s="209" t="s">
        <v>184</v>
      </c>
      <c r="N780" s="209">
        <v>50035183</v>
      </c>
      <c r="O780" s="209" t="s">
        <v>215</v>
      </c>
      <c r="P780" s="209">
        <v>5121</v>
      </c>
      <c r="Q780" s="209" t="s">
        <v>174</v>
      </c>
      <c r="R780" s="209" t="s">
        <v>175</v>
      </c>
      <c r="S780" s="209" t="s">
        <v>176</v>
      </c>
      <c r="T780" s="209" t="s">
        <v>177</v>
      </c>
      <c r="U780" s="209" t="s">
        <v>178</v>
      </c>
      <c r="V780" s="209" t="s">
        <v>179</v>
      </c>
      <c r="W780" s="209" t="s">
        <v>179</v>
      </c>
      <c r="X780" s="209" t="s">
        <v>180</v>
      </c>
      <c r="Y780" s="209" t="s">
        <v>180</v>
      </c>
      <c r="Z780" s="209" t="s">
        <v>1741</v>
      </c>
      <c r="AA780" s="209" t="s">
        <v>1742</v>
      </c>
      <c r="AB780" s="209" t="s">
        <v>180</v>
      </c>
      <c r="AC780" s="209" t="s">
        <v>182</v>
      </c>
      <c r="AD780" s="209">
        <v>3</v>
      </c>
      <c r="AE780" s="209">
        <v>2025</v>
      </c>
      <c r="AF780" s="227">
        <v>45730</v>
      </c>
      <c r="AG780" s="227">
        <v>45735</v>
      </c>
      <c r="AH780" s="227">
        <v>45736</v>
      </c>
      <c r="AI780" s="228">
        <v>426816</v>
      </c>
      <c r="AJ780" s="228">
        <v>52</v>
      </c>
      <c r="AK780" s="228">
        <v>426816</v>
      </c>
      <c r="AL780" s="228">
        <v>52</v>
      </c>
      <c r="AM780" s="228">
        <v>0</v>
      </c>
      <c r="AN780" s="228">
        <v>0</v>
      </c>
      <c r="AO780" s="229">
        <v>12</v>
      </c>
      <c r="AP780" s="231">
        <v>3</v>
      </c>
      <c r="AQ780" s="231">
        <v>2025</v>
      </c>
      <c r="AR780" s="231" t="str">
        <f t="shared" si="100"/>
        <v>03/2025</v>
      </c>
      <c r="AS780" s="231">
        <f t="shared" si="101"/>
        <v>46.6</v>
      </c>
      <c r="AT780" s="239">
        <f>IF(G780="CERVECERIA Y MALTERIA",(AS780*AK780/1000000)*(1-VLOOKUP(N780,FCST!D:I,6,FALSE)),0)</f>
        <v>19.889625600000002</v>
      </c>
      <c r="AU780" s="232">
        <v>5.0000000000000001E-3</v>
      </c>
      <c r="AV780" s="239">
        <f t="shared" si="102"/>
        <v>19.989073728000001</v>
      </c>
      <c r="AW780" s="239">
        <f>(AS780*AK780/1000000)*(VLOOKUP(N780,FCST!D:I,6,FALSE))</f>
        <v>0</v>
      </c>
      <c r="AX780" s="239">
        <f t="shared" si="103"/>
        <v>0</v>
      </c>
      <c r="AY780" s="239">
        <f>IF($G780="CERVECERIA Y MALTERIA.",($AS780*$AK780/1000000)*(1-VLOOKUP($N780,FCST!D:I,6,FALSE)),0)</f>
        <v>0</v>
      </c>
      <c r="AZ780" s="239">
        <f t="shared" si="104"/>
        <v>0</v>
      </c>
    </row>
    <row r="781" spans="1:52" x14ac:dyDescent="0.25">
      <c r="A781" s="209">
        <v>1106858</v>
      </c>
      <c r="B781" s="209">
        <v>50</v>
      </c>
      <c r="C781" s="209" t="s">
        <v>1798</v>
      </c>
      <c r="D781" s="209">
        <v>10</v>
      </c>
      <c r="E781" s="209">
        <v>10000002</v>
      </c>
      <c r="F781" s="209">
        <v>20000340</v>
      </c>
      <c r="G781" s="209" t="s">
        <v>117</v>
      </c>
      <c r="H781" s="209">
        <v>20000340</v>
      </c>
      <c r="I781" s="209">
        <v>2</v>
      </c>
      <c r="J781" s="209" t="s">
        <v>169</v>
      </c>
      <c r="K781" s="209" t="s">
        <v>1799</v>
      </c>
      <c r="L781" s="209" t="s">
        <v>171</v>
      </c>
      <c r="M781" s="209" t="s">
        <v>184</v>
      </c>
      <c r="N781" s="209">
        <v>50029817</v>
      </c>
      <c r="O781" s="209" t="s">
        <v>396</v>
      </c>
      <c r="P781" s="209">
        <v>5101</v>
      </c>
      <c r="Q781" s="209" t="s">
        <v>186</v>
      </c>
      <c r="R781" s="209" t="s">
        <v>175</v>
      </c>
      <c r="S781" s="209" t="s">
        <v>176</v>
      </c>
      <c r="T781" s="209" t="s">
        <v>187</v>
      </c>
      <c r="U781" s="209" t="s">
        <v>188</v>
      </c>
      <c r="V781" s="209" t="s">
        <v>179</v>
      </c>
      <c r="W781" s="209" t="s">
        <v>179</v>
      </c>
      <c r="X781" s="209" t="s">
        <v>180</v>
      </c>
      <c r="Y781" s="209" t="s">
        <v>180</v>
      </c>
      <c r="Z781" s="209" t="s">
        <v>1657</v>
      </c>
      <c r="AA781" s="209" t="s">
        <v>1658</v>
      </c>
      <c r="AB781" s="209" t="s">
        <v>180</v>
      </c>
      <c r="AC781" s="209" t="s">
        <v>182</v>
      </c>
      <c r="AD781" s="209">
        <v>3</v>
      </c>
      <c r="AE781" s="209">
        <v>2025</v>
      </c>
      <c r="AF781" s="227">
        <v>45730</v>
      </c>
      <c r="AG781" s="227">
        <v>45736</v>
      </c>
      <c r="AH781" s="227">
        <v>45736</v>
      </c>
      <c r="AI781" s="228">
        <v>606528</v>
      </c>
      <c r="AJ781" s="228">
        <v>52</v>
      </c>
      <c r="AK781" s="228">
        <v>606528</v>
      </c>
      <c r="AL781" s="228">
        <v>52</v>
      </c>
      <c r="AM781" s="228">
        <v>0</v>
      </c>
      <c r="AN781" s="228">
        <v>0</v>
      </c>
      <c r="AO781" s="229">
        <v>12</v>
      </c>
      <c r="AP781" s="231">
        <v>3</v>
      </c>
      <c r="AQ781" s="231">
        <v>2025</v>
      </c>
      <c r="AR781" s="231" t="str">
        <f t="shared" si="100"/>
        <v>03/2025</v>
      </c>
      <c r="AS781" s="231">
        <f t="shared" si="101"/>
        <v>30</v>
      </c>
      <c r="AT781" s="239">
        <f>IF(G781="CERVECERIA Y MALTERIA",(AS781*AK781/1000000)*(1-VLOOKUP(N781,FCST!D:I,6,FALSE)),0)</f>
        <v>0</v>
      </c>
      <c r="AU781" s="232">
        <v>5.0000000000000001E-3</v>
      </c>
      <c r="AV781" s="239">
        <f t="shared" si="102"/>
        <v>0</v>
      </c>
      <c r="AW781" s="239">
        <f>(AS781*AK781/1000000)*(VLOOKUP(N781,FCST!D:I,6,FALSE))</f>
        <v>5.4587519999999996</v>
      </c>
      <c r="AX781" s="239">
        <f t="shared" si="103"/>
        <v>5.4860457599999988</v>
      </c>
      <c r="AY781" s="239">
        <f>IF($G781="CERVECERIA Y MALTERIA.",($AS781*$AK781/1000000)*(1-VLOOKUP($N781,FCST!D:I,6,FALSE)),0)</f>
        <v>12.737088</v>
      </c>
      <c r="AZ781" s="239">
        <f t="shared" si="104"/>
        <v>12.800773439999999</v>
      </c>
    </row>
    <row r="782" spans="1:52" x14ac:dyDescent="0.25">
      <c r="A782" s="209">
        <v>1106858</v>
      </c>
      <c r="B782" s="209">
        <v>60</v>
      </c>
      <c r="C782" s="209" t="s">
        <v>1800</v>
      </c>
      <c r="D782" s="209">
        <v>10</v>
      </c>
      <c r="E782" s="209">
        <v>10000002</v>
      </c>
      <c r="F782" s="209">
        <v>20000340</v>
      </c>
      <c r="G782" s="209" t="s">
        <v>117</v>
      </c>
      <c r="H782" s="209">
        <v>20000340</v>
      </c>
      <c r="I782" s="209">
        <v>2</v>
      </c>
      <c r="J782" s="209" t="s">
        <v>169</v>
      </c>
      <c r="K782" s="209" t="s">
        <v>1801</v>
      </c>
      <c r="L782" s="209" t="s">
        <v>171</v>
      </c>
      <c r="M782" s="209" t="s">
        <v>184</v>
      </c>
      <c r="N782" s="209">
        <v>50029817</v>
      </c>
      <c r="O782" s="209" t="s">
        <v>396</v>
      </c>
      <c r="P782" s="209">
        <v>5101</v>
      </c>
      <c r="Q782" s="209" t="s">
        <v>186</v>
      </c>
      <c r="R782" s="209" t="s">
        <v>175</v>
      </c>
      <c r="S782" s="209" t="s">
        <v>176</v>
      </c>
      <c r="T782" s="209" t="s">
        <v>187</v>
      </c>
      <c r="U782" s="209" t="s">
        <v>188</v>
      </c>
      <c r="V782" s="209" t="s">
        <v>179</v>
      </c>
      <c r="W782" s="209" t="s">
        <v>179</v>
      </c>
      <c r="X782" s="209" t="s">
        <v>180</v>
      </c>
      <c r="Y782" s="209" t="s">
        <v>180</v>
      </c>
      <c r="Z782" s="209" t="s">
        <v>1657</v>
      </c>
      <c r="AA782" s="209" t="s">
        <v>1658</v>
      </c>
      <c r="AB782" s="209" t="s">
        <v>180</v>
      </c>
      <c r="AC782" s="209" t="s">
        <v>182</v>
      </c>
      <c r="AD782" s="209">
        <v>3</v>
      </c>
      <c r="AE782" s="209">
        <v>2025</v>
      </c>
      <c r="AF782" s="227">
        <v>45730</v>
      </c>
      <c r="AG782" s="227">
        <v>45736</v>
      </c>
      <c r="AH782" s="227">
        <v>45736</v>
      </c>
      <c r="AI782" s="228">
        <v>606528</v>
      </c>
      <c r="AJ782" s="228">
        <v>52</v>
      </c>
      <c r="AK782" s="228">
        <v>606528</v>
      </c>
      <c r="AL782" s="228">
        <v>52</v>
      </c>
      <c r="AM782" s="228">
        <v>0</v>
      </c>
      <c r="AN782" s="228">
        <v>0</v>
      </c>
      <c r="AO782" s="229">
        <v>12</v>
      </c>
      <c r="AP782" s="231">
        <v>3</v>
      </c>
      <c r="AQ782" s="231">
        <v>2025</v>
      </c>
      <c r="AR782" s="231" t="str">
        <f t="shared" si="100"/>
        <v>03/2025</v>
      </c>
      <c r="AS782" s="231">
        <f t="shared" si="101"/>
        <v>30</v>
      </c>
      <c r="AT782" s="239">
        <f>IF(G782="CERVECERIA Y MALTERIA",(AS782*AK782/1000000)*(1-VLOOKUP(N782,FCST!D:I,6,FALSE)),0)</f>
        <v>0</v>
      </c>
      <c r="AU782" s="232">
        <v>5.0000000000000001E-3</v>
      </c>
      <c r="AV782" s="239">
        <f t="shared" si="102"/>
        <v>0</v>
      </c>
      <c r="AW782" s="239">
        <f>(AS782*AK782/1000000)*(VLOOKUP(N782,FCST!D:I,6,FALSE))</f>
        <v>5.4587519999999996</v>
      </c>
      <c r="AX782" s="239">
        <f t="shared" si="103"/>
        <v>5.4860457599999988</v>
      </c>
      <c r="AY782" s="239">
        <f>IF($G782="CERVECERIA Y MALTERIA.",($AS782*$AK782/1000000)*(1-VLOOKUP($N782,FCST!D:I,6,FALSE)),0)</f>
        <v>12.737088</v>
      </c>
      <c r="AZ782" s="239">
        <f t="shared" si="104"/>
        <v>12.800773439999999</v>
      </c>
    </row>
    <row r="783" spans="1:52" x14ac:dyDescent="0.25">
      <c r="A783" s="209">
        <v>1106858</v>
      </c>
      <c r="B783" s="209">
        <v>30</v>
      </c>
      <c r="C783" s="209" t="s">
        <v>1802</v>
      </c>
      <c r="D783" s="209">
        <v>10</v>
      </c>
      <c r="E783" s="209">
        <v>10000002</v>
      </c>
      <c r="F783" s="209">
        <v>20000340</v>
      </c>
      <c r="G783" s="209" t="s">
        <v>117</v>
      </c>
      <c r="H783" s="209">
        <v>20000340</v>
      </c>
      <c r="I783" s="209">
        <v>2</v>
      </c>
      <c r="J783" s="209" t="s">
        <v>169</v>
      </c>
      <c r="K783" s="209" t="s">
        <v>1803</v>
      </c>
      <c r="L783" s="209" t="s">
        <v>171</v>
      </c>
      <c r="M783" s="209" t="s">
        <v>172</v>
      </c>
      <c r="N783" s="209">
        <v>50038523</v>
      </c>
      <c r="O783" s="209" t="s">
        <v>249</v>
      </c>
      <c r="P783" s="209">
        <v>5101</v>
      </c>
      <c r="Q783" s="209" t="s">
        <v>186</v>
      </c>
      <c r="R783" s="209" t="s">
        <v>175</v>
      </c>
      <c r="S783" s="209" t="s">
        <v>176</v>
      </c>
      <c r="T783" s="209" t="s">
        <v>187</v>
      </c>
      <c r="U783" s="209" t="s">
        <v>188</v>
      </c>
      <c r="V783" s="209" t="s">
        <v>179</v>
      </c>
      <c r="W783" s="209" t="s">
        <v>179</v>
      </c>
      <c r="X783" s="209" t="s">
        <v>180</v>
      </c>
      <c r="Y783" s="209" t="s">
        <v>180</v>
      </c>
      <c r="Z783" s="209" t="s">
        <v>1804</v>
      </c>
      <c r="AA783" s="209" t="s">
        <v>1805</v>
      </c>
      <c r="AB783" s="209" t="s">
        <v>180</v>
      </c>
      <c r="AC783" s="209" t="s">
        <v>182</v>
      </c>
      <c r="AD783" s="209">
        <v>3</v>
      </c>
      <c r="AE783" s="209">
        <v>2025</v>
      </c>
      <c r="AF783" s="227">
        <v>45730</v>
      </c>
      <c r="AG783" s="227">
        <v>45735</v>
      </c>
      <c r="AH783" s="227">
        <v>45735</v>
      </c>
      <c r="AI783" s="228">
        <v>44658</v>
      </c>
      <c r="AJ783" s="228">
        <v>4</v>
      </c>
      <c r="AK783" s="228">
        <v>44658</v>
      </c>
      <c r="AL783" s="228">
        <v>4</v>
      </c>
      <c r="AM783" s="228">
        <v>0</v>
      </c>
      <c r="AN783" s="228">
        <v>0</v>
      </c>
      <c r="AO783" s="229">
        <v>12</v>
      </c>
      <c r="AP783" s="231">
        <v>3</v>
      </c>
      <c r="AQ783" s="231">
        <v>2025</v>
      </c>
      <c r="AR783" s="231" t="str">
        <f t="shared" si="100"/>
        <v>03/2025</v>
      </c>
      <c r="AS783" s="231">
        <f t="shared" si="101"/>
        <v>30</v>
      </c>
      <c r="AT783" s="239">
        <f>IF(G783="CERVECERIA Y MALTERIA",(AS783*AK783/1000000)*(1-VLOOKUP(N783,FCST!D:I,6,FALSE)),0)</f>
        <v>0</v>
      </c>
      <c r="AU783" s="232">
        <v>5.0000000000000001E-3</v>
      </c>
      <c r="AV783" s="239">
        <f t="shared" si="102"/>
        <v>0</v>
      </c>
      <c r="AW783" s="239">
        <f>(AS783*AK783/1000000)*(VLOOKUP(N783,FCST!D:I,6,FALSE))</f>
        <v>0</v>
      </c>
      <c r="AX783" s="239">
        <f t="shared" si="103"/>
        <v>0</v>
      </c>
      <c r="AY783" s="239">
        <f>IF($G783="CERVECERIA Y MALTERIA.",($AS783*$AK783/1000000)*(1-VLOOKUP($N783,FCST!D:I,6,FALSE)),0)</f>
        <v>1.3397399999999999</v>
      </c>
      <c r="AZ783" s="239">
        <f t="shared" si="104"/>
        <v>1.3464386999999998</v>
      </c>
    </row>
    <row r="784" spans="1:52" x14ac:dyDescent="0.25">
      <c r="A784" s="209">
        <v>1106861</v>
      </c>
      <c r="B784" s="209">
        <v>60</v>
      </c>
      <c r="C784" s="209" t="s">
        <v>1806</v>
      </c>
      <c r="D784" s="209">
        <v>10</v>
      </c>
      <c r="E784" s="209">
        <v>10000002</v>
      </c>
      <c r="F784" s="209">
        <v>20000335</v>
      </c>
      <c r="G784" s="209" t="s">
        <v>105</v>
      </c>
      <c r="H784" s="209">
        <v>20000335</v>
      </c>
      <c r="I784" s="209">
        <v>2</v>
      </c>
      <c r="J784" s="209" t="s">
        <v>169</v>
      </c>
      <c r="K784" s="209" t="s">
        <v>1807</v>
      </c>
      <c r="L784" s="209" t="s">
        <v>171</v>
      </c>
      <c r="M784" s="209" t="s">
        <v>172</v>
      </c>
      <c r="N784" s="209">
        <v>50037887</v>
      </c>
      <c r="O784" s="209" t="s">
        <v>679</v>
      </c>
      <c r="P784" s="209">
        <v>5121</v>
      </c>
      <c r="Q784" s="209" t="s">
        <v>174</v>
      </c>
      <c r="R784" s="209" t="s">
        <v>175</v>
      </c>
      <c r="S784" s="209" t="s">
        <v>176</v>
      </c>
      <c r="T784" s="209" t="s">
        <v>177</v>
      </c>
      <c r="U784" s="209" t="s">
        <v>178</v>
      </c>
      <c r="V784" s="209" t="s">
        <v>179</v>
      </c>
      <c r="W784" s="209" t="s">
        <v>179</v>
      </c>
      <c r="X784" s="209" t="s">
        <v>180</v>
      </c>
      <c r="Y784" s="209" t="s">
        <v>180</v>
      </c>
      <c r="Z784" s="209" t="s">
        <v>1717</v>
      </c>
      <c r="AA784" s="209" t="s">
        <v>1718</v>
      </c>
      <c r="AB784" s="209" t="s">
        <v>180</v>
      </c>
      <c r="AC784" s="209" t="s">
        <v>182</v>
      </c>
      <c r="AD784" s="209">
        <v>3</v>
      </c>
      <c r="AE784" s="209">
        <v>2025</v>
      </c>
      <c r="AF784" s="227">
        <v>45730</v>
      </c>
      <c r="AG784" s="227">
        <v>45735</v>
      </c>
      <c r="AH784" s="227">
        <v>45735</v>
      </c>
      <c r="AI784" s="228">
        <v>470304</v>
      </c>
      <c r="AJ784" s="228">
        <v>46</v>
      </c>
      <c r="AK784" s="228">
        <v>470304</v>
      </c>
      <c r="AL784" s="228">
        <v>46</v>
      </c>
      <c r="AM784" s="228">
        <v>0</v>
      </c>
      <c r="AN784" s="228">
        <v>0</v>
      </c>
      <c r="AO784" s="229">
        <v>12</v>
      </c>
      <c r="AP784" s="231">
        <v>3</v>
      </c>
      <c r="AQ784" s="231">
        <v>2025</v>
      </c>
      <c r="AR784" s="231" t="str">
        <f t="shared" si="100"/>
        <v>03/2025</v>
      </c>
      <c r="AS784" s="231">
        <f t="shared" si="101"/>
        <v>37.200000000000003</v>
      </c>
      <c r="AT784" s="239">
        <f>IF(G784="CERVECERIA Y MALTERIA",(AS784*AK784/1000000)*(1-VLOOKUP(N784,FCST!D:I,6,FALSE)),0)</f>
        <v>17.4953088</v>
      </c>
      <c r="AU784" s="232">
        <v>5.0000000000000001E-3</v>
      </c>
      <c r="AV784" s="239">
        <f t="shared" si="102"/>
        <v>17.582785343999998</v>
      </c>
      <c r="AW784" s="239">
        <f>(AS784*AK784/1000000)*(VLOOKUP(N784,FCST!D:I,6,FALSE))</f>
        <v>0</v>
      </c>
      <c r="AX784" s="239">
        <f t="shared" si="103"/>
        <v>0</v>
      </c>
      <c r="AY784" s="239">
        <f>IF($G784="CERVECERIA Y MALTERIA.",($AS784*$AK784/1000000)*(1-VLOOKUP($N784,FCST!D:I,6,FALSE)),0)</f>
        <v>0</v>
      </c>
      <c r="AZ784" s="239">
        <f t="shared" si="104"/>
        <v>0</v>
      </c>
    </row>
    <row r="785" spans="1:52" x14ac:dyDescent="0.25">
      <c r="A785" s="209">
        <v>1104116</v>
      </c>
      <c r="B785" s="209">
        <v>80</v>
      </c>
      <c r="C785" s="209" t="s">
        <v>1808</v>
      </c>
      <c r="D785" s="209">
        <v>10</v>
      </c>
      <c r="E785" s="209">
        <v>10000002</v>
      </c>
      <c r="F785" s="209">
        <v>20000337</v>
      </c>
      <c r="G785" s="209" t="s">
        <v>105</v>
      </c>
      <c r="H785" s="209">
        <v>20000337</v>
      </c>
      <c r="I785" s="209">
        <v>2</v>
      </c>
      <c r="J785" s="209" t="s">
        <v>169</v>
      </c>
      <c r="K785" s="209" t="s">
        <v>1809</v>
      </c>
      <c r="L785" s="209" t="s">
        <v>171</v>
      </c>
      <c r="M785" s="209" t="s">
        <v>172</v>
      </c>
      <c r="N785" s="209">
        <v>50024497</v>
      </c>
      <c r="O785" s="209" t="s">
        <v>1352</v>
      </c>
      <c r="P785" s="209">
        <v>5121</v>
      </c>
      <c r="Q785" s="209" t="s">
        <v>174</v>
      </c>
      <c r="R785" s="209" t="s">
        <v>175</v>
      </c>
      <c r="S785" s="209" t="s">
        <v>176</v>
      </c>
      <c r="T785" s="209" t="s">
        <v>177</v>
      </c>
      <c r="U785" s="209" t="s">
        <v>178</v>
      </c>
      <c r="V785" s="209" t="s">
        <v>179</v>
      </c>
      <c r="W785" s="209" t="s">
        <v>179</v>
      </c>
      <c r="X785" s="209" t="s">
        <v>180</v>
      </c>
      <c r="Y785" s="209" t="s">
        <v>180</v>
      </c>
      <c r="Z785" s="209" t="s">
        <v>1810</v>
      </c>
      <c r="AA785" s="209" t="s">
        <v>1811</v>
      </c>
      <c r="AB785" s="209" t="s">
        <v>180</v>
      </c>
      <c r="AC785" s="209" t="s">
        <v>182</v>
      </c>
      <c r="AD785" s="209">
        <v>3</v>
      </c>
      <c r="AE785" s="209">
        <v>2025</v>
      </c>
      <c r="AF785" s="227">
        <v>45716</v>
      </c>
      <c r="AG785" s="227">
        <v>45735</v>
      </c>
      <c r="AH785" s="227">
        <v>45735</v>
      </c>
      <c r="AI785" s="228">
        <v>351936</v>
      </c>
      <c r="AJ785" s="228">
        <v>52</v>
      </c>
      <c r="AK785" s="228">
        <v>351936</v>
      </c>
      <c r="AL785" s="228">
        <v>52</v>
      </c>
      <c r="AM785" s="228">
        <v>0</v>
      </c>
      <c r="AN785" s="228">
        <v>0</v>
      </c>
      <c r="AO785" s="229">
        <v>10</v>
      </c>
      <c r="AP785" s="231">
        <v>3</v>
      </c>
      <c r="AQ785" s="231">
        <v>2025</v>
      </c>
      <c r="AR785" s="231" t="str">
        <f t="shared" si="100"/>
        <v>03/2025</v>
      </c>
      <c r="AS785" s="231">
        <f t="shared" si="101"/>
        <v>54.7</v>
      </c>
      <c r="AT785" s="239">
        <f>IF(G785="CERVECERIA Y MALTERIA",(AS785*AK785/1000000)*(1-VLOOKUP(N785,FCST!D:I,6,FALSE)),0)</f>
        <v>19.250899199999999</v>
      </c>
      <c r="AU785" s="232">
        <v>5.0000000000000001E-3</v>
      </c>
      <c r="AV785" s="239">
        <f t="shared" si="102"/>
        <v>19.347153695999996</v>
      </c>
      <c r="AW785" s="239">
        <f>(AS785*AK785/1000000)*(VLOOKUP(N785,FCST!D:I,6,FALSE))</f>
        <v>0</v>
      </c>
      <c r="AX785" s="239">
        <f t="shared" si="103"/>
        <v>0</v>
      </c>
      <c r="AY785" s="239">
        <f>IF($G785="CERVECERIA Y MALTERIA.",($AS785*$AK785/1000000)*(1-VLOOKUP($N785,FCST!D:I,6,FALSE)),0)</f>
        <v>0</v>
      </c>
      <c r="AZ785" s="239">
        <f t="shared" si="104"/>
        <v>0</v>
      </c>
    </row>
    <row r="786" spans="1:52" x14ac:dyDescent="0.25">
      <c r="A786" s="209">
        <v>1106858</v>
      </c>
      <c r="B786" s="209">
        <v>40</v>
      </c>
      <c r="C786" s="209" t="s">
        <v>1812</v>
      </c>
      <c r="D786" s="209">
        <v>10</v>
      </c>
      <c r="E786" s="209">
        <v>10000002</v>
      </c>
      <c r="F786" s="209">
        <v>20000340</v>
      </c>
      <c r="G786" s="209" t="s">
        <v>117</v>
      </c>
      <c r="H786" s="209">
        <v>20000340</v>
      </c>
      <c r="I786" s="209">
        <v>2</v>
      </c>
      <c r="J786" s="209" t="s">
        <v>169</v>
      </c>
      <c r="K786" s="209" t="s">
        <v>1813</v>
      </c>
      <c r="L786" s="209" t="s">
        <v>171</v>
      </c>
      <c r="M786" s="209" t="s">
        <v>172</v>
      </c>
      <c r="N786" s="209">
        <v>50029817</v>
      </c>
      <c r="O786" s="209" t="s">
        <v>396</v>
      </c>
      <c r="P786" s="209">
        <v>5101</v>
      </c>
      <c r="Q786" s="209" t="s">
        <v>186</v>
      </c>
      <c r="R786" s="209" t="s">
        <v>175</v>
      </c>
      <c r="S786" s="209" t="s">
        <v>176</v>
      </c>
      <c r="T786" s="209" t="s">
        <v>187</v>
      </c>
      <c r="U786" s="209" t="s">
        <v>188</v>
      </c>
      <c r="V786" s="209" t="s">
        <v>179</v>
      </c>
      <c r="W786" s="209" t="s">
        <v>179</v>
      </c>
      <c r="X786" s="209" t="s">
        <v>180</v>
      </c>
      <c r="Y786" s="209" t="s">
        <v>180</v>
      </c>
      <c r="Z786" s="209" t="s">
        <v>1657</v>
      </c>
      <c r="AA786" s="209" t="s">
        <v>1658</v>
      </c>
      <c r="AB786" s="209" t="s">
        <v>180</v>
      </c>
      <c r="AC786" s="209" t="s">
        <v>182</v>
      </c>
      <c r="AD786" s="209">
        <v>3</v>
      </c>
      <c r="AE786" s="209">
        <v>2025</v>
      </c>
      <c r="AF786" s="227">
        <v>45730</v>
      </c>
      <c r="AG786" s="227">
        <v>45735</v>
      </c>
      <c r="AH786" s="227">
        <v>45735</v>
      </c>
      <c r="AI786" s="228">
        <v>606528</v>
      </c>
      <c r="AJ786" s="228">
        <v>52</v>
      </c>
      <c r="AK786" s="228">
        <v>606528</v>
      </c>
      <c r="AL786" s="228">
        <v>52</v>
      </c>
      <c r="AM786" s="228">
        <v>0</v>
      </c>
      <c r="AN786" s="228">
        <v>0</v>
      </c>
      <c r="AO786" s="229">
        <v>12</v>
      </c>
      <c r="AP786" s="231">
        <v>3</v>
      </c>
      <c r="AQ786" s="231">
        <v>2025</v>
      </c>
      <c r="AR786" s="231" t="str">
        <f t="shared" si="100"/>
        <v>03/2025</v>
      </c>
      <c r="AS786" s="231">
        <f t="shared" si="101"/>
        <v>30</v>
      </c>
      <c r="AT786" s="239">
        <f>IF(G786="CERVECERIA Y MALTERIA",(AS786*AK786/1000000)*(1-VLOOKUP(N786,FCST!D:I,6,FALSE)),0)</f>
        <v>0</v>
      </c>
      <c r="AU786" s="232">
        <v>5.0000000000000001E-3</v>
      </c>
      <c r="AV786" s="239">
        <f t="shared" si="102"/>
        <v>0</v>
      </c>
      <c r="AW786" s="239">
        <f>(AS786*AK786/1000000)*(VLOOKUP(N786,FCST!D:I,6,FALSE))</f>
        <v>5.4587519999999996</v>
      </c>
      <c r="AX786" s="239">
        <f t="shared" si="103"/>
        <v>5.4860457599999988</v>
      </c>
      <c r="AY786" s="239">
        <f>IF($G786="CERVECERIA Y MALTERIA.",($AS786*$AK786/1000000)*(1-VLOOKUP($N786,FCST!D:I,6,FALSE)),0)</f>
        <v>12.737088</v>
      </c>
      <c r="AZ786" s="239">
        <f t="shared" si="104"/>
        <v>12.800773439999999</v>
      </c>
    </row>
    <row r="787" spans="1:52" x14ac:dyDescent="0.25">
      <c r="A787" s="209">
        <v>1105035</v>
      </c>
      <c r="B787" s="209">
        <v>90</v>
      </c>
      <c r="C787" s="209" t="s">
        <v>1814</v>
      </c>
      <c r="D787" s="209">
        <v>10</v>
      </c>
      <c r="E787" s="209">
        <v>10000002</v>
      </c>
      <c r="F787" s="209">
        <v>20000335</v>
      </c>
      <c r="G787" s="209" t="s">
        <v>105</v>
      </c>
      <c r="H787" s="209">
        <v>20000335</v>
      </c>
      <c r="I787" s="209">
        <v>2</v>
      </c>
      <c r="J787" s="209" t="s">
        <v>169</v>
      </c>
      <c r="K787" s="209" t="s">
        <v>1815</v>
      </c>
      <c r="L787" s="209" t="s">
        <v>171</v>
      </c>
      <c r="M787" s="209" t="s">
        <v>172</v>
      </c>
      <c r="N787" s="209">
        <v>50035183</v>
      </c>
      <c r="O787" s="209" t="s">
        <v>215</v>
      </c>
      <c r="P787" s="209">
        <v>5121</v>
      </c>
      <c r="Q787" s="209" t="s">
        <v>174</v>
      </c>
      <c r="R787" s="209" t="s">
        <v>175</v>
      </c>
      <c r="S787" s="209" t="s">
        <v>176</v>
      </c>
      <c r="T787" s="209" t="s">
        <v>177</v>
      </c>
      <c r="U787" s="209" t="s">
        <v>178</v>
      </c>
      <c r="V787" s="209" t="s">
        <v>179</v>
      </c>
      <c r="W787" s="209" t="s">
        <v>179</v>
      </c>
      <c r="X787" s="209" t="s">
        <v>180</v>
      </c>
      <c r="Y787" s="209" t="s">
        <v>180</v>
      </c>
      <c r="Z787" s="209" t="s">
        <v>1741</v>
      </c>
      <c r="AA787" s="209" t="s">
        <v>1742</v>
      </c>
      <c r="AB787" s="209" t="s">
        <v>180</v>
      </c>
      <c r="AC787" s="209" t="s">
        <v>182</v>
      </c>
      <c r="AD787" s="209">
        <v>3</v>
      </c>
      <c r="AE787" s="209">
        <v>2025</v>
      </c>
      <c r="AF787" s="227">
        <v>45722</v>
      </c>
      <c r="AG787" s="227">
        <v>45730</v>
      </c>
      <c r="AH787" s="227">
        <v>45730</v>
      </c>
      <c r="AI787" s="228">
        <v>426816</v>
      </c>
      <c r="AJ787" s="228">
        <v>52</v>
      </c>
      <c r="AK787" s="228">
        <v>426816</v>
      </c>
      <c r="AL787" s="228">
        <v>52</v>
      </c>
      <c r="AM787" s="228">
        <v>0</v>
      </c>
      <c r="AN787" s="228">
        <v>0</v>
      </c>
      <c r="AO787" s="229">
        <v>11</v>
      </c>
      <c r="AP787" s="231">
        <v>3</v>
      </c>
      <c r="AQ787" s="231">
        <v>2025</v>
      </c>
      <c r="AR787" s="231" t="str">
        <f t="shared" si="100"/>
        <v>03/2025</v>
      </c>
      <c r="AS787" s="231">
        <f t="shared" si="101"/>
        <v>46.6</v>
      </c>
      <c r="AT787" s="239">
        <f>IF(G787="CERVECERIA Y MALTERIA",(AS787*AK787/1000000)*(1-VLOOKUP(N787,FCST!D:I,6,FALSE)),0)</f>
        <v>19.889625600000002</v>
      </c>
      <c r="AU787" s="232">
        <v>5.0000000000000001E-3</v>
      </c>
      <c r="AV787" s="239">
        <f t="shared" si="102"/>
        <v>19.989073728000001</v>
      </c>
      <c r="AW787" s="239">
        <f>(AS787*AK787/1000000)*(VLOOKUP(N787,FCST!D:I,6,FALSE))</f>
        <v>0</v>
      </c>
      <c r="AX787" s="239">
        <f t="shared" si="103"/>
        <v>0</v>
      </c>
      <c r="AY787" s="239">
        <f>IF($G787="CERVECERIA Y MALTERIA.",($AS787*$AK787/1000000)*(1-VLOOKUP($N787,FCST!D:I,6,FALSE)),0)</f>
        <v>0</v>
      </c>
      <c r="AZ787" s="239">
        <f t="shared" si="104"/>
        <v>0</v>
      </c>
    </row>
    <row r="788" spans="1:52" x14ac:dyDescent="0.25">
      <c r="A788" s="209">
        <v>1105040</v>
      </c>
      <c r="B788" s="209">
        <v>30</v>
      </c>
      <c r="C788" s="209" t="s">
        <v>1816</v>
      </c>
      <c r="D788" s="209">
        <v>10</v>
      </c>
      <c r="E788" s="209">
        <v>10000002</v>
      </c>
      <c r="F788" s="209">
        <v>20000340</v>
      </c>
      <c r="G788" s="209" t="s">
        <v>117</v>
      </c>
      <c r="H788" s="209">
        <v>20000340</v>
      </c>
      <c r="I788" s="209">
        <v>2</v>
      </c>
      <c r="J788" s="209" t="s">
        <v>169</v>
      </c>
      <c r="K788" s="209" t="s">
        <v>1817</v>
      </c>
      <c r="L788" s="209" t="s">
        <v>171</v>
      </c>
      <c r="M788" s="209" t="s">
        <v>172</v>
      </c>
      <c r="N788" s="209">
        <v>50029843</v>
      </c>
      <c r="O788" s="209" t="s">
        <v>460</v>
      </c>
      <c r="P788" s="209">
        <v>5121</v>
      </c>
      <c r="Q788" s="209" t="s">
        <v>174</v>
      </c>
      <c r="R788" s="209" t="s">
        <v>175</v>
      </c>
      <c r="S788" s="209" t="s">
        <v>176</v>
      </c>
      <c r="T788" s="209" t="s">
        <v>177</v>
      </c>
      <c r="U788" s="209" t="s">
        <v>178</v>
      </c>
      <c r="V788" s="209" t="s">
        <v>179</v>
      </c>
      <c r="W788" s="209" t="s">
        <v>179</v>
      </c>
      <c r="X788" s="209" t="s">
        <v>180</v>
      </c>
      <c r="Y788" s="209" t="s">
        <v>180</v>
      </c>
      <c r="Z788" s="209" t="s">
        <v>1729</v>
      </c>
      <c r="AA788" s="209" t="s">
        <v>1730</v>
      </c>
      <c r="AB788" s="209" t="s">
        <v>180</v>
      </c>
      <c r="AC788" s="209" t="s">
        <v>182</v>
      </c>
      <c r="AD788" s="209">
        <v>3</v>
      </c>
      <c r="AE788" s="209">
        <v>2025</v>
      </c>
      <c r="AF788" s="227">
        <v>45722</v>
      </c>
      <c r="AG788" s="227">
        <v>45729</v>
      </c>
      <c r="AH788" s="227">
        <v>45729</v>
      </c>
      <c r="AI788" s="228">
        <v>419328</v>
      </c>
      <c r="AJ788" s="228">
        <v>52</v>
      </c>
      <c r="AK788" s="228">
        <v>419328</v>
      </c>
      <c r="AL788" s="228">
        <v>52</v>
      </c>
      <c r="AM788" s="228">
        <v>0</v>
      </c>
      <c r="AN788" s="228">
        <v>0</v>
      </c>
      <c r="AO788" s="229">
        <v>11</v>
      </c>
      <c r="AP788" s="231">
        <v>3</v>
      </c>
      <c r="AQ788" s="231">
        <v>2025</v>
      </c>
      <c r="AR788" s="231" t="str">
        <f t="shared" si="100"/>
        <v>03/2025</v>
      </c>
      <c r="AS788" s="231">
        <f t="shared" si="101"/>
        <v>44.8</v>
      </c>
      <c r="AT788" s="239">
        <f>IF(G788="CERVECERIA Y MALTERIA",(AS788*AK788/1000000)*(1-VLOOKUP(N788,FCST!D:I,6,FALSE)),0)</f>
        <v>0</v>
      </c>
      <c r="AU788" s="232">
        <v>5.0000000000000001E-3</v>
      </c>
      <c r="AV788" s="239">
        <f t="shared" si="102"/>
        <v>0</v>
      </c>
      <c r="AW788" s="239">
        <f>(AS788*AK788/1000000)*(VLOOKUP(N788,FCST!D:I,6,FALSE))</f>
        <v>0</v>
      </c>
      <c r="AX788" s="239">
        <f t="shared" si="103"/>
        <v>0</v>
      </c>
      <c r="AY788" s="239">
        <f>IF($G788="CERVECERIA Y MALTERIA.",($AS788*$AK788/1000000)*(1-VLOOKUP($N788,FCST!D:I,6,FALSE)),0)</f>
        <v>18.7858944</v>
      </c>
      <c r="AZ788" s="239">
        <f t="shared" si="104"/>
        <v>18.879823871999999</v>
      </c>
    </row>
    <row r="789" spans="1:52" x14ac:dyDescent="0.25">
      <c r="A789" s="209">
        <v>1106861</v>
      </c>
      <c r="B789" s="209">
        <v>10</v>
      </c>
      <c r="C789" s="209" t="s">
        <v>1818</v>
      </c>
      <c r="D789" s="209">
        <v>10</v>
      </c>
      <c r="E789" s="209">
        <v>10000002</v>
      </c>
      <c r="F789" s="209">
        <v>20000335</v>
      </c>
      <c r="G789" s="209" t="s">
        <v>105</v>
      </c>
      <c r="H789" s="209">
        <v>20000335</v>
      </c>
      <c r="I789" s="209">
        <v>2</v>
      </c>
      <c r="J789" s="209" t="s">
        <v>169</v>
      </c>
      <c r="K789" s="209" t="s">
        <v>1819</v>
      </c>
      <c r="L789" s="209" t="s">
        <v>171</v>
      </c>
      <c r="M789" s="209" t="s">
        <v>184</v>
      </c>
      <c r="N789" s="209">
        <v>50034616</v>
      </c>
      <c r="O789" s="209" t="s">
        <v>191</v>
      </c>
      <c r="P789" s="209">
        <v>5121</v>
      </c>
      <c r="Q789" s="209" t="s">
        <v>174</v>
      </c>
      <c r="R789" s="209" t="s">
        <v>175</v>
      </c>
      <c r="S789" s="209" t="s">
        <v>176</v>
      </c>
      <c r="T789" s="209" t="s">
        <v>177</v>
      </c>
      <c r="U789" s="209" t="s">
        <v>178</v>
      </c>
      <c r="V789" s="209" t="s">
        <v>179</v>
      </c>
      <c r="W789" s="209" t="s">
        <v>179</v>
      </c>
      <c r="X789" s="209" t="s">
        <v>180</v>
      </c>
      <c r="Y789" s="209" t="s">
        <v>180</v>
      </c>
      <c r="Z789" s="209" t="s">
        <v>1733</v>
      </c>
      <c r="AA789" s="209" t="s">
        <v>1734</v>
      </c>
      <c r="AB789" s="209" t="s">
        <v>180</v>
      </c>
      <c r="AC789" s="209" t="s">
        <v>182</v>
      </c>
      <c r="AD789" s="209">
        <v>3</v>
      </c>
      <c r="AE789" s="209">
        <v>2025</v>
      </c>
      <c r="AF789" s="227">
        <v>45730</v>
      </c>
      <c r="AG789" s="227">
        <v>45733</v>
      </c>
      <c r="AH789" s="227">
        <v>45733</v>
      </c>
      <c r="AI789" s="228">
        <v>213408</v>
      </c>
      <c r="AJ789" s="228">
        <v>26</v>
      </c>
      <c r="AK789" s="228">
        <v>213408</v>
      </c>
      <c r="AL789" s="228">
        <v>26</v>
      </c>
      <c r="AM789" s="228">
        <v>0</v>
      </c>
      <c r="AN789" s="228">
        <v>0</v>
      </c>
      <c r="AO789" s="229">
        <v>12</v>
      </c>
      <c r="AP789" s="231">
        <v>3</v>
      </c>
      <c r="AQ789" s="231">
        <v>2025</v>
      </c>
      <c r="AR789" s="231" t="str">
        <f t="shared" si="100"/>
        <v>03/2025</v>
      </c>
      <c r="AS789" s="231">
        <f t="shared" si="101"/>
        <v>46.6</v>
      </c>
      <c r="AT789" s="239">
        <f>IF(G789="CERVECERIA Y MALTERIA",(AS789*AK789/1000000)*(1-VLOOKUP(N789,FCST!D:I,6,FALSE)),0)</f>
        <v>9.9448128000000011</v>
      </c>
      <c r="AU789" s="232">
        <v>5.0000000000000001E-3</v>
      </c>
      <c r="AV789" s="239">
        <f t="shared" si="102"/>
        <v>9.9945368640000005</v>
      </c>
      <c r="AW789" s="239">
        <f>(AS789*AK789/1000000)*(VLOOKUP(N789,FCST!D:I,6,FALSE))</f>
        <v>0</v>
      </c>
      <c r="AX789" s="239">
        <f t="shared" si="103"/>
        <v>0</v>
      </c>
      <c r="AY789" s="239">
        <f>IF($G789="CERVECERIA Y MALTERIA.",($AS789*$AK789/1000000)*(1-VLOOKUP($N789,FCST!D:I,6,FALSE)),0)</f>
        <v>0</v>
      </c>
      <c r="AZ789" s="239">
        <f t="shared" si="104"/>
        <v>0</v>
      </c>
    </row>
    <row r="790" spans="1:52" x14ac:dyDescent="0.25">
      <c r="A790" s="209">
        <v>1106856</v>
      </c>
      <c r="B790" s="209">
        <v>10</v>
      </c>
      <c r="C790" s="209" t="s">
        <v>1820</v>
      </c>
      <c r="D790" s="209">
        <v>10</v>
      </c>
      <c r="E790" s="209">
        <v>10000002</v>
      </c>
      <c r="F790" s="209">
        <v>20000340</v>
      </c>
      <c r="G790" s="209" t="s">
        <v>117</v>
      </c>
      <c r="H790" s="209">
        <v>20000340</v>
      </c>
      <c r="I790" s="209">
        <v>2</v>
      </c>
      <c r="J790" s="209" t="s">
        <v>169</v>
      </c>
      <c r="K790" s="209" t="s">
        <v>1821</v>
      </c>
      <c r="L790" s="209" t="s">
        <v>171</v>
      </c>
      <c r="M790" s="209" t="s">
        <v>184</v>
      </c>
      <c r="N790" s="209">
        <v>50029843</v>
      </c>
      <c r="O790" s="209" t="s">
        <v>460</v>
      </c>
      <c r="P790" s="209">
        <v>5121</v>
      </c>
      <c r="Q790" s="209" t="s">
        <v>174</v>
      </c>
      <c r="R790" s="209" t="s">
        <v>175</v>
      </c>
      <c r="S790" s="209" t="s">
        <v>176</v>
      </c>
      <c r="T790" s="209" t="s">
        <v>177</v>
      </c>
      <c r="U790" s="209" t="s">
        <v>178</v>
      </c>
      <c r="V790" s="209" t="s">
        <v>179</v>
      </c>
      <c r="W790" s="209" t="s">
        <v>179</v>
      </c>
      <c r="X790" s="209" t="s">
        <v>180</v>
      </c>
      <c r="Y790" s="209" t="s">
        <v>180</v>
      </c>
      <c r="Z790" s="209" t="s">
        <v>1729</v>
      </c>
      <c r="AA790" s="209" t="s">
        <v>1730</v>
      </c>
      <c r="AB790" s="209" t="s">
        <v>180</v>
      </c>
      <c r="AC790" s="209" t="s">
        <v>182</v>
      </c>
      <c r="AD790" s="209">
        <v>3</v>
      </c>
      <c r="AE790" s="209">
        <v>2025</v>
      </c>
      <c r="AF790" s="227">
        <v>45730</v>
      </c>
      <c r="AG790" s="227">
        <v>45733</v>
      </c>
      <c r="AH790" s="227">
        <v>45733</v>
      </c>
      <c r="AI790" s="228">
        <v>209664</v>
      </c>
      <c r="AJ790" s="228">
        <v>26</v>
      </c>
      <c r="AK790" s="228">
        <v>209664</v>
      </c>
      <c r="AL790" s="228">
        <v>26</v>
      </c>
      <c r="AM790" s="228">
        <v>0</v>
      </c>
      <c r="AN790" s="228">
        <v>0</v>
      </c>
      <c r="AO790" s="229">
        <v>12</v>
      </c>
      <c r="AP790" s="231">
        <v>3</v>
      </c>
      <c r="AQ790" s="231">
        <v>2025</v>
      </c>
      <c r="AR790" s="231" t="str">
        <f t="shared" si="100"/>
        <v>03/2025</v>
      </c>
      <c r="AS790" s="231">
        <f t="shared" si="101"/>
        <v>44.8</v>
      </c>
      <c r="AT790" s="239">
        <f>IF(G790="CERVECERIA Y MALTERIA",(AS790*AK790/1000000)*(1-VLOOKUP(N790,FCST!D:I,6,FALSE)),0)</f>
        <v>0</v>
      </c>
      <c r="AU790" s="232">
        <v>5.0000000000000001E-3</v>
      </c>
      <c r="AV790" s="239">
        <f t="shared" si="102"/>
        <v>0</v>
      </c>
      <c r="AW790" s="239">
        <f>(AS790*AK790/1000000)*(VLOOKUP(N790,FCST!D:I,6,FALSE))</f>
        <v>0</v>
      </c>
      <c r="AX790" s="239">
        <f t="shared" si="103"/>
        <v>0</v>
      </c>
      <c r="AY790" s="239">
        <f>IF($G790="CERVECERIA Y MALTERIA.",($AS790*$AK790/1000000)*(1-VLOOKUP($N790,FCST!D:I,6,FALSE)),0)</f>
        <v>9.3929472000000001</v>
      </c>
      <c r="AZ790" s="239">
        <f t="shared" si="104"/>
        <v>9.4399119359999997</v>
      </c>
    </row>
    <row r="791" spans="1:52" x14ac:dyDescent="0.25">
      <c r="A791" s="209">
        <v>1102990</v>
      </c>
      <c r="B791" s="209">
        <v>50</v>
      </c>
      <c r="C791" s="209" t="s">
        <v>1822</v>
      </c>
      <c r="D791" s="209">
        <v>10</v>
      </c>
      <c r="E791" s="209">
        <v>10000002</v>
      </c>
      <c r="F791" s="209">
        <v>20000337</v>
      </c>
      <c r="G791" s="209" t="s">
        <v>105</v>
      </c>
      <c r="H791" s="209">
        <v>20000337</v>
      </c>
      <c r="I791" s="209">
        <v>2</v>
      </c>
      <c r="J791" s="209" t="s">
        <v>169</v>
      </c>
      <c r="K791" s="209" t="s">
        <v>1823</v>
      </c>
      <c r="L791" s="209" t="s">
        <v>265</v>
      </c>
      <c r="M791" s="209" t="s">
        <v>328</v>
      </c>
      <c r="N791" s="209">
        <v>50035183</v>
      </c>
      <c r="O791" s="209" t="s">
        <v>215</v>
      </c>
      <c r="P791" s="209">
        <v>5121</v>
      </c>
      <c r="Q791" s="209" t="s">
        <v>174</v>
      </c>
      <c r="R791" s="209" t="s">
        <v>175</v>
      </c>
      <c r="S791" s="209" t="s">
        <v>176</v>
      </c>
      <c r="T791" s="209" t="s">
        <v>177</v>
      </c>
      <c r="U791" s="209" t="s">
        <v>178</v>
      </c>
      <c r="V791" s="209" t="s">
        <v>179</v>
      </c>
      <c r="W791" s="209" t="s">
        <v>179</v>
      </c>
      <c r="X791" s="209" t="s">
        <v>180</v>
      </c>
      <c r="Y791" s="209" t="s">
        <v>180</v>
      </c>
      <c r="Z791" s="209" t="s">
        <v>1747</v>
      </c>
      <c r="AA791" s="209" t="s">
        <v>1748</v>
      </c>
      <c r="AB791" s="209" t="s">
        <v>180</v>
      </c>
      <c r="AC791" s="209" t="s">
        <v>182</v>
      </c>
      <c r="AD791" s="209">
        <v>2</v>
      </c>
      <c r="AE791" s="209">
        <v>2025</v>
      </c>
      <c r="AF791" s="227">
        <v>45712</v>
      </c>
      <c r="AG791" s="227">
        <v>45717</v>
      </c>
      <c r="AH791" s="227">
        <v>45717</v>
      </c>
      <c r="AI791" s="228">
        <v>426816</v>
      </c>
      <c r="AJ791" s="228">
        <v>52</v>
      </c>
      <c r="AK791" s="228">
        <v>426816</v>
      </c>
      <c r="AL791" s="228">
        <v>52</v>
      </c>
      <c r="AM791" s="228">
        <v>0</v>
      </c>
      <c r="AN791" s="228">
        <v>0</v>
      </c>
      <c r="AO791" s="229">
        <v>9</v>
      </c>
      <c r="AP791" s="231">
        <v>3</v>
      </c>
      <c r="AQ791" s="231">
        <v>2025</v>
      </c>
      <c r="AR791" s="231" t="str">
        <f t="shared" si="100"/>
        <v>03/2025</v>
      </c>
      <c r="AS791" s="231">
        <f t="shared" si="101"/>
        <v>46.6</v>
      </c>
      <c r="AT791" s="239">
        <f>IF(G791="CERVECERIA Y MALTERIA",(AS791*AK791/1000000)*(1-VLOOKUP(N791,FCST!D:I,6,FALSE)),0)</f>
        <v>19.889625600000002</v>
      </c>
      <c r="AU791" s="232">
        <v>5.0000000000000001E-3</v>
      </c>
      <c r="AV791" s="239">
        <f t="shared" si="102"/>
        <v>19.989073728000001</v>
      </c>
      <c r="AW791" s="239">
        <f>(AS791*AK791/1000000)*(VLOOKUP(N791,FCST!D:I,6,FALSE))</f>
        <v>0</v>
      </c>
      <c r="AX791" s="239">
        <f t="shared" si="103"/>
        <v>0</v>
      </c>
      <c r="AY791" s="239">
        <f>IF($G791="CERVECERIA Y MALTERIA.",($AS791*$AK791/1000000)*(1-VLOOKUP($N791,FCST!D:I,6,FALSE)),0)</f>
        <v>0</v>
      </c>
      <c r="AZ791" s="239">
        <f t="shared" si="104"/>
        <v>0</v>
      </c>
    </row>
    <row r="792" spans="1:52" x14ac:dyDescent="0.25">
      <c r="A792" s="209">
        <v>1107878</v>
      </c>
      <c r="B792" s="209">
        <v>30</v>
      </c>
      <c r="C792" s="209" t="s">
        <v>1824</v>
      </c>
      <c r="D792" s="209">
        <v>10</v>
      </c>
      <c r="E792" s="209">
        <v>10000002</v>
      </c>
      <c r="F792" s="209">
        <v>20000335</v>
      </c>
      <c r="G792" s="209" t="s">
        <v>105</v>
      </c>
      <c r="H792" s="209">
        <v>20000335</v>
      </c>
      <c r="I792" s="209">
        <v>2</v>
      </c>
      <c r="J792" s="209" t="s">
        <v>169</v>
      </c>
      <c r="K792" s="209" t="s">
        <v>1825</v>
      </c>
      <c r="L792" s="209" t="s">
        <v>171</v>
      </c>
      <c r="M792" s="209" t="s">
        <v>199</v>
      </c>
      <c r="N792" s="209">
        <v>50035184</v>
      </c>
      <c r="O792" s="209" t="s">
        <v>672</v>
      </c>
      <c r="P792" s="209">
        <v>5121</v>
      </c>
      <c r="Q792" s="209" t="s">
        <v>200</v>
      </c>
      <c r="R792" s="209" t="s">
        <v>201</v>
      </c>
      <c r="S792" s="209" t="s">
        <v>202</v>
      </c>
      <c r="T792" s="209" t="s">
        <v>203</v>
      </c>
      <c r="U792" s="209" t="s">
        <v>201</v>
      </c>
      <c r="V792" s="209" t="s">
        <v>179</v>
      </c>
      <c r="W792" s="209" t="s">
        <v>179</v>
      </c>
      <c r="X792" s="209" t="s">
        <v>180</v>
      </c>
      <c r="Y792" s="209" t="s">
        <v>180</v>
      </c>
      <c r="Z792" s="209" t="s">
        <v>1826</v>
      </c>
      <c r="AA792" s="209" t="s">
        <v>1827</v>
      </c>
      <c r="AB792" s="209" t="s">
        <v>180</v>
      </c>
      <c r="AC792" s="209" t="s">
        <v>182</v>
      </c>
      <c r="AD792" s="209">
        <v>3</v>
      </c>
      <c r="AE792" s="209">
        <v>2025</v>
      </c>
      <c r="AF792" s="227">
        <v>45736</v>
      </c>
      <c r="AG792" s="227">
        <v>45743</v>
      </c>
      <c r="AH792" s="227">
        <v>45743</v>
      </c>
      <c r="AI792" s="228">
        <v>977184</v>
      </c>
      <c r="AJ792" s="228">
        <v>52</v>
      </c>
      <c r="AK792" s="228">
        <v>977184</v>
      </c>
      <c r="AL792" s="228">
        <v>52</v>
      </c>
      <c r="AM792" s="228">
        <v>0</v>
      </c>
      <c r="AN792" s="228">
        <v>0</v>
      </c>
      <c r="AO792" s="229">
        <v>13</v>
      </c>
      <c r="AP792" s="231">
        <v>3</v>
      </c>
      <c r="AQ792" s="231">
        <v>2025</v>
      </c>
      <c r="AR792" s="231" t="str">
        <f t="shared" si="100"/>
        <v>03/2025</v>
      </c>
      <c r="AS792" s="231">
        <f t="shared" si="101"/>
        <v>19.5</v>
      </c>
      <c r="AT792" s="239">
        <f>IF(G792="CERVECERIA Y MALTERIA",(AS792*AK792/1000000)*(1-VLOOKUP(N792,FCST!D:I,6,FALSE)),0)</f>
        <v>19.055088000000001</v>
      </c>
      <c r="AU792" s="232">
        <v>5.0000000000000001E-3</v>
      </c>
      <c r="AV792" s="239">
        <f t="shared" si="102"/>
        <v>19.15036344</v>
      </c>
      <c r="AW792" s="239">
        <f>(AS792*AK792/1000000)*(VLOOKUP(N792,FCST!D:I,6,FALSE))</f>
        <v>0</v>
      </c>
      <c r="AX792" s="239">
        <f t="shared" si="103"/>
        <v>0</v>
      </c>
      <c r="AY792" s="239">
        <f>IF($G792="CERVECERIA Y MALTERIA.",($AS792*$AK792/1000000)*(1-VLOOKUP($N792,FCST!D:I,6,FALSE)),0)</f>
        <v>0</v>
      </c>
      <c r="AZ792" s="239">
        <f t="shared" si="104"/>
        <v>0</v>
      </c>
    </row>
    <row r="793" spans="1:52" x14ac:dyDescent="0.25">
      <c r="A793" s="209">
        <v>1107878</v>
      </c>
      <c r="B793" s="209">
        <v>50</v>
      </c>
      <c r="C793" s="209" t="s">
        <v>1828</v>
      </c>
      <c r="D793" s="209">
        <v>10</v>
      </c>
      <c r="E793" s="209">
        <v>10000002</v>
      </c>
      <c r="F793" s="209">
        <v>20000335</v>
      </c>
      <c r="G793" s="209" t="s">
        <v>105</v>
      </c>
      <c r="H793" s="209">
        <v>20000335</v>
      </c>
      <c r="I793" s="209">
        <v>2</v>
      </c>
      <c r="J793" s="209" t="s">
        <v>169</v>
      </c>
      <c r="K793" s="209" t="s">
        <v>1829</v>
      </c>
      <c r="L793" s="209" t="s">
        <v>171</v>
      </c>
      <c r="M793" s="209" t="s">
        <v>199</v>
      </c>
      <c r="N793" s="209">
        <v>50037887</v>
      </c>
      <c r="O793" s="209" t="s">
        <v>679</v>
      </c>
      <c r="P793" s="209">
        <v>5121</v>
      </c>
      <c r="Q793" s="209" t="s">
        <v>200</v>
      </c>
      <c r="R793" s="209" t="s">
        <v>201</v>
      </c>
      <c r="S793" s="209" t="s">
        <v>202</v>
      </c>
      <c r="T793" s="209" t="s">
        <v>203</v>
      </c>
      <c r="U793" s="209" t="s">
        <v>201</v>
      </c>
      <c r="V793" s="209" t="s">
        <v>179</v>
      </c>
      <c r="W793" s="209" t="s">
        <v>179</v>
      </c>
      <c r="X793" s="209" t="s">
        <v>180</v>
      </c>
      <c r="Y793" s="209" t="s">
        <v>180</v>
      </c>
      <c r="Z793" s="209" t="s">
        <v>1830</v>
      </c>
      <c r="AA793" s="209" t="s">
        <v>1831</v>
      </c>
      <c r="AB793" s="209" t="s">
        <v>180</v>
      </c>
      <c r="AC793" s="209" t="s">
        <v>182</v>
      </c>
      <c r="AD793" s="209">
        <v>3</v>
      </c>
      <c r="AE793" s="209">
        <v>2025</v>
      </c>
      <c r="AF793" s="227">
        <v>45736</v>
      </c>
      <c r="AG793" s="227">
        <v>45742</v>
      </c>
      <c r="AH793" s="227">
        <v>45742</v>
      </c>
      <c r="AI793" s="228">
        <v>531648</v>
      </c>
      <c r="AJ793" s="228">
        <v>52</v>
      </c>
      <c r="AK793" s="228">
        <v>531648</v>
      </c>
      <c r="AL793" s="228">
        <v>52</v>
      </c>
      <c r="AM793" s="228">
        <v>0</v>
      </c>
      <c r="AN793" s="228">
        <v>0</v>
      </c>
      <c r="AO793" s="229">
        <v>13</v>
      </c>
      <c r="AP793" s="231">
        <v>3</v>
      </c>
      <c r="AQ793" s="231">
        <v>2025</v>
      </c>
      <c r="AR793" s="231" t="str">
        <f t="shared" si="100"/>
        <v>03/2025</v>
      </c>
      <c r="AS793" s="231">
        <f t="shared" si="101"/>
        <v>37.200000000000003</v>
      </c>
      <c r="AT793" s="239">
        <f>IF(G793="CERVECERIA Y MALTERIA",(AS793*AK793/1000000)*(1-VLOOKUP(N793,FCST!D:I,6,FALSE)),0)</f>
        <v>19.777305600000002</v>
      </c>
      <c r="AU793" s="232">
        <v>5.0000000000000001E-3</v>
      </c>
      <c r="AV793" s="239">
        <f t="shared" si="102"/>
        <v>19.876192128</v>
      </c>
      <c r="AW793" s="239">
        <f>(AS793*AK793/1000000)*(VLOOKUP(N793,FCST!D:I,6,FALSE))</f>
        <v>0</v>
      </c>
      <c r="AX793" s="239">
        <f t="shared" si="103"/>
        <v>0</v>
      </c>
      <c r="AY793" s="239">
        <f>IF($G793="CERVECERIA Y MALTERIA.",($AS793*$AK793/1000000)*(1-VLOOKUP($N793,FCST!D:I,6,FALSE)),0)</f>
        <v>0</v>
      </c>
      <c r="AZ793" s="239">
        <f t="shared" si="104"/>
        <v>0</v>
      </c>
    </row>
    <row r="794" spans="1:52" x14ac:dyDescent="0.25">
      <c r="A794" s="209">
        <v>1105489</v>
      </c>
      <c r="B794" s="209">
        <v>20</v>
      </c>
      <c r="C794" s="209" t="s">
        <v>1832</v>
      </c>
      <c r="D794" s="209">
        <v>10</v>
      </c>
      <c r="E794" s="209">
        <v>10000002</v>
      </c>
      <c r="F794" s="209">
        <v>20000339</v>
      </c>
      <c r="G794" s="209" t="s">
        <v>105</v>
      </c>
      <c r="H794" s="209">
        <v>20000339</v>
      </c>
      <c r="I794" s="209">
        <v>2</v>
      </c>
      <c r="J794" s="209" t="s">
        <v>169</v>
      </c>
      <c r="K794" s="209" t="s">
        <v>1833</v>
      </c>
      <c r="L794" s="209" t="s">
        <v>171</v>
      </c>
      <c r="M794" s="209" t="s">
        <v>227</v>
      </c>
      <c r="N794" s="209">
        <v>50034634</v>
      </c>
      <c r="O794" s="209" t="s">
        <v>219</v>
      </c>
      <c r="P794" s="209">
        <v>5121</v>
      </c>
      <c r="Q794" s="209" t="s">
        <v>228</v>
      </c>
      <c r="R794" s="209" t="s">
        <v>229</v>
      </c>
      <c r="S794" s="209" t="s">
        <v>230</v>
      </c>
      <c r="T794" s="209" t="s">
        <v>231</v>
      </c>
      <c r="U794" s="209" t="s">
        <v>232</v>
      </c>
      <c r="V794" s="209" t="s">
        <v>179</v>
      </c>
      <c r="W794" s="209" t="s">
        <v>179</v>
      </c>
      <c r="X794" s="209" t="s">
        <v>180</v>
      </c>
      <c r="Y794" s="209" t="s">
        <v>180</v>
      </c>
      <c r="Z794" s="209" t="s">
        <v>1834</v>
      </c>
      <c r="AA794" s="209" t="s">
        <v>1835</v>
      </c>
      <c r="AB794" s="209" t="s">
        <v>180</v>
      </c>
      <c r="AC794" s="209" t="s">
        <v>182</v>
      </c>
      <c r="AD794" s="209">
        <v>3</v>
      </c>
      <c r="AE794" s="209">
        <v>2025</v>
      </c>
      <c r="AF794" s="227">
        <v>45723</v>
      </c>
      <c r="AG794" s="227">
        <v>45737</v>
      </c>
      <c r="AH794" s="227">
        <v>45737</v>
      </c>
      <c r="AI794" s="228">
        <v>364416</v>
      </c>
      <c r="AJ794" s="228">
        <v>52</v>
      </c>
      <c r="AK794" s="228">
        <v>364416</v>
      </c>
      <c r="AL794" s="228">
        <v>52</v>
      </c>
      <c r="AM794" s="228">
        <v>0</v>
      </c>
      <c r="AN794" s="228">
        <v>0</v>
      </c>
      <c r="AO794" s="229">
        <v>10</v>
      </c>
      <c r="AP794" s="231">
        <v>3</v>
      </c>
      <c r="AQ794" s="231">
        <v>2025</v>
      </c>
      <c r="AR794" s="231" t="str">
        <f t="shared" si="100"/>
        <v>03/2025</v>
      </c>
      <c r="AS794" s="231">
        <f t="shared" si="101"/>
        <v>52</v>
      </c>
      <c r="AT794" s="239">
        <f>IF(G794="CERVECERIA Y MALTERIA",(AS794*AK794/1000000)*(1-VLOOKUP(N794,FCST!D:I,6,FALSE)),0)</f>
        <v>18.949632000000001</v>
      </c>
      <c r="AU794" s="232">
        <v>5.0000000000000001E-3</v>
      </c>
      <c r="AV794" s="239">
        <f t="shared" si="102"/>
        <v>19.044380159999999</v>
      </c>
      <c r="AW794" s="239">
        <f>(AS794*AK794/1000000)*(VLOOKUP(N794,FCST!D:I,6,FALSE))</f>
        <v>0</v>
      </c>
      <c r="AX794" s="239">
        <f t="shared" si="103"/>
        <v>0</v>
      </c>
      <c r="AY794" s="239">
        <f>IF($G794="CERVECERIA Y MALTERIA.",($AS794*$AK794/1000000)*(1-VLOOKUP($N794,FCST!D:I,6,FALSE)),0)</f>
        <v>0</v>
      </c>
      <c r="AZ794" s="239">
        <f t="shared" si="104"/>
        <v>0</v>
      </c>
    </row>
    <row r="795" spans="1:52" x14ac:dyDescent="0.25">
      <c r="A795" s="209">
        <v>1104303</v>
      </c>
      <c r="B795" s="209">
        <v>20</v>
      </c>
      <c r="C795" s="209" t="s">
        <v>1836</v>
      </c>
      <c r="D795" s="209">
        <v>10</v>
      </c>
      <c r="E795" s="209">
        <v>10000002</v>
      </c>
      <c r="F795" s="209">
        <v>20000336</v>
      </c>
      <c r="G795" s="209" t="s">
        <v>105</v>
      </c>
      <c r="H795" s="209">
        <v>20000336</v>
      </c>
      <c r="I795" s="209">
        <v>2</v>
      </c>
      <c r="J795" s="209" t="s">
        <v>169</v>
      </c>
      <c r="K795" s="209" t="s">
        <v>1837</v>
      </c>
      <c r="L795" s="209" t="s">
        <v>171</v>
      </c>
      <c r="M795" s="209" t="s">
        <v>199</v>
      </c>
      <c r="N795" s="209">
        <v>50034616</v>
      </c>
      <c r="O795" s="209" t="s">
        <v>191</v>
      </c>
      <c r="P795" s="209">
        <v>5121</v>
      </c>
      <c r="Q795" s="209" t="s">
        <v>200</v>
      </c>
      <c r="R795" s="209" t="s">
        <v>201</v>
      </c>
      <c r="S795" s="209" t="s">
        <v>202</v>
      </c>
      <c r="T795" s="209" t="s">
        <v>203</v>
      </c>
      <c r="U795" s="209" t="s">
        <v>201</v>
      </c>
      <c r="V795" s="209" t="s">
        <v>179</v>
      </c>
      <c r="W795" s="209" t="s">
        <v>179</v>
      </c>
      <c r="X795" s="209" t="s">
        <v>180</v>
      </c>
      <c r="Y795" s="209" t="s">
        <v>180</v>
      </c>
      <c r="Z795" s="209" t="s">
        <v>1838</v>
      </c>
      <c r="AA795" s="209" t="s">
        <v>1839</v>
      </c>
      <c r="AB795" s="209" t="s">
        <v>180</v>
      </c>
      <c r="AC795" s="209" t="s">
        <v>182</v>
      </c>
      <c r="AD795" s="209">
        <v>3</v>
      </c>
      <c r="AE795" s="209">
        <v>2025</v>
      </c>
      <c r="AF795" s="227">
        <v>45716</v>
      </c>
      <c r="AG795" s="227">
        <v>45737</v>
      </c>
      <c r="AH795" s="227">
        <v>45737</v>
      </c>
      <c r="AI795" s="228">
        <v>426816</v>
      </c>
      <c r="AJ795" s="228">
        <v>52</v>
      </c>
      <c r="AK795" s="228">
        <v>426816</v>
      </c>
      <c r="AL795" s="228">
        <v>52</v>
      </c>
      <c r="AM795" s="228">
        <v>0</v>
      </c>
      <c r="AN795" s="228">
        <v>0</v>
      </c>
      <c r="AO795" s="229">
        <v>10</v>
      </c>
      <c r="AP795" s="231">
        <v>3</v>
      </c>
      <c r="AQ795" s="231">
        <v>2025</v>
      </c>
      <c r="AR795" s="231" t="str">
        <f t="shared" si="100"/>
        <v>03/2025</v>
      </c>
      <c r="AS795" s="231">
        <f t="shared" si="101"/>
        <v>46.6</v>
      </c>
      <c r="AT795" s="239">
        <f>IF(G795="CERVECERIA Y MALTERIA",(AS795*AK795/1000000)*(1-VLOOKUP(N795,FCST!D:I,6,FALSE)),0)</f>
        <v>19.889625600000002</v>
      </c>
      <c r="AU795" s="232">
        <v>5.0000000000000001E-3</v>
      </c>
      <c r="AV795" s="239">
        <f t="shared" si="102"/>
        <v>19.989073728000001</v>
      </c>
      <c r="AW795" s="239">
        <f>(AS795*AK795/1000000)*(VLOOKUP(N795,FCST!D:I,6,FALSE))</f>
        <v>0</v>
      </c>
      <c r="AX795" s="239">
        <f t="shared" si="103"/>
        <v>0</v>
      </c>
      <c r="AY795" s="239">
        <f>IF($G795="CERVECERIA Y MALTERIA.",($AS795*$AK795/1000000)*(1-VLOOKUP($N795,FCST!D:I,6,FALSE)),0)</f>
        <v>0</v>
      </c>
      <c r="AZ795" s="239">
        <f t="shared" si="104"/>
        <v>0</v>
      </c>
    </row>
    <row r="796" spans="1:52" x14ac:dyDescent="0.25">
      <c r="A796" s="209">
        <v>1106861</v>
      </c>
      <c r="B796" s="209">
        <v>90</v>
      </c>
      <c r="C796" s="209" t="s">
        <v>1840</v>
      </c>
      <c r="D796" s="209">
        <v>10</v>
      </c>
      <c r="E796" s="209">
        <v>10000002</v>
      </c>
      <c r="F796" s="209">
        <v>20000335</v>
      </c>
      <c r="G796" s="209" t="s">
        <v>105</v>
      </c>
      <c r="H796" s="209">
        <v>20000335</v>
      </c>
      <c r="I796" s="209">
        <v>2</v>
      </c>
      <c r="J796" s="209" t="s">
        <v>169</v>
      </c>
      <c r="K796" s="209" t="s">
        <v>1841</v>
      </c>
      <c r="L796" s="209" t="s">
        <v>171</v>
      </c>
      <c r="M796" s="209" t="s">
        <v>199</v>
      </c>
      <c r="N796" s="209">
        <v>50037887</v>
      </c>
      <c r="O796" s="209" t="s">
        <v>679</v>
      </c>
      <c r="P796" s="209">
        <v>5121</v>
      </c>
      <c r="Q796" s="209" t="s">
        <v>200</v>
      </c>
      <c r="R796" s="209" t="s">
        <v>201</v>
      </c>
      <c r="S796" s="209" t="s">
        <v>202</v>
      </c>
      <c r="T796" s="209" t="s">
        <v>203</v>
      </c>
      <c r="U796" s="209" t="s">
        <v>201</v>
      </c>
      <c r="V796" s="209" t="s">
        <v>179</v>
      </c>
      <c r="W796" s="209" t="s">
        <v>179</v>
      </c>
      <c r="X796" s="209" t="s">
        <v>180</v>
      </c>
      <c r="Y796" s="209" t="s">
        <v>180</v>
      </c>
      <c r="Z796" s="209" t="s">
        <v>1717</v>
      </c>
      <c r="AA796" s="209" t="s">
        <v>1718</v>
      </c>
      <c r="AB796" s="209" t="s">
        <v>180</v>
      </c>
      <c r="AC796" s="209" t="s">
        <v>182</v>
      </c>
      <c r="AD796" s="209">
        <v>3</v>
      </c>
      <c r="AE796" s="209">
        <v>2025</v>
      </c>
      <c r="AF796" s="227">
        <v>45730</v>
      </c>
      <c r="AG796" s="227">
        <v>45737</v>
      </c>
      <c r="AH796" s="227">
        <v>45737</v>
      </c>
      <c r="AI796" s="228">
        <v>531648</v>
      </c>
      <c r="AJ796" s="228">
        <v>52</v>
      </c>
      <c r="AK796" s="228">
        <v>531648</v>
      </c>
      <c r="AL796" s="228">
        <v>52</v>
      </c>
      <c r="AM796" s="228">
        <v>0</v>
      </c>
      <c r="AN796" s="228">
        <v>0</v>
      </c>
      <c r="AO796" s="229">
        <v>12</v>
      </c>
      <c r="AP796" s="231">
        <v>3</v>
      </c>
      <c r="AQ796" s="231">
        <v>2025</v>
      </c>
      <c r="AR796" s="231" t="str">
        <f t="shared" si="100"/>
        <v>03/2025</v>
      </c>
      <c r="AS796" s="231">
        <f t="shared" si="101"/>
        <v>37.200000000000003</v>
      </c>
      <c r="AT796" s="239">
        <f>IF(G796="CERVECERIA Y MALTERIA",(AS796*AK796/1000000)*(1-VLOOKUP(N796,FCST!D:I,6,FALSE)),0)</f>
        <v>19.777305600000002</v>
      </c>
      <c r="AU796" s="232">
        <v>5.0000000000000001E-3</v>
      </c>
      <c r="AV796" s="239">
        <f t="shared" si="102"/>
        <v>19.876192128</v>
      </c>
      <c r="AW796" s="239">
        <f>(AS796*AK796/1000000)*(VLOOKUP(N796,FCST!D:I,6,FALSE))</f>
        <v>0</v>
      </c>
      <c r="AX796" s="239">
        <f t="shared" si="103"/>
        <v>0</v>
      </c>
      <c r="AY796" s="239">
        <f>IF($G796="CERVECERIA Y MALTERIA.",($AS796*$AK796/1000000)*(1-VLOOKUP($N796,FCST!D:I,6,FALSE)),0)</f>
        <v>0</v>
      </c>
      <c r="AZ796" s="239">
        <f t="shared" si="104"/>
        <v>0</v>
      </c>
    </row>
    <row r="797" spans="1:52" x14ac:dyDescent="0.25">
      <c r="A797" s="209">
        <v>1104116</v>
      </c>
      <c r="B797" s="209">
        <v>100</v>
      </c>
      <c r="C797" s="209" t="s">
        <v>1842</v>
      </c>
      <c r="D797" s="209">
        <v>10</v>
      </c>
      <c r="E797" s="209">
        <v>10000002</v>
      </c>
      <c r="F797" s="209">
        <v>20000337</v>
      </c>
      <c r="G797" s="209" t="s">
        <v>105</v>
      </c>
      <c r="H797" s="209">
        <v>20000337</v>
      </c>
      <c r="I797" s="209">
        <v>2</v>
      </c>
      <c r="J797" s="209" t="s">
        <v>169</v>
      </c>
      <c r="K797" s="209" t="s">
        <v>1843</v>
      </c>
      <c r="L797" s="209" t="s">
        <v>171</v>
      </c>
      <c r="M797" s="209" t="s">
        <v>199</v>
      </c>
      <c r="N797" s="209">
        <v>50035183</v>
      </c>
      <c r="O797" s="209" t="s">
        <v>215</v>
      </c>
      <c r="P797" s="209">
        <v>5121</v>
      </c>
      <c r="Q797" s="209" t="s">
        <v>200</v>
      </c>
      <c r="R797" s="209" t="s">
        <v>201</v>
      </c>
      <c r="S797" s="209" t="s">
        <v>202</v>
      </c>
      <c r="T797" s="209" t="s">
        <v>203</v>
      </c>
      <c r="U797" s="209" t="s">
        <v>201</v>
      </c>
      <c r="V797" s="209" t="s">
        <v>179</v>
      </c>
      <c r="W797" s="209" t="s">
        <v>179</v>
      </c>
      <c r="X797" s="209" t="s">
        <v>180</v>
      </c>
      <c r="Y797" s="209" t="s">
        <v>180</v>
      </c>
      <c r="Z797" s="209" t="s">
        <v>1747</v>
      </c>
      <c r="AA797" s="209" t="s">
        <v>1748</v>
      </c>
      <c r="AB797" s="209" t="s">
        <v>180</v>
      </c>
      <c r="AC797" s="209" t="s">
        <v>182</v>
      </c>
      <c r="AD797" s="209">
        <v>3</v>
      </c>
      <c r="AE797" s="209">
        <v>2025</v>
      </c>
      <c r="AF797" s="227">
        <v>45716</v>
      </c>
      <c r="AG797" s="227">
        <v>45741</v>
      </c>
      <c r="AH797" s="227">
        <v>45741</v>
      </c>
      <c r="AI797" s="228">
        <v>426816</v>
      </c>
      <c r="AJ797" s="228">
        <v>52</v>
      </c>
      <c r="AK797" s="228">
        <v>426816</v>
      </c>
      <c r="AL797" s="228">
        <v>52</v>
      </c>
      <c r="AM797" s="228">
        <v>0</v>
      </c>
      <c r="AN797" s="228">
        <v>0</v>
      </c>
      <c r="AO797" s="229">
        <v>10</v>
      </c>
      <c r="AP797" s="231">
        <v>3</v>
      </c>
      <c r="AQ797" s="231">
        <v>2025</v>
      </c>
      <c r="AR797" s="231" t="str">
        <f t="shared" si="100"/>
        <v>03/2025</v>
      </c>
      <c r="AS797" s="231">
        <f t="shared" si="101"/>
        <v>46.6</v>
      </c>
      <c r="AT797" s="239">
        <f>IF(G797="CERVECERIA Y MALTERIA",(AS797*AK797/1000000)*(1-VLOOKUP(N797,FCST!D:I,6,FALSE)),0)</f>
        <v>19.889625600000002</v>
      </c>
      <c r="AU797" s="232">
        <v>5.0000000000000001E-3</v>
      </c>
      <c r="AV797" s="239">
        <f t="shared" si="102"/>
        <v>19.989073728000001</v>
      </c>
      <c r="AW797" s="239">
        <f>(AS797*AK797/1000000)*(VLOOKUP(N797,FCST!D:I,6,FALSE))</f>
        <v>0</v>
      </c>
      <c r="AX797" s="239">
        <f t="shared" si="103"/>
        <v>0</v>
      </c>
      <c r="AY797" s="239">
        <f>IF($G797="CERVECERIA Y MALTERIA.",($AS797*$AK797/1000000)*(1-VLOOKUP($N797,FCST!D:I,6,FALSE)),0)</f>
        <v>0</v>
      </c>
      <c r="AZ797" s="239">
        <f t="shared" si="104"/>
        <v>0</v>
      </c>
    </row>
    <row r="798" spans="1:52" x14ac:dyDescent="0.25">
      <c r="A798" s="209">
        <v>1104116</v>
      </c>
      <c r="B798" s="209">
        <v>110</v>
      </c>
      <c r="C798" s="209" t="s">
        <v>1844</v>
      </c>
      <c r="D798" s="209">
        <v>10</v>
      </c>
      <c r="E798" s="209">
        <v>10000002</v>
      </c>
      <c r="F798" s="209">
        <v>20000337</v>
      </c>
      <c r="G798" s="209" t="s">
        <v>105</v>
      </c>
      <c r="H798" s="209">
        <v>20000337</v>
      </c>
      <c r="I798" s="209">
        <v>2</v>
      </c>
      <c r="J798" s="209" t="s">
        <v>169</v>
      </c>
      <c r="K798" s="209" t="s">
        <v>1845</v>
      </c>
      <c r="L798" s="209" t="s">
        <v>171</v>
      </c>
      <c r="M798" s="209" t="s">
        <v>199</v>
      </c>
      <c r="N798" s="209">
        <v>50035183</v>
      </c>
      <c r="O798" s="209" t="s">
        <v>215</v>
      </c>
      <c r="P798" s="209">
        <v>5121</v>
      </c>
      <c r="Q798" s="209" t="s">
        <v>200</v>
      </c>
      <c r="R798" s="209" t="s">
        <v>201</v>
      </c>
      <c r="S798" s="209" t="s">
        <v>202</v>
      </c>
      <c r="T798" s="209" t="s">
        <v>203</v>
      </c>
      <c r="U798" s="209" t="s">
        <v>201</v>
      </c>
      <c r="V798" s="209" t="s">
        <v>179</v>
      </c>
      <c r="W798" s="209" t="s">
        <v>179</v>
      </c>
      <c r="X798" s="209" t="s">
        <v>180</v>
      </c>
      <c r="Y798" s="209" t="s">
        <v>180</v>
      </c>
      <c r="Z798" s="209" t="s">
        <v>1747</v>
      </c>
      <c r="AA798" s="209" t="s">
        <v>1748</v>
      </c>
      <c r="AB798" s="209" t="s">
        <v>180</v>
      </c>
      <c r="AC798" s="209" t="s">
        <v>182</v>
      </c>
      <c r="AD798" s="209">
        <v>3</v>
      </c>
      <c r="AE798" s="209">
        <v>2025</v>
      </c>
      <c r="AF798" s="227">
        <v>45716</v>
      </c>
      <c r="AG798" s="227">
        <v>45742</v>
      </c>
      <c r="AH798" s="227">
        <v>45741</v>
      </c>
      <c r="AI798" s="228">
        <v>426816</v>
      </c>
      <c r="AJ798" s="228">
        <v>52</v>
      </c>
      <c r="AK798" s="228">
        <v>426816</v>
      </c>
      <c r="AL798" s="228">
        <v>52</v>
      </c>
      <c r="AM798" s="228">
        <v>0</v>
      </c>
      <c r="AN798" s="228">
        <v>0</v>
      </c>
      <c r="AO798" s="229">
        <v>10</v>
      </c>
      <c r="AP798" s="231">
        <v>3</v>
      </c>
      <c r="AQ798" s="231">
        <v>2025</v>
      </c>
      <c r="AR798" s="231" t="str">
        <f t="shared" ref="AR798:AR829" si="105">+IF(AP798&lt;10,"0"&amp;AP798&amp; "/"&amp;AQ798,AP798&amp; "/"&amp;AQ798)</f>
        <v>03/2025</v>
      </c>
      <c r="AS798" s="231">
        <f t="shared" ref="AS798:AS829" si="106">VALUE(MID(INDEX(_xlfn.TEXTSPLIT(O798, ","), 1, 3), 1,FIND("G", INDEX(_xlfn.TEXTSPLIT(O798, ","), 1, 3))-1))</f>
        <v>46.6</v>
      </c>
      <c r="AT798" s="239">
        <f>IF(G798="CERVECERIA Y MALTERIA",(AS798*AK798/1000000)*(1-VLOOKUP(N798,FCST!D:I,6,FALSE)),0)</f>
        <v>19.889625600000002</v>
      </c>
      <c r="AU798" s="232">
        <v>5.0000000000000001E-3</v>
      </c>
      <c r="AV798" s="239">
        <f t="shared" ref="AV798:AV829" si="107">+AT798*(1+AU798)</f>
        <v>19.989073728000001</v>
      </c>
      <c r="AW798" s="239">
        <f>(AS798*AK798/1000000)*(VLOOKUP(N798,FCST!D:I,6,FALSE))</f>
        <v>0</v>
      </c>
      <c r="AX798" s="239">
        <f t="shared" ref="AX798:AX829" si="108">+AW798*(1+AU798)</f>
        <v>0</v>
      </c>
      <c r="AY798" s="239">
        <f>IF($G798="CERVECERIA Y MALTERIA.",($AS798*$AK798/1000000)*(1-VLOOKUP($N798,FCST!D:I,6,FALSE)),0)</f>
        <v>0</v>
      </c>
      <c r="AZ798" s="239">
        <f t="shared" ref="AZ798:AZ829" si="109">+AY798*(1+AU798)</f>
        <v>0</v>
      </c>
    </row>
    <row r="799" spans="1:52" x14ac:dyDescent="0.25">
      <c r="A799" s="209">
        <v>1107878</v>
      </c>
      <c r="B799" s="209">
        <v>10</v>
      </c>
      <c r="C799" s="209" t="s">
        <v>1846</v>
      </c>
      <c r="D799" s="209">
        <v>10</v>
      </c>
      <c r="E799" s="209">
        <v>10000002</v>
      </c>
      <c r="F799" s="209">
        <v>20000335</v>
      </c>
      <c r="G799" s="209" t="s">
        <v>105</v>
      </c>
      <c r="H799" s="209">
        <v>20000335</v>
      </c>
      <c r="I799" s="209">
        <v>2</v>
      </c>
      <c r="J799" s="209" t="s">
        <v>169</v>
      </c>
      <c r="K799" s="209" t="s">
        <v>1847</v>
      </c>
      <c r="L799" s="209" t="s">
        <v>171</v>
      </c>
      <c r="M799" s="209" t="s">
        <v>199</v>
      </c>
      <c r="N799" s="209">
        <v>50035184</v>
      </c>
      <c r="O799" s="209" t="s">
        <v>672</v>
      </c>
      <c r="P799" s="209">
        <v>5121</v>
      </c>
      <c r="Q799" s="209" t="s">
        <v>200</v>
      </c>
      <c r="R799" s="209" t="s">
        <v>201</v>
      </c>
      <c r="S799" s="209" t="s">
        <v>202</v>
      </c>
      <c r="T799" s="209" t="s">
        <v>203</v>
      </c>
      <c r="U799" s="209" t="s">
        <v>201</v>
      </c>
      <c r="V799" s="209" t="s">
        <v>179</v>
      </c>
      <c r="W799" s="209" t="s">
        <v>179</v>
      </c>
      <c r="X799" s="209" t="s">
        <v>180</v>
      </c>
      <c r="Y799" s="209" t="s">
        <v>180</v>
      </c>
      <c r="Z799" s="209" t="s">
        <v>1848</v>
      </c>
      <c r="AA799" s="209" t="s">
        <v>1849</v>
      </c>
      <c r="AB799" s="209" t="s">
        <v>180</v>
      </c>
      <c r="AC799" s="209" t="s">
        <v>182</v>
      </c>
      <c r="AD799" s="209">
        <v>3</v>
      </c>
      <c r="AE799" s="209">
        <v>2025</v>
      </c>
      <c r="AF799" s="227">
        <v>45736</v>
      </c>
      <c r="AG799" s="227">
        <v>45741</v>
      </c>
      <c r="AH799" s="227">
        <v>45741</v>
      </c>
      <c r="AI799" s="228">
        <v>977184</v>
      </c>
      <c r="AJ799" s="228">
        <v>52</v>
      </c>
      <c r="AK799" s="228">
        <v>977184</v>
      </c>
      <c r="AL799" s="228">
        <v>52</v>
      </c>
      <c r="AM799" s="228">
        <v>0</v>
      </c>
      <c r="AN799" s="228">
        <v>0</v>
      </c>
      <c r="AO799" s="229">
        <v>13</v>
      </c>
      <c r="AP799" s="231">
        <v>3</v>
      </c>
      <c r="AQ799" s="231">
        <v>2025</v>
      </c>
      <c r="AR799" s="231" t="str">
        <f t="shared" si="105"/>
        <v>03/2025</v>
      </c>
      <c r="AS799" s="231">
        <f t="shared" si="106"/>
        <v>19.5</v>
      </c>
      <c r="AT799" s="239">
        <f>IF(G799="CERVECERIA Y MALTERIA",(AS799*AK799/1000000)*(1-VLOOKUP(N799,FCST!D:I,6,FALSE)),0)</f>
        <v>19.055088000000001</v>
      </c>
      <c r="AU799" s="232">
        <v>5.0000000000000001E-3</v>
      </c>
      <c r="AV799" s="239">
        <f t="shared" si="107"/>
        <v>19.15036344</v>
      </c>
      <c r="AW799" s="239">
        <f>(AS799*AK799/1000000)*(VLOOKUP(N799,FCST!D:I,6,FALSE))</f>
        <v>0</v>
      </c>
      <c r="AX799" s="239">
        <f t="shared" si="108"/>
        <v>0</v>
      </c>
      <c r="AY799" s="239">
        <f>IF($G799="CERVECERIA Y MALTERIA.",($AS799*$AK799/1000000)*(1-VLOOKUP($N799,FCST!D:I,6,FALSE)),0)</f>
        <v>0</v>
      </c>
      <c r="AZ799" s="239">
        <f t="shared" si="109"/>
        <v>0</v>
      </c>
    </row>
    <row r="800" spans="1:52" x14ac:dyDescent="0.25">
      <c r="A800" s="209">
        <v>1109331</v>
      </c>
      <c r="B800" s="209">
        <v>10</v>
      </c>
      <c r="C800" s="209" t="s">
        <v>1850</v>
      </c>
      <c r="D800" s="209">
        <v>10</v>
      </c>
      <c r="E800" s="209">
        <v>10000002</v>
      </c>
      <c r="F800" s="209">
        <v>20000335</v>
      </c>
      <c r="G800" s="209" t="s">
        <v>105</v>
      </c>
      <c r="H800" s="209">
        <v>20000335</v>
      </c>
      <c r="I800" s="209">
        <v>2</v>
      </c>
      <c r="J800" s="209" t="s">
        <v>169</v>
      </c>
      <c r="K800" s="209" t="s">
        <v>1851</v>
      </c>
      <c r="L800" s="209" t="s">
        <v>171</v>
      </c>
      <c r="M800" s="209" t="s">
        <v>199</v>
      </c>
      <c r="N800" s="209">
        <v>50037887</v>
      </c>
      <c r="O800" s="209" t="s">
        <v>679</v>
      </c>
      <c r="P800" s="209">
        <v>5121</v>
      </c>
      <c r="Q800" s="209" t="s">
        <v>200</v>
      </c>
      <c r="R800" s="209" t="s">
        <v>201</v>
      </c>
      <c r="S800" s="209" t="s">
        <v>202</v>
      </c>
      <c r="T800" s="209" t="s">
        <v>203</v>
      </c>
      <c r="U800" s="209" t="s">
        <v>201</v>
      </c>
      <c r="V800" s="209" t="s">
        <v>179</v>
      </c>
      <c r="W800" s="209" t="s">
        <v>179</v>
      </c>
      <c r="X800" s="209" t="s">
        <v>180</v>
      </c>
      <c r="Y800" s="209" t="s">
        <v>180</v>
      </c>
      <c r="Z800" s="209" t="s">
        <v>1852</v>
      </c>
      <c r="AA800" s="209" t="s">
        <v>1853</v>
      </c>
      <c r="AB800" s="209" t="s">
        <v>180</v>
      </c>
      <c r="AC800" s="209" t="s">
        <v>182</v>
      </c>
      <c r="AD800" s="209">
        <v>3</v>
      </c>
      <c r="AE800" s="209">
        <v>2025</v>
      </c>
      <c r="AF800" s="227">
        <v>45744</v>
      </c>
      <c r="AG800" s="227">
        <v>45747</v>
      </c>
      <c r="AH800" s="227">
        <v>45747</v>
      </c>
      <c r="AI800" s="228">
        <v>531648</v>
      </c>
      <c r="AJ800" s="228">
        <v>52</v>
      </c>
      <c r="AK800" s="228">
        <v>531648</v>
      </c>
      <c r="AL800" s="228">
        <v>52</v>
      </c>
      <c r="AM800" s="228">
        <v>0</v>
      </c>
      <c r="AN800" s="228">
        <v>0</v>
      </c>
      <c r="AO800" s="229">
        <v>14</v>
      </c>
      <c r="AP800" s="231">
        <v>3</v>
      </c>
      <c r="AQ800" s="231">
        <v>2025</v>
      </c>
      <c r="AR800" s="231" t="str">
        <f t="shared" si="105"/>
        <v>03/2025</v>
      </c>
      <c r="AS800" s="231">
        <f t="shared" si="106"/>
        <v>37.200000000000003</v>
      </c>
      <c r="AT800" s="239">
        <f>IF(G800="CERVECERIA Y MALTERIA",(AS800*AK800/1000000)*(1-VLOOKUP(N800,FCST!D:I,6,FALSE)),0)</f>
        <v>19.777305600000002</v>
      </c>
      <c r="AU800" s="232">
        <v>5.0000000000000001E-3</v>
      </c>
      <c r="AV800" s="239">
        <f t="shared" si="107"/>
        <v>19.876192128</v>
      </c>
      <c r="AW800" s="239">
        <f>(AS800*AK800/1000000)*(VLOOKUP(N800,FCST!D:I,6,FALSE))</f>
        <v>0</v>
      </c>
      <c r="AX800" s="239">
        <f t="shared" si="108"/>
        <v>0</v>
      </c>
      <c r="AY800" s="239">
        <f>IF($G800="CERVECERIA Y MALTERIA.",($AS800*$AK800/1000000)*(1-VLOOKUP($N800,FCST!D:I,6,FALSE)),0)</f>
        <v>0</v>
      </c>
      <c r="AZ800" s="239">
        <f t="shared" si="109"/>
        <v>0</v>
      </c>
    </row>
    <row r="801" spans="1:52" x14ac:dyDescent="0.25">
      <c r="A801" s="209">
        <v>1109522</v>
      </c>
      <c r="B801" s="209">
        <v>10</v>
      </c>
      <c r="C801" s="209" t="s">
        <v>1854</v>
      </c>
      <c r="D801" s="209">
        <v>10</v>
      </c>
      <c r="E801" s="209">
        <v>10000002</v>
      </c>
      <c r="F801" s="209">
        <v>20000337</v>
      </c>
      <c r="G801" s="209" t="s">
        <v>105</v>
      </c>
      <c r="H801" s="209">
        <v>20000337</v>
      </c>
      <c r="I801" s="209">
        <v>2</v>
      </c>
      <c r="J801" s="209" t="s">
        <v>169</v>
      </c>
      <c r="K801" s="209" t="s">
        <v>1855</v>
      </c>
      <c r="L801" s="209" t="s">
        <v>171</v>
      </c>
      <c r="M801" s="209" t="s">
        <v>199</v>
      </c>
      <c r="N801" s="209">
        <v>50034616</v>
      </c>
      <c r="O801" s="209" t="s">
        <v>191</v>
      </c>
      <c r="P801" s="209">
        <v>5121</v>
      </c>
      <c r="Q801" s="209" t="s">
        <v>200</v>
      </c>
      <c r="R801" s="209" t="s">
        <v>201</v>
      </c>
      <c r="S801" s="209" t="s">
        <v>202</v>
      </c>
      <c r="T801" s="209" t="s">
        <v>203</v>
      </c>
      <c r="U801" s="209" t="s">
        <v>201</v>
      </c>
      <c r="V801" s="209" t="s">
        <v>179</v>
      </c>
      <c r="W801" s="209" t="s">
        <v>179</v>
      </c>
      <c r="X801" s="209" t="s">
        <v>180</v>
      </c>
      <c r="Y801" s="209" t="s">
        <v>180</v>
      </c>
      <c r="Z801" s="209" t="s">
        <v>1856</v>
      </c>
      <c r="AA801" s="209" t="s">
        <v>1857</v>
      </c>
      <c r="AB801" s="209" t="s">
        <v>180</v>
      </c>
      <c r="AC801" s="209" t="s">
        <v>182</v>
      </c>
      <c r="AD801" s="209">
        <v>3</v>
      </c>
      <c r="AE801" s="209">
        <v>2025</v>
      </c>
      <c r="AF801" s="227">
        <v>45747</v>
      </c>
      <c r="AG801" s="227">
        <v>45747</v>
      </c>
      <c r="AH801" s="227">
        <v>45747</v>
      </c>
      <c r="AI801" s="228">
        <v>426816</v>
      </c>
      <c r="AJ801" s="228">
        <v>52</v>
      </c>
      <c r="AK801" s="228">
        <v>426816</v>
      </c>
      <c r="AL801" s="228">
        <v>52</v>
      </c>
      <c r="AM801" s="228">
        <v>0</v>
      </c>
      <c r="AN801" s="228">
        <v>0</v>
      </c>
      <c r="AO801" s="229">
        <v>14</v>
      </c>
      <c r="AP801" s="231">
        <v>3</v>
      </c>
      <c r="AQ801" s="231">
        <v>2025</v>
      </c>
      <c r="AR801" s="231" t="str">
        <f t="shared" si="105"/>
        <v>03/2025</v>
      </c>
      <c r="AS801" s="231">
        <f t="shared" si="106"/>
        <v>46.6</v>
      </c>
      <c r="AT801" s="239">
        <f>IF(G801="CERVECERIA Y MALTERIA",(AS801*AK801/1000000)*(1-VLOOKUP(N801,FCST!D:I,6,FALSE)),0)</f>
        <v>19.889625600000002</v>
      </c>
      <c r="AU801" s="232">
        <v>5.0000000000000001E-3</v>
      </c>
      <c r="AV801" s="239">
        <f t="shared" si="107"/>
        <v>19.989073728000001</v>
      </c>
      <c r="AW801" s="239">
        <f>(AS801*AK801/1000000)*(VLOOKUP(N801,FCST!D:I,6,FALSE))</f>
        <v>0</v>
      </c>
      <c r="AX801" s="239">
        <f t="shared" si="108"/>
        <v>0</v>
      </c>
      <c r="AY801" s="239">
        <f>IF($G801="CERVECERIA Y MALTERIA.",($AS801*$AK801/1000000)*(1-VLOOKUP($N801,FCST!D:I,6,FALSE)),0)</f>
        <v>0</v>
      </c>
      <c r="AZ801" s="239">
        <f t="shared" si="109"/>
        <v>0</v>
      </c>
    </row>
    <row r="802" spans="1:52" x14ac:dyDescent="0.25">
      <c r="A802" s="209">
        <v>1104303</v>
      </c>
      <c r="B802" s="209">
        <v>40</v>
      </c>
      <c r="C802" s="209" t="s">
        <v>1858</v>
      </c>
      <c r="D802" s="209">
        <v>10</v>
      </c>
      <c r="E802" s="209">
        <v>10000002</v>
      </c>
      <c r="F802" s="209">
        <v>20000336</v>
      </c>
      <c r="G802" s="209" t="s">
        <v>105</v>
      </c>
      <c r="H802" s="209">
        <v>20000336</v>
      </c>
      <c r="I802" s="209">
        <v>2</v>
      </c>
      <c r="J802" s="209" t="s">
        <v>169</v>
      </c>
      <c r="K802" s="209" t="s">
        <v>1859</v>
      </c>
      <c r="L802" s="209" t="s">
        <v>171</v>
      </c>
      <c r="M802" s="209" t="s">
        <v>199</v>
      </c>
      <c r="N802" s="209">
        <v>50034616</v>
      </c>
      <c r="O802" s="209" t="s">
        <v>191</v>
      </c>
      <c r="P802" s="209">
        <v>5121</v>
      </c>
      <c r="Q802" s="209" t="s">
        <v>200</v>
      </c>
      <c r="R802" s="209" t="s">
        <v>201</v>
      </c>
      <c r="S802" s="209" t="s">
        <v>202</v>
      </c>
      <c r="T802" s="209" t="s">
        <v>203</v>
      </c>
      <c r="U802" s="209" t="s">
        <v>201</v>
      </c>
      <c r="V802" s="209" t="s">
        <v>179</v>
      </c>
      <c r="W802" s="209" t="s">
        <v>179</v>
      </c>
      <c r="X802" s="209" t="s">
        <v>180</v>
      </c>
      <c r="Y802" s="209" t="s">
        <v>180</v>
      </c>
      <c r="Z802" s="209" t="s">
        <v>1860</v>
      </c>
      <c r="AA802" s="209" t="s">
        <v>1861</v>
      </c>
      <c r="AB802" s="209" t="s">
        <v>180</v>
      </c>
      <c r="AC802" s="209" t="s">
        <v>182</v>
      </c>
      <c r="AD802" s="209">
        <v>3</v>
      </c>
      <c r="AE802" s="209">
        <v>2025</v>
      </c>
      <c r="AF802" s="227">
        <v>45716</v>
      </c>
      <c r="AG802" s="227">
        <v>45747</v>
      </c>
      <c r="AH802" s="227">
        <v>45747</v>
      </c>
      <c r="AI802" s="228">
        <v>426816</v>
      </c>
      <c r="AJ802" s="228">
        <v>52</v>
      </c>
      <c r="AK802" s="228">
        <v>426816</v>
      </c>
      <c r="AL802" s="228">
        <v>52</v>
      </c>
      <c r="AM802" s="228">
        <v>0</v>
      </c>
      <c r="AN802" s="228">
        <v>0</v>
      </c>
      <c r="AO802" s="229">
        <v>10</v>
      </c>
      <c r="AP802" s="231">
        <v>3</v>
      </c>
      <c r="AQ802" s="231">
        <v>2025</v>
      </c>
      <c r="AR802" s="231" t="str">
        <f t="shared" si="105"/>
        <v>03/2025</v>
      </c>
      <c r="AS802" s="231">
        <f t="shared" si="106"/>
        <v>46.6</v>
      </c>
      <c r="AT802" s="239">
        <f>IF(G802="CERVECERIA Y MALTERIA",(AS802*AK802/1000000)*(1-VLOOKUP(N802,FCST!D:I,6,FALSE)),0)</f>
        <v>19.889625600000002</v>
      </c>
      <c r="AU802" s="232">
        <v>5.0000000000000001E-3</v>
      </c>
      <c r="AV802" s="239">
        <f t="shared" si="107"/>
        <v>19.989073728000001</v>
      </c>
      <c r="AW802" s="239">
        <f>(AS802*AK802/1000000)*(VLOOKUP(N802,FCST!D:I,6,FALSE))</f>
        <v>0</v>
      </c>
      <c r="AX802" s="239">
        <f t="shared" si="108"/>
        <v>0</v>
      </c>
      <c r="AY802" s="239">
        <f>IF($G802="CERVECERIA Y MALTERIA.",($AS802*$AK802/1000000)*(1-VLOOKUP($N802,FCST!D:I,6,FALSE)),0)</f>
        <v>0</v>
      </c>
      <c r="AZ802" s="239">
        <f t="shared" si="109"/>
        <v>0</v>
      </c>
    </row>
    <row r="803" spans="1:52" x14ac:dyDescent="0.25">
      <c r="A803" s="209">
        <v>1104116</v>
      </c>
      <c r="B803" s="209">
        <v>120</v>
      </c>
      <c r="C803" s="209" t="s">
        <v>1862</v>
      </c>
      <c r="D803" s="209">
        <v>10</v>
      </c>
      <c r="E803" s="209">
        <v>10000002</v>
      </c>
      <c r="F803" s="209">
        <v>20000337</v>
      </c>
      <c r="G803" s="209" t="s">
        <v>105</v>
      </c>
      <c r="H803" s="209">
        <v>20000337</v>
      </c>
      <c r="I803" s="209">
        <v>2</v>
      </c>
      <c r="J803" s="209" t="s">
        <v>169</v>
      </c>
      <c r="K803" s="209" t="s">
        <v>1863</v>
      </c>
      <c r="L803" s="209" t="s">
        <v>171</v>
      </c>
      <c r="M803" s="209" t="s">
        <v>199</v>
      </c>
      <c r="N803" s="209">
        <v>50037887</v>
      </c>
      <c r="O803" s="209" t="s">
        <v>679</v>
      </c>
      <c r="P803" s="209">
        <v>5121</v>
      </c>
      <c r="Q803" s="209" t="s">
        <v>200</v>
      </c>
      <c r="R803" s="209" t="s">
        <v>201</v>
      </c>
      <c r="S803" s="209" t="s">
        <v>202</v>
      </c>
      <c r="T803" s="209" t="s">
        <v>203</v>
      </c>
      <c r="U803" s="209" t="s">
        <v>201</v>
      </c>
      <c r="V803" s="209" t="s">
        <v>179</v>
      </c>
      <c r="W803" s="209" t="s">
        <v>179</v>
      </c>
      <c r="X803" s="209" t="s">
        <v>180</v>
      </c>
      <c r="Y803" s="209" t="s">
        <v>180</v>
      </c>
      <c r="Z803" s="209" t="s">
        <v>1864</v>
      </c>
      <c r="AA803" s="209" t="s">
        <v>1865</v>
      </c>
      <c r="AB803" s="209" t="s">
        <v>180</v>
      </c>
      <c r="AC803" s="209" t="s">
        <v>182</v>
      </c>
      <c r="AD803" s="209">
        <v>3</v>
      </c>
      <c r="AE803" s="209">
        <v>2025</v>
      </c>
      <c r="AF803" s="227">
        <v>45716</v>
      </c>
      <c r="AG803" s="227">
        <v>45743</v>
      </c>
      <c r="AH803" s="227">
        <v>45743</v>
      </c>
      <c r="AI803" s="228">
        <v>531648</v>
      </c>
      <c r="AJ803" s="228">
        <v>52</v>
      </c>
      <c r="AK803" s="228">
        <v>531648</v>
      </c>
      <c r="AL803" s="228">
        <v>52</v>
      </c>
      <c r="AM803" s="228">
        <v>0</v>
      </c>
      <c r="AN803" s="228">
        <v>0</v>
      </c>
      <c r="AO803" s="229">
        <v>10</v>
      </c>
      <c r="AP803" s="231">
        <v>3</v>
      </c>
      <c r="AQ803" s="231">
        <v>2025</v>
      </c>
      <c r="AR803" s="231" t="str">
        <f t="shared" si="105"/>
        <v>03/2025</v>
      </c>
      <c r="AS803" s="231">
        <f t="shared" si="106"/>
        <v>37.200000000000003</v>
      </c>
      <c r="AT803" s="239">
        <f>IF(G803="CERVECERIA Y MALTERIA",(AS803*AK803/1000000)*(1-VLOOKUP(N803,FCST!D:I,6,FALSE)),0)</f>
        <v>19.777305600000002</v>
      </c>
      <c r="AU803" s="232">
        <v>5.0000000000000001E-3</v>
      </c>
      <c r="AV803" s="239">
        <f t="shared" si="107"/>
        <v>19.876192128</v>
      </c>
      <c r="AW803" s="239">
        <f>(AS803*AK803/1000000)*(VLOOKUP(N803,FCST!D:I,6,FALSE))</f>
        <v>0</v>
      </c>
      <c r="AX803" s="239">
        <f t="shared" si="108"/>
        <v>0</v>
      </c>
      <c r="AY803" s="239">
        <f>IF($G803="CERVECERIA Y MALTERIA.",($AS803*$AK803/1000000)*(1-VLOOKUP($N803,FCST!D:I,6,FALSE)),0)</f>
        <v>0</v>
      </c>
      <c r="AZ803" s="239">
        <f t="shared" si="109"/>
        <v>0</v>
      </c>
    </row>
    <row r="804" spans="1:52" x14ac:dyDescent="0.25">
      <c r="A804" s="209">
        <v>1107878</v>
      </c>
      <c r="B804" s="209">
        <v>40</v>
      </c>
      <c r="C804" s="209" t="s">
        <v>1866</v>
      </c>
      <c r="D804" s="209">
        <v>10</v>
      </c>
      <c r="E804" s="209">
        <v>10000002</v>
      </c>
      <c r="F804" s="209">
        <v>20000335</v>
      </c>
      <c r="G804" s="209" t="s">
        <v>105</v>
      </c>
      <c r="H804" s="209">
        <v>20000335</v>
      </c>
      <c r="I804" s="209">
        <v>2</v>
      </c>
      <c r="J804" s="209" t="s">
        <v>169</v>
      </c>
      <c r="K804" s="209" t="s">
        <v>1867</v>
      </c>
      <c r="L804" s="209" t="s">
        <v>171</v>
      </c>
      <c r="M804" s="209" t="s">
        <v>199</v>
      </c>
      <c r="N804" s="209">
        <v>50035184</v>
      </c>
      <c r="O804" s="209" t="s">
        <v>672</v>
      </c>
      <c r="P804" s="209">
        <v>5121</v>
      </c>
      <c r="Q804" s="209" t="s">
        <v>200</v>
      </c>
      <c r="R804" s="209" t="s">
        <v>201</v>
      </c>
      <c r="S804" s="209" t="s">
        <v>202</v>
      </c>
      <c r="T804" s="209" t="s">
        <v>203</v>
      </c>
      <c r="U804" s="209" t="s">
        <v>201</v>
      </c>
      <c r="V804" s="209" t="s">
        <v>179</v>
      </c>
      <c r="W804" s="209" t="s">
        <v>179</v>
      </c>
      <c r="X804" s="209" t="s">
        <v>180</v>
      </c>
      <c r="Y804" s="209" t="s">
        <v>180</v>
      </c>
      <c r="Z804" s="209" t="s">
        <v>1868</v>
      </c>
      <c r="AA804" s="209" t="s">
        <v>1869</v>
      </c>
      <c r="AB804" s="209" t="s">
        <v>180</v>
      </c>
      <c r="AC804" s="209" t="s">
        <v>182</v>
      </c>
      <c r="AD804" s="209">
        <v>3</v>
      </c>
      <c r="AE804" s="209">
        <v>2025</v>
      </c>
      <c r="AF804" s="227">
        <v>45736</v>
      </c>
      <c r="AG804" s="227">
        <v>45744</v>
      </c>
      <c r="AH804" s="227">
        <v>45744</v>
      </c>
      <c r="AI804" s="228">
        <v>977184</v>
      </c>
      <c r="AJ804" s="228">
        <v>52</v>
      </c>
      <c r="AK804" s="228">
        <v>977184</v>
      </c>
      <c r="AL804" s="228">
        <v>52</v>
      </c>
      <c r="AM804" s="228">
        <v>0</v>
      </c>
      <c r="AN804" s="228">
        <v>0</v>
      </c>
      <c r="AO804" s="229">
        <v>13</v>
      </c>
      <c r="AP804" s="231">
        <v>3</v>
      </c>
      <c r="AQ804" s="231">
        <v>2025</v>
      </c>
      <c r="AR804" s="231" t="str">
        <f t="shared" si="105"/>
        <v>03/2025</v>
      </c>
      <c r="AS804" s="231">
        <f t="shared" si="106"/>
        <v>19.5</v>
      </c>
      <c r="AT804" s="239">
        <f>IF(G804="CERVECERIA Y MALTERIA",(AS804*AK804/1000000)*(1-VLOOKUP(N804,FCST!D:I,6,FALSE)),0)</f>
        <v>19.055088000000001</v>
      </c>
      <c r="AU804" s="232">
        <v>5.0000000000000001E-3</v>
      </c>
      <c r="AV804" s="239">
        <f t="shared" si="107"/>
        <v>19.15036344</v>
      </c>
      <c r="AW804" s="239">
        <f>(AS804*AK804/1000000)*(VLOOKUP(N804,FCST!D:I,6,FALSE))</f>
        <v>0</v>
      </c>
      <c r="AX804" s="239">
        <f t="shared" si="108"/>
        <v>0</v>
      </c>
      <c r="AY804" s="239">
        <f>IF($G804="CERVECERIA Y MALTERIA.",($AS804*$AK804/1000000)*(1-VLOOKUP($N804,FCST!D:I,6,FALSE)),0)</f>
        <v>0</v>
      </c>
      <c r="AZ804" s="239">
        <f t="shared" si="109"/>
        <v>0</v>
      </c>
    </row>
    <row r="805" spans="1:52" x14ac:dyDescent="0.25">
      <c r="A805" s="209">
        <v>1107878</v>
      </c>
      <c r="B805" s="209">
        <v>60</v>
      </c>
      <c r="C805" s="209" t="s">
        <v>1870</v>
      </c>
      <c r="D805" s="209">
        <v>10</v>
      </c>
      <c r="E805" s="209">
        <v>10000002</v>
      </c>
      <c r="F805" s="209">
        <v>20000335</v>
      </c>
      <c r="G805" s="209" t="s">
        <v>105</v>
      </c>
      <c r="H805" s="209">
        <v>20000335</v>
      </c>
      <c r="I805" s="209">
        <v>2</v>
      </c>
      <c r="J805" s="209" t="s">
        <v>169</v>
      </c>
      <c r="K805" s="209" t="s">
        <v>1871</v>
      </c>
      <c r="L805" s="209" t="s">
        <v>171</v>
      </c>
      <c r="M805" s="209" t="s">
        <v>199</v>
      </c>
      <c r="N805" s="209">
        <v>50035184</v>
      </c>
      <c r="O805" s="209" t="s">
        <v>672</v>
      </c>
      <c r="P805" s="209">
        <v>5121</v>
      </c>
      <c r="Q805" s="209" t="s">
        <v>200</v>
      </c>
      <c r="R805" s="209" t="s">
        <v>201</v>
      </c>
      <c r="S805" s="209" t="s">
        <v>202</v>
      </c>
      <c r="T805" s="209" t="s">
        <v>203</v>
      </c>
      <c r="U805" s="209" t="s">
        <v>201</v>
      </c>
      <c r="V805" s="209" t="s">
        <v>179</v>
      </c>
      <c r="W805" s="209" t="s">
        <v>179</v>
      </c>
      <c r="X805" s="209" t="s">
        <v>180</v>
      </c>
      <c r="Y805" s="209" t="s">
        <v>180</v>
      </c>
      <c r="Z805" s="209" t="s">
        <v>1826</v>
      </c>
      <c r="AA805" s="209" t="s">
        <v>1827</v>
      </c>
      <c r="AB805" s="209" t="s">
        <v>180</v>
      </c>
      <c r="AC805" s="209" t="s">
        <v>182</v>
      </c>
      <c r="AD805" s="209">
        <v>3</v>
      </c>
      <c r="AE805" s="209">
        <v>2025</v>
      </c>
      <c r="AF805" s="227">
        <v>45736</v>
      </c>
      <c r="AG805" s="227">
        <v>45743</v>
      </c>
      <c r="AH805" s="227">
        <v>45743</v>
      </c>
      <c r="AI805" s="228">
        <v>977184</v>
      </c>
      <c r="AJ805" s="228">
        <v>52</v>
      </c>
      <c r="AK805" s="228">
        <v>977184</v>
      </c>
      <c r="AL805" s="228">
        <v>52</v>
      </c>
      <c r="AM805" s="228">
        <v>0</v>
      </c>
      <c r="AN805" s="228">
        <v>0</v>
      </c>
      <c r="AO805" s="229">
        <v>13</v>
      </c>
      <c r="AP805" s="231">
        <v>3</v>
      </c>
      <c r="AQ805" s="231">
        <v>2025</v>
      </c>
      <c r="AR805" s="231" t="str">
        <f t="shared" si="105"/>
        <v>03/2025</v>
      </c>
      <c r="AS805" s="231">
        <f t="shared" si="106"/>
        <v>19.5</v>
      </c>
      <c r="AT805" s="239">
        <f>IF(G805="CERVECERIA Y MALTERIA",(AS805*AK805/1000000)*(1-VLOOKUP(N805,FCST!D:I,6,FALSE)),0)</f>
        <v>19.055088000000001</v>
      </c>
      <c r="AU805" s="232">
        <v>5.0000000000000001E-3</v>
      </c>
      <c r="AV805" s="239">
        <f t="shared" si="107"/>
        <v>19.15036344</v>
      </c>
      <c r="AW805" s="239">
        <f>(AS805*AK805/1000000)*(VLOOKUP(N805,FCST!D:I,6,FALSE))</f>
        <v>0</v>
      </c>
      <c r="AX805" s="239">
        <f t="shared" si="108"/>
        <v>0</v>
      </c>
      <c r="AY805" s="239">
        <f>IF($G805="CERVECERIA Y MALTERIA.",($AS805*$AK805/1000000)*(1-VLOOKUP($N805,FCST!D:I,6,FALSE)),0)</f>
        <v>0</v>
      </c>
      <c r="AZ805" s="239">
        <f t="shared" si="109"/>
        <v>0</v>
      </c>
    </row>
    <row r="806" spans="1:52" x14ac:dyDescent="0.25">
      <c r="A806" s="209">
        <v>1107878</v>
      </c>
      <c r="B806" s="209">
        <v>70</v>
      </c>
      <c r="C806" s="209" t="s">
        <v>1872</v>
      </c>
      <c r="D806" s="209">
        <v>10</v>
      </c>
      <c r="E806" s="209">
        <v>10000002</v>
      </c>
      <c r="F806" s="209">
        <v>20000335</v>
      </c>
      <c r="G806" s="209" t="s">
        <v>105</v>
      </c>
      <c r="H806" s="209">
        <v>20000335</v>
      </c>
      <c r="I806" s="209">
        <v>2</v>
      </c>
      <c r="J806" s="209" t="s">
        <v>169</v>
      </c>
      <c r="K806" s="209" t="s">
        <v>1873</v>
      </c>
      <c r="L806" s="209" t="s">
        <v>171</v>
      </c>
      <c r="M806" s="209" t="s">
        <v>199</v>
      </c>
      <c r="N806" s="209">
        <v>50034616</v>
      </c>
      <c r="O806" s="209" t="s">
        <v>191</v>
      </c>
      <c r="P806" s="209">
        <v>5121</v>
      </c>
      <c r="Q806" s="209" t="s">
        <v>200</v>
      </c>
      <c r="R806" s="209" t="s">
        <v>201</v>
      </c>
      <c r="S806" s="209" t="s">
        <v>202</v>
      </c>
      <c r="T806" s="209" t="s">
        <v>203</v>
      </c>
      <c r="U806" s="209" t="s">
        <v>201</v>
      </c>
      <c r="V806" s="209" t="s">
        <v>179</v>
      </c>
      <c r="W806" s="209" t="s">
        <v>179</v>
      </c>
      <c r="X806" s="209" t="s">
        <v>180</v>
      </c>
      <c r="Y806" s="209" t="s">
        <v>180</v>
      </c>
      <c r="Z806" s="209" t="s">
        <v>1874</v>
      </c>
      <c r="AA806" s="209" t="s">
        <v>1875</v>
      </c>
      <c r="AB806" s="209" t="s">
        <v>180</v>
      </c>
      <c r="AC806" s="209" t="s">
        <v>182</v>
      </c>
      <c r="AD806" s="209">
        <v>3</v>
      </c>
      <c r="AE806" s="209">
        <v>2025</v>
      </c>
      <c r="AF806" s="227">
        <v>45736</v>
      </c>
      <c r="AG806" s="227">
        <v>45744</v>
      </c>
      <c r="AH806" s="227">
        <v>45744</v>
      </c>
      <c r="AI806" s="228">
        <v>426816</v>
      </c>
      <c r="AJ806" s="228">
        <v>52</v>
      </c>
      <c r="AK806" s="228">
        <v>426816</v>
      </c>
      <c r="AL806" s="228">
        <v>52</v>
      </c>
      <c r="AM806" s="228">
        <v>0</v>
      </c>
      <c r="AN806" s="228">
        <v>0</v>
      </c>
      <c r="AO806" s="229">
        <v>13</v>
      </c>
      <c r="AP806" s="231">
        <v>3</v>
      </c>
      <c r="AQ806" s="231">
        <v>2025</v>
      </c>
      <c r="AR806" s="231" t="str">
        <f t="shared" si="105"/>
        <v>03/2025</v>
      </c>
      <c r="AS806" s="231">
        <f t="shared" si="106"/>
        <v>46.6</v>
      </c>
      <c r="AT806" s="239">
        <f>IF(G806="CERVECERIA Y MALTERIA",(AS806*AK806/1000000)*(1-VLOOKUP(N806,FCST!D:I,6,FALSE)),0)</f>
        <v>19.889625600000002</v>
      </c>
      <c r="AU806" s="232">
        <v>5.0000000000000001E-3</v>
      </c>
      <c r="AV806" s="239">
        <f t="shared" si="107"/>
        <v>19.989073728000001</v>
      </c>
      <c r="AW806" s="239">
        <f>(AS806*AK806/1000000)*(VLOOKUP(N806,FCST!D:I,6,FALSE))</f>
        <v>0</v>
      </c>
      <c r="AX806" s="239">
        <f t="shared" si="108"/>
        <v>0</v>
      </c>
      <c r="AY806" s="239">
        <f>IF($G806="CERVECERIA Y MALTERIA.",($AS806*$AK806/1000000)*(1-VLOOKUP($N806,FCST!D:I,6,FALSE)),0)</f>
        <v>0</v>
      </c>
      <c r="AZ806" s="239">
        <f t="shared" si="109"/>
        <v>0</v>
      </c>
    </row>
    <row r="807" spans="1:52" x14ac:dyDescent="0.25">
      <c r="A807" s="209">
        <v>1104116</v>
      </c>
      <c r="B807" s="209">
        <v>50</v>
      </c>
      <c r="C807" s="209" t="s">
        <v>1876</v>
      </c>
      <c r="D807" s="209">
        <v>10</v>
      </c>
      <c r="E807" s="209">
        <v>10000002</v>
      </c>
      <c r="F807" s="209">
        <v>20000337</v>
      </c>
      <c r="G807" s="209" t="s">
        <v>105</v>
      </c>
      <c r="H807" s="209">
        <v>20000337</v>
      </c>
      <c r="I807" s="209">
        <v>2</v>
      </c>
      <c r="J807" s="209" t="s">
        <v>169</v>
      </c>
      <c r="K807" s="209" t="s">
        <v>1877</v>
      </c>
      <c r="L807" s="209" t="s">
        <v>171</v>
      </c>
      <c r="M807" s="209" t="s">
        <v>199</v>
      </c>
      <c r="N807" s="209">
        <v>50034616</v>
      </c>
      <c r="O807" s="209" t="s">
        <v>191</v>
      </c>
      <c r="P807" s="209">
        <v>5121</v>
      </c>
      <c r="Q807" s="209" t="s">
        <v>200</v>
      </c>
      <c r="R807" s="209" t="s">
        <v>201</v>
      </c>
      <c r="S807" s="209" t="s">
        <v>202</v>
      </c>
      <c r="T807" s="209" t="s">
        <v>203</v>
      </c>
      <c r="U807" s="209" t="s">
        <v>201</v>
      </c>
      <c r="V807" s="209" t="s">
        <v>179</v>
      </c>
      <c r="W807" s="209" t="s">
        <v>179</v>
      </c>
      <c r="X807" s="209" t="s">
        <v>180</v>
      </c>
      <c r="Y807" s="209" t="s">
        <v>180</v>
      </c>
      <c r="Z807" s="209" t="s">
        <v>1705</v>
      </c>
      <c r="AA807" s="209" t="s">
        <v>1706</v>
      </c>
      <c r="AB807" s="209" t="s">
        <v>180</v>
      </c>
      <c r="AC807" s="209" t="s">
        <v>182</v>
      </c>
      <c r="AD807" s="209">
        <v>3</v>
      </c>
      <c r="AE807" s="209">
        <v>2025</v>
      </c>
      <c r="AF807" s="227">
        <v>45716</v>
      </c>
      <c r="AG807" s="227">
        <v>45728</v>
      </c>
      <c r="AH807" s="227">
        <v>45727</v>
      </c>
      <c r="AI807" s="228">
        <v>426816</v>
      </c>
      <c r="AJ807" s="228">
        <v>52</v>
      </c>
      <c r="AK807" s="228">
        <v>426816</v>
      </c>
      <c r="AL807" s="228">
        <v>52</v>
      </c>
      <c r="AM807" s="228">
        <v>0</v>
      </c>
      <c r="AN807" s="228">
        <v>0</v>
      </c>
      <c r="AO807" s="229">
        <v>10</v>
      </c>
      <c r="AP807" s="231">
        <v>3</v>
      </c>
      <c r="AQ807" s="231">
        <v>2025</v>
      </c>
      <c r="AR807" s="231" t="str">
        <f t="shared" si="105"/>
        <v>03/2025</v>
      </c>
      <c r="AS807" s="231">
        <f t="shared" si="106"/>
        <v>46.6</v>
      </c>
      <c r="AT807" s="239">
        <f>IF(G807="CERVECERIA Y MALTERIA",(AS807*AK807/1000000)*(1-VLOOKUP(N807,FCST!D:I,6,FALSE)),0)</f>
        <v>19.889625600000002</v>
      </c>
      <c r="AU807" s="232">
        <v>5.0000000000000001E-3</v>
      </c>
      <c r="AV807" s="239">
        <f t="shared" si="107"/>
        <v>19.989073728000001</v>
      </c>
      <c r="AW807" s="239">
        <f>(AS807*AK807/1000000)*(VLOOKUP(N807,FCST!D:I,6,FALSE))</f>
        <v>0</v>
      </c>
      <c r="AX807" s="239">
        <f t="shared" si="108"/>
        <v>0</v>
      </c>
      <c r="AY807" s="239">
        <f>IF($G807="CERVECERIA Y MALTERIA.",($AS807*$AK807/1000000)*(1-VLOOKUP($N807,FCST!D:I,6,FALSE)),0)</f>
        <v>0</v>
      </c>
      <c r="AZ807" s="239">
        <f t="shared" si="109"/>
        <v>0</v>
      </c>
    </row>
    <row r="808" spans="1:52" x14ac:dyDescent="0.25">
      <c r="A808" s="209">
        <v>1105035</v>
      </c>
      <c r="B808" s="209">
        <v>50</v>
      </c>
      <c r="C808" s="209" t="s">
        <v>1878</v>
      </c>
      <c r="D808" s="209">
        <v>10</v>
      </c>
      <c r="E808" s="209">
        <v>10000002</v>
      </c>
      <c r="F808" s="209">
        <v>20000335</v>
      </c>
      <c r="G808" s="209" t="s">
        <v>105</v>
      </c>
      <c r="H808" s="209">
        <v>20000335</v>
      </c>
      <c r="I808" s="209">
        <v>2</v>
      </c>
      <c r="J808" s="209" t="s">
        <v>169</v>
      </c>
      <c r="K808" s="209" t="s">
        <v>1879</v>
      </c>
      <c r="L808" s="209" t="s">
        <v>171</v>
      </c>
      <c r="M808" s="209" t="s">
        <v>199</v>
      </c>
      <c r="N808" s="209">
        <v>50034616</v>
      </c>
      <c r="O808" s="209" t="s">
        <v>191</v>
      </c>
      <c r="P808" s="209">
        <v>5121</v>
      </c>
      <c r="Q808" s="209" t="s">
        <v>200</v>
      </c>
      <c r="R808" s="209" t="s">
        <v>201</v>
      </c>
      <c r="S808" s="209" t="s">
        <v>202</v>
      </c>
      <c r="T808" s="209" t="s">
        <v>203</v>
      </c>
      <c r="U808" s="209" t="s">
        <v>201</v>
      </c>
      <c r="V808" s="209" t="s">
        <v>179</v>
      </c>
      <c r="W808" s="209" t="s">
        <v>179</v>
      </c>
      <c r="X808" s="209" t="s">
        <v>180</v>
      </c>
      <c r="Y808" s="209" t="s">
        <v>180</v>
      </c>
      <c r="Z808" s="209" t="s">
        <v>1733</v>
      </c>
      <c r="AA808" s="209" t="s">
        <v>1734</v>
      </c>
      <c r="AB808" s="209" t="s">
        <v>180</v>
      </c>
      <c r="AC808" s="209" t="s">
        <v>182</v>
      </c>
      <c r="AD808" s="209">
        <v>3</v>
      </c>
      <c r="AE808" s="209">
        <v>2025</v>
      </c>
      <c r="AF808" s="227">
        <v>45722</v>
      </c>
      <c r="AG808" s="227">
        <v>45727</v>
      </c>
      <c r="AH808" s="227">
        <v>45727</v>
      </c>
      <c r="AI808" s="228">
        <v>426816</v>
      </c>
      <c r="AJ808" s="228">
        <v>52</v>
      </c>
      <c r="AK808" s="228">
        <v>426816</v>
      </c>
      <c r="AL808" s="228">
        <v>52</v>
      </c>
      <c r="AM808" s="228">
        <v>0</v>
      </c>
      <c r="AN808" s="228">
        <v>0</v>
      </c>
      <c r="AO808" s="229">
        <v>11</v>
      </c>
      <c r="AP808" s="231">
        <v>3</v>
      </c>
      <c r="AQ808" s="231">
        <v>2025</v>
      </c>
      <c r="AR808" s="231" t="str">
        <f t="shared" si="105"/>
        <v>03/2025</v>
      </c>
      <c r="AS808" s="231">
        <f t="shared" si="106"/>
        <v>46.6</v>
      </c>
      <c r="AT808" s="239">
        <f>IF(G808="CERVECERIA Y MALTERIA",(AS808*AK808/1000000)*(1-VLOOKUP(N808,FCST!D:I,6,FALSE)),0)</f>
        <v>19.889625600000002</v>
      </c>
      <c r="AU808" s="232">
        <v>5.0000000000000001E-3</v>
      </c>
      <c r="AV808" s="239">
        <f t="shared" si="107"/>
        <v>19.989073728000001</v>
      </c>
      <c r="AW808" s="239">
        <f>(AS808*AK808/1000000)*(VLOOKUP(N808,FCST!D:I,6,FALSE))</f>
        <v>0</v>
      </c>
      <c r="AX808" s="239">
        <f t="shared" si="108"/>
        <v>0</v>
      </c>
      <c r="AY808" s="239">
        <f>IF($G808="CERVECERIA Y MALTERIA.",($AS808*$AK808/1000000)*(1-VLOOKUP($N808,FCST!D:I,6,FALSE)),0)</f>
        <v>0</v>
      </c>
      <c r="AZ808" s="239">
        <f t="shared" si="109"/>
        <v>0</v>
      </c>
    </row>
    <row r="809" spans="1:52" x14ac:dyDescent="0.25">
      <c r="A809" s="209">
        <v>1105035</v>
      </c>
      <c r="B809" s="209">
        <v>10</v>
      </c>
      <c r="C809" s="209" t="s">
        <v>1880</v>
      </c>
      <c r="D809" s="209">
        <v>10</v>
      </c>
      <c r="E809" s="209">
        <v>10000002</v>
      </c>
      <c r="F809" s="209">
        <v>20000335</v>
      </c>
      <c r="G809" s="209" t="s">
        <v>105</v>
      </c>
      <c r="H809" s="209">
        <v>20000335</v>
      </c>
      <c r="I809" s="209">
        <v>2</v>
      </c>
      <c r="J809" s="209" t="s">
        <v>169</v>
      </c>
      <c r="K809" s="209" t="s">
        <v>1881</v>
      </c>
      <c r="L809" s="209" t="s">
        <v>171</v>
      </c>
      <c r="M809" s="209" t="s">
        <v>199</v>
      </c>
      <c r="N809" s="209">
        <v>50037887</v>
      </c>
      <c r="O809" s="209" t="s">
        <v>679</v>
      </c>
      <c r="P809" s="209">
        <v>5121</v>
      </c>
      <c r="Q809" s="209" t="s">
        <v>200</v>
      </c>
      <c r="R809" s="209" t="s">
        <v>201</v>
      </c>
      <c r="S809" s="209" t="s">
        <v>202</v>
      </c>
      <c r="T809" s="209" t="s">
        <v>203</v>
      </c>
      <c r="U809" s="209" t="s">
        <v>201</v>
      </c>
      <c r="V809" s="209" t="s">
        <v>179</v>
      </c>
      <c r="W809" s="209" t="s">
        <v>179</v>
      </c>
      <c r="X809" s="209" t="s">
        <v>180</v>
      </c>
      <c r="Y809" s="209" t="s">
        <v>180</v>
      </c>
      <c r="Z809" s="209" t="s">
        <v>1717</v>
      </c>
      <c r="AA809" s="209" t="s">
        <v>1718</v>
      </c>
      <c r="AB809" s="209" t="s">
        <v>180</v>
      </c>
      <c r="AC809" s="209" t="s">
        <v>182</v>
      </c>
      <c r="AD809" s="209">
        <v>3</v>
      </c>
      <c r="AE809" s="209">
        <v>2025</v>
      </c>
      <c r="AF809" s="227">
        <v>45722</v>
      </c>
      <c r="AG809" s="227">
        <v>45726</v>
      </c>
      <c r="AH809" s="227">
        <v>45726</v>
      </c>
      <c r="AI809" s="228">
        <v>531648</v>
      </c>
      <c r="AJ809" s="228">
        <v>52</v>
      </c>
      <c r="AK809" s="228">
        <v>531648</v>
      </c>
      <c r="AL809" s="228">
        <v>52</v>
      </c>
      <c r="AM809" s="228">
        <v>0</v>
      </c>
      <c r="AN809" s="228">
        <v>0</v>
      </c>
      <c r="AO809" s="229">
        <v>11</v>
      </c>
      <c r="AP809" s="231">
        <v>3</v>
      </c>
      <c r="AQ809" s="231">
        <v>2025</v>
      </c>
      <c r="AR809" s="231" t="str">
        <f t="shared" si="105"/>
        <v>03/2025</v>
      </c>
      <c r="AS809" s="231">
        <f t="shared" si="106"/>
        <v>37.200000000000003</v>
      </c>
      <c r="AT809" s="239">
        <f>IF(G809="CERVECERIA Y MALTERIA",(AS809*AK809/1000000)*(1-VLOOKUP(N809,FCST!D:I,6,FALSE)),0)</f>
        <v>19.777305600000002</v>
      </c>
      <c r="AU809" s="232">
        <v>5.0000000000000001E-3</v>
      </c>
      <c r="AV809" s="239">
        <f t="shared" si="107"/>
        <v>19.876192128</v>
      </c>
      <c r="AW809" s="239">
        <f>(AS809*AK809/1000000)*(VLOOKUP(N809,FCST!D:I,6,FALSE))</f>
        <v>0</v>
      </c>
      <c r="AX809" s="239">
        <f t="shared" si="108"/>
        <v>0</v>
      </c>
      <c r="AY809" s="239">
        <f>IF($G809="CERVECERIA Y MALTERIA.",($AS809*$AK809/1000000)*(1-VLOOKUP($N809,FCST!D:I,6,FALSE)),0)</f>
        <v>0</v>
      </c>
      <c r="AZ809" s="239">
        <f t="shared" si="109"/>
        <v>0</v>
      </c>
    </row>
    <row r="810" spans="1:52" x14ac:dyDescent="0.25">
      <c r="A810" s="209">
        <v>1104116</v>
      </c>
      <c r="B810" s="209">
        <v>60</v>
      </c>
      <c r="C810" s="209" t="s">
        <v>1882</v>
      </c>
      <c r="D810" s="209">
        <v>10</v>
      </c>
      <c r="E810" s="209">
        <v>10000002</v>
      </c>
      <c r="F810" s="209">
        <v>20000337</v>
      </c>
      <c r="G810" s="209" t="s">
        <v>105</v>
      </c>
      <c r="H810" s="209">
        <v>20000337</v>
      </c>
      <c r="I810" s="209">
        <v>2</v>
      </c>
      <c r="J810" s="209" t="s">
        <v>169</v>
      </c>
      <c r="K810" s="209" t="s">
        <v>1883</v>
      </c>
      <c r="L810" s="209" t="s">
        <v>171</v>
      </c>
      <c r="M810" s="209" t="s">
        <v>199</v>
      </c>
      <c r="N810" s="209">
        <v>50034616</v>
      </c>
      <c r="O810" s="209" t="s">
        <v>191</v>
      </c>
      <c r="P810" s="209">
        <v>5121</v>
      </c>
      <c r="Q810" s="209" t="s">
        <v>200</v>
      </c>
      <c r="R810" s="209" t="s">
        <v>201</v>
      </c>
      <c r="S810" s="209" t="s">
        <v>202</v>
      </c>
      <c r="T810" s="209" t="s">
        <v>203</v>
      </c>
      <c r="U810" s="209" t="s">
        <v>201</v>
      </c>
      <c r="V810" s="209" t="s">
        <v>179</v>
      </c>
      <c r="W810" s="209" t="s">
        <v>179</v>
      </c>
      <c r="X810" s="209" t="s">
        <v>180</v>
      </c>
      <c r="Y810" s="209" t="s">
        <v>180</v>
      </c>
      <c r="Z810" s="209" t="s">
        <v>1705</v>
      </c>
      <c r="AA810" s="209" t="s">
        <v>1706</v>
      </c>
      <c r="AB810" s="209" t="s">
        <v>180</v>
      </c>
      <c r="AC810" s="209" t="s">
        <v>182</v>
      </c>
      <c r="AD810" s="209">
        <v>3</v>
      </c>
      <c r="AE810" s="209">
        <v>2025</v>
      </c>
      <c r="AF810" s="227">
        <v>45716</v>
      </c>
      <c r="AG810" s="227">
        <v>45729</v>
      </c>
      <c r="AH810" s="227">
        <v>45728</v>
      </c>
      <c r="AI810" s="228">
        <v>426816</v>
      </c>
      <c r="AJ810" s="228">
        <v>52</v>
      </c>
      <c r="AK810" s="228">
        <v>426816</v>
      </c>
      <c r="AL810" s="228">
        <v>52</v>
      </c>
      <c r="AM810" s="228">
        <v>0</v>
      </c>
      <c r="AN810" s="228">
        <v>0</v>
      </c>
      <c r="AO810" s="229">
        <v>10</v>
      </c>
      <c r="AP810" s="231">
        <v>3</v>
      </c>
      <c r="AQ810" s="231">
        <v>2025</v>
      </c>
      <c r="AR810" s="231" t="str">
        <f t="shared" si="105"/>
        <v>03/2025</v>
      </c>
      <c r="AS810" s="231">
        <f t="shared" si="106"/>
        <v>46.6</v>
      </c>
      <c r="AT810" s="239">
        <f>IF(G810="CERVECERIA Y MALTERIA",(AS810*AK810/1000000)*(1-VLOOKUP(N810,FCST!D:I,6,FALSE)),0)</f>
        <v>19.889625600000002</v>
      </c>
      <c r="AU810" s="232">
        <v>5.0000000000000001E-3</v>
      </c>
      <c r="AV810" s="239">
        <f t="shared" si="107"/>
        <v>19.989073728000001</v>
      </c>
      <c r="AW810" s="239">
        <f>(AS810*AK810/1000000)*(VLOOKUP(N810,FCST!D:I,6,FALSE))</f>
        <v>0</v>
      </c>
      <c r="AX810" s="239">
        <f t="shared" si="108"/>
        <v>0</v>
      </c>
      <c r="AY810" s="239">
        <f>IF($G810="CERVECERIA Y MALTERIA.",($AS810*$AK810/1000000)*(1-VLOOKUP($N810,FCST!D:I,6,FALSE)),0)</f>
        <v>0</v>
      </c>
      <c r="AZ810" s="239">
        <f t="shared" si="109"/>
        <v>0</v>
      </c>
    </row>
    <row r="811" spans="1:52" x14ac:dyDescent="0.25">
      <c r="A811" s="209">
        <v>1104116</v>
      </c>
      <c r="B811" s="209">
        <v>10</v>
      </c>
      <c r="C811" s="209" t="s">
        <v>1884</v>
      </c>
      <c r="D811" s="209">
        <v>10</v>
      </c>
      <c r="E811" s="209">
        <v>10000002</v>
      </c>
      <c r="F811" s="209">
        <v>20000337</v>
      </c>
      <c r="G811" s="209" t="s">
        <v>105</v>
      </c>
      <c r="H811" s="209">
        <v>20000337</v>
      </c>
      <c r="I811" s="209">
        <v>2</v>
      </c>
      <c r="J811" s="209" t="s">
        <v>169</v>
      </c>
      <c r="K811" s="209" t="s">
        <v>1885</v>
      </c>
      <c r="L811" s="209" t="s">
        <v>171</v>
      </c>
      <c r="M811" s="209" t="s">
        <v>199</v>
      </c>
      <c r="N811" s="209">
        <v>50035183</v>
      </c>
      <c r="O811" s="209" t="s">
        <v>215</v>
      </c>
      <c r="P811" s="209">
        <v>5121</v>
      </c>
      <c r="Q811" s="209" t="s">
        <v>200</v>
      </c>
      <c r="R811" s="209" t="s">
        <v>201</v>
      </c>
      <c r="S811" s="209" t="s">
        <v>202</v>
      </c>
      <c r="T811" s="209" t="s">
        <v>203</v>
      </c>
      <c r="U811" s="209" t="s">
        <v>201</v>
      </c>
      <c r="V811" s="209" t="s">
        <v>179</v>
      </c>
      <c r="W811" s="209" t="s">
        <v>179</v>
      </c>
      <c r="X811" s="209" t="s">
        <v>180</v>
      </c>
      <c r="Y811" s="209" t="s">
        <v>180</v>
      </c>
      <c r="Z811" s="209" t="s">
        <v>1747</v>
      </c>
      <c r="AA811" s="209" t="s">
        <v>1748</v>
      </c>
      <c r="AB811" s="209" t="s">
        <v>180</v>
      </c>
      <c r="AC811" s="209" t="s">
        <v>182</v>
      </c>
      <c r="AD811" s="209">
        <v>3</v>
      </c>
      <c r="AE811" s="209">
        <v>2025</v>
      </c>
      <c r="AF811" s="227">
        <v>45716</v>
      </c>
      <c r="AG811" s="227">
        <v>45721</v>
      </c>
      <c r="AH811" s="227">
        <v>45722</v>
      </c>
      <c r="AI811" s="228">
        <v>426816</v>
      </c>
      <c r="AJ811" s="228">
        <v>52</v>
      </c>
      <c r="AK811" s="228">
        <v>426816</v>
      </c>
      <c r="AL811" s="228">
        <v>52</v>
      </c>
      <c r="AM811" s="228">
        <v>0</v>
      </c>
      <c r="AN811" s="228">
        <v>0</v>
      </c>
      <c r="AO811" s="229">
        <v>10</v>
      </c>
      <c r="AP811" s="231">
        <v>3</v>
      </c>
      <c r="AQ811" s="231">
        <v>2025</v>
      </c>
      <c r="AR811" s="231" t="str">
        <f t="shared" si="105"/>
        <v>03/2025</v>
      </c>
      <c r="AS811" s="231">
        <f t="shared" si="106"/>
        <v>46.6</v>
      </c>
      <c r="AT811" s="239">
        <f>IF(G811="CERVECERIA Y MALTERIA",(AS811*AK811/1000000)*(1-VLOOKUP(N811,FCST!D:I,6,FALSE)),0)</f>
        <v>19.889625600000002</v>
      </c>
      <c r="AU811" s="232">
        <v>5.0000000000000001E-3</v>
      </c>
      <c r="AV811" s="239">
        <f t="shared" si="107"/>
        <v>19.989073728000001</v>
      </c>
      <c r="AW811" s="239">
        <f>(AS811*AK811/1000000)*(VLOOKUP(N811,FCST!D:I,6,FALSE))</f>
        <v>0</v>
      </c>
      <c r="AX811" s="239">
        <f t="shared" si="108"/>
        <v>0</v>
      </c>
      <c r="AY811" s="239">
        <f>IF($G811="CERVECERIA Y MALTERIA.",($AS811*$AK811/1000000)*(1-VLOOKUP($N811,FCST!D:I,6,FALSE)),0)</f>
        <v>0</v>
      </c>
      <c r="AZ811" s="239">
        <f t="shared" si="109"/>
        <v>0</v>
      </c>
    </row>
    <row r="812" spans="1:52" x14ac:dyDescent="0.25">
      <c r="A812" s="209">
        <v>1104116</v>
      </c>
      <c r="B812" s="209">
        <v>20</v>
      </c>
      <c r="C812" s="209" t="s">
        <v>1886</v>
      </c>
      <c r="D812" s="209">
        <v>10</v>
      </c>
      <c r="E812" s="209">
        <v>10000002</v>
      </c>
      <c r="F812" s="209">
        <v>20000337</v>
      </c>
      <c r="G812" s="209" t="s">
        <v>105</v>
      </c>
      <c r="H812" s="209">
        <v>20000337</v>
      </c>
      <c r="I812" s="209">
        <v>2</v>
      </c>
      <c r="J812" s="209" t="s">
        <v>169</v>
      </c>
      <c r="K812" s="209" t="s">
        <v>1887</v>
      </c>
      <c r="L812" s="209" t="s">
        <v>171</v>
      </c>
      <c r="M812" s="209" t="s">
        <v>199</v>
      </c>
      <c r="N812" s="209">
        <v>50035183</v>
      </c>
      <c r="O812" s="209" t="s">
        <v>215</v>
      </c>
      <c r="P812" s="209">
        <v>5121</v>
      </c>
      <c r="Q812" s="209" t="s">
        <v>200</v>
      </c>
      <c r="R812" s="209" t="s">
        <v>201</v>
      </c>
      <c r="S812" s="209" t="s">
        <v>202</v>
      </c>
      <c r="T812" s="209" t="s">
        <v>203</v>
      </c>
      <c r="U812" s="209" t="s">
        <v>201</v>
      </c>
      <c r="V812" s="209" t="s">
        <v>179</v>
      </c>
      <c r="W812" s="209" t="s">
        <v>179</v>
      </c>
      <c r="X812" s="209" t="s">
        <v>180</v>
      </c>
      <c r="Y812" s="209" t="s">
        <v>180</v>
      </c>
      <c r="Z812" s="209" t="s">
        <v>1747</v>
      </c>
      <c r="AA812" s="209" t="s">
        <v>1748</v>
      </c>
      <c r="AB812" s="209" t="s">
        <v>180</v>
      </c>
      <c r="AC812" s="209" t="s">
        <v>182</v>
      </c>
      <c r="AD812" s="209">
        <v>3</v>
      </c>
      <c r="AE812" s="209">
        <v>2025</v>
      </c>
      <c r="AF812" s="227">
        <v>45716</v>
      </c>
      <c r="AG812" s="227">
        <v>45722</v>
      </c>
      <c r="AH812" s="227">
        <v>45722</v>
      </c>
      <c r="AI812" s="228">
        <v>426816</v>
      </c>
      <c r="AJ812" s="228">
        <v>52</v>
      </c>
      <c r="AK812" s="228">
        <v>426816</v>
      </c>
      <c r="AL812" s="228">
        <v>52</v>
      </c>
      <c r="AM812" s="228">
        <v>0</v>
      </c>
      <c r="AN812" s="228">
        <v>0</v>
      </c>
      <c r="AO812" s="229">
        <v>10</v>
      </c>
      <c r="AP812" s="231">
        <v>3</v>
      </c>
      <c r="AQ812" s="231">
        <v>2025</v>
      </c>
      <c r="AR812" s="231" t="str">
        <f t="shared" si="105"/>
        <v>03/2025</v>
      </c>
      <c r="AS812" s="231">
        <f t="shared" si="106"/>
        <v>46.6</v>
      </c>
      <c r="AT812" s="239">
        <f>IF(G812="CERVECERIA Y MALTERIA",(AS812*AK812/1000000)*(1-VLOOKUP(N812,FCST!D:I,6,FALSE)),0)</f>
        <v>19.889625600000002</v>
      </c>
      <c r="AU812" s="232">
        <v>5.0000000000000001E-3</v>
      </c>
      <c r="AV812" s="239">
        <f t="shared" si="107"/>
        <v>19.989073728000001</v>
      </c>
      <c r="AW812" s="239">
        <f>(AS812*AK812/1000000)*(VLOOKUP(N812,FCST!D:I,6,FALSE))</f>
        <v>0</v>
      </c>
      <c r="AX812" s="239">
        <f t="shared" si="108"/>
        <v>0</v>
      </c>
      <c r="AY812" s="239">
        <f>IF($G812="CERVECERIA Y MALTERIA.",($AS812*$AK812/1000000)*(1-VLOOKUP($N812,FCST!D:I,6,FALSE)),0)</f>
        <v>0</v>
      </c>
      <c r="AZ812" s="239">
        <f t="shared" si="109"/>
        <v>0</v>
      </c>
    </row>
    <row r="813" spans="1:52" x14ac:dyDescent="0.25">
      <c r="A813" s="209">
        <v>1100790</v>
      </c>
      <c r="B813" s="209">
        <v>90</v>
      </c>
      <c r="C813" s="209" t="s">
        <v>1888</v>
      </c>
      <c r="D813" s="209">
        <v>10</v>
      </c>
      <c r="E813" s="209">
        <v>10000002</v>
      </c>
      <c r="F813" s="209">
        <v>20000336</v>
      </c>
      <c r="G813" s="209" t="s">
        <v>105</v>
      </c>
      <c r="H813" s="209">
        <v>20000336</v>
      </c>
      <c r="I813" s="209">
        <v>2</v>
      </c>
      <c r="J813" s="209" t="s">
        <v>169</v>
      </c>
      <c r="K813" s="209" t="s">
        <v>1889</v>
      </c>
      <c r="L813" s="209" t="s">
        <v>171</v>
      </c>
      <c r="M813" s="209" t="s">
        <v>199</v>
      </c>
      <c r="N813" s="209">
        <v>50037887</v>
      </c>
      <c r="O813" s="209" t="s">
        <v>679</v>
      </c>
      <c r="P813" s="209">
        <v>5121</v>
      </c>
      <c r="Q813" s="209" t="s">
        <v>200</v>
      </c>
      <c r="R813" s="209" t="s">
        <v>201</v>
      </c>
      <c r="S813" s="209" t="s">
        <v>202</v>
      </c>
      <c r="T813" s="209" t="s">
        <v>203</v>
      </c>
      <c r="U813" s="209" t="s">
        <v>201</v>
      </c>
      <c r="V813" s="209" t="s">
        <v>179</v>
      </c>
      <c r="W813" s="209" t="s">
        <v>179</v>
      </c>
      <c r="X813" s="209" t="s">
        <v>180</v>
      </c>
      <c r="Y813" s="209" t="s">
        <v>180</v>
      </c>
      <c r="Z813" s="209" t="s">
        <v>1890</v>
      </c>
      <c r="AA813" s="209" t="s">
        <v>1891</v>
      </c>
      <c r="AB813" s="209" t="s">
        <v>180</v>
      </c>
      <c r="AC813" s="209" t="s">
        <v>182</v>
      </c>
      <c r="AD813" s="209">
        <v>2</v>
      </c>
      <c r="AE813" s="209">
        <v>2025</v>
      </c>
      <c r="AF813" s="227">
        <v>45699</v>
      </c>
      <c r="AG813" s="227">
        <v>45722</v>
      </c>
      <c r="AH813" s="227">
        <v>45722</v>
      </c>
      <c r="AI813" s="228">
        <v>531648</v>
      </c>
      <c r="AJ813" s="228">
        <v>52</v>
      </c>
      <c r="AK813" s="228">
        <v>531648</v>
      </c>
      <c r="AL813" s="228">
        <v>52</v>
      </c>
      <c r="AM813" s="228">
        <v>0</v>
      </c>
      <c r="AN813" s="228">
        <v>0</v>
      </c>
      <c r="AO813" s="229">
        <v>7</v>
      </c>
      <c r="AP813" s="231">
        <v>3</v>
      </c>
      <c r="AQ813" s="231">
        <v>2025</v>
      </c>
      <c r="AR813" s="231" t="str">
        <f t="shared" si="105"/>
        <v>03/2025</v>
      </c>
      <c r="AS813" s="231">
        <f t="shared" si="106"/>
        <v>37.200000000000003</v>
      </c>
      <c r="AT813" s="239">
        <f>IF(G813="CERVECERIA Y MALTERIA",(AS813*AK813/1000000)*(1-VLOOKUP(N813,FCST!D:I,6,FALSE)),0)</f>
        <v>19.777305600000002</v>
      </c>
      <c r="AU813" s="232">
        <v>5.0000000000000001E-3</v>
      </c>
      <c r="AV813" s="239">
        <f t="shared" si="107"/>
        <v>19.876192128</v>
      </c>
      <c r="AW813" s="239">
        <f>(AS813*AK813/1000000)*(VLOOKUP(N813,FCST!D:I,6,FALSE))</f>
        <v>0</v>
      </c>
      <c r="AX813" s="239">
        <f t="shared" si="108"/>
        <v>0</v>
      </c>
      <c r="AY813" s="239">
        <f>IF($G813="CERVECERIA Y MALTERIA.",($AS813*$AK813/1000000)*(1-VLOOKUP($N813,FCST!D:I,6,FALSE)),0)</f>
        <v>0</v>
      </c>
      <c r="AZ813" s="239">
        <f t="shared" si="109"/>
        <v>0</v>
      </c>
    </row>
    <row r="814" spans="1:52" x14ac:dyDescent="0.25">
      <c r="A814" s="209">
        <v>1104117</v>
      </c>
      <c r="B814" s="209">
        <v>20</v>
      </c>
      <c r="C814" s="209" t="s">
        <v>1892</v>
      </c>
      <c r="D814" s="209">
        <v>10</v>
      </c>
      <c r="E814" s="209">
        <v>10000002</v>
      </c>
      <c r="F814" s="209">
        <v>20000335</v>
      </c>
      <c r="G814" s="209" t="s">
        <v>105</v>
      </c>
      <c r="H814" s="209">
        <v>20000335</v>
      </c>
      <c r="I814" s="209">
        <v>2</v>
      </c>
      <c r="J814" s="209" t="s">
        <v>169</v>
      </c>
      <c r="K814" s="209" t="s">
        <v>1893</v>
      </c>
      <c r="L814" s="209" t="s">
        <v>171</v>
      </c>
      <c r="M814" s="209" t="s">
        <v>199</v>
      </c>
      <c r="N814" s="209">
        <v>50034616</v>
      </c>
      <c r="O814" s="209" t="s">
        <v>191</v>
      </c>
      <c r="P814" s="209">
        <v>5121</v>
      </c>
      <c r="Q814" s="209" t="s">
        <v>200</v>
      </c>
      <c r="R814" s="209" t="s">
        <v>201</v>
      </c>
      <c r="S814" s="209" t="s">
        <v>202</v>
      </c>
      <c r="T814" s="209" t="s">
        <v>203</v>
      </c>
      <c r="U814" s="209" t="s">
        <v>201</v>
      </c>
      <c r="V814" s="209" t="s">
        <v>179</v>
      </c>
      <c r="W814" s="209" t="s">
        <v>179</v>
      </c>
      <c r="X814" s="209" t="s">
        <v>180</v>
      </c>
      <c r="Y814" s="209" t="s">
        <v>180</v>
      </c>
      <c r="Z814" s="209" t="s">
        <v>1733</v>
      </c>
      <c r="AA814" s="209" t="s">
        <v>1734</v>
      </c>
      <c r="AB814" s="209" t="s">
        <v>180</v>
      </c>
      <c r="AC814" s="209" t="s">
        <v>182</v>
      </c>
      <c r="AD814" s="209">
        <v>3</v>
      </c>
      <c r="AE814" s="209">
        <v>2025</v>
      </c>
      <c r="AF814" s="227">
        <v>45716</v>
      </c>
      <c r="AG814" s="227">
        <v>45721</v>
      </c>
      <c r="AH814" s="227">
        <v>45721</v>
      </c>
      <c r="AI814" s="228">
        <v>426816</v>
      </c>
      <c r="AJ814" s="228">
        <v>52</v>
      </c>
      <c r="AK814" s="228">
        <v>426816</v>
      </c>
      <c r="AL814" s="228">
        <v>52</v>
      </c>
      <c r="AM814" s="228">
        <v>0</v>
      </c>
      <c r="AN814" s="228">
        <v>0</v>
      </c>
      <c r="AO814" s="229">
        <v>10</v>
      </c>
      <c r="AP814" s="231">
        <v>3</v>
      </c>
      <c r="AQ814" s="231">
        <v>2025</v>
      </c>
      <c r="AR814" s="231" t="str">
        <f t="shared" si="105"/>
        <v>03/2025</v>
      </c>
      <c r="AS814" s="231">
        <f t="shared" si="106"/>
        <v>46.6</v>
      </c>
      <c r="AT814" s="239">
        <f>IF(G814="CERVECERIA Y MALTERIA",(AS814*AK814/1000000)*(1-VLOOKUP(N814,FCST!D:I,6,FALSE)),0)</f>
        <v>19.889625600000002</v>
      </c>
      <c r="AU814" s="232">
        <v>5.0000000000000001E-3</v>
      </c>
      <c r="AV814" s="239">
        <f t="shared" si="107"/>
        <v>19.989073728000001</v>
      </c>
      <c r="AW814" s="239">
        <f>(AS814*AK814/1000000)*(VLOOKUP(N814,FCST!D:I,6,FALSE))</f>
        <v>0</v>
      </c>
      <c r="AX814" s="239">
        <f t="shared" si="108"/>
        <v>0</v>
      </c>
      <c r="AY814" s="239">
        <f>IF($G814="CERVECERIA Y MALTERIA.",($AS814*$AK814/1000000)*(1-VLOOKUP($N814,FCST!D:I,6,FALSE)),0)</f>
        <v>0</v>
      </c>
      <c r="AZ814" s="239">
        <f t="shared" si="109"/>
        <v>0</v>
      </c>
    </row>
    <row r="815" spans="1:52" x14ac:dyDescent="0.25">
      <c r="A815" s="209">
        <v>1105046</v>
      </c>
      <c r="B815" s="209">
        <v>10</v>
      </c>
      <c r="C815" s="209" t="s">
        <v>1894</v>
      </c>
      <c r="D815" s="209">
        <v>10</v>
      </c>
      <c r="E815" s="209">
        <v>10000002</v>
      </c>
      <c r="F815" s="209">
        <v>20001057</v>
      </c>
      <c r="G815" s="209" t="s">
        <v>105</v>
      </c>
      <c r="H815" s="209">
        <v>20001057</v>
      </c>
      <c r="I815" s="209">
        <v>2</v>
      </c>
      <c r="J815" s="209" t="s">
        <v>169</v>
      </c>
      <c r="K815" s="209" t="s">
        <v>1895</v>
      </c>
      <c r="L815" s="209" t="s">
        <v>171</v>
      </c>
      <c r="M815" s="209" t="s">
        <v>199</v>
      </c>
      <c r="N815" s="209">
        <v>50035184</v>
      </c>
      <c r="O815" s="209" t="s">
        <v>672</v>
      </c>
      <c r="P815" s="209">
        <v>5121</v>
      </c>
      <c r="Q815" s="209" t="s">
        <v>200</v>
      </c>
      <c r="R815" s="209" t="s">
        <v>201</v>
      </c>
      <c r="S815" s="209" t="s">
        <v>202</v>
      </c>
      <c r="T815" s="209" t="s">
        <v>203</v>
      </c>
      <c r="U815" s="209" t="s">
        <v>201</v>
      </c>
      <c r="V815" s="209" t="s">
        <v>179</v>
      </c>
      <c r="W815" s="209" t="s">
        <v>179</v>
      </c>
      <c r="X815" s="209" t="s">
        <v>180</v>
      </c>
      <c r="Y815" s="209" t="s">
        <v>180</v>
      </c>
      <c r="Z815" s="209" t="s">
        <v>1896</v>
      </c>
      <c r="AA815" s="209" t="s">
        <v>1897</v>
      </c>
      <c r="AB815" s="209" t="s">
        <v>180</v>
      </c>
      <c r="AC815" s="209" t="s">
        <v>182</v>
      </c>
      <c r="AD815" s="209">
        <v>3</v>
      </c>
      <c r="AE815" s="209">
        <v>2025</v>
      </c>
      <c r="AF815" s="227">
        <v>45722</v>
      </c>
      <c r="AG815" s="227">
        <v>45723</v>
      </c>
      <c r="AH815" s="227">
        <v>45723</v>
      </c>
      <c r="AI815" s="228">
        <v>902016</v>
      </c>
      <c r="AJ815" s="228">
        <v>48</v>
      </c>
      <c r="AK815" s="228">
        <v>902016</v>
      </c>
      <c r="AL815" s="228">
        <v>48</v>
      </c>
      <c r="AM815" s="228">
        <v>0</v>
      </c>
      <c r="AN815" s="228">
        <v>0</v>
      </c>
      <c r="AO815" s="229">
        <v>10</v>
      </c>
      <c r="AP815" s="231">
        <v>3</v>
      </c>
      <c r="AQ815" s="231">
        <v>2025</v>
      </c>
      <c r="AR815" s="231" t="str">
        <f t="shared" si="105"/>
        <v>03/2025</v>
      </c>
      <c r="AS815" s="231">
        <f t="shared" si="106"/>
        <v>19.5</v>
      </c>
      <c r="AT815" s="239">
        <f>IF(G815="CERVECERIA Y MALTERIA",(AS815*AK815/1000000)*(1-VLOOKUP(N815,FCST!D:I,6,FALSE)),0)</f>
        <v>17.589312</v>
      </c>
      <c r="AU815" s="232">
        <v>5.0000000000000001E-3</v>
      </c>
      <c r="AV815" s="239">
        <f t="shared" si="107"/>
        <v>17.677258559999999</v>
      </c>
      <c r="AW815" s="239">
        <f>(AS815*AK815/1000000)*(VLOOKUP(N815,FCST!D:I,6,FALSE))</f>
        <v>0</v>
      </c>
      <c r="AX815" s="239">
        <f t="shared" si="108"/>
        <v>0</v>
      </c>
      <c r="AY815" s="239">
        <f>IF($G815="CERVECERIA Y MALTERIA.",($AS815*$AK815/1000000)*(1-VLOOKUP($N815,FCST!D:I,6,FALSE)),0)</f>
        <v>0</v>
      </c>
      <c r="AZ815" s="239">
        <f t="shared" si="109"/>
        <v>0</v>
      </c>
    </row>
    <row r="816" spans="1:52" x14ac:dyDescent="0.25">
      <c r="A816" s="209">
        <v>1104117</v>
      </c>
      <c r="B816" s="209">
        <v>60</v>
      </c>
      <c r="C816" s="209" t="s">
        <v>1898</v>
      </c>
      <c r="D816" s="209">
        <v>10</v>
      </c>
      <c r="E816" s="209">
        <v>10000002</v>
      </c>
      <c r="F816" s="209">
        <v>20000335</v>
      </c>
      <c r="G816" s="209" t="s">
        <v>105</v>
      </c>
      <c r="H816" s="209">
        <v>20000335</v>
      </c>
      <c r="I816" s="209">
        <v>2</v>
      </c>
      <c r="J816" s="209" t="s">
        <v>169</v>
      </c>
      <c r="K816" s="209" t="s">
        <v>1899</v>
      </c>
      <c r="L816" s="209" t="s">
        <v>171</v>
      </c>
      <c r="M816" s="209" t="s">
        <v>199</v>
      </c>
      <c r="N816" s="209">
        <v>50037887</v>
      </c>
      <c r="O816" s="209" t="s">
        <v>679</v>
      </c>
      <c r="P816" s="209">
        <v>5121</v>
      </c>
      <c r="Q816" s="209" t="s">
        <v>200</v>
      </c>
      <c r="R816" s="209" t="s">
        <v>201</v>
      </c>
      <c r="S816" s="209" t="s">
        <v>202</v>
      </c>
      <c r="T816" s="209" t="s">
        <v>203</v>
      </c>
      <c r="U816" s="209" t="s">
        <v>201</v>
      </c>
      <c r="V816" s="209" t="s">
        <v>179</v>
      </c>
      <c r="W816" s="209" t="s">
        <v>179</v>
      </c>
      <c r="X816" s="209" t="s">
        <v>180</v>
      </c>
      <c r="Y816" s="209" t="s">
        <v>180</v>
      </c>
      <c r="Z816" s="209" t="s">
        <v>1717</v>
      </c>
      <c r="AA816" s="209" t="s">
        <v>1718</v>
      </c>
      <c r="AB816" s="209" t="s">
        <v>180</v>
      </c>
      <c r="AC816" s="209" t="s">
        <v>182</v>
      </c>
      <c r="AD816" s="209">
        <v>3</v>
      </c>
      <c r="AE816" s="209">
        <v>2025</v>
      </c>
      <c r="AF816" s="227">
        <v>45716</v>
      </c>
      <c r="AG816" s="227">
        <v>45723</v>
      </c>
      <c r="AH816" s="227">
        <v>45723</v>
      </c>
      <c r="AI816" s="228">
        <v>531648</v>
      </c>
      <c r="AJ816" s="228">
        <v>52</v>
      </c>
      <c r="AK816" s="228">
        <v>531648</v>
      </c>
      <c r="AL816" s="228">
        <v>52</v>
      </c>
      <c r="AM816" s="228">
        <v>0</v>
      </c>
      <c r="AN816" s="228">
        <v>0</v>
      </c>
      <c r="AO816" s="229">
        <v>10</v>
      </c>
      <c r="AP816" s="231">
        <v>3</v>
      </c>
      <c r="AQ816" s="231">
        <v>2025</v>
      </c>
      <c r="AR816" s="231" t="str">
        <f t="shared" si="105"/>
        <v>03/2025</v>
      </c>
      <c r="AS816" s="231">
        <f t="shared" si="106"/>
        <v>37.200000000000003</v>
      </c>
      <c r="AT816" s="239">
        <f>IF(G816="CERVECERIA Y MALTERIA",(AS816*AK816/1000000)*(1-VLOOKUP(N816,FCST!D:I,6,FALSE)),0)</f>
        <v>19.777305600000002</v>
      </c>
      <c r="AU816" s="232">
        <v>5.0000000000000001E-3</v>
      </c>
      <c r="AV816" s="239">
        <f t="shared" si="107"/>
        <v>19.876192128</v>
      </c>
      <c r="AW816" s="239">
        <f>(AS816*AK816/1000000)*(VLOOKUP(N816,FCST!D:I,6,FALSE))</f>
        <v>0</v>
      </c>
      <c r="AX816" s="239">
        <f t="shared" si="108"/>
        <v>0</v>
      </c>
      <c r="AY816" s="239">
        <f>IF($G816="CERVECERIA Y MALTERIA.",($AS816*$AK816/1000000)*(1-VLOOKUP($N816,FCST!D:I,6,FALSE)),0)</f>
        <v>0</v>
      </c>
      <c r="AZ816" s="239">
        <f t="shared" si="109"/>
        <v>0</v>
      </c>
    </row>
    <row r="817" spans="1:52" x14ac:dyDescent="0.25">
      <c r="A817" s="209">
        <v>1104117</v>
      </c>
      <c r="B817" s="209">
        <v>50</v>
      </c>
      <c r="C817" s="209" t="s">
        <v>1900</v>
      </c>
      <c r="D817" s="209">
        <v>10</v>
      </c>
      <c r="E817" s="209">
        <v>10000002</v>
      </c>
      <c r="F817" s="209">
        <v>20000335</v>
      </c>
      <c r="G817" s="209" t="s">
        <v>105</v>
      </c>
      <c r="H817" s="209">
        <v>20000335</v>
      </c>
      <c r="I817" s="209">
        <v>2</v>
      </c>
      <c r="J817" s="209" t="s">
        <v>169</v>
      </c>
      <c r="K817" s="209" t="s">
        <v>1901</v>
      </c>
      <c r="L817" s="209" t="s">
        <v>171</v>
      </c>
      <c r="M817" s="209" t="s">
        <v>199</v>
      </c>
      <c r="N817" s="209">
        <v>50035184</v>
      </c>
      <c r="O817" s="209" t="s">
        <v>672</v>
      </c>
      <c r="P817" s="209">
        <v>5121</v>
      </c>
      <c r="Q817" s="209" t="s">
        <v>200</v>
      </c>
      <c r="R817" s="209" t="s">
        <v>201</v>
      </c>
      <c r="S817" s="209" t="s">
        <v>202</v>
      </c>
      <c r="T817" s="209" t="s">
        <v>203</v>
      </c>
      <c r="U817" s="209" t="s">
        <v>201</v>
      </c>
      <c r="V817" s="209" t="s">
        <v>179</v>
      </c>
      <c r="W817" s="209" t="s">
        <v>179</v>
      </c>
      <c r="X817" s="209" t="s">
        <v>180</v>
      </c>
      <c r="Y817" s="209" t="s">
        <v>180</v>
      </c>
      <c r="Z817" s="209" t="s">
        <v>1848</v>
      </c>
      <c r="AA817" s="209" t="s">
        <v>1849</v>
      </c>
      <c r="AB817" s="209" t="s">
        <v>180</v>
      </c>
      <c r="AC817" s="209" t="s">
        <v>182</v>
      </c>
      <c r="AD817" s="209">
        <v>3</v>
      </c>
      <c r="AE817" s="209">
        <v>2025</v>
      </c>
      <c r="AF817" s="227">
        <v>45716</v>
      </c>
      <c r="AG817" s="227">
        <v>45723</v>
      </c>
      <c r="AH817" s="227">
        <v>45723</v>
      </c>
      <c r="AI817" s="228">
        <v>977184</v>
      </c>
      <c r="AJ817" s="228">
        <v>52</v>
      </c>
      <c r="AK817" s="228">
        <v>977184</v>
      </c>
      <c r="AL817" s="228">
        <v>52</v>
      </c>
      <c r="AM817" s="228">
        <v>0</v>
      </c>
      <c r="AN817" s="228">
        <v>0</v>
      </c>
      <c r="AO817" s="229">
        <v>10</v>
      </c>
      <c r="AP817" s="231">
        <v>3</v>
      </c>
      <c r="AQ817" s="231">
        <v>2025</v>
      </c>
      <c r="AR817" s="231" t="str">
        <f t="shared" si="105"/>
        <v>03/2025</v>
      </c>
      <c r="AS817" s="231">
        <f t="shared" si="106"/>
        <v>19.5</v>
      </c>
      <c r="AT817" s="239">
        <f>IF(G817="CERVECERIA Y MALTERIA",(AS817*AK817/1000000)*(1-VLOOKUP(N817,FCST!D:I,6,FALSE)),0)</f>
        <v>19.055088000000001</v>
      </c>
      <c r="AU817" s="232">
        <v>5.0000000000000001E-3</v>
      </c>
      <c r="AV817" s="239">
        <f t="shared" si="107"/>
        <v>19.15036344</v>
      </c>
      <c r="AW817" s="239">
        <f>(AS817*AK817/1000000)*(VLOOKUP(N817,FCST!D:I,6,FALSE))</f>
        <v>0</v>
      </c>
      <c r="AX817" s="239">
        <f t="shared" si="108"/>
        <v>0</v>
      </c>
      <c r="AY817" s="239">
        <f>IF($G817="CERVECERIA Y MALTERIA.",($AS817*$AK817/1000000)*(1-VLOOKUP($N817,FCST!D:I,6,FALSE)),0)</f>
        <v>0</v>
      </c>
      <c r="AZ817" s="239">
        <f t="shared" si="109"/>
        <v>0</v>
      </c>
    </row>
    <row r="818" spans="1:52" x14ac:dyDescent="0.25">
      <c r="A818" s="209">
        <v>1100790</v>
      </c>
      <c r="B818" s="209">
        <v>80</v>
      </c>
      <c r="C818" s="209" t="s">
        <v>1902</v>
      </c>
      <c r="D818" s="209">
        <v>10</v>
      </c>
      <c r="E818" s="209">
        <v>10000002</v>
      </c>
      <c r="F818" s="209">
        <v>20000336</v>
      </c>
      <c r="G818" s="209" t="s">
        <v>105</v>
      </c>
      <c r="H818" s="209">
        <v>20000336</v>
      </c>
      <c r="I818" s="209">
        <v>2</v>
      </c>
      <c r="J818" s="209" t="s">
        <v>169</v>
      </c>
      <c r="K818" s="209" t="s">
        <v>1903</v>
      </c>
      <c r="L818" s="209" t="s">
        <v>171</v>
      </c>
      <c r="M818" s="209" t="s">
        <v>199</v>
      </c>
      <c r="N818" s="209">
        <v>50035183</v>
      </c>
      <c r="O818" s="209" t="s">
        <v>215</v>
      </c>
      <c r="P818" s="209">
        <v>5121</v>
      </c>
      <c r="Q818" s="209" t="s">
        <v>200</v>
      </c>
      <c r="R818" s="209" t="s">
        <v>201</v>
      </c>
      <c r="S818" s="209" t="s">
        <v>202</v>
      </c>
      <c r="T818" s="209" t="s">
        <v>203</v>
      </c>
      <c r="U818" s="209" t="s">
        <v>201</v>
      </c>
      <c r="V818" s="209" t="s">
        <v>179</v>
      </c>
      <c r="W818" s="209" t="s">
        <v>179</v>
      </c>
      <c r="X818" s="209" t="s">
        <v>180</v>
      </c>
      <c r="Y818" s="209" t="s">
        <v>180</v>
      </c>
      <c r="Z818" s="209" t="s">
        <v>1904</v>
      </c>
      <c r="AA818" s="209" t="s">
        <v>1905</v>
      </c>
      <c r="AB818" s="209" t="s">
        <v>180</v>
      </c>
      <c r="AC818" s="209" t="s">
        <v>182</v>
      </c>
      <c r="AD818" s="209">
        <v>2</v>
      </c>
      <c r="AE818" s="209">
        <v>2025</v>
      </c>
      <c r="AF818" s="227">
        <v>45699</v>
      </c>
      <c r="AG818" s="227">
        <v>45723</v>
      </c>
      <c r="AH818" s="227">
        <v>45723</v>
      </c>
      <c r="AI818" s="228">
        <v>426816</v>
      </c>
      <c r="AJ818" s="228">
        <v>52</v>
      </c>
      <c r="AK818" s="228">
        <v>426816</v>
      </c>
      <c r="AL818" s="228">
        <v>52</v>
      </c>
      <c r="AM818" s="228">
        <v>0</v>
      </c>
      <c r="AN818" s="228">
        <v>0</v>
      </c>
      <c r="AO818" s="229">
        <v>7</v>
      </c>
      <c r="AP818" s="231">
        <v>3</v>
      </c>
      <c r="AQ818" s="231">
        <v>2025</v>
      </c>
      <c r="AR818" s="231" t="str">
        <f t="shared" si="105"/>
        <v>03/2025</v>
      </c>
      <c r="AS818" s="231">
        <f t="shared" si="106"/>
        <v>46.6</v>
      </c>
      <c r="AT818" s="239">
        <f>IF(G818="CERVECERIA Y MALTERIA",(AS818*AK818/1000000)*(1-VLOOKUP(N818,FCST!D:I,6,FALSE)),0)</f>
        <v>19.889625600000002</v>
      </c>
      <c r="AU818" s="232">
        <v>5.0000000000000001E-3</v>
      </c>
      <c r="AV818" s="239">
        <f t="shared" si="107"/>
        <v>19.989073728000001</v>
      </c>
      <c r="AW818" s="239">
        <f>(AS818*AK818/1000000)*(VLOOKUP(N818,FCST!D:I,6,FALSE))</f>
        <v>0</v>
      </c>
      <c r="AX818" s="239">
        <f t="shared" si="108"/>
        <v>0</v>
      </c>
      <c r="AY818" s="239">
        <f>IF($G818="CERVECERIA Y MALTERIA.",($AS818*$AK818/1000000)*(1-VLOOKUP($N818,FCST!D:I,6,FALSE)),0)</f>
        <v>0</v>
      </c>
      <c r="AZ818" s="239">
        <f t="shared" si="109"/>
        <v>0</v>
      </c>
    </row>
    <row r="819" spans="1:52" x14ac:dyDescent="0.25">
      <c r="A819" s="209">
        <v>1105046</v>
      </c>
      <c r="B819" s="209">
        <v>40</v>
      </c>
      <c r="C819" s="209" t="s">
        <v>1906</v>
      </c>
      <c r="D819" s="209">
        <v>10</v>
      </c>
      <c r="E819" s="209">
        <v>10000002</v>
      </c>
      <c r="F819" s="209">
        <v>20001057</v>
      </c>
      <c r="G819" s="209" t="s">
        <v>105</v>
      </c>
      <c r="H819" s="209">
        <v>20001057</v>
      </c>
      <c r="I819" s="209">
        <v>2</v>
      </c>
      <c r="J819" s="209" t="s">
        <v>169</v>
      </c>
      <c r="K819" s="209" t="s">
        <v>1907</v>
      </c>
      <c r="L819" s="209" t="s">
        <v>171</v>
      </c>
      <c r="M819" s="209" t="s">
        <v>199</v>
      </c>
      <c r="N819" s="209">
        <v>50035183</v>
      </c>
      <c r="O819" s="209" t="s">
        <v>215</v>
      </c>
      <c r="P819" s="209">
        <v>5121</v>
      </c>
      <c r="Q819" s="209" t="s">
        <v>200</v>
      </c>
      <c r="R819" s="209" t="s">
        <v>201</v>
      </c>
      <c r="S819" s="209" t="s">
        <v>202</v>
      </c>
      <c r="T819" s="209" t="s">
        <v>203</v>
      </c>
      <c r="U819" s="209" t="s">
        <v>201</v>
      </c>
      <c r="V819" s="209" t="s">
        <v>179</v>
      </c>
      <c r="W819" s="209" t="s">
        <v>179</v>
      </c>
      <c r="X819" s="209" t="s">
        <v>180</v>
      </c>
      <c r="Y819" s="209" t="s">
        <v>180</v>
      </c>
      <c r="Z819" s="209" t="s">
        <v>1908</v>
      </c>
      <c r="AA819" s="209" t="s">
        <v>1909</v>
      </c>
      <c r="AB819" s="209" t="s">
        <v>180</v>
      </c>
      <c r="AC819" s="209" t="s">
        <v>182</v>
      </c>
      <c r="AD819" s="209">
        <v>3</v>
      </c>
      <c r="AE819" s="209">
        <v>2025</v>
      </c>
      <c r="AF819" s="227">
        <v>45722</v>
      </c>
      <c r="AG819" s="227">
        <v>45734</v>
      </c>
      <c r="AH819" s="227">
        <v>45734</v>
      </c>
      <c r="AI819" s="228">
        <v>57456</v>
      </c>
      <c r="AJ819" s="228">
        <v>7</v>
      </c>
      <c r="AK819" s="228">
        <v>57456</v>
      </c>
      <c r="AL819" s="228">
        <v>7</v>
      </c>
      <c r="AM819" s="228">
        <v>0</v>
      </c>
      <c r="AN819" s="228">
        <v>0</v>
      </c>
      <c r="AO819" s="229">
        <v>10</v>
      </c>
      <c r="AP819" s="231">
        <v>3</v>
      </c>
      <c r="AQ819" s="231">
        <v>2025</v>
      </c>
      <c r="AR819" s="231" t="str">
        <f t="shared" si="105"/>
        <v>03/2025</v>
      </c>
      <c r="AS819" s="231">
        <f t="shared" si="106"/>
        <v>46.6</v>
      </c>
      <c r="AT819" s="239">
        <f>IF(G819="CERVECERIA Y MALTERIA",(AS819*AK819/1000000)*(1-VLOOKUP(N819,FCST!D:I,6,FALSE)),0)</f>
        <v>2.6774496000000001</v>
      </c>
      <c r="AU819" s="232">
        <v>5.0000000000000001E-3</v>
      </c>
      <c r="AV819" s="239">
        <f t="shared" si="107"/>
        <v>2.690836848</v>
      </c>
      <c r="AW819" s="239">
        <f>(AS819*AK819/1000000)*(VLOOKUP(N819,FCST!D:I,6,FALSE))</f>
        <v>0</v>
      </c>
      <c r="AX819" s="239">
        <f t="shared" si="108"/>
        <v>0</v>
      </c>
      <c r="AY819" s="239">
        <f>IF($G819="CERVECERIA Y MALTERIA.",($AS819*$AK819/1000000)*(1-VLOOKUP($N819,FCST!D:I,6,FALSE)),0)</f>
        <v>0</v>
      </c>
      <c r="AZ819" s="239">
        <f t="shared" si="109"/>
        <v>0</v>
      </c>
    </row>
    <row r="820" spans="1:52" x14ac:dyDescent="0.25">
      <c r="A820" s="209">
        <v>1106861</v>
      </c>
      <c r="B820" s="209">
        <v>80</v>
      </c>
      <c r="C820" s="209" t="s">
        <v>1910</v>
      </c>
      <c r="D820" s="209">
        <v>10</v>
      </c>
      <c r="E820" s="209">
        <v>10000002</v>
      </c>
      <c r="F820" s="209">
        <v>20000335</v>
      </c>
      <c r="G820" s="209" t="s">
        <v>105</v>
      </c>
      <c r="H820" s="209">
        <v>20000335</v>
      </c>
      <c r="I820" s="209">
        <v>2</v>
      </c>
      <c r="J820" s="209" t="s">
        <v>169</v>
      </c>
      <c r="K820" s="209" t="s">
        <v>1911</v>
      </c>
      <c r="L820" s="209" t="s">
        <v>171</v>
      </c>
      <c r="M820" s="209" t="s">
        <v>199</v>
      </c>
      <c r="N820" s="209">
        <v>50035184</v>
      </c>
      <c r="O820" s="209" t="s">
        <v>672</v>
      </c>
      <c r="P820" s="209">
        <v>5121</v>
      </c>
      <c r="Q820" s="209" t="s">
        <v>200</v>
      </c>
      <c r="R820" s="209" t="s">
        <v>201</v>
      </c>
      <c r="S820" s="209" t="s">
        <v>202</v>
      </c>
      <c r="T820" s="209" t="s">
        <v>203</v>
      </c>
      <c r="U820" s="209" t="s">
        <v>201</v>
      </c>
      <c r="V820" s="209" t="s">
        <v>179</v>
      </c>
      <c r="W820" s="209" t="s">
        <v>179</v>
      </c>
      <c r="X820" s="209" t="s">
        <v>180</v>
      </c>
      <c r="Y820" s="209" t="s">
        <v>180</v>
      </c>
      <c r="Z820" s="209" t="s">
        <v>1848</v>
      </c>
      <c r="AA820" s="209" t="s">
        <v>1849</v>
      </c>
      <c r="AB820" s="209" t="s">
        <v>180</v>
      </c>
      <c r="AC820" s="209" t="s">
        <v>182</v>
      </c>
      <c r="AD820" s="209">
        <v>3</v>
      </c>
      <c r="AE820" s="209">
        <v>2025</v>
      </c>
      <c r="AF820" s="227">
        <v>45730</v>
      </c>
      <c r="AG820" s="227">
        <v>45736</v>
      </c>
      <c r="AH820" s="227">
        <v>45736</v>
      </c>
      <c r="AI820" s="228">
        <v>977184</v>
      </c>
      <c r="AJ820" s="228">
        <v>52</v>
      </c>
      <c r="AK820" s="228">
        <v>977184</v>
      </c>
      <c r="AL820" s="228">
        <v>52</v>
      </c>
      <c r="AM820" s="228">
        <v>0</v>
      </c>
      <c r="AN820" s="228">
        <v>0</v>
      </c>
      <c r="AO820" s="229">
        <v>12</v>
      </c>
      <c r="AP820" s="231">
        <v>3</v>
      </c>
      <c r="AQ820" s="231">
        <v>2025</v>
      </c>
      <c r="AR820" s="231" t="str">
        <f t="shared" si="105"/>
        <v>03/2025</v>
      </c>
      <c r="AS820" s="231">
        <f t="shared" si="106"/>
        <v>19.5</v>
      </c>
      <c r="AT820" s="239">
        <f>IF(G820="CERVECERIA Y MALTERIA",(AS820*AK820/1000000)*(1-VLOOKUP(N820,FCST!D:I,6,FALSE)),0)</f>
        <v>19.055088000000001</v>
      </c>
      <c r="AU820" s="232">
        <v>5.0000000000000001E-3</v>
      </c>
      <c r="AV820" s="239">
        <f t="shared" si="107"/>
        <v>19.15036344</v>
      </c>
      <c r="AW820" s="239">
        <f>(AS820*AK820/1000000)*(VLOOKUP(N820,FCST!D:I,6,FALSE))</f>
        <v>0</v>
      </c>
      <c r="AX820" s="239">
        <f t="shared" si="108"/>
        <v>0</v>
      </c>
      <c r="AY820" s="239">
        <f>IF($G820="CERVECERIA Y MALTERIA.",($AS820*$AK820/1000000)*(1-VLOOKUP($N820,FCST!D:I,6,FALSE)),0)</f>
        <v>0</v>
      </c>
      <c r="AZ820" s="239">
        <f t="shared" si="109"/>
        <v>0</v>
      </c>
    </row>
    <row r="821" spans="1:52" x14ac:dyDescent="0.25">
      <c r="A821" s="209">
        <v>1105035</v>
      </c>
      <c r="B821" s="209">
        <v>80</v>
      </c>
      <c r="C821" s="209" t="s">
        <v>1912</v>
      </c>
      <c r="D821" s="209">
        <v>10</v>
      </c>
      <c r="E821" s="209">
        <v>10000002</v>
      </c>
      <c r="F821" s="209">
        <v>20000335</v>
      </c>
      <c r="G821" s="209" t="s">
        <v>105</v>
      </c>
      <c r="H821" s="209">
        <v>20000335</v>
      </c>
      <c r="I821" s="209">
        <v>2</v>
      </c>
      <c r="J821" s="209" t="s">
        <v>169</v>
      </c>
      <c r="K821" s="209" t="s">
        <v>1913</v>
      </c>
      <c r="L821" s="209" t="s">
        <v>171</v>
      </c>
      <c r="M821" s="209" t="s">
        <v>199</v>
      </c>
      <c r="N821" s="209">
        <v>50034616</v>
      </c>
      <c r="O821" s="209" t="s">
        <v>191</v>
      </c>
      <c r="P821" s="209">
        <v>5121</v>
      </c>
      <c r="Q821" s="209" t="s">
        <v>200</v>
      </c>
      <c r="R821" s="209" t="s">
        <v>201</v>
      </c>
      <c r="S821" s="209" t="s">
        <v>202</v>
      </c>
      <c r="T821" s="209" t="s">
        <v>203</v>
      </c>
      <c r="U821" s="209" t="s">
        <v>201</v>
      </c>
      <c r="V821" s="209" t="s">
        <v>179</v>
      </c>
      <c r="W821" s="209" t="s">
        <v>179</v>
      </c>
      <c r="X821" s="209" t="s">
        <v>180</v>
      </c>
      <c r="Y821" s="209" t="s">
        <v>180</v>
      </c>
      <c r="Z821" s="209" t="s">
        <v>1733</v>
      </c>
      <c r="AA821" s="209" t="s">
        <v>1734</v>
      </c>
      <c r="AB821" s="209" t="s">
        <v>180</v>
      </c>
      <c r="AC821" s="209" t="s">
        <v>182</v>
      </c>
      <c r="AD821" s="209">
        <v>3</v>
      </c>
      <c r="AE821" s="209">
        <v>2025</v>
      </c>
      <c r="AF821" s="227">
        <v>45722</v>
      </c>
      <c r="AG821" s="227">
        <v>45729</v>
      </c>
      <c r="AH821" s="227">
        <v>45729</v>
      </c>
      <c r="AI821" s="228">
        <v>426816</v>
      </c>
      <c r="AJ821" s="228">
        <v>52</v>
      </c>
      <c r="AK821" s="228">
        <v>426816</v>
      </c>
      <c r="AL821" s="228">
        <v>52</v>
      </c>
      <c r="AM821" s="228">
        <v>0</v>
      </c>
      <c r="AN821" s="228">
        <v>0</v>
      </c>
      <c r="AO821" s="229">
        <v>11</v>
      </c>
      <c r="AP821" s="231">
        <v>3</v>
      </c>
      <c r="AQ821" s="231">
        <v>2025</v>
      </c>
      <c r="AR821" s="231" t="str">
        <f t="shared" si="105"/>
        <v>03/2025</v>
      </c>
      <c r="AS821" s="231">
        <f t="shared" si="106"/>
        <v>46.6</v>
      </c>
      <c r="AT821" s="239">
        <f>IF(G821="CERVECERIA Y MALTERIA",(AS821*AK821/1000000)*(1-VLOOKUP(N821,FCST!D:I,6,FALSE)),0)</f>
        <v>19.889625600000002</v>
      </c>
      <c r="AU821" s="232">
        <v>5.0000000000000001E-3</v>
      </c>
      <c r="AV821" s="239">
        <f t="shared" si="107"/>
        <v>19.989073728000001</v>
      </c>
      <c r="AW821" s="239">
        <f>(AS821*AK821/1000000)*(VLOOKUP(N821,FCST!D:I,6,FALSE))</f>
        <v>0</v>
      </c>
      <c r="AX821" s="239">
        <f t="shared" si="108"/>
        <v>0</v>
      </c>
      <c r="AY821" s="239">
        <f>IF($G821="CERVECERIA Y MALTERIA.",($AS821*$AK821/1000000)*(1-VLOOKUP($N821,FCST!D:I,6,FALSE)),0)</f>
        <v>0</v>
      </c>
      <c r="AZ821" s="239">
        <f t="shared" si="109"/>
        <v>0</v>
      </c>
    </row>
    <row r="822" spans="1:52" x14ac:dyDescent="0.25">
      <c r="A822" s="209">
        <v>1104116</v>
      </c>
      <c r="B822" s="209">
        <v>70</v>
      </c>
      <c r="C822" s="209" t="s">
        <v>1914</v>
      </c>
      <c r="D822" s="209">
        <v>10</v>
      </c>
      <c r="E822" s="209">
        <v>10000002</v>
      </c>
      <c r="F822" s="209">
        <v>20000337</v>
      </c>
      <c r="G822" s="209" t="s">
        <v>105</v>
      </c>
      <c r="H822" s="209">
        <v>20000337</v>
      </c>
      <c r="I822" s="209">
        <v>2</v>
      </c>
      <c r="J822" s="209" t="s">
        <v>169</v>
      </c>
      <c r="K822" s="209" t="s">
        <v>1915</v>
      </c>
      <c r="L822" s="209" t="s">
        <v>171</v>
      </c>
      <c r="M822" s="209" t="s">
        <v>199</v>
      </c>
      <c r="N822" s="209">
        <v>50034616</v>
      </c>
      <c r="O822" s="209" t="s">
        <v>191</v>
      </c>
      <c r="P822" s="209">
        <v>5121</v>
      </c>
      <c r="Q822" s="209" t="s">
        <v>200</v>
      </c>
      <c r="R822" s="209" t="s">
        <v>201</v>
      </c>
      <c r="S822" s="209" t="s">
        <v>202</v>
      </c>
      <c r="T822" s="209" t="s">
        <v>203</v>
      </c>
      <c r="U822" s="209" t="s">
        <v>201</v>
      </c>
      <c r="V822" s="209" t="s">
        <v>179</v>
      </c>
      <c r="W822" s="209" t="s">
        <v>179</v>
      </c>
      <c r="X822" s="209" t="s">
        <v>180</v>
      </c>
      <c r="Y822" s="209" t="s">
        <v>180</v>
      </c>
      <c r="Z822" s="209" t="s">
        <v>1705</v>
      </c>
      <c r="AA822" s="209" t="s">
        <v>1706</v>
      </c>
      <c r="AB822" s="209" t="s">
        <v>180</v>
      </c>
      <c r="AC822" s="209" t="s">
        <v>182</v>
      </c>
      <c r="AD822" s="209">
        <v>3</v>
      </c>
      <c r="AE822" s="209">
        <v>2025</v>
      </c>
      <c r="AF822" s="227">
        <v>45716</v>
      </c>
      <c r="AG822" s="227">
        <v>45730</v>
      </c>
      <c r="AH822" s="227">
        <v>45729</v>
      </c>
      <c r="AI822" s="228">
        <v>426816</v>
      </c>
      <c r="AJ822" s="228">
        <v>52</v>
      </c>
      <c r="AK822" s="228">
        <v>426816</v>
      </c>
      <c r="AL822" s="228">
        <v>52</v>
      </c>
      <c r="AM822" s="228">
        <v>0</v>
      </c>
      <c r="AN822" s="228">
        <v>0</v>
      </c>
      <c r="AO822" s="229">
        <v>10</v>
      </c>
      <c r="AP822" s="231">
        <v>3</v>
      </c>
      <c r="AQ822" s="231">
        <v>2025</v>
      </c>
      <c r="AR822" s="231" t="str">
        <f t="shared" si="105"/>
        <v>03/2025</v>
      </c>
      <c r="AS822" s="231">
        <f t="shared" si="106"/>
        <v>46.6</v>
      </c>
      <c r="AT822" s="239">
        <f>IF(G822="CERVECERIA Y MALTERIA",(AS822*AK822/1000000)*(1-VLOOKUP(N822,FCST!D:I,6,FALSE)),0)</f>
        <v>19.889625600000002</v>
      </c>
      <c r="AU822" s="232">
        <v>5.0000000000000001E-3</v>
      </c>
      <c r="AV822" s="239">
        <f t="shared" si="107"/>
        <v>19.989073728000001</v>
      </c>
      <c r="AW822" s="239">
        <f>(AS822*AK822/1000000)*(VLOOKUP(N822,FCST!D:I,6,FALSE))</f>
        <v>0</v>
      </c>
      <c r="AX822" s="239">
        <f t="shared" si="108"/>
        <v>0</v>
      </c>
      <c r="AY822" s="239">
        <f>IF($G822="CERVECERIA Y MALTERIA.",($AS822*$AK822/1000000)*(1-VLOOKUP($N822,FCST!D:I,6,FALSE)),0)</f>
        <v>0</v>
      </c>
      <c r="AZ822" s="239">
        <f t="shared" si="109"/>
        <v>0</v>
      </c>
    </row>
    <row r="823" spans="1:52" x14ac:dyDescent="0.25">
      <c r="A823" s="209">
        <v>1106861</v>
      </c>
      <c r="B823" s="209">
        <v>30</v>
      </c>
      <c r="C823" s="209" t="s">
        <v>1916</v>
      </c>
      <c r="D823" s="209">
        <v>10</v>
      </c>
      <c r="E823" s="209">
        <v>10000002</v>
      </c>
      <c r="F823" s="209">
        <v>20000335</v>
      </c>
      <c r="G823" s="209" t="s">
        <v>105</v>
      </c>
      <c r="H823" s="209">
        <v>20000335</v>
      </c>
      <c r="I823" s="209">
        <v>2</v>
      </c>
      <c r="J823" s="209" t="s">
        <v>169</v>
      </c>
      <c r="K823" s="209" t="s">
        <v>1917</v>
      </c>
      <c r="L823" s="209" t="s">
        <v>171</v>
      </c>
      <c r="M823" s="209" t="s">
        <v>199</v>
      </c>
      <c r="N823" s="209">
        <v>50034616</v>
      </c>
      <c r="O823" s="209" t="s">
        <v>191</v>
      </c>
      <c r="P823" s="209">
        <v>5121</v>
      </c>
      <c r="Q823" s="209" t="s">
        <v>200</v>
      </c>
      <c r="R823" s="209" t="s">
        <v>201</v>
      </c>
      <c r="S823" s="209" t="s">
        <v>202</v>
      </c>
      <c r="T823" s="209" t="s">
        <v>203</v>
      </c>
      <c r="U823" s="209" t="s">
        <v>201</v>
      </c>
      <c r="V823" s="209" t="s">
        <v>179</v>
      </c>
      <c r="W823" s="209" t="s">
        <v>179</v>
      </c>
      <c r="X823" s="209" t="s">
        <v>180</v>
      </c>
      <c r="Y823" s="209" t="s">
        <v>180</v>
      </c>
      <c r="Z823" s="209" t="s">
        <v>1733</v>
      </c>
      <c r="AA823" s="209" t="s">
        <v>1734</v>
      </c>
      <c r="AB823" s="209" t="s">
        <v>180</v>
      </c>
      <c r="AC823" s="209" t="s">
        <v>182</v>
      </c>
      <c r="AD823" s="209">
        <v>3</v>
      </c>
      <c r="AE823" s="209">
        <v>2025</v>
      </c>
      <c r="AF823" s="227">
        <v>45730</v>
      </c>
      <c r="AG823" s="227">
        <v>45733</v>
      </c>
      <c r="AH823" s="227">
        <v>45733</v>
      </c>
      <c r="AI823" s="228">
        <v>426816</v>
      </c>
      <c r="AJ823" s="228">
        <v>52</v>
      </c>
      <c r="AK823" s="228">
        <v>426816</v>
      </c>
      <c r="AL823" s="228">
        <v>52</v>
      </c>
      <c r="AM823" s="228">
        <v>0</v>
      </c>
      <c r="AN823" s="228">
        <v>0</v>
      </c>
      <c r="AO823" s="229">
        <v>12</v>
      </c>
      <c r="AP823" s="231">
        <v>3</v>
      </c>
      <c r="AQ823" s="231">
        <v>2025</v>
      </c>
      <c r="AR823" s="231" t="str">
        <f t="shared" si="105"/>
        <v>03/2025</v>
      </c>
      <c r="AS823" s="231">
        <f t="shared" si="106"/>
        <v>46.6</v>
      </c>
      <c r="AT823" s="239">
        <f>IF(G823="CERVECERIA Y MALTERIA",(AS823*AK823/1000000)*(1-VLOOKUP(N823,FCST!D:I,6,FALSE)),0)</f>
        <v>19.889625600000002</v>
      </c>
      <c r="AU823" s="232">
        <v>5.0000000000000001E-3</v>
      </c>
      <c r="AV823" s="239">
        <f t="shared" si="107"/>
        <v>19.989073728000001</v>
      </c>
      <c r="AW823" s="239">
        <f>(AS823*AK823/1000000)*(VLOOKUP(N823,FCST!D:I,6,FALSE))</f>
        <v>0</v>
      </c>
      <c r="AX823" s="239">
        <f t="shared" si="108"/>
        <v>0</v>
      </c>
      <c r="AY823" s="239">
        <f>IF($G823="CERVECERIA Y MALTERIA.",($AS823*$AK823/1000000)*(1-VLOOKUP($N823,FCST!D:I,6,FALSE)),0)</f>
        <v>0</v>
      </c>
      <c r="AZ823" s="239">
        <f t="shared" si="109"/>
        <v>0</v>
      </c>
    </row>
    <row r="824" spans="1:52" x14ac:dyDescent="0.25">
      <c r="A824" s="209">
        <v>1106861</v>
      </c>
      <c r="B824" s="209">
        <v>20</v>
      </c>
      <c r="C824" s="209" t="s">
        <v>1918</v>
      </c>
      <c r="D824" s="209">
        <v>10</v>
      </c>
      <c r="E824" s="209">
        <v>10000002</v>
      </c>
      <c r="F824" s="209">
        <v>20000335</v>
      </c>
      <c r="G824" s="209" t="s">
        <v>105</v>
      </c>
      <c r="H824" s="209">
        <v>20000335</v>
      </c>
      <c r="I824" s="209">
        <v>2</v>
      </c>
      <c r="J824" s="209" t="s">
        <v>169</v>
      </c>
      <c r="K824" s="209" t="s">
        <v>1919</v>
      </c>
      <c r="L824" s="209" t="s">
        <v>171</v>
      </c>
      <c r="M824" s="209" t="s">
        <v>199</v>
      </c>
      <c r="N824" s="209">
        <v>50037887</v>
      </c>
      <c r="O824" s="209" t="s">
        <v>679</v>
      </c>
      <c r="P824" s="209">
        <v>5121</v>
      </c>
      <c r="Q824" s="209" t="s">
        <v>200</v>
      </c>
      <c r="R824" s="209" t="s">
        <v>201</v>
      </c>
      <c r="S824" s="209" t="s">
        <v>202</v>
      </c>
      <c r="T824" s="209" t="s">
        <v>203</v>
      </c>
      <c r="U824" s="209" t="s">
        <v>201</v>
      </c>
      <c r="V824" s="209" t="s">
        <v>179</v>
      </c>
      <c r="W824" s="209" t="s">
        <v>179</v>
      </c>
      <c r="X824" s="209" t="s">
        <v>180</v>
      </c>
      <c r="Y824" s="209" t="s">
        <v>180</v>
      </c>
      <c r="Z824" s="209" t="s">
        <v>1717</v>
      </c>
      <c r="AA824" s="209" t="s">
        <v>1718</v>
      </c>
      <c r="AB824" s="209" t="s">
        <v>180</v>
      </c>
      <c r="AC824" s="209" t="s">
        <v>182</v>
      </c>
      <c r="AD824" s="209">
        <v>3</v>
      </c>
      <c r="AE824" s="209">
        <v>2025</v>
      </c>
      <c r="AF824" s="227">
        <v>45730</v>
      </c>
      <c r="AG824" s="227">
        <v>45733</v>
      </c>
      <c r="AH824" s="227">
        <v>45733</v>
      </c>
      <c r="AI824" s="228">
        <v>531648</v>
      </c>
      <c r="AJ824" s="228">
        <v>52</v>
      </c>
      <c r="AK824" s="228">
        <v>531648</v>
      </c>
      <c r="AL824" s="228">
        <v>52</v>
      </c>
      <c r="AM824" s="228">
        <v>0</v>
      </c>
      <c r="AN824" s="228">
        <v>0</v>
      </c>
      <c r="AO824" s="229">
        <v>12</v>
      </c>
      <c r="AP824" s="231">
        <v>3</v>
      </c>
      <c r="AQ824" s="231">
        <v>2025</v>
      </c>
      <c r="AR824" s="231" t="str">
        <f t="shared" si="105"/>
        <v>03/2025</v>
      </c>
      <c r="AS824" s="231">
        <f t="shared" si="106"/>
        <v>37.200000000000003</v>
      </c>
      <c r="AT824" s="239">
        <f>IF(G824="CERVECERIA Y MALTERIA",(AS824*AK824/1000000)*(1-VLOOKUP(N824,FCST!D:I,6,FALSE)),0)</f>
        <v>19.777305600000002</v>
      </c>
      <c r="AU824" s="232">
        <v>5.0000000000000001E-3</v>
      </c>
      <c r="AV824" s="239">
        <f t="shared" si="107"/>
        <v>19.876192128</v>
      </c>
      <c r="AW824" s="239">
        <f>(AS824*AK824/1000000)*(VLOOKUP(N824,FCST!D:I,6,FALSE))</f>
        <v>0</v>
      </c>
      <c r="AX824" s="239">
        <f t="shared" si="108"/>
        <v>0</v>
      </c>
      <c r="AY824" s="239">
        <f>IF($G824="CERVECERIA Y MALTERIA.",($AS824*$AK824/1000000)*(1-VLOOKUP($N824,FCST!D:I,6,FALSE)),0)</f>
        <v>0</v>
      </c>
      <c r="AZ824" s="239">
        <f t="shared" si="109"/>
        <v>0</v>
      </c>
    </row>
    <row r="825" spans="1:52" x14ac:dyDescent="0.25">
      <c r="A825" s="209">
        <v>1105046</v>
      </c>
      <c r="B825" s="209">
        <v>70</v>
      </c>
      <c r="C825" s="209" t="s">
        <v>1661</v>
      </c>
      <c r="D825" s="209">
        <v>20</v>
      </c>
      <c r="E825" s="209">
        <v>10000002</v>
      </c>
      <c r="F825" s="209">
        <v>20001057</v>
      </c>
      <c r="G825" s="209" t="s">
        <v>105</v>
      </c>
      <c r="H825" s="209">
        <v>20001057</v>
      </c>
      <c r="I825" s="209">
        <v>2</v>
      </c>
      <c r="J825" s="209" t="s">
        <v>169</v>
      </c>
      <c r="K825" s="209" t="s">
        <v>1662</v>
      </c>
      <c r="L825" s="209" t="s">
        <v>171</v>
      </c>
      <c r="M825" s="209" t="s">
        <v>172</v>
      </c>
      <c r="N825" s="209">
        <v>50032578</v>
      </c>
      <c r="O825" s="209" t="s">
        <v>329</v>
      </c>
      <c r="P825" s="209">
        <v>5121</v>
      </c>
      <c r="Q825" s="209" t="s">
        <v>174</v>
      </c>
      <c r="R825" s="209" t="s">
        <v>175</v>
      </c>
      <c r="S825" s="209" t="s">
        <v>176</v>
      </c>
      <c r="T825" s="209" t="s">
        <v>177</v>
      </c>
      <c r="U825" s="209" t="s">
        <v>178</v>
      </c>
      <c r="V825" s="209" t="s">
        <v>179</v>
      </c>
      <c r="W825" s="209" t="s">
        <v>179</v>
      </c>
      <c r="X825" s="209" t="s">
        <v>180</v>
      </c>
      <c r="Y825" s="209" t="s">
        <v>180</v>
      </c>
      <c r="Z825" s="209" t="s">
        <v>1663</v>
      </c>
      <c r="AA825" s="209" t="s">
        <v>1664</v>
      </c>
      <c r="AB825" s="209" t="s">
        <v>180</v>
      </c>
      <c r="AC825" s="209" t="s">
        <v>182</v>
      </c>
      <c r="AD825" s="209">
        <v>3</v>
      </c>
      <c r="AE825" s="209">
        <v>2025</v>
      </c>
      <c r="AF825" s="227">
        <v>45722</v>
      </c>
      <c r="AG825" s="227">
        <v>45741</v>
      </c>
      <c r="AH825" s="227">
        <v>45741</v>
      </c>
      <c r="AI825" s="228">
        <v>265824</v>
      </c>
      <c r="AJ825" s="228">
        <v>26</v>
      </c>
      <c r="AK825" s="228">
        <v>265824</v>
      </c>
      <c r="AL825" s="228">
        <v>26</v>
      </c>
      <c r="AM825" s="228">
        <v>0</v>
      </c>
      <c r="AN825" s="228">
        <v>0</v>
      </c>
      <c r="AO825" s="229">
        <v>10</v>
      </c>
      <c r="AP825" s="231">
        <v>3</v>
      </c>
      <c r="AQ825" s="231">
        <v>2025</v>
      </c>
      <c r="AR825" s="231" t="str">
        <f t="shared" si="105"/>
        <v>03/2025</v>
      </c>
      <c r="AS825" s="231">
        <f t="shared" si="106"/>
        <v>37.200000000000003</v>
      </c>
      <c r="AT825" s="239">
        <f>IF(G825="CERVECERIA Y MALTERIA",(AS825*AK825/1000000)*(1-VLOOKUP(N825,FCST!D:I,6,FALSE)),0)</f>
        <v>9.8886528000000009</v>
      </c>
      <c r="AU825" s="232">
        <v>5.0000000000000001E-3</v>
      </c>
      <c r="AV825" s="239">
        <f t="shared" si="107"/>
        <v>9.9380960639999998</v>
      </c>
      <c r="AW825" s="239">
        <f>(AS825*AK825/1000000)*(VLOOKUP(N825,FCST!D:I,6,FALSE))</f>
        <v>0</v>
      </c>
      <c r="AX825" s="239">
        <f t="shared" si="108"/>
        <v>0</v>
      </c>
      <c r="AY825" s="239">
        <f>IF($G825="CERVECERIA Y MALTERIA.",($AS825*$AK825/1000000)*(1-VLOOKUP($N825,FCST!D:I,6,FALSE)),0)</f>
        <v>0</v>
      </c>
      <c r="AZ825" s="239">
        <f t="shared" si="109"/>
        <v>0</v>
      </c>
    </row>
    <row r="826" spans="1:52" x14ac:dyDescent="0.25">
      <c r="A826" s="209">
        <v>1104116</v>
      </c>
      <c r="B826" s="209">
        <v>140</v>
      </c>
      <c r="C826" s="209" t="s">
        <v>1665</v>
      </c>
      <c r="D826" s="209">
        <v>20</v>
      </c>
      <c r="E826" s="209">
        <v>10000002</v>
      </c>
      <c r="F826" s="209">
        <v>20000337</v>
      </c>
      <c r="G826" s="209" t="s">
        <v>105</v>
      </c>
      <c r="H826" s="209">
        <v>20000337</v>
      </c>
      <c r="I826" s="209">
        <v>2</v>
      </c>
      <c r="J826" s="209" t="s">
        <v>169</v>
      </c>
      <c r="K826" s="209" t="s">
        <v>1666</v>
      </c>
      <c r="L826" s="209" t="s">
        <v>171</v>
      </c>
      <c r="M826" s="209" t="s">
        <v>184</v>
      </c>
      <c r="N826" s="209">
        <v>50035183</v>
      </c>
      <c r="O826" s="209" t="s">
        <v>215</v>
      </c>
      <c r="P826" s="209">
        <v>5121</v>
      </c>
      <c r="Q826" s="209" t="s">
        <v>174</v>
      </c>
      <c r="R826" s="209" t="s">
        <v>175</v>
      </c>
      <c r="S826" s="209" t="s">
        <v>176</v>
      </c>
      <c r="T826" s="209" t="s">
        <v>177</v>
      </c>
      <c r="U826" s="209" t="s">
        <v>178</v>
      </c>
      <c r="V826" s="209" t="s">
        <v>179</v>
      </c>
      <c r="W826" s="209" t="s">
        <v>179</v>
      </c>
      <c r="X826" s="209" t="s">
        <v>180</v>
      </c>
      <c r="Y826" s="209" t="s">
        <v>180</v>
      </c>
      <c r="Z826" s="209" t="s">
        <v>1667</v>
      </c>
      <c r="AA826" s="209" t="s">
        <v>1668</v>
      </c>
      <c r="AB826" s="209" t="s">
        <v>180</v>
      </c>
      <c r="AC826" s="209" t="s">
        <v>182</v>
      </c>
      <c r="AD826" s="209">
        <v>3</v>
      </c>
      <c r="AE826" s="209">
        <v>2025</v>
      </c>
      <c r="AF826" s="227">
        <v>45716</v>
      </c>
      <c r="AG826" s="227">
        <v>45738</v>
      </c>
      <c r="AH826" s="227">
        <v>45738</v>
      </c>
      <c r="AI826" s="228">
        <v>8208</v>
      </c>
      <c r="AJ826" s="228">
        <v>1</v>
      </c>
      <c r="AK826" s="228">
        <v>8208</v>
      </c>
      <c r="AL826" s="228">
        <v>1</v>
      </c>
      <c r="AM826" s="228">
        <v>0</v>
      </c>
      <c r="AN826" s="228">
        <v>0</v>
      </c>
      <c r="AO826" s="229">
        <v>10</v>
      </c>
      <c r="AP826" s="231">
        <v>3</v>
      </c>
      <c r="AQ826" s="231">
        <v>2025</v>
      </c>
      <c r="AR826" s="231" t="str">
        <f t="shared" si="105"/>
        <v>03/2025</v>
      </c>
      <c r="AS826" s="231">
        <f t="shared" si="106"/>
        <v>46.6</v>
      </c>
      <c r="AT826" s="239">
        <f>IF(G826="CERVECERIA Y MALTERIA",(AS826*AK826/1000000)*(1-VLOOKUP(N826,FCST!D:I,6,FALSE)),0)</f>
        <v>0.38249279999999997</v>
      </c>
      <c r="AU826" s="232">
        <v>5.0000000000000001E-3</v>
      </c>
      <c r="AV826" s="239">
        <f t="shared" si="107"/>
        <v>0.38440526399999991</v>
      </c>
      <c r="AW826" s="239">
        <f>(AS826*AK826/1000000)*(VLOOKUP(N826,FCST!D:I,6,FALSE))</f>
        <v>0</v>
      </c>
      <c r="AX826" s="239">
        <f t="shared" si="108"/>
        <v>0</v>
      </c>
      <c r="AY826" s="239">
        <f>IF($G826="CERVECERIA Y MALTERIA.",($AS826*$AK826/1000000)*(1-VLOOKUP($N826,FCST!D:I,6,FALSE)),0)</f>
        <v>0</v>
      </c>
      <c r="AZ826" s="239">
        <f t="shared" si="109"/>
        <v>0</v>
      </c>
    </row>
    <row r="827" spans="1:52" x14ac:dyDescent="0.25">
      <c r="A827" s="209">
        <v>1105046</v>
      </c>
      <c r="B827" s="209">
        <v>110</v>
      </c>
      <c r="C827" s="209" t="s">
        <v>1683</v>
      </c>
      <c r="D827" s="209">
        <v>20</v>
      </c>
      <c r="E827" s="209">
        <v>10000002</v>
      </c>
      <c r="F827" s="209">
        <v>20001057</v>
      </c>
      <c r="G827" s="209" t="s">
        <v>105</v>
      </c>
      <c r="H827" s="209">
        <v>20001057</v>
      </c>
      <c r="I827" s="209">
        <v>2</v>
      </c>
      <c r="J827" s="209" t="s">
        <v>169</v>
      </c>
      <c r="K827" s="209" t="s">
        <v>1684</v>
      </c>
      <c r="L827" s="209" t="s">
        <v>171</v>
      </c>
      <c r="M827" s="209" t="s">
        <v>172</v>
      </c>
      <c r="N827" s="209">
        <v>50032578</v>
      </c>
      <c r="O827" s="209" t="s">
        <v>329</v>
      </c>
      <c r="P827" s="209">
        <v>5121</v>
      </c>
      <c r="Q827" s="209" t="s">
        <v>174</v>
      </c>
      <c r="R827" s="209" t="s">
        <v>175</v>
      </c>
      <c r="S827" s="209" t="s">
        <v>176</v>
      </c>
      <c r="T827" s="209" t="s">
        <v>177</v>
      </c>
      <c r="U827" s="209" t="s">
        <v>178</v>
      </c>
      <c r="V827" s="209" t="s">
        <v>179</v>
      </c>
      <c r="W827" s="209" t="s">
        <v>179</v>
      </c>
      <c r="X827" s="209" t="s">
        <v>180</v>
      </c>
      <c r="Y827" s="209" t="s">
        <v>180</v>
      </c>
      <c r="Z827" s="209" t="s">
        <v>1685</v>
      </c>
      <c r="AA827" s="209" t="s">
        <v>1686</v>
      </c>
      <c r="AB827" s="209" t="s">
        <v>180</v>
      </c>
      <c r="AC827" s="209" t="s">
        <v>182</v>
      </c>
      <c r="AD827" s="209">
        <v>3</v>
      </c>
      <c r="AE827" s="209">
        <v>2025</v>
      </c>
      <c r="AF827" s="227">
        <v>45722</v>
      </c>
      <c r="AG827" s="227">
        <v>45747</v>
      </c>
      <c r="AH827" s="227">
        <v>45747</v>
      </c>
      <c r="AI827" s="228">
        <v>245376</v>
      </c>
      <c r="AJ827" s="228">
        <v>24</v>
      </c>
      <c r="AK827" s="228">
        <v>245376</v>
      </c>
      <c r="AL827" s="228">
        <v>24</v>
      </c>
      <c r="AM827" s="228">
        <v>0</v>
      </c>
      <c r="AN827" s="228">
        <v>0</v>
      </c>
      <c r="AO827" s="229">
        <v>10</v>
      </c>
      <c r="AP827" s="231">
        <v>3</v>
      </c>
      <c r="AQ827" s="231">
        <v>2025</v>
      </c>
      <c r="AR827" s="231" t="str">
        <f t="shared" si="105"/>
        <v>03/2025</v>
      </c>
      <c r="AS827" s="231">
        <f t="shared" si="106"/>
        <v>37.200000000000003</v>
      </c>
      <c r="AT827" s="239">
        <f>IF(G827="CERVECERIA Y MALTERIA",(AS827*AK827/1000000)*(1-VLOOKUP(N827,FCST!D:I,6,FALSE)),0)</f>
        <v>9.1279872000000015</v>
      </c>
      <c r="AU827" s="232">
        <v>5.0000000000000001E-3</v>
      </c>
      <c r="AV827" s="239">
        <f t="shared" si="107"/>
        <v>9.1736271360000003</v>
      </c>
      <c r="AW827" s="239">
        <f>(AS827*AK827/1000000)*(VLOOKUP(N827,FCST!D:I,6,FALSE))</f>
        <v>0</v>
      </c>
      <c r="AX827" s="239">
        <f t="shared" si="108"/>
        <v>0</v>
      </c>
      <c r="AY827" s="239">
        <f>IF($G827="CERVECERIA Y MALTERIA.",($AS827*$AK827/1000000)*(1-VLOOKUP($N827,FCST!D:I,6,FALSE)),0)</f>
        <v>0</v>
      </c>
      <c r="AZ827" s="239">
        <f t="shared" si="109"/>
        <v>0</v>
      </c>
    </row>
    <row r="828" spans="1:52" x14ac:dyDescent="0.25">
      <c r="A828" s="209">
        <v>1105046</v>
      </c>
      <c r="B828" s="209">
        <v>30</v>
      </c>
      <c r="C828" s="209" t="s">
        <v>1771</v>
      </c>
      <c r="D828" s="209">
        <v>20</v>
      </c>
      <c r="E828" s="209">
        <v>10000002</v>
      </c>
      <c r="F828" s="209">
        <v>20001057</v>
      </c>
      <c r="G828" s="209" t="s">
        <v>105</v>
      </c>
      <c r="H828" s="209">
        <v>20001057</v>
      </c>
      <c r="I828" s="209">
        <v>2</v>
      </c>
      <c r="J828" s="209" t="s">
        <v>169</v>
      </c>
      <c r="K828" s="209" t="s">
        <v>1772</v>
      </c>
      <c r="L828" s="209" t="s">
        <v>171</v>
      </c>
      <c r="M828" s="209" t="s">
        <v>184</v>
      </c>
      <c r="N828" s="209">
        <v>50034616</v>
      </c>
      <c r="O828" s="209" t="s">
        <v>191</v>
      </c>
      <c r="P828" s="209">
        <v>5121</v>
      </c>
      <c r="Q828" s="209" t="s">
        <v>174</v>
      </c>
      <c r="R828" s="209" t="s">
        <v>175</v>
      </c>
      <c r="S828" s="209" t="s">
        <v>176</v>
      </c>
      <c r="T828" s="209" t="s">
        <v>177</v>
      </c>
      <c r="U828" s="209" t="s">
        <v>178</v>
      </c>
      <c r="V828" s="209" t="s">
        <v>179</v>
      </c>
      <c r="W828" s="209" t="s">
        <v>179</v>
      </c>
      <c r="X828" s="209" t="s">
        <v>180</v>
      </c>
      <c r="Y828" s="209" t="s">
        <v>180</v>
      </c>
      <c r="Z828" s="209" t="s">
        <v>1773</v>
      </c>
      <c r="AA828" s="209" t="s">
        <v>1774</v>
      </c>
      <c r="AB828" s="209" t="s">
        <v>180</v>
      </c>
      <c r="AC828" s="209" t="s">
        <v>182</v>
      </c>
      <c r="AD828" s="209">
        <v>3</v>
      </c>
      <c r="AE828" s="209">
        <v>2025</v>
      </c>
      <c r="AF828" s="227">
        <v>45722</v>
      </c>
      <c r="AG828" s="227">
        <v>45723</v>
      </c>
      <c r="AH828" s="227">
        <v>45724</v>
      </c>
      <c r="AI828" s="228">
        <v>262656</v>
      </c>
      <c r="AJ828" s="228">
        <v>32</v>
      </c>
      <c r="AK828" s="228">
        <v>262656</v>
      </c>
      <c r="AL828" s="228">
        <v>32</v>
      </c>
      <c r="AM828" s="228">
        <v>0</v>
      </c>
      <c r="AN828" s="228">
        <v>0</v>
      </c>
      <c r="AO828" s="229">
        <v>10</v>
      </c>
      <c r="AP828" s="231">
        <v>3</v>
      </c>
      <c r="AQ828" s="231">
        <v>2025</v>
      </c>
      <c r="AR828" s="231" t="str">
        <f t="shared" si="105"/>
        <v>03/2025</v>
      </c>
      <c r="AS828" s="231">
        <f t="shared" si="106"/>
        <v>46.6</v>
      </c>
      <c r="AT828" s="239">
        <f>IF(G828="CERVECERIA Y MALTERIA",(AS828*AK828/1000000)*(1-VLOOKUP(N828,FCST!D:I,6,FALSE)),0)</f>
        <v>12.239769599999999</v>
      </c>
      <c r="AU828" s="232">
        <v>5.0000000000000001E-3</v>
      </c>
      <c r="AV828" s="239">
        <f t="shared" si="107"/>
        <v>12.300968447999997</v>
      </c>
      <c r="AW828" s="239">
        <f>(AS828*AK828/1000000)*(VLOOKUP(N828,FCST!D:I,6,FALSE))</f>
        <v>0</v>
      </c>
      <c r="AX828" s="239">
        <f t="shared" si="108"/>
        <v>0</v>
      </c>
      <c r="AY828" s="239">
        <f>IF($G828="CERVECERIA Y MALTERIA.",($AS828*$AK828/1000000)*(1-VLOOKUP($N828,FCST!D:I,6,FALSE)),0)</f>
        <v>0</v>
      </c>
      <c r="AZ828" s="239">
        <f t="shared" si="109"/>
        <v>0</v>
      </c>
    </row>
    <row r="829" spans="1:52" x14ac:dyDescent="0.25">
      <c r="A829" s="209">
        <v>1105046</v>
      </c>
      <c r="B829" s="209">
        <v>50</v>
      </c>
      <c r="C829" s="209" t="s">
        <v>1906</v>
      </c>
      <c r="D829" s="209">
        <v>20</v>
      </c>
      <c r="E829" s="209">
        <v>10000002</v>
      </c>
      <c r="F829" s="209">
        <v>20001057</v>
      </c>
      <c r="G829" s="209" t="s">
        <v>105</v>
      </c>
      <c r="H829" s="209">
        <v>20001057</v>
      </c>
      <c r="I829" s="209">
        <v>2</v>
      </c>
      <c r="J829" s="209" t="s">
        <v>169</v>
      </c>
      <c r="K829" s="209" t="s">
        <v>1907</v>
      </c>
      <c r="L829" s="209" t="s">
        <v>171</v>
      </c>
      <c r="M829" s="209" t="s">
        <v>199</v>
      </c>
      <c r="N829" s="209">
        <v>50032583</v>
      </c>
      <c r="O829" s="209" t="s">
        <v>205</v>
      </c>
      <c r="P829" s="209">
        <v>5121</v>
      </c>
      <c r="Q829" s="209" t="s">
        <v>200</v>
      </c>
      <c r="R829" s="209" t="s">
        <v>201</v>
      </c>
      <c r="S829" s="209" t="s">
        <v>202</v>
      </c>
      <c r="T829" s="209" t="s">
        <v>203</v>
      </c>
      <c r="U829" s="209" t="s">
        <v>201</v>
      </c>
      <c r="V829" s="209" t="s">
        <v>179</v>
      </c>
      <c r="W829" s="209" t="s">
        <v>179</v>
      </c>
      <c r="X829" s="209" t="s">
        <v>180</v>
      </c>
      <c r="Y829" s="209" t="s">
        <v>180</v>
      </c>
      <c r="Z829" s="209" t="s">
        <v>1908</v>
      </c>
      <c r="AA829" s="209" t="s">
        <v>1909</v>
      </c>
      <c r="AB829" s="209" t="s">
        <v>180</v>
      </c>
      <c r="AC829" s="209" t="s">
        <v>182</v>
      </c>
      <c r="AD829" s="209">
        <v>3</v>
      </c>
      <c r="AE829" s="209">
        <v>2025</v>
      </c>
      <c r="AF829" s="227">
        <v>45722</v>
      </c>
      <c r="AG829" s="227">
        <v>45734</v>
      </c>
      <c r="AH829" s="227">
        <v>45734</v>
      </c>
      <c r="AI829" s="228">
        <v>304560</v>
      </c>
      <c r="AJ829" s="228">
        <v>45</v>
      </c>
      <c r="AK829" s="228">
        <v>304560</v>
      </c>
      <c r="AL829" s="228">
        <v>45</v>
      </c>
      <c r="AM829" s="228">
        <v>0</v>
      </c>
      <c r="AN829" s="228">
        <v>0</v>
      </c>
      <c r="AO829" s="229">
        <v>10</v>
      </c>
      <c r="AP829" s="231">
        <v>3</v>
      </c>
      <c r="AQ829" s="231">
        <v>2025</v>
      </c>
      <c r="AR829" s="231" t="str">
        <f t="shared" si="105"/>
        <v>03/2025</v>
      </c>
      <c r="AS829" s="231">
        <f t="shared" si="106"/>
        <v>54.7</v>
      </c>
      <c r="AT829" s="239">
        <f>IF(G829="CERVECERIA Y MALTERIA",(AS829*AK829/1000000)*(1-VLOOKUP(N829,FCST!D:I,6,FALSE)),0)</f>
        <v>16.659431999999999</v>
      </c>
      <c r="AU829" s="232">
        <v>5.0000000000000001E-3</v>
      </c>
      <c r="AV829" s="239">
        <f t="shared" si="107"/>
        <v>16.742729159999996</v>
      </c>
      <c r="AW829" s="239">
        <f>(AS829*AK829/1000000)*(VLOOKUP(N829,FCST!D:I,6,FALSE))</f>
        <v>0</v>
      </c>
      <c r="AX829" s="239">
        <f t="shared" si="108"/>
        <v>0</v>
      </c>
      <c r="AY829" s="239">
        <f>IF($G829="CERVECERIA Y MALTERIA.",($AS829*$AK829/1000000)*(1-VLOOKUP($N829,FCST!D:I,6,FALSE)),0)</f>
        <v>0</v>
      </c>
      <c r="AZ829" s="239">
        <f t="shared" si="109"/>
        <v>0</v>
      </c>
    </row>
    <row r="831" spans="1:52" x14ac:dyDescent="0.25">
      <c r="A831" s="209">
        <v>1111068</v>
      </c>
      <c r="B831" s="209">
        <v>60</v>
      </c>
      <c r="C831" s="209">
        <v>89443455</v>
      </c>
      <c r="D831" s="209">
        <v>20</v>
      </c>
      <c r="E831" s="209">
        <v>10000002</v>
      </c>
      <c r="F831" s="209">
        <v>20000339</v>
      </c>
      <c r="G831" s="209" t="s">
        <v>105</v>
      </c>
      <c r="H831" s="209">
        <v>20000339</v>
      </c>
      <c r="I831" s="209">
        <v>2</v>
      </c>
      <c r="J831" s="209" t="s">
        <v>169</v>
      </c>
      <c r="K831" s="209" t="s">
        <v>1920</v>
      </c>
      <c r="L831" s="209" t="s">
        <v>171</v>
      </c>
      <c r="M831" s="209" t="s">
        <v>227</v>
      </c>
      <c r="N831" s="209">
        <v>50033268</v>
      </c>
      <c r="O831" s="209" t="s">
        <v>253</v>
      </c>
      <c r="P831" s="209">
        <v>5121</v>
      </c>
      <c r="Q831" s="209" t="s">
        <v>228</v>
      </c>
      <c r="R831" s="209" t="s">
        <v>229</v>
      </c>
      <c r="S831" s="209" t="s">
        <v>230</v>
      </c>
      <c r="T831" s="209" t="s">
        <v>231</v>
      </c>
      <c r="U831" s="209" t="s">
        <v>232</v>
      </c>
      <c r="V831" s="209" t="s">
        <v>179</v>
      </c>
      <c r="W831" s="209" t="s">
        <v>179</v>
      </c>
      <c r="X831" s="209" t="s">
        <v>180</v>
      </c>
      <c r="Y831" s="209" t="s">
        <v>180</v>
      </c>
      <c r="Z831" s="209">
        <v>9521068226</v>
      </c>
      <c r="AA831" s="209" t="s">
        <v>1921</v>
      </c>
      <c r="AB831" s="209" t="s">
        <v>180</v>
      </c>
      <c r="AC831" s="209" t="s">
        <v>182</v>
      </c>
      <c r="AD831" s="209">
        <v>4</v>
      </c>
      <c r="AE831" s="209">
        <v>2025</v>
      </c>
      <c r="AF831" s="227">
        <v>45754</v>
      </c>
      <c r="AG831" s="227">
        <v>45771</v>
      </c>
      <c r="AH831" s="227">
        <v>45771</v>
      </c>
      <c r="AI831" s="228">
        <v>250368</v>
      </c>
      <c r="AJ831" s="228">
        <v>32</v>
      </c>
      <c r="AK831" s="228">
        <v>250368</v>
      </c>
      <c r="AL831" s="228">
        <v>32</v>
      </c>
      <c r="AM831" s="228">
        <v>0</v>
      </c>
      <c r="AN831" s="228">
        <v>0</v>
      </c>
      <c r="AO831" s="229">
        <v>15</v>
      </c>
      <c r="AP831" s="231">
        <v>4</v>
      </c>
      <c r="AQ831" s="231">
        <v>2025</v>
      </c>
      <c r="AR831" s="231" t="str">
        <f t="shared" ref="AR831" si="110">+IF(AP831&lt;10,"0"&amp;AP831&amp; "/"&amp;AQ831,AP831&amp; "/"&amp;AQ831)</f>
        <v>04/2025</v>
      </c>
      <c r="AS831" s="231">
        <f t="shared" ref="AS831" si="111">VALUE(MID(INDEX(_xlfn.TEXTSPLIT(O831, ","), 1, 3), 1,FIND("G", INDEX(_xlfn.TEXTSPLIT(O831, ","), 1, 3))-1))</f>
        <v>44</v>
      </c>
      <c r="AT831" s="239">
        <f>IF(G831="CERVECERIA Y MALTERIA",(AS831*AK831/1000000)*(1-VLOOKUP(N831,FCST!D:I,6,FALSE)),0)</f>
        <v>11.016192</v>
      </c>
      <c r="AU831" s="232">
        <v>5.0000000000000001E-3</v>
      </c>
      <c r="AV831" s="239">
        <f t="shared" ref="AV831" si="112">+AT831*(1+AU831)</f>
        <v>11.071272959999998</v>
      </c>
      <c r="AW831" s="239">
        <f>(AS831*AK831/1000000)*(VLOOKUP(N831,FCST!D:I,6,FALSE))</f>
        <v>0</v>
      </c>
      <c r="AX831" s="239">
        <f t="shared" ref="AX831" si="113">+AW831*(1+AU831)</f>
        <v>0</v>
      </c>
      <c r="AY831" s="239">
        <f>IF($G831="CERVECERIA Y MALTERIA.",($AS831*$AK831/1000000)*(1-VLOOKUP($N831,FCST!D:I,6,FALSE)),0)</f>
        <v>0</v>
      </c>
      <c r="AZ831" s="239">
        <f t="shared" ref="AZ831" si="114">+AY831*(1+AU831)</f>
        <v>0</v>
      </c>
    </row>
    <row r="832" spans="1:52" x14ac:dyDescent="0.25">
      <c r="A832" s="209">
        <v>1111068</v>
      </c>
      <c r="B832" s="209">
        <v>50</v>
      </c>
      <c r="C832" s="209">
        <v>89443455</v>
      </c>
      <c r="D832" s="209">
        <v>10</v>
      </c>
      <c r="E832" s="209">
        <v>10000002</v>
      </c>
      <c r="F832" s="209">
        <v>20000339</v>
      </c>
      <c r="G832" s="209" t="s">
        <v>105</v>
      </c>
      <c r="H832" s="209">
        <v>20000339</v>
      </c>
      <c r="I832" s="209">
        <v>2</v>
      </c>
      <c r="J832" s="209" t="s">
        <v>169</v>
      </c>
      <c r="K832" s="209" t="s">
        <v>1920</v>
      </c>
      <c r="L832" s="209" t="s">
        <v>171</v>
      </c>
      <c r="M832" s="209" t="s">
        <v>227</v>
      </c>
      <c r="N832" s="209">
        <v>50034634</v>
      </c>
      <c r="O832" s="209" t="s">
        <v>219</v>
      </c>
      <c r="P832" s="209">
        <v>5121</v>
      </c>
      <c r="Q832" s="209" t="s">
        <v>228</v>
      </c>
      <c r="R832" s="209" t="s">
        <v>229</v>
      </c>
      <c r="S832" s="209" t="s">
        <v>230</v>
      </c>
      <c r="T832" s="209" t="s">
        <v>231</v>
      </c>
      <c r="U832" s="209" t="s">
        <v>232</v>
      </c>
      <c r="V832" s="209" t="s">
        <v>179</v>
      </c>
      <c r="W832" s="209" t="s">
        <v>179</v>
      </c>
      <c r="X832" s="209" t="s">
        <v>180</v>
      </c>
      <c r="Y832" s="209" t="s">
        <v>180</v>
      </c>
      <c r="Z832" s="209">
        <v>9521068226</v>
      </c>
      <c r="AA832" s="209" t="s">
        <v>1921</v>
      </c>
      <c r="AB832" s="209" t="s">
        <v>180</v>
      </c>
      <c r="AC832" s="209" t="s">
        <v>182</v>
      </c>
      <c r="AD832" s="209">
        <v>4</v>
      </c>
      <c r="AE832" s="209">
        <v>2025</v>
      </c>
      <c r="AF832" s="227">
        <v>45754</v>
      </c>
      <c r="AG832" s="227">
        <v>45771</v>
      </c>
      <c r="AH832" s="227">
        <v>45771</v>
      </c>
      <c r="AI832" s="228">
        <v>133152</v>
      </c>
      <c r="AJ832" s="228">
        <v>19</v>
      </c>
      <c r="AK832" s="228">
        <v>133152</v>
      </c>
      <c r="AL832" s="228">
        <v>19</v>
      </c>
      <c r="AM832" s="228">
        <v>0</v>
      </c>
      <c r="AN832" s="228">
        <v>0</v>
      </c>
      <c r="AO832" s="229">
        <v>15</v>
      </c>
      <c r="AP832" s="231">
        <v>4</v>
      </c>
      <c r="AQ832" s="231">
        <v>2025</v>
      </c>
      <c r="AR832" s="231" t="str">
        <f t="shared" ref="AR832:AR895" si="115">+IF(AP832&lt;10,"0"&amp;AP832&amp; "/"&amp;AQ832,AP832&amp; "/"&amp;AQ832)</f>
        <v>04/2025</v>
      </c>
      <c r="AS832" s="231">
        <f t="shared" ref="AS832:AS895" si="116">VALUE(MID(INDEX(_xlfn.TEXTSPLIT(O832, ","), 1, 3), 1,FIND("G", INDEX(_xlfn.TEXTSPLIT(O832, ","), 1, 3))-1))</f>
        <v>52</v>
      </c>
      <c r="AT832" s="239">
        <f>IF(G832="CERVECERIA Y MALTERIA",(AS832*AK832/1000000)*(1-VLOOKUP(N832,FCST!D:I,6,FALSE)),0)</f>
        <v>6.9239040000000003</v>
      </c>
      <c r="AU832" s="232">
        <v>5.0000000000000001E-3</v>
      </c>
      <c r="AV832" s="239">
        <f t="shared" ref="AV832:AV895" si="117">+AT832*(1+AU832)</f>
        <v>6.95852352</v>
      </c>
      <c r="AW832" s="239">
        <f>(AS832*AK832/1000000)*(VLOOKUP(N832,FCST!D:I,6,FALSE))</f>
        <v>0</v>
      </c>
      <c r="AX832" s="239">
        <f t="shared" ref="AX832:AX895" si="118">+AW832*(1+AU832)</f>
        <v>0</v>
      </c>
      <c r="AY832" s="239">
        <f>IF($G832="CERVECERIA Y MALTERIA.",($AS832*$AK832/1000000)*(1-VLOOKUP($N832,FCST!D:I,6,FALSE)),0)</f>
        <v>0</v>
      </c>
      <c r="AZ832" s="239">
        <f t="shared" ref="AZ832:AZ895" si="119">+AY832*(1+AU832)</f>
        <v>0</v>
      </c>
    </row>
    <row r="833" spans="1:52" x14ac:dyDescent="0.25">
      <c r="A833" s="209">
        <v>1113086</v>
      </c>
      <c r="B833" s="209">
        <v>50</v>
      </c>
      <c r="C833" s="209">
        <v>89443429</v>
      </c>
      <c r="D833" s="209">
        <v>10</v>
      </c>
      <c r="E833" s="209">
        <v>10000002</v>
      </c>
      <c r="F833" s="209">
        <v>20000340</v>
      </c>
      <c r="G833" s="209" t="s">
        <v>117</v>
      </c>
      <c r="H833" s="209">
        <v>20000340</v>
      </c>
      <c r="I833" s="209">
        <v>2</v>
      </c>
      <c r="J833" s="209" t="s">
        <v>169</v>
      </c>
      <c r="K833" s="209" t="s">
        <v>1922</v>
      </c>
      <c r="L833" s="209" t="s">
        <v>171</v>
      </c>
      <c r="M833" s="209" t="s">
        <v>172</v>
      </c>
      <c r="N833" s="209">
        <v>50038523</v>
      </c>
      <c r="O833" s="209" t="s">
        <v>249</v>
      </c>
      <c r="P833" s="209">
        <v>5101</v>
      </c>
      <c r="Q833" s="209" t="s">
        <v>186</v>
      </c>
      <c r="R833" s="209" t="s">
        <v>175</v>
      </c>
      <c r="S833" s="209" t="s">
        <v>176</v>
      </c>
      <c r="T833" s="209" t="s">
        <v>187</v>
      </c>
      <c r="U833" s="209" t="s">
        <v>188</v>
      </c>
      <c r="V833" s="209" t="s">
        <v>179</v>
      </c>
      <c r="W833" s="209" t="s">
        <v>179</v>
      </c>
      <c r="X833" s="209" t="s">
        <v>180</v>
      </c>
      <c r="Y833" s="209" t="s">
        <v>180</v>
      </c>
      <c r="Z833" s="209">
        <v>9511047787</v>
      </c>
      <c r="AA833" s="209" t="s">
        <v>1923</v>
      </c>
      <c r="AB833" s="209" t="s">
        <v>180</v>
      </c>
      <c r="AC833" s="209" t="s">
        <v>182</v>
      </c>
      <c r="AD833" s="209">
        <v>4</v>
      </c>
      <c r="AE833" s="209">
        <v>2025</v>
      </c>
      <c r="AF833" s="227">
        <v>45764</v>
      </c>
      <c r="AG833" s="227">
        <v>45771</v>
      </c>
      <c r="AH833" s="227">
        <v>45771</v>
      </c>
      <c r="AI833" s="228">
        <v>408240</v>
      </c>
      <c r="AJ833" s="228">
        <v>35</v>
      </c>
      <c r="AK833" s="228">
        <v>408240</v>
      </c>
      <c r="AL833" s="228">
        <v>35</v>
      </c>
      <c r="AM833" s="228">
        <v>0</v>
      </c>
      <c r="AN833" s="228">
        <v>0</v>
      </c>
      <c r="AO833" s="229">
        <v>17</v>
      </c>
      <c r="AP833" s="231">
        <v>4</v>
      </c>
      <c r="AQ833" s="231">
        <v>2025</v>
      </c>
      <c r="AR833" s="231" t="str">
        <f t="shared" si="115"/>
        <v>04/2025</v>
      </c>
      <c r="AS833" s="231">
        <f t="shared" si="116"/>
        <v>30</v>
      </c>
      <c r="AT833" s="239">
        <f>IF(G833="CERVECERIA Y MALTERIA",(AS833*AK833/1000000)*(1-VLOOKUP(N833,FCST!D:I,6,FALSE)),0)</f>
        <v>0</v>
      </c>
      <c r="AU833" s="232">
        <v>5.0000000000000001E-3</v>
      </c>
      <c r="AV833" s="239">
        <f t="shared" si="117"/>
        <v>0</v>
      </c>
      <c r="AW833" s="239">
        <f>(AS833*AK833/1000000)*(VLOOKUP(N833,FCST!D:I,6,FALSE))</f>
        <v>0</v>
      </c>
      <c r="AX833" s="239">
        <f t="shared" si="118"/>
        <v>0</v>
      </c>
      <c r="AY833" s="239">
        <f>IF($G833="CERVECERIA Y MALTERIA.",($AS833*$AK833/1000000)*(1-VLOOKUP($N833,FCST!D:I,6,FALSE)),0)</f>
        <v>12.247199999999999</v>
      </c>
      <c r="AZ833" s="239">
        <f t="shared" si="119"/>
        <v>12.308435999999999</v>
      </c>
    </row>
    <row r="834" spans="1:52" x14ac:dyDescent="0.25">
      <c r="A834" s="209">
        <v>1113085</v>
      </c>
      <c r="B834" s="209">
        <v>40</v>
      </c>
      <c r="C834" s="209">
        <v>89443428</v>
      </c>
      <c r="D834" s="209">
        <v>10</v>
      </c>
      <c r="E834" s="209">
        <v>10000002</v>
      </c>
      <c r="F834" s="209">
        <v>20000335</v>
      </c>
      <c r="G834" s="209" t="s">
        <v>105</v>
      </c>
      <c r="H834" s="209">
        <v>20000335</v>
      </c>
      <c r="I834" s="209">
        <v>2</v>
      </c>
      <c r="J834" s="209" t="s">
        <v>169</v>
      </c>
      <c r="K834" s="209" t="s">
        <v>1924</v>
      </c>
      <c r="L834" s="209" t="s">
        <v>171</v>
      </c>
      <c r="M834" s="209" t="s">
        <v>172</v>
      </c>
      <c r="N834" s="209">
        <v>50034616</v>
      </c>
      <c r="O834" s="209" t="s">
        <v>191</v>
      </c>
      <c r="P834" s="209">
        <v>5121</v>
      </c>
      <c r="Q834" s="209" t="s">
        <v>174</v>
      </c>
      <c r="R834" s="209" t="s">
        <v>175</v>
      </c>
      <c r="S834" s="209" t="s">
        <v>176</v>
      </c>
      <c r="T834" s="209" t="s">
        <v>177</v>
      </c>
      <c r="U834" s="209" t="s">
        <v>178</v>
      </c>
      <c r="V834" s="209" t="s">
        <v>179</v>
      </c>
      <c r="W834" s="209" t="s">
        <v>179</v>
      </c>
      <c r="X834" s="209" t="s">
        <v>180</v>
      </c>
      <c r="Y834" s="209" t="s">
        <v>180</v>
      </c>
      <c r="Z834" s="209">
        <v>9521068281</v>
      </c>
      <c r="AA834" s="209" t="s">
        <v>1925</v>
      </c>
      <c r="AB834" s="209" t="s">
        <v>180</v>
      </c>
      <c r="AC834" s="209" t="s">
        <v>182</v>
      </c>
      <c r="AD834" s="209">
        <v>4</v>
      </c>
      <c r="AE834" s="209">
        <v>2025</v>
      </c>
      <c r="AF834" s="227">
        <v>45764</v>
      </c>
      <c r="AG834" s="227">
        <v>45771</v>
      </c>
      <c r="AH834" s="227">
        <v>45771</v>
      </c>
      <c r="AI834" s="228">
        <v>131328</v>
      </c>
      <c r="AJ834" s="228">
        <v>16</v>
      </c>
      <c r="AK834" s="228">
        <v>131328</v>
      </c>
      <c r="AL834" s="228">
        <v>16</v>
      </c>
      <c r="AM834" s="228">
        <v>0</v>
      </c>
      <c r="AN834" s="228">
        <v>0</v>
      </c>
      <c r="AO834" s="229">
        <v>17</v>
      </c>
      <c r="AP834" s="231">
        <v>4</v>
      </c>
      <c r="AQ834" s="231">
        <v>2025</v>
      </c>
      <c r="AR834" s="231" t="str">
        <f t="shared" si="115"/>
        <v>04/2025</v>
      </c>
      <c r="AS834" s="231">
        <f t="shared" si="116"/>
        <v>46.6</v>
      </c>
      <c r="AT834" s="239">
        <f>IF(G834="CERVECERIA Y MALTERIA",(AS834*AK834/1000000)*(1-VLOOKUP(N834,FCST!D:I,6,FALSE)),0)</f>
        <v>6.1198847999999995</v>
      </c>
      <c r="AU834" s="232">
        <v>5.0000000000000001E-3</v>
      </c>
      <c r="AV834" s="239">
        <f t="shared" si="117"/>
        <v>6.1504842239999986</v>
      </c>
      <c r="AW834" s="239">
        <f>(AS834*AK834/1000000)*(VLOOKUP(N834,FCST!D:I,6,FALSE))</f>
        <v>0</v>
      </c>
      <c r="AX834" s="239">
        <f t="shared" si="118"/>
        <v>0</v>
      </c>
      <c r="AY834" s="239">
        <f>IF($G834="CERVECERIA Y MALTERIA.",($AS834*$AK834/1000000)*(1-VLOOKUP($N834,FCST!D:I,6,FALSE)),0)</f>
        <v>0</v>
      </c>
      <c r="AZ834" s="239">
        <f t="shared" si="119"/>
        <v>0</v>
      </c>
    </row>
    <row r="835" spans="1:52" x14ac:dyDescent="0.25">
      <c r="A835" s="209">
        <v>1113085</v>
      </c>
      <c r="B835" s="209">
        <v>50</v>
      </c>
      <c r="C835" s="209">
        <v>89443421</v>
      </c>
      <c r="D835" s="209">
        <v>10</v>
      </c>
      <c r="E835" s="209">
        <v>10000002</v>
      </c>
      <c r="F835" s="209">
        <v>20000335</v>
      </c>
      <c r="G835" s="209" t="s">
        <v>105</v>
      </c>
      <c r="H835" s="209">
        <v>20000335</v>
      </c>
      <c r="I835" s="209">
        <v>2</v>
      </c>
      <c r="J835" s="209" t="s">
        <v>169</v>
      </c>
      <c r="K835" s="209" t="s">
        <v>1926</v>
      </c>
      <c r="L835" s="209" t="s">
        <v>171</v>
      </c>
      <c r="M835" s="209" t="s">
        <v>199</v>
      </c>
      <c r="N835" s="209">
        <v>50034616</v>
      </c>
      <c r="O835" s="209" t="s">
        <v>191</v>
      </c>
      <c r="P835" s="209">
        <v>5121</v>
      </c>
      <c r="Q835" s="209" t="s">
        <v>200</v>
      </c>
      <c r="R835" s="209" t="s">
        <v>201</v>
      </c>
      <c r="S835" s="209" t="s">
        <v>202</v>
      </c>
      <c r="T835" s="209" t="s">
        <v>203</v>
      </c>
      <c r="U835" s="209" t="s">
        <v>201</v>
      </c>
      <c r="V835" s="209" t="s">
        <v>179</v>
      </c>
      <c r="W835" s="209" t="s">
        <v>179</v>
      </c>
      <c r="X835" s="209" t="s">
        <v>180</v>
      </c>
      <c r="Y835" s="209" t="s">
        <v>180</v>
      </c>
      <c r="Z835" s="209">
        <v>9521068281</v>
      </c>
      <c r="AA835" s="209" t="s">
        <v>1925</v>
      </c>
      <c r="AB835" s="209" t="s">
        <v>180</v>
      </c>
      <c r="AC835" s="209" t="s">
        <v>182</v>
      </c>
      <c r="AD835" s="209">
        <v>4</v>
      </c>
      <c r="AE835" s="209">
        <v>2025</v>
      </c>
      <c r="AF835" s="227">
        <v>45764</v>
      </c>
      <c r="AG835" s="227">
        <v>45771</v>
      </c>
      <c r="AH835" s="227">
        <v>45771</v>
      </c>
      <c r="AI835" s="228">
        <v>426816</v>
      </c>
      <c r="AJ835" s="228">
        <v>52</v>
      </c>
      <c r="AK835" s="228">
        <v>426816</v>
      </c>
      <c r="AL835" s="228">
        <v>52</v>
      </c>
      <c r="AM835" s="228">
        <v>0</v>
      </c>
      <c r="AN835" s="228">
        <v>0</v>
      </c>
      <c r="AO835" s="229">
        <v>17</v>
      </c>
      <c r="AP835" s="231">
        <v>4</v>
      </c>
      <c r="AQ835" s="231">
        <v>2025</v>
      </c>
      <c r="AR835" s="231" t="str">
        <f t="shared" si="115"/>
        <v>04/2025</v>
      </c>
      <c r="AS835" s="231">
        <f t="shared" si="116"/>
        <v>46.6</v>
      </c>
      <c r="AT835" s="239">
        <f>IF(G835="CERVECERIA Y MALTERIA",(AS835*AK835/1000000)*(1-VLOOKUP(N835,FCST!D:I,6,FALSE)),0)</f>
        <v>19.889625600000002</v>
      </c>
      <c r="AU835" s="232">
        <v>5.0000000000000001E-3</v>
      </c>
      <c r="AV835" s="239">
        <f t="shared" si="117"/>
        <v>19.989073728000001</v>
      </c>
      <c r="AW835" s="239">
        <f>(AS835*AK835/1000000)*(VLOOKUP(N835,FCST!D:I,6,FALSE))</f>
        <v>0</v>
      </c>
      <c r="AX835" s="239">
        <f t="shared" si="118"/>
        <v>0</v>
      </c>
      <c r="AY835" s="239">
        <f>IF($G835="CERVECERIA Y MALTERIA.",($AS835*$AK835/1000000)*(1-VLOOKUP($N835,FCST!D:I,6,FALSE)),0)</f>
        <v>0</v>
      </c>
      <c r="AZ835" s="239">
        <f t="shared" si="119"/>
        <v>0</v>
      </c>
    </row>
    <row r="836" spans="1:52" x14ac:dyDescent="0.25">
      <c r="A836" s="209">
        <v>1113085</v>
      </c>
      <c r="B836" s="209">
        <v>30</v>
      </c>
      <c r="C836" s="209">
        <v>89443414</v>
      </c>
      <c r="D836" s="209">
        <v>10</v>
      </c>
      <c r="E836" s="209">
        <v>10000002</v>
      </c>
      <c r="F836" s="209">
        <v>20000335</v>
      </c>
      <c r="G836" s="209" t="s">
        <v>105</v>
      </c>
      <c r="H836" s="209">
        <v>20000335</v>
      </c>
      <c r="I836" s="209">
        <v>2</v>
      </c>
      <c r="J836" s="209" t="s">
        <v>169</v>
      </c>
      <c r="K836" s="209" t="s">
        <v>1927</v>
      </c>
      <c r="L836" s="209" t="s">
        <v>171</v>
      </c>
      <c r="M836" s="209" t="s">
        <v>172</v>
      </c>
      <c r="N836" s="209">
        <v>50034616</v>
      </c>
      <c r="O836" s="209" t="s">
        <v>191</v>
      </c>
      <c r="P836" s="209">
        <v>5121</v>
      </c>
      <c r="Q836" s="209" t="s">
        <v>174</v>
      </c>
      <c r="R836" s="209" t="s">
        <v>175</v>
      </c>
      <c r="S836" s="209" t="s">
        <v>176</v>
      </c>
      <c r="T836" s="209" t="s">
        <v>177</v>
      </c>
      <c r="U836" s="209" t="s">
        <v>178</v>
      </c>
      <c r="V836" s="209" t="s">
        <v>179</v>
      </c>
      <c r="W836" s="209" t="s">
        <v>179</v>
      </c>
      <c r="X836" s="209" t="s">
        <v>180</v>
      </c>
      <c r="Y836" s="209" t="s">
        <v>180</v>
      </c>
      <c r="Z836" s="209">
        <v>9521068281</v>
      </c>
      <c r="AA836" s="209" t="s">
        <v>1925</v>
      </c>
      <c r="AB836" s="209" t="s">
        <v>180</v>
      </c>
      <c r="AC836" s="209" t="s">
        <v>182</v>
      </c>
      <c r="AD836" s="209">
        <v>4</v>
      </c>
      <c r="AE836" s="209">
        <v>2025</v>
      </c>
      <c r="AF836" s="227">
        <v>45764</v>
      </c>
      <c r="AG836" s="227">
        <v>45771</v>
      </c>
      <c r="AH836" s="227">
        <v>45771</v>
      </c>
      <c r="AI836" s="228">
        <v>279072</v>
      </c>
      <c r="AJ836" s="228">
        <v>34</v>
      </c>
      <c r="AK836" s="228">
        <v>279072</v>
      </c>
      <c r="AL836" s="228">
        <v>34</v>
      </c>
      <c r="AM836" s="228">
        <v>0</v>
      </c>
      <c r="AN836" s="228">
        <v>0</v>
      </c>
      <c r="AO836" s="229">
        <v>17</v>
      </c>
      <c r="AP836" s="231">
        <v>4</v>
      </c>
      <c r="AQ836" s="231">
        <v>2025</v>
      </c>
      <c r="AR836" s="231" t="str">
        <f t="shared" si="115"/>
        <v>04/2025</v>
      </c>
      <c r="AS836" s="231">
        <f t="shared" si="116"/>
        <v>46.6</v>
      </c>
      <c r="AT836" s="239">
        <f>IF(G836="CERVECERIA Y MALTERIA",(AS836*AK836/1000000)*(1-VLOOKUP(N836,FCST!D:I,6,FALSE)),0)</f>
        <v>13.004755200000002</v>
      </c>
      <c r="AU836" s="232">
        <v>5.0000000000000001E-3</v>
      </c>
      <c r="AV836" s="239">
        <f t="shared" si="117"/>
        <v>13.069778976</v>
      </c>
      <c r="AW836" s="239">
        <f>(AS836*AK836/1000000)*(VLOOKUP(N836,FCST!D:I,6,FALSE))</f>
        <v>0</v>
      </c>
      <c r="AX836" s="239">
        <f t="shared" si="118"/>
        <v>0</v>
      </c>
      <c r="AY836" s="239">
        <f>IF($G836="CERVECERIA Y MALTERIA.",($AS836*$AK836/1000000)*(1-VLOOKUP($N836,FCST!D:I,6,FALSE)),0)</f>
        <v>0</v>
      </c>
      <c r="AZ836" s="239">
        <f t="shared" si="119"/>
        <v>0</v>
      </c>
    </row>
    <row r="837" spans="1:52" x14ac:dyDescent="0.25">
      <c r="A837" s="209">
        <v>1113086</v>
      </c>
      <c r="B837" s="209">
        <v>40</v>
      </c>
      <c r="C837" s="209">
        <v>89443413</v>
      </c>
      <c r="D837" s="209">
        <v>10</v>
      </c>
      <c r="E837" s="209">
        <v>10000002</v>
      </c>
      <c r="F837" s="209">
        <v>20000340</v>
      </c>
      <c r="G837" s="209" t="s">
        <v>117</v>
      </c>
      <c r="H837" s="209">
        <v>20000340</v>
      </c>
      <c r="I837" s="209">
        <v>2</v>
      </c>
      <c r="J837" s="209" t="s">
        <v>169</v>
      </c>
      <c r="K837" s="209" t="s">
        <v>1928</v>
      </c>
      <c r="L837" s="209" t="s">
        <v>171</v>
      </c>
      <c r="M837" s="209" t="s">
        <v>172</v>
      </c>
      <c r="N837" s="209">
        <v>50025163</v>
      </c>
      <c r="O837" s="209" t="s">
        <v>185</v>
      </c>
      <c r="P837" s="209">
        <v>5101</v>
      </c>
      <c r="Q837" s="209" t="s">
        <v>186</v>
      </c>
      <c r="R837" s="209" t="s">
        <v>175</v>
      </c>
      <c r="S837" s="209" t="s">
        <v>176</v>
      </c>
      <c r="T837" s="209" t="s">
        <v>187</v>
      </c>
      <c r="U837" s="209" t="s">
        <v>188</v>
      </c>
      <c r="V837" s="209" t="s">
        <v>179</v>
      </c>
      <c r="W837" s="209" t="s">
        <v>179</v>
      </c>
      <c r="X837" s="209" t="s">
        <v>180</v>
      </c>
      <c r="Y837" s="209" t="s">
        <v>180</v>
      </c>
      <c r="Z837" s="209">
        <v>9511047786</v>
      </c>
      <c r="AA837" s="209" t="s">
        <v>1929</v>
      </c>
      <c r="AB837" s="209" t="s">
        <v>180</v>
      </c>
      <c r="AC837" s="209" t="s">
        <v>182</v>
      </c>
      <c r="AD837" s="209">
        <v>4</v>
      </c>
      <c r="AE837" s="209">
        <v>2025</v>
      </c>
      <c r="AF837" s="227">
        <v>45764</v>
      </c>
      <c r="AG837" s="227">
        <v>45771</v>
      </c>
      <c r="AH837" s="227">
        <v>45771</v>
      </c>
      <c r="AI837" s="228">
        <v>198288</v>
      </c>
      <c r="AJ837" s="228">
        <v>17</v>
      </c>
      <c r="AK837" s="228">
        <v>198288</v>
      </c>
      <c r="AL837" s="228">
        <v>17</v>
      </c>
      <c r="AM837" s="228">
        <v>0</v>
      </c>
      <c r="AN837" s="228">
        <v>0</v>
      </c>
      <c r="AO837" s="229">
        <v>17</v>
      </c>
      <c r="AP837" s="231">
        <v>4</v>
      </c>
      <c r="AQ837" s="231">
        <v>2025</v>
      </c>
      <c r="AR837" s="231" t="str">
        <f t="shared" si="115"/>
        <v>04/2025</v>
      </c>
      <c r="AS837" s="231">
        <f t="shared" si="116"/>
        <v>30</v>
      </c>
      <c r="AT837" s="239">
        <f>IF(G837="CERVECERIA Y MALTERIA",(AS837*AK837/1000000)*(1-VLOOKUP(N837,FCST!D:I,6,FALSE)),0)</f>
        <v>0</v>
      </c>
      <c r="AU837" s="232">
        <v>5.0000000000000001E-3</v>
      </c>
      <c r="AV837" s="239">
        <f t="shared" si="117"/>
        <v>0</v>
      </c>
      <c r="AW837" s="239">
        <f>(AS837*AK837/1000000)*(VLOOKUP(N837,FCST!D:I,6,FALSE))</f>
        <v>0</v>
      </c>
      <c r="AX837" s="239">
        <f t="shared" si="118"/>
        <v>0</v>
      </c>
      <c r="AY837" s="239">
        <f>IF($G837="CERVECERIA Y MALTERIA.",($AS837*$AK837/1000000)*(1-VLOOKUP($N837,FCST!D:I,6,FALSE)),0)</f>
        <v>5.9486400000000001</v>
      </c>
      <c r="AZ837" s="239">
        <f t="shared" si="119"/>
        <v>5.9783831999999997</v>
      </c>
    </row>
    <row r="838" spans="1:52" x14ac:dyDescent="0.25">
      <c r="A838" s="209">
        <v>1113085</v>
      </c>
      <c r="B838" s="209">
        <v>70</v>
      </c>
      <c r="C838" s="209">
        <v>89444724</v>
      </c>
      <c r="D838" s="209">
        <v>10</v>
      </c>
      <c r="E838" s="209">
        <v>10000002</v>
      </c>
      <c r="F838" s="209">
        <v>20000335</v>
      </c>
      <c r="G838" s="209" t="s">
        <v>105</v>
      </c>
      <c r="H838" s="209">
        <v>20000335</v>
      </c>
      <c r="I838" s="209">
        <v>2</v>
      </c>
      <c r="J838" s="209" t="s">
        <v>169</v>
      </c>
      <c r="K838" s="209" t="s">
        <v>1930</v>
      </c>
      <c r="L838" s="209" t="s">
        <v>171</v>
      </c>
      <c r="M838" s="209" t="s">
        <v>172</v>
      </c>
      <c r="N838" s="209">
        <v>50034561</v>
      </c>
      <c r="O838" s="209" t="s">
        <v>307</v>
      </c>
      <c r="P838" s="209">
        <v>5121</v>
      </c>
      <c r="Q838" s="209" t="s">
        <v>174</v>
      </c>
      <c r="R838" s="209" t="s">
        <v>175</v>
      </c>
      <c r="S838" s="209" t="s">
        <v>176</v>
      </c>
      <c r="T838" s="209" t="s">
        <v>177</v>
      </c>
      <c r="U838" s="209" t="s">
        <v>178</v>
      </c>
      <c r="V838" s="209" t="s">
        <v>179</v>
      </c>
      <c r="W838" s="209" t="s">
        <v>179</v>
      </c>
      <c r="X838" s="209" t="s">
        <v>180</v>
      </c>
      <c r="Y838" s="209" t="s">
        <v>180</v>
      </c>
      <c r="Z838" s="209">
        <v>9521068298</v>
      </c>
      <c r="AA838" s="209" t="s">
        <v>1931</v>
      </c>
      <c r="AB838" s="209" t="s">
        <v>180</v>
      </c>
      <c r="AC838" s="209" t="s">
        <v>182</v>
      </c>
      <c r="AD838" s="209">
        <v>4</v>
      </c>
      <c r="AE838" s="209">
        <v>2025</v>
      </c>
      <c r="AF838" s="227">
        <v>45764</v>
      </c>
      <c r="AG838" s="227">
        <v>45772</v>
      </c>
      <c r="AH838" s="227">
        <v>45772</v>
      </c>
      <c r="AI838" s="228">
        <v>977184</v>
      </c>
      <c r="AJ838" s="228">
        <v>52</v>
      </c>
      <c r="AK838" s="228">
        <v>977184</v>
      </c>
      <c r="AL838" s="228">
        <v>52</v>
      </c>
      <c r="AM838" s="228">
        <v>0</v>
      </c>
      <c r="AN838" s="228">
        <v>0</v>
      </c>
      <c r="AO838" s="229">
        <v>17</v>
      </c>
      <c r="AP838" s="231">
        <v>4</v>
      </c>
      <c r="AQ838" s="231">
        <v>2025</v>
      </c>
      <c r="AR838" s="231" t="str">
        <f t="shared" si="115"/>
        <v>04/2025</v>
      </c>
      <c r="AS838" s="231">
        <f t="shared" si="116"/>
        <v>19.5</v>
      </c>
      <c r="AT838" s="239">
        <f>IF(G838="CERVECERIA Y MALTERIA",(AS838*AK838/1000000)*(1-VLOOKUP(N838,FCST!D:I,6,FALSE)),0)</f>
        <v>19.055088000000001</v>
      </c>
      <c r="AU838" s="232">
        <v>5.0000000000000001E-3</v>
      </c>
      <c r="AV838" s="239">
        <f t="shared" si="117"/>
        <v>19.15036344</v>
      </c>
      <c r="AW838" s="239">
        <f>(AS838*AK838/1000000)*(VLOOKUP(N838,FCST!D:I,6,FALSE))</f>
        <v>0</v>
      </c>
      <c r="AX838" s="239">
        <f t="shared" si="118"/>
        <v>0</v>
      </c>
      <c r="AY838" s="239">
        <f>IF($G838="CERVECERIA Y MALTERIA.",($AS838*$AK838/1000000)*(1-VLOOKUP($N838,FCST!D:I,6,FALSE)),0)</f>
        <v>0</v>
      </c>
      <c r="AZ838" s="239">
        <f t="shared" si="119"/>
        <v>0</v>
      </c>
    </row>
    <row r="839" spans="1:52" x14ac:dyDescent="0.25">
      <c r="A839" s="209">
        <v>1113086</v>
      </c>
      <c r="B839" s="209">
        <v>70</v>
      </c>
      <c r="C839" s="209">
        <v>89444682</v>
      </c>
      <c r="D839" s="209">
        <v>10</v>
      </c>
      <c r="E839" s="209">
        <v>10000002</v>
      </c>
      <c r="F839" s="209">
        <v>20000340</v>
      </c>
      <c r="G839" s="209" t="s">
        <v>117</v>
      </c>
      <c r="H839" s="209">
        <v>20000340</v>
      </c>
      <c r="I839" s="209">
        <v>2</v>
      </c>
      <c r="J839" s="209" t="s">
        <v>169</v>
      </c>
      <c r="K839" s="209" t="s">
        <v>1932</v>
      </c>
      <c r="L839" s="209" t="s">
        <v>171</v>
      </c>
      <c r="M839" s="209" t="s">
        <v>172</v>
      </c>
      <c r="N839" s="209">
        <v>50038523</v>
      </c>
      <c r="O839" s="209" t="s">
        <v>249</v>
      </c>
      <c r="P839" s="209">
        <v>5101</v>
      </c>
      <c r="Q839" s="209" t="s">
        <v>186</v>
      </c>
      <c r="R839" s="209" t="s">
        <v>175</v>
      </c>
      <c r="S839" s="209" t="s">
        <v>176</v>
      </c>
      <c r="T839" s="209" t="s">
        <v>187</v>
      </c>
      <c r="U839" s="209" t="s">
        <v>188</v>
      </c>
      <c r="V839" s="209" t="s">
        <v>179</v>
      </c>
      <c r="W839" s="209" t="s">
        <v>179</v>
      </c>
      <c r="X839" s="209" t="s">
        <v>180</v>
      </c>
      <c r="Y839" s="209" t="s">
        <v>180</v>
      </c>
      <c r="Z839" s="209">
        <v>9511047796</v>
      </c>
      <c r="AA839" s="209" t="s">
        <v>1933</v>
      </c>
      <c r="AB839" s="209" t="s">
        <v>180</v>
      </c>
      <c r="AC839" s="209" t="s">
        <v>182</v>
      </c>
      <c r="AD839" s="209">
        <v>4</v>
      </c>
      <c r="AE839" s="209">
        <v>2025</v>
      </c>
      <c r="AF839" s="227">
        <v>45764</v>
      </c>
      <c r="AG839" s="227">
        <v>45772</v>
      </c>
      <c r="AH839" s="227">
        <v>45772</v>
      </c>
      <c r="AI839" s="228">
        <v>606528</v>
      </c>
      <c r="AJ839" s="228">
        <v>52</v>
      </c>
      <c r="AK839" s="228">
        <v>606528</v>
      </c>
      <c r="AL839" s="228">
        <v>52</v>
      </c>
      <c r="AM839" s="228">
        <v>0</v>
      </c>
      <c r="AN839" s="228">
        <v>0</v>
      </c>
      <c r="AO839" s="229">
        <v>17</v>
      </c>
      <c r="AP839" s="231">
        <v>4</v>
      </c>
      <c r="AQ839" s="231">
        <v>2025</v>
      </c>
      <c r="AR839" s="231" t="str">
        <f t="shared" si="115"/>
        <v>04/2025</v>
      </c>
      <c r="AS839" s="231">
        <f t="shared" si="116"/>
        <v>30</v>
      </c>
      <c r="AT839" s="239">
        <f>IF(G839="CERVECERIA Y MALTERIA",(AS839*AK839/1000000)*(1-VLOOKUP(N839,FCST!D:I,6,FALSE)),0)</f>
        <v>0</v>
      </c>
      <c r="AU839" s="232">
        <v>5.0000000000000001E-3</v>
      </c>
      <c r="AV839" s="239">
        <f t="shared" si="117"/>
        <v>0</v>
      </c>
      <c r="AW839" s="239">
        <f>(AS839*AK839/1000000)*(VLOOKUP(N839,FCST!D:I,6,FALSE))</f>
        <v>0</v>
      </c>
      <c r="AX839" s="239">
        <f t="shared" si="118"/>
        <v>0</v>
      </c>
      <c r="AY839" s="239">
        <f>IF($G839="CERVECERIA Y MALTERIA.",($AS839*$AK839/1000000)*(1-VLOOKUP($N839,FCST!D:I,6,FALSE)),0)</f>
        <v>18.19584</v>
      </c>
      <c r="AZ839" s="239">
        <f t="shared" si="119"/>
        <v>18.2868192</v>
      </c>
    </row>
    <row r="840" spans="1:52" x14ac:dyDescent="0.25">
      <c r="A840" s="209">
        <v>1113086</v>
      </c>
      <c r="B840" s="209">
        <v>80</v>
      </c>
      <c r="C840" s="209">
        <v>89444607</v>
      </c>
      <c r="D840" s="209">
        <v>10</v>
      </c>
      <c r="E840" s="209">
        <v>10000002</v>
      </c>
      <c r="F840" s="209">
        <v>20000340</v>
      </c>
      <c r="G840" s="209" t="s">
        <v>117</v>
      </c>
      <c r="H840" s="209">
        <v>20000340</v>
      </c>
      <c r="I840" s="209">
        <v>2</v>
      </c>
      <c r="J840" s="209" t="s">
        <v>169</v>
      </c>
      <c r="K840" s="209" t="s">
        <v>1934</v>
      </c>
      <c r="L840" s="209" t="s">
        <v>171</v>
      </c>
      <c r="M840" s="209" t="s">
        <v>172</v>
      </c>
      <c r="N840" s="209">
        <v>50038523</v>
      </c>
      <c r="O840" s="209" t="s">
        <v>249</v>
      </c>
      <c r="P840" s="209">
        <v>5101</v>
      </c>
      <c r="Q840" s="209" t="s">
        <v>186</v>
      </c>
      <c r="R840" s="209" t="s">
        <v>175</v>
      </c>
      <c r="S840" s="209" t="s">
        <v>176</v>
      </c>
      <c r="T840" s="209" t="s">
        <v>187</v>
      </c>
      <c r="U840" s="209" t="s">
        <v>188</v>
      </c>
      <c r="V840" s="209" t="s">
        <v>179</v>
      </c>
      <c r="W840" s="209" t="s">
        <v>179</v>
      </c>
      <c r="X840" s="209" t="s">
        <v>180</v>
      </c>
      <c r="Y840" s="209" t="s">
        <v>180</v>
      </c>
      <c r="Z840" s="209">
        <v>9511047796</v>
      </c>
      <c r="AA840" s="209" t="s">
        <v>1933</v>
      </c>
      <c r="AB840" s="209" t="s">
        <v>180</v>
      </c>
      <c r="AC840" s="209" t="s">
        <v>182</v>
      </c>
      <c r="AD840" s="209">
        <v>4</v>
      </c>
      <c r="AE840" s="209">
        <v>2025</v>
      </c>
      <c r="AF840" s="227">
        <v>45764</v>
      </c>
      <c r="AG840" s="227">
        <v>45772</v>
      </c>
      <c r="AH840" s="227">
        <v>45772</v>
      </c>
      <c r="AI840" s="228">
        <v>606528</v>
      </c>
      <c r="AJ840" s="228">
        <v>52</v>
      </c>
      <c r="AK840" s="228">
        <v>606528</v>
      </c>
      <c r="AL840" s="228">
        <v>52</v>
      </c>
      <c r="AM840" s="228">
        <v>0</v>
      </c>
      <c r="AN840" s="228">
        <v>0</v>
      </c>
      <c r="AO840" s="229">
        <v>17</v>
      </c>
      <c r="AP840" s="231">
        <v>4</v>
      </c>
      <c r="AQ840" s="231">
        <v>2025</v>
      </c>
      <c r="AR840" s="231" t="str">
        <f t="shared" si="115"/>
        <v>04/2025</v>
      </c>
      <c r="AS840" s="231">
        <f t="shared" si="116"/>
        <v>30</v>
      </c>
      <c r="AT840" s="239">
        <f>IF(G840="CERVECERIA Y MALTERIA",(AS840*AK840/1000000)*(1-VLOOKUP(N840,FCST!D:I,6,FALSE)),0)</f>
        <v>0</v>
      </c>
      <c r="AU840" s="232">
        <v>5.0000000000000001E-3</v>
      </c>
      <c r="AV840" s="239">
        <f t="shared" si="117"/>
        <v>0</v>
      </c>
      <c r="AW840" s="239">
        <f>(AS840*AK840/1000000)*(VLOOKUP(N840,FCST!D:I,6,FALSE))</f>
        <v>0</v>
      </c>
      <c r="AX840" s="239">
        <f t="shared" si="118"/>
        <v>0</v>
      </c>
      <c r="AY840" s="239">
        <f>IF($G840="CERVECERIA Y MALTERIA.",($AS840*$AK840/1000000)*(1-VLOOKUP($N840,FCST!D:I,6,FALSE)),0)</f>
        <v>18.19584</v>
      </c>
      <c r="AZ840" s="239">
        <f t="shared" si="119"/>
        <v>18.2868192</v>
      </c>
    </row>
    <row r="841" spans="1:52" x14ac:dyDescent="0.25">
      <c r="A841" s="209">
        <v>1111633</v>
      </c>
      <c r="B841" s="209">
        <v>40</v>
      </c>
      <c r="C841" s="209">
        <v>89443875</v>
      </c>
      <c r="D841" s="209">
        <v>20</v>
      </c>
      <c r="E841" s="209">
        <v>10000002</v>
      </c>
      <c r="F841" s="209">
        <v>20001057</v>
      </c>
      <c r="G841" s="209" t="s">
        <v>105</v>
      </c>
      <c r="H841" s="209">
        <v>20001057</v>
      </c>
      <c r="I841" s="209">
        <v>2</v>
      </c>
      <c r="J841" s="209" t="s">
        <v>169</v>
      </c>
      <c r="K841" s="209" t="s">
        <v>1935</v>
      </c>
      <c r="L841" s="209" t="s">
        <v>171</v>
      </c>
      <c r="M841" s="209" t="s">
        <v>199</v>
      </c>
      <c r="N841" s="209">
        <v>50034574</v>
      </c>
      <c r="O841" s="209" t="s">
        <v>196</v>
      </c>
      <c r="P841" s="209">
        <v>5121</v>
      </c>
      <c r="Q841" s="209" t="s">
        <v>200</v>
      </c>
      <c r="R841" s="209" t="s">
        <v>201</v>
      </c>
      <c r="S841" s="209" t="s">
        <v>202</v>
      </c>
      <c r="T841" s="209" t="s">
        <v>203</v>
      </c>
      <c r="U841" s="209" t="s">
        <v>201</v>
      </c>
      <c r="V841" s="209" t="s">
        <v>179</v>
      </c>
      <c r="W841" s="209" t="s">
        <v>179</v>
      </c>
      <c r="X841" s="209" t="s">
        <v>180</v>
      </c>
      <c r="Y841" s="209" t="s">
        <v>180</v>
      </c>
      <c r="Z841" s="209">
        <v>9521068280</v>
      </c>
      <c r="AA841" s="209" t="s">
        <v>1936</v>
      </c>
      <c r="AB841" s="209" t="s">
        <v>180</v>
      </c>
      <c r="AC841" s="209" t="s">
        <v>182</v>
      </c>
      <c r="AD841" s="209">
        <v>4</v>
      </c>
      <c r="AE841" s="209">
        <v>2025</v>
      </c>
      <c r="AF841" s="227">
        <v>45756</v>
      </c>
      <c r="AG841" s="227">
        <v>45771</v>
      </c>
      <c r="AH841" s="227">
        <v>45771</v>
      </c>
      <c r="AI841" s="228">
        <v>225504</v>
      </c>
      <c r="AJ841" s="228">
        <v>12</v>
      </c>
      <c r="AK841" s="228">
        <v>225504</v>
      </c>
      <c r="AL841" s="228">
        <v>12</v>
      </c>
      <c r="AM841" s="228">
        <v>0</v>
      </c>
      <c r="AN841" s="228">
        <v>0</v>
      </c>
      <c r="AO841" s="229">
        <v>15</v>
      </c>
      <c r="AP841" s="231">
        <v>4</v>
      </c>
      <c r="AQ841" s="231">
        <v>2025</v>
      </c>
      <c r="AR841" s="231" t="str">
        <f t="shared" si="115"/>
        <v>04/2025</v>
      </c>
      <c r="AS841" s="231">
        <f t="shared" si="116"/>
        <v>19.5</v>
      </c>
      <c r="AT841" s="239">
        <f>IF(G841="CERVECERIA Y MALTERIA",(AS841*AK841/1000000)*(1-VLOOKUP(N841,FCST!D:I,6,FALSE)),0)</f>
        <v>4.3973279999999999</v>
      </c>
      <c r="AU841" s="232">
        <v>5.0000000000000001E-3</v>
      </c>
      <c r="AV841" s="239">
        <f t="shared" si="117"/>
        <v>4.4193146399999996</v>
      </c>
      <c r="AW841" s="239">
        <f>(AS841*AK841/1000000)*(VLOOKUP(N841,FCST!D:I,6,FALSE))</f>
        <v>0</v>
      </c>
      <c r="AX841" s="239">
        <f t="shared" si="118"/>
        <v>0</v>
      </c>
      <c r="AY841" s="239">
        <f>IF($G841="CERVECERIA Y MALTERIA.",($AS841*$AK841/1000000)*(1-VLOOKUP($N841,FCST!D:I,6,FALSE)),0)</f>
        <v>0</v>
      </c>
      <c r="AZ841" s="239">
        <f t="shared" si="119"/>
        <v>0</v>
      </c>
    </row>
    <row r="842" spans="1:52" x14ac:dyDescent="0.25">
      <c r="A842" s="209">
        <v>1111633</v>
      </c>
      <c r="B842" s="209">
        <v>30</v>
      </c>
      <c r="C842" s="209">
        <v>89443875</v>
      </c>
      <c r="D842" s="209">
        <v>10</v>
      </c>
      <c r="E842" s="209">
        <v>10000002</v>
      </c>
      <c r="F842" s="209">
        <v>20001057</v>
      </c>
      <c r="G842" s="209" t="s">
        <v>105</v>
      </c>
      <c r="H842" s="209">
        <v>20001057</v>
      </c>
      <c r="I842" s="209">
        <v>2</v>
      </c>
      <c r="J842" s="209" t="s">
        <v>169</v>
      </c>
      <c r="K842" s="209" t="s">
        <v>1935</v>
      </c>
      <c r="L842" s="209" t="s">
        <v>171</v>
      </c>
      <c r="M842" s="209" t="s">
        <v>199</v>
      </c>
      <c r="N842" s="209">
        <v>50032573</v>
      </c>
      <c r="O842" s="209" t="s">
        <v>173</v>
      </c>
      <c r="P842" s="209">
        <v>5121</v>
      </c>
      <c r="Q842" s="209" t="s">
        <v>200</v>
      </c>
      <c r="R842" s="209" t="s">
        <v>201</v>
      </c>
      <c r="S842" s="209" t="s">
        <v>202</v>
      </c>
      <c r="T842" s="209" t="s">
        <v>203</v>
      </c>
      <c r="U842" s="209" t="s">
        <v>201</v>
      </c>
      <c r="V842" s="209" t="s">
        <v>179</v>
      </c>
      <c r="W842" s="209" t="s">
        <v>179</v>
      </c>
      <c r="X842" s="209" t="s">
        <v>180</v>
      </c>
      <c r="Y842" s="209" t="s">
        <v>180</v>
      </c>
      <c r="Z842" s="209">
        <v>9521068280</v>
      </c>
      <c r="AA842" s="209" t="s">
        <v>1936</v>
      </c>
      <c r="AB842" s="209" t="s">
        <v>180</v>
      </c>
      <c r="AC842" s="209" t="s">
        <v>182</v>
      </c>
      <c r="AD842" s="209">
        <v>4</v>
      </c>
      <c r="AE842" s="209">
        <v>2025</v>
      </c>
      <c r="AF842" s="227">
        <v>45756</v>
      </c>
      <c r="AG842" s="227">
        <v>45771</v>
      </c>
      <c r="AH842" s="227">
        <v>45771</v>
      </c>
      <c r="AI842" s="228">
        <v>408960</v>
      </c>
      <c r="AJ842" s="228">
        <v>40</v>
      </c>
      <c r="AK842" s="228">
        <v>408960</v>
      </c>
      <c r="AL842" s="228">
        <v>40</v>
      </c>
      <c r="AM842" s="228">
        <v>0</v>
      </c>
      <c r="AN842" s="228">
        <v>0</v>
      </c>
      <c r="AO842" s="229">
        <v>15</v>
      </c>
      <c r="AP842" s="231">
        <v>4</v>
      </c>
      <c r="AQ842" s="231">
        <v>2025</v>
      </c>
      <c r="AR842" s="231" t="str">
        <f t="shared" si="115"/>
        <v>04/2025</v>
      </c>
      <c r="AS842" s="231">
        <f t="shared" si="116"/>
        <v>37.200000000000003</v>
      </c>
      <c r="AT842" s="239">
        <f>IF(G842="CERVECERIA Y MALTERIA",(AS842*AK842/1000000)*(1-VLOOKUP(N842,FCST!D:I,6,FALSE)),0)</f>
        <v>15.213312000000002</v>
      </c>
      <c r="AU842" s="232">
        <v>5.0000000000000001E-3</v>
      </c>
      <c r="AV842" s="239">
        <f t="shared" si="117"/>
        <v>15.289378560000001</v>
      </c>
      <c r="AW842" s="239">
        <f>(AS842*AK842/1000000)*(VLOOKUP(N842,FCST!D:I,6,FALSE))</f>
        <v>0</v>
      </c>
      <c r="AX842" s="239">
        <f t="shared" si="118"/>
        <v>0</v>
      </c>
      <c r="AY842" s="239">
        <f>IF($G842="CERVECERIA Y MALTERIA.",($AS842*$AK842/1000000)*(1-VLOOKUP($N842,FCST!D:I,6,FALSE)),0)</f>
        <v>0</v>
      </c>
      <c r="AZ842" s="239">
        <f t="shared" si="119"/>
        <v>0</v>
      </c>
    </row>
    <row r="843" spans="1:52" x14ac:dyDescent="0.25">
      <c r="A843" s="209">
        <v>1113086</v>
      </c>
      <c r="B843" s="209">
        <v>60</v>
      </c>
      <c r="C843" s="209">
        <v>89443674</v>
      </c>
      <c r="D843" s="209">
        <v>10</v>
      </c>
      <c r="E843" s="209">
        <v>10000002</v>
      </c>
      <c r="F843" s="209">
        <v>20000340</v>
      </c>
      <c r="G843" s="209" t="s">
        <v>117</v>
      </c>
      <c r="H843" s="209">
        <v>20000340</v>
      </c>
      <c r="I843" s="209">
        <v>2</v>
      </c>
      <c r="J843" s="209" t="s">
        <v>169</v>
      </c>
      <c r="K843" s="209" t="s">
        <v>1937</v>
      </c>
      <c r="L843" s="209" t="s">
        <v>171</v>
      </c>
      <c r="M843" s="209" t="s">
        <v>172</v>
      </c>
      <c r="N843" s="209">
        <v>50036718</v>
      </c>
      <c r="O843" s="209" t="s">
        <v>259</v>
      </c>
      <c r="P843" s="209">
        <v>5101</v>
      </c>
      <c r="Q843" s="209" t="s">
        <v>186</v>
      </c>
      <c r="R843" s="209" t="s">
        <v>175</v>
      </c>
      <c r="S843" s="209" t="s">
        <v>176</v>
      </c>
      <c r="T843" s="209" t="s">
        <v>187</v>
      </c>
      <c r="U843" s="209" t="s">
        <v>188</v>
      </c>
      <c r="V843" s="209" t="s">
        <v>179</v>
      </c>
      <c r="W843" s="209" t="s">
        <v>179</v>
      </c>
      <c r="X843" s="209" t="s">
        <v>180</v>
      </c>
      <c r="Y843" s="209" t="s">
        <v>180</v>
      </c>
      <c r="Z843" s="209">
        <v>9511047788</v>
      </c>
      <c r="AA843" s="209" t="s">
        <v>1938</v>
      </c>
      <c r="AB843" s="209" t="s">
        <v>180</v>
      </c>
      <c r="AC843" s="209" t="s">
        <v>182</v>
      </c>
      <c r="AD843" s="209">
        <v>4</v>
      </c>
      <c r="AE843" s="209">
        <v>2025</v>
      </c>
      <c r="AF843" s="227">
        <v>45764</v>
      </c>
      <c r="AG843" s="227">
        <v>45771</v>
      </c>
      <c r="AH843" s="227">
        <v>45771</v>
      </c>
      <c r="AI843" s="228">
        <v>519168</v>
      </c>
      <c r="AJ843" s="228">
        <v>52</v>
      </c>
      <c r="AK843" s="228">
        <v>519168</v>
      </c>
      <c r="AL843" s="228">
        <v>52</v>
      </c>
      <c r="AM843" s="228">
        <v>0</v>
      </c>
      <c r="AN843" s="228">
        <v>0</v>
      </c>
      <c r="AO843" s="229">
        <v>17</v>
      </c>
      <c r="AP843" s="231">
        <v>4</v>
      </c>
      <c r="AQ843" s="231">
        <v>2025</v>
      </c>
      <c r="AR843" s="231" t="str">
        <f t="shared" si="115"/>
        <v>04/2025</v>
      </c>
      <c r="AS843" s="231">
        <f t="shared" si="116"/>
        <v>34</v>
      </c>
      <c r="AT843" s="239">
        <f>IF(G843="CERVECERIA Y MALTERIA",(AS843*AK843/1000000)*(1-VLOOKUP(N843,FCST!D:I,6,FALSE)),0)</f>
        <v>0</v>
      </c>
      <c r="AU843" s="232">
        <v>5.0000000000000001E-3</v>
      </c>
      <c r="AV843" s="239">
        <f t="shared" si="117"/>
        <v>0</v>
      </c>
      <c r="AW843" s="239">
        <f>(AS843*AK843/1000000)*(VLOOKUP(N843,FCST!D:I,6,FALSE))</f>
        <v>0</v>
      </c>
      <c r="AX843" s="239">
        <f t="shared" si="118"/>
        <v>0</v>
      </c>
      <c r="AY843" s="239">
        <f>IF($G843="CERVECERIA Y MALTERIA.",($AS843*$AK843/1000000)*(1-VLOOKUP($N843,FCST!D:I,6,FALSE)),0)</f>
        <v>17.651712</v>
      </c>
      <c r="AZ843" s="239">
        <f t="shared" si="119"/>
        <v>17.73997056</v>
      </c>
    </row>
    <row r="844" spans="1:52" x14ac:dyDescent="0.25">
      <c r="A844" s="209">
        <v>1113085</v>
      </c>
      <c r="B844" s="209">
        <v>90</v>
      </c>
      <c r="C844" s="209">
        <v>89441059</v>
      </c>
      <c r="D844" s="209">
        <v>10</v>
      </c>
      <c r="E844" s="209">
        <v>10000002</v>
      </c>
      <c r="F844" s="209">
        <v>20000335</v>
      </c>
      <c r="G844" s="209" t="s">
        <v>105</v>
      </c>
      <c r="H844" s="209">
        <v>20000335</v>
      </c>
      <c r="I844" s="209">
        <v>2</v>
      </c>
      <c r="J844" s="209" t="s">
        <v>169</v>
      </c>
      <c r="K844" s="209" t="s">
        <v>1939</v>
      </c>
      <c r="L844" s="209" t="s">
        <v>171</v>
      </c>
      <c r="M844" s="209" t="s">
        <v>199</v>
      </c>
      <c r="N844" s="209">
        <v>50034616</v>
      </c>
      <c r="O844" s="209" t="s">
        <v>191</v>
      </c>
      <c r="P844" s="209">
        <v>5121</v>
      </c>
      <c r="Q844" s="209" t="s">
        <v>200</v>
      </c>
      <c r="R844" s="209" t="s">
        <v>201</v>
      </c>
      <c r="S844" s="209" t="s">
        <v>202</v>
      </c>
      <c r="T844" s="209" t="s">
        <v>203</v>
      </c>
      <c r="U844" s="209" t="s">
        <v>201</v>
      </c>
      <c r="V844" s="209" t="s">
        <v>179</v>
      </c>
      <c r="W844" s="209" t="s">
        <v>179</v>
      </c>
      <c r="X844" s="209" t="s">
        <v>180</v>
      </c>
      <c r="Y844" s="209" t="s">
        <v>180</v>
      </c>
      <c r="Z844" s="209">
        <v>9521068237</v>
      </c>
      <c r="AA844" s="209" t="s">
        <v>1940</v>
      </c>
      <c r="AB844" s="209" t="s">
        <v>180</v>
      </c>
      <c r="AC844" s="209" t="s">
        <v>182</v>
      </c>
      <c r="AD844" s="209">
        <v>4</v>
      </c>
      <c r="AE844" s="209">
        <v>2025</v>
      </c>
      <c r="AF844" s="227">
        <v>45764</v>
      </c>
      <c r="AG844" s="227">
        <v>45769</v>
      </c>
      <c r="AH844" s="227">
        <v>45769</v>
      </c>
      <c r="AI844" s="228">
        <v>426816</v>
      </c>
      <c r="AJ844" s="228">
        <v>52</v>
      </c>
      <c r="AK844" s="228">
        <v>426816</v>
      </c>
      <c r="AL844" s="228">
        <v>52</v>
      </c>
      <c r="AM844" s="228">
        <v>0</v>
      </c>
      <c r="AN844" s="228">
        <v>0</v>
      </c>
      <c r="AO844" s="229">
        <v>17</v>
      </c>
      <c r="AP844" s="231">
        <v>4</v>
      </c>
      <c r="AQ844" s="231">
        <v>2025</v>
      </c>
      <c r="AR844" s="231" t="str">
        <f t="shared" si="115"/>
        <v>04/2025</v>
      </c>
      <c r="AS844" s="231">
        <f t="shared" si="116"/>
        <v>46.6</v>
      </c>
      <c r="AT844" s="239">
        <f>IF(G844="CERVECERIA Y MALTERIA",(AS844*AK844/1000000)*(1-VLOOKUP(N844,FCST!D:I,6,FALSE)),0)</f>
        <v>19.889625600000002</v>
      </c>
      <c r="AU844" s="232">
        <v>5.0000000000000001E-3</v>
      </c>
      <c r="AV844" s="239">
        <f t="shared" si="117"/>
        <v>19.989073728000001</v>
      </c>
      <c r="AW844" s="239">
        <f>(AS844*AK844/1000000)*(VLOOKUP(N844,FCST!D:I,6,FALSE))</f>
        <v>0</v>
      </c>
      <c r="AX844" s="239">
        <f t="shared" si="118"/>
        <v>0</v>
      </c>
      <c r="AY844" s="239">
        <f>IF($G844="CERVECERIA Y MALTERIA.",($AS844*$AK844/1000000)*(1-VLOOKUP($N844,FCST!D:I,6,FALSE)),0)</f>
        <v>0</v>
      </c>
      <c r="AZ844" s="239">
        <f t="shared" si="119"/>
        <v>0</v>
      </c>
    </row>
    <row r="845" spans="1:52" x14ac:dyDescent="0.25">
      <c r="A845" s="209">
        <v>1113132</v>
      </c>
      <c r="B845" s="209">
        <v>20</v>
      </c>
      <c r="C845" s="209">
        <v>89440588</v>
      </c>
      <c r="D845" s="209">
        <v>10</v>
      </c>
      <c r="E845" s="209">
        <v>10000002</v>
      </c>
      <c r="F845" s="209">
        <v>20000337</v>
      </c>
      <c r="G845" s="209" t="s">
        <v>105</v>
      </c>
      <c r="H845" s="209">
        <v>20000337</v>
      </c>
      <c r="I845" s="209">
        <v>2</v>
      </c>
      <c r="J845" s="209" t="s">
        <v>169</v>
      </c>
      <c r="K845" s="209" t="s">
        <v>1941</v>
      </c>
      <c r="L845" s="209" t="s">
        <v>171</v>
      </c>
      <c r="M845" s="209" t="s">
        <v>184</v>
      </c>
      <c r="N845" s="209">
        <v>50039302</v>
      </c>
      <c r="O845" s="209" t="s">
        <v>1942</v>
      </c>
      <c r="P845" s="209">
        <v>5121</v>
      </c>
      <c r="Q845" s="209" t="s">
        <v>174</v>
      </c>
      <c r="R845" s="209" t="s">
        <v>175</v>
      </c>
      <c r="S845" s="209" t="s">
        <v>176</v>
      </c>
      <c r="T845" s="209" t="s">
        <v>177</v>
      </c>
      <c r="U845" s="209" t="s">
        <v>178</v>
      </c>
      <c r="V845" s="209" t="s">
        <v>179</v>
      </c>
      <c r="W845" s="209" t="s">
        <v>179</v>
      </c>
      <c r="X845" s="209" t="s">
        <v>180</v>
      </c>
      <c r="Y845" s="209" t="s">
        <v>180</v>
      </c>
      <c r="Z845" s="209">
        <v>9521068231</v>
      </c>
      <c r="AA845" s="209" t="s">
        <v>1943</v>
      </c>
      <c r="AB845" s="209" t="s">
        <v>180</v>
      </c>
      <c r="AC845" s="209" t="s">
        <v>182</v>
      </c>
      <c r="AD845" s="209">
        <v>4</v>
      </c>
      <c r="AE845" s="209">
        <v>2025</v>
      </c>
      <c r="AF845" s="227">
        <v>45764</v>
      </c>
      <c r="AG845" s="227">
        <v>45768</v>
      </c>
      <c r="AH845" s="227">
        <v>45768</v>
      </c>
      <c r="AI845" s="228">
        <v>368640</v>
      </c>
      <c r="AJ845" s="228">
        <v>48</v>
      </c>
      <c r="AK845" s="228">
        <v>368640</v>
      </c>
      <c r="AL845" s="228">
        <v>48</v>
      </c>
      <c r="AM845" s="228">
        <v>0</v>
      </c>
      <c r="AN845" s="228">
        <v>0</v>
      </c>
      <c r="AO845" s="229">
        <v>17</v>
      </c>
      <c r="AP845" s="231">
        <v>4</v>
      </c>
      <c r="AQ845" s="231">
        <v>2025</v>
      </c>
      <c r="AR845" s="231" t="str">
        <f t="shared" si="115"/>
        <v>04/2025</v>
      </c>
      <c r="AS845" s="231">
        <f t="shared" si="116"/>
        <v>46.6</v>
      </c>
      <c r="AT845" s="239">
        <f>IF(G845="CERVECERIA Y MALTERIA",(AS845*AK845/1000000)*(1-VLOOKUP(N845,FCST!D:I,6,FALSE)),0)</f>
        <v>17.178623999999999</v>
      </c>
      <c r="AU845" s="232">
        <v>5.0000000000000001E-3</v>
      </c>
      <c r="AV845" s="239">
        <f t="shared" si="117"/>
        <v>17.264517119999997</v>
      </c>
      <c r="AW845" s="239">
        <f>(AS845*AK845/1000000)*(VLOOKUP(N845,FCST!D:I,6,FALSE))</f>
        <v>0</v>
      </c>
      <c r="AX845" s="239">
        <f t="shared" si="118"/>
        <v>0</v>
      </c>
      <c r="AY845" s="239">
        <f>IF($G845="CERVECERIA Y MALTERIA.",($AS845*$AK845/1000000)*(1-VLOOKUP($N845,FCST!D:I,6,FALSE)),0)</f>
        <v>0</v>
      </c>
      <c r="AZ845" s="239">
        <f t="shared" si="119"/>
        <v>0</v>
      </c>
    </row>
    <row r="846" spans="1:52" x14ac:dyDescent="0.25">
      <c r="A846" s="209">
        <v>1113086</v>
      </c>
      <c r="B846" s="209">
        <v>10</v>
      </c>
      <c r="C846" s="209">
        <v>89440435</v>
      </c>
      <c r="D846" s="209">
        <v>10</v>
      </c>
      <c r="E846" s="209">
        <v>10000002</v>
      </c>
      <c r="F846" s="209">
        <v>20000340</v>
      </c>
      <c r="G846" s="209" t="s">
        <v>117</v>
      </c>
      <c r="H846" s="209">
        <v>20000340</v>
      </c>
      <c r="I846" s="209">
        <v>2</v>
      </c>
      <c r="J846" s="209" t="s">
        <v>169</v>
      </c>
      <c r="K846" s="209" t="s">
        <v>1944</v>
      </c>
      <c r="L846" s="209" t="s">
        <v>171</v>
      </c>
      <c r="M846" s="209" t="s">
        <v>184</v>
      </c>
      <c r="N846" s="209">
        <v>50036718</v>
      </c>
      <c r="O846" s="209" t="s">
        <v>259</v>
      </c>
      <c r="P846" s="209">
        <v>5101</v>
      </c>
      <c r="Q846" s="209" t="s">
        <v>186</v>
      </c>
      <c r="R846" s="209" t="s">
        <v>175</v>
      </c>
      <c r="S846" s="209" t="s">
        <v>176</v>
      </c>
      <c r="T846" s="209" t="s">
        <v>187</v>
      </c>
      <c r="U846" s="209" t="s">
        <v>188</v>
      </c>
      <c r="V846" s="209" t="s">
        <v>179</v>
      </c>
      <c r="W846" s="209" t="s">
        <v>179</v>
      </c>
      <c r="X846" s="209" t="s">
        <v>180</v>
      </c>
      <c r="Y846" s="209" t="s">
        <v>180</v>
      </c>
      <c r="Z846" s="209">
        <v>9511047765</v>
      </c>
      <c r="AA846" s="209" t="s">
        <v>1945</v>
      </c>
      <c r="AB846" s="209" t="s">
        <v>180</v>
      </c>
      <c r="AC846" s="209" t="s">
        <v>182</v>
      </c>
      <c r="AD846" s="209">
        <v>4</v>
      </c>
      <c r="AE846" s="209">
        <v>2025</v>
      </c>
      <c r="AF846" s="227">
        <v>45764</v>
      </c>
      <c r="AG846" s="227">
        <v>45768</v>
      </c>
      <c r="AH846" s="227">
        <v>45768</v>
      </c>
      <c r="AI846" s="228">
        <v>519168</v>
      </c>
      <c r="AJ846" s="228">
        <v>52</v>
      </c>
      <c r="AK846" s="228">
        <v>519168</v>
      </c>
      <c r="AL846" s="228">
        <v>52</v>
      </c>
      <c r="AM846" s="228">
        <v>0</v>
      </c>
      <c r="AN846" s="228">
        <v>0</v>
      </c>
      <c r="AO846" s="229">
        <v>17</v>
      </c>
      <c r="AP846" s="231">
        <v>4</v>
      </c>
      <c r="AQ846" s="231">
        <v>2025</v>
      </c>
      <c r="AR846" s="231" t="str">
        <f t="shared" si="115"/>
        <v>04/2025</v>
      </c>
      <c r="AS846" s="231">
        <f t="shared" si="116"/>
        <v>34</v>
      </c>
      <c r="AT846" s="239">
        <f>IF(G846="CERVECERIA Y MALTERIA",(AS846*AK846/1000000)*(1-VLOOKUP(N846,FCST!D:I,6,FALSE)),0)</f>
        <v>0</v>
      </c>
      <c r="AU846" s="232">
        <v>5.0000000000000001E-3</v>
      </c>
      <c r="AV846" s="239">
        <f t="shared" si="117"/>
        <v>0</v>
      </c>
      <c r="AW846" s="239">
        <f>(AS846*AK846/1000000)*(VLOOKUP(N846,FCST!D:I,6,FALSE))</f>
        <v>0</v>
      </c>
      <c r="AX846" s="239">
        <f t="shared" si="118"/>
        <v>0</v>
      </c>
      <c r="AY846" s="239">
        <f>IF($G846="CERVECERIA Y MALTERIA.",($AS846*$AK846/1000000)*(1-VLOOKUP($N846,FCST!D:I,6,FALSE)),0)</f>
        <v>17.651712</v>
      </c>
      <c r="AZ846" s="239">
        <f t="shared" si="119"/>
        <v>17.73997056</v>
      </c>
    </row>
    <row r="847" spans="1:52" x14ac:dyDescent="0.25">
      <c r="A847" s="209">
        <v>1113085</v>
      </c>
      <c r="B847" s="209">
        <v>80</v>
      </c>
      <c r="C847" s="209">
        <v>89440391</v>
      </c>
      <c r="D847" s="209">
        <v>10</v>
      </c>
      <c r="E847" s="209">
        <v>10000002</v>
      </c>
      <c r="F847" s="209">
        <v>20000335</v>
      </c>
      <c r="G847" s="209" t="s">
        <v>105</v>
      </c>
      <c r="H847" s="209">
        <v>20000335</v>
      </c>
      <c r="I847" s="209">
        <v>2</v>
      </c>
      <c r="J847" s="209" t="s">
        <v>169</v>
      </c>
      <c r="K847" s="209" t="s">
        <v>1946</v>
      </c>
      <c r="L847" s="209" t="s">
        <v>171</v>
      </c>
      <c r="M847" s="209" t="s">
        <v>199</v>
      </c>
      <c r="N847" s="209">
        <v>50034616</v>
      </c>
      <c r="O847" s="209" t="s">
        <v>191</v>
      </c>
      <c r="P847" s="209">
        <v>5121</v>
      </c>
      <c r="Q847" s="209" t="s">
        <v>200</v>
      </c>
      <c r="R847" s="209" t="s">
        <v>201</v>
      </c>
      <c r="S847" s="209" t="s">
        <v>202</v>
      </c>
      <c r="T847" s="209" t="s">
        <v>203</v>
      </c>
      <c r="U847" s="209" t="s">
        <v>201</v>
      </c>
      <c r="V847" s="209" t="s">
        <v>179</v>
      </c>
      <c r="W847" s="209" t="s">
        <v>179</v>
      </c>
      <c r="X847" s="209" t="s">
        <v>180</v>
      </c>
      <c r="Y847" s="209" t="s">
        <v>180</v>
      </c>
      <c r="Z847" s="209">
        <v>9521068237</v>
      </c>
      <c r="AA847" s="209" t="s">
        <v>1940</v>
      </c>
      <c r="AB847" s="209" t="s">
        <v>180</v>
      </c>
      <c r="AC847" s="209" t="s">
        <v>182</v>
      </c>
      <c r="AD847" s="209">
        <v>4</v>
      </c>
      <c r="AE847" s="209">
        <v>2025</v>
      </c>
      <c r="AF847" s="227">
        <v>45764</v>
      </c>
      <c r="AG847" s="227">
        <v>45768</v>
      </c>
      <c r="AH847" s="227">
        <v>45768</v>
      </c>
      <c r="AI847" s="228">
        <v>426816</v>
      </c>
      <c r="AJ847" s="228">
        <v>52</v>
      </c>
      <c r="AK847" s="228">
        <v>426816</v>
      </c>
      <c r="AL847" s="228">
        <v>52</v>
      </c>
      <c r="AM847" s="228">
        <v>0</v>
      </c>
      <c r="AN847" s="228">
        <v>0</v>
      </c>
      <c r="AO847" s="229">
        <v>17</v>
      </c>
      <c r="AP847" s="231">
        <v>4</v>
      </c>
      <c r="AQ847" s="231">
        <v>2025</v>
      </c>
      <c r="AR847" s="231" t="str">
        <f t="shared" si="115"/>
        <v>04/2025</v>
      </c>
      <c r="AS847" s="231">
        <f t="shared" si="116"/>
        <v>46.6</v>
      </c>
      <c r="AT847" s="239">
        <f>IF(G847="CERVECERIA Y MALTERIA",(AS847*AK847/1000000)*(1-VLOOKUP(N847,FCST!D:I,6,FALSE)),0)</f>
        <v>19.889625600000002</v>
      </c>
      <c r="AU847" s="232">
        <v>5.0000000000000001E-3</v>
      </c>
      <c r="AV847" s="239">
        <f t="shared" si="117"/>
        <v>19.989073728000001</v>
      </c>
      <c r="AW847" s="239">
        <f>(AS847*AK847/1000000)*(VLOOKUP(N847,FCST!D:I,6,FALSE))</f>
        <v>0</v>
      </c>
      <c r="AX847" s="239">
        <f t="shared" si="118"/>
        <v>0</v>
      </c>
      <c r="AY847" s="239">
        <f>IF($G847="CERVECERIA Y MALTERIA.",($AS847*$AK847/1000000)*(1-VLOOKUP($N847,FCST!D:I,6,FALSE)),0)</f>
        <v>0</v>
      </c>
      <c r="AZ847" s="239">
        <f t="shared" si="119"/>
        <v>0</v>
      </c>
    </row>
    <row r="848" spans="1:52" x14ac:dyDescent="0.25">
      <c r="A848" s="209">
        <v>1113132</v>
      </c>
      <c r="B848" s="209">
        <v>10</v>
      </c>
      <c r="C848" s="209">
        <v>89439531</v>
      </c>
      <c r="D848" s="209">
        <v>10</v>
      </c>
      <c r="E848" s="209">
        <v>10000002</v>
      </c>
      <c r="F848" s="209">
        <v>20000337</v>
      </c>
      <c r="G848" s="209" t="s">
        <v>105</v>
      </c>
      <c r="H848" s="209">
        <v>20000337</v>
      </c>
      <c r="I848" s="209">
        <v>2</v>
      </c>
      <c r="J848" s="209" t="s">
        <v>169</v>
      </c>
      <c r="K848" s="209" t="s">
        <v>1947</v>
      </c>
      <c r="L848" s="209" t="s">
        <v>171</v>
      </c>
      <c r="M848" s="209" t="s">
        <v>184</v>
      </c>
      <c r="N848" s="209">
        <v>50039302</v>
      </c>
      <c r="O848" s="209" t="s">
        <v>1942</v>
      </c>
      <c r="P848" s="209">
        <v>5121</v>
      </c>
      <c r="Q848" s="209" t="s">
        <v>174</v>
      </c>
      <c r="R848" s="209" t="s">
        <v>175</v>
      </c>
      <c r="S848" s="209" t="s">
        <v>176</v>
      </c>
      <c r="T848" s="209" t="s">
        <v>177</v>
      </c>
      <c r="U848" s="209" t="s">
        <v>178</v>
      </c>
      <c r="V848" s="209" t="s">
        <v>179</v>
      </c>
      <c r="W848" s="209" t="s">
        <v>179</v>
      </c>
      <c r="X848" s="209" t="s">
        <v>180</v>
      </c>
      <c r="Y848" s="209" t="s">
        <v>180</v>
      </c>
      <c r="Z848" s="209">
        <v>9521068231</v>
      </c>
      <c r="AA848" s="209" t="s">
        <v>1943</v>
      </c>
      <c r="AB848" s="209" t="s">
        <v>180</v>
      </c>
      <c r="AC848" s="209" t="s">
        <v>182</v>
      </c>
      <c r="AD848" s="209">
        <v>4</v>
      </c>
      <c r="AE848" s="209">
        <v>2025</v>
      </c>
      <c r="AF848" s="227">
        <v>45764</v>
      </c>
      <c r="AG848" s="227">
        <v>45768</v>
      </c>
      <c r="AH848" s="227">
        <v>45766</v>
      </c>
      <c r="AI848" s="228">
        <v>399360</v>
      </c>
      <c r="AJ848" s="228">
        <v>52</v>
      </c>
      <c r="AK848" s="228">
        <v>399360</v>
      </c>
      <c r="AL848" s="228">
        <v>52</v>
      </c>
      <c r="AM848" s="228">
        <v>0</v>
      </c>
      <c r="AN848" s="228">
        <v>0</v>
      </c>
      <c r="AO848" s="229">
        <v>17</v>
      </c>
      <c r="AP848" s="231">
        <v>4</v>
      </c>
      <c r="AQ848" s="231">
        <v>2025</v>
      </c>
      <c r="AR848" s="231" t="str">
        <f t="shared" si="115"/>
        <v>04/2025</v>
      </c>
      <c r="AS848" s="231">
        <f t="shared" si="116"/>
        <v>46.6</v>
      </c>
      <c r="AT848" s="239">
        <f>IF(G848="CERVECERIA Y MALTERIA",(AS848*AK848/1000000)*(1-VLOOKUP(N848,FCST!D:I,6,FALSE)),0)</f>
        <v>18.610175999999999</v>
      </c>
      <c r="AU848" s="232">
        <v>5.0000000000000001E-3</v>
      </c>
      <c r="AV848" s="239">
        <f t="shared" si="117"/>
        <v>18.703226879999995</v>
      </c>
      <c r="AW848" s="239">
        <f>(AS848*AK848/1000000)*(VLOOKUP(N848,FCST!D:I,6,FALSE))</f>
        <v>0</v>
      </c>
      <c r="AX848" s="239">
        <f t="shared" si="118"/>
        <v>0</v>
      </c>
      <c r="AY848" s="239">
        <f>IF($G848="CERVECERIA Y MALTERIA.",($AS848*$AK848/1000000)*(1-VLOOKUP($N848,FCST!D:I,6,FALSE)),0)</f>
        <v>0</v>
      </c>
      <c r="AZ848" s="239">
        <f t="shared" si="119"/>
        <v>0</v>
      </c>
    </row>
    <row r="849" spans="1:52" x14ac:dyDescent="0.25">
      <c r="A849" s="209">
        <v>1113086</v>
      </c>
      <c r="B849" s="209">
        <v>20</v>
      </c>
      <c r="C849" s="209">
        <v>89442346</v>
      </c>
      <c r="D849" s="209">
        <v>10</v>
      </c>
      <c r="E849" s="209">
        <v>10000002</v>
      </c>
      <c r="F849" s="209">
        <v>20000340</v>
      </c>
      <c r="G849" s="209" t="s">
        <v>117</v>
      </c>
      <c r="H849" s="209">
        <v>20000340</v>
      </c>
      <c r="I849" s="209">
        <v>2</v>
      </c>
      <c r="J849" s="209" t="s">
        <v>169</v>
      </c>
      <c r="K849" s="209" t="s">
        <v>1948</v>
      </c>
      <c r="L849" s="209" t="s">
        <v>171</v>
      </c>
      <c r="M849" s="209" t="s">
        <v>172</v>
      </c>
      <c r="N849" s="209">
        <v>50036718</v>
      </c>
      <c r="O849" s="209" t="s">
        <v>259</v>
      </c>
      <c r="P849" s="209">
        <v>5101</v>
      </c>
      <c r="Q849" s="209" t="s">
        <v>186</v>
      </c>
      <c r="R849" s="209" t="s">
        <v>175</v>
      </c>
      <c r="S849" s="209" t="s">
        <v>176</v>
      </c>
      <c r="T849" s="209" t="s">
        <v>187</v>
      </c>
      <c r="U849" s="209" t="s">
        <v>188</v>
      </c>
      <c r="V849" s="209" t="s">
        <v>179</v>
      </c>
      <c r="W849" s="209" t="s">
        <v>179</v>
      </c>
      <c r="X849" s="209" t="s">
        <v>180</v>
      </c>
      <c r="Y849" s="209" t="s">
        <v>180</v>
      </c>
      <c r="Z849" s="209">
        <v>9511047765</v>
      </c>
      <c r="AA849" s="209" t="s">
        <v>1945</v>
      </c>
      <c r="AB849" s="209" t="s">
        <v>180</v>
      </c>
      <c r="AC849" s="209" t="s">
        <v>182</v>
      </c>
      <c r="AD849" s="209">
        <v>4</v>
      </c>
      <c r="AE849" s="209">
        <v>2025</v>
      </c>
      <c r="AF849" s="227">
        <v>45764</v>
      </c>
      <c r="AG849" s="227">
        <v>45770</v>
      </c>
      <c r="AH849" s="227">
        <v>45770</v>
      </c>
      <c r="AI849" s="228">
        <v>519168</v>
      </c>
      <c r="AJ849" s="228">
        <v>52</v>
      </c>
      <c r="AK849" s="228">
        <v>519168</v>
      </c>
      <c r="AL849" s="228">
        <v>52</v>
      </c>
      <c r="AM849" s="228">
        <v>0</v>
      </c>
      <c r="AN849" s="228">
        <v>0</v>
      </c>
      <c r="AO849" s="229">
        <v>17</v>
      </c>
      <c r="AP849" s="231">
        <v>4</v>
      </c>
      <c r="AQ849" s="231">
        <v>2025</v>
      </c>
      <c r="AR849" s="231" t="str">
        <f t="shared" si="115"/>
        <v>04/2025</v>
      </c>
      <c r="AS849" s="231">
        <f t="shared" si="116"/>
        <v>34</v>
      </c>
      <c r="AT849" s="239">
        <f>IF(G849="CERVECERIA Y MALTERIA",(AS849*AK849/1000000)*(1-VLOOKUP(N849,FCST!D:I,6,FALSE)),0)</f>
        <v>0</v>
      </c>
      <c r="AU849" s="232">
        <v>5.0000000000000001E-3</v>
      </c>
      <c r="AV849" s="239">
        <f t="shared" si="117"/>
        <v>0</v>
      </c>
      <c r="AW849" s="239">
        <f>(AS849*AK849/1000000)*(VLOOKUP(N849,FCST!D:I,6,FALSE))</f>
        <v>0</v>
      </c>
      <c r="AX849" s="239">
        <f t="shared" si="118"/>
        <v>0</v>
      </c>
      <c r="AY849" s="239">
        <f>IF($G849="CERVECERIA Y MALTERIA.",($AS849*$AK849/1000000)*(1-VLOOKUP($N849,FCST!D:I,6,FALSE)),0)</f>
        <v>17.651712</v>
      </c>
      <c r="AZ849" s="239">
        <f t="shared" si="119"/>
        <v>17.73997056</v>
      </c>
    </row>
    <row r="850" spans="1:52" x14ac:dyDescent="0.25">
      <c r="A850" s="209">
        <v>1113086</v>
      </c>
      <c r="B850" s="209">
        <v>30</v>
      </c>
      <c r="C850" s="209">
        <v>89442314</v>
      </c>
      <c r="D850" s="209">
        <v>10</v>
      </c>
      <c r="E850" s="209">
        <v>10000002</v>
      </c>
      <c r="F850" s="209">
        <v>20000340</v>
      </c>
      <c r="G850" s="209" t="s">
        <v>117</v>
      </c>
      <c r="H850" s="209">
        <v>20000340</v>
      </c>
      <c r="I850" s="209">
        <v>2</v>
      </c>
      <c r="J850" s="209" t="s">
        <v>169</v>
      </c>
      <c r="K850" s="209" t="s">
        <v>1949</v>
      </c>
      <c r="L850" s="209" t="s">
        <v>171</v>
      </c>
      <c r="M850" s="209" t="s">
        <v>172</v>
      </c>
      <c r="N850" s="209">
        <v>50036718</v>
      </c>
      <c r="O850" s="209" t="s">
        <v>259</v>
      </c>
      <c r="P850" s="209">
        <v>5101</v>
      </c>
      <c r="Q850" s="209" t="s">
        <v>186</v>
      </c>
      <c r="R850" s="209" t="s">
        <v>175</v>
      </c>
      <c r="S850" s="209" t="s">
        <v>176</v>
      </c>
      <c r="T850" s="209" t="s">
        <v>187</v>
      </c>
      <c r="U850" s="209" t="s">
        <v>188</v>
      </c>
      <c r="V850" s="209" t="s">
        <v>179</v>
      </c>
      <c r="W850" s="209" t="s">
        <v>179</v>
      </c>
      <c r="X850" s="209" t="s">
        <v>180</v>
      </c>
      <c r="Y850" s="209" t="s">
        <v>180</v>
      </c>
      <c r="Z850" s="209">
        <v>9511047765</v>
      </c>
      <c r="AA850" s="209" t="s">
        <v>1945</v>
      </c>
      <c r="AB850" s="209" t="s">
        <v>180</v>
      </c>
      <c r="AC850" s="209" t="s">
        <v>182</v>
      </c>
      <c r="AD850" s="209">
        <v>4</v>
      </c>
      <c r="AE850" s="209">
        <v>2025</v>
      </c>
      <c r="AF850" s="227">
        <v>45764</v>
      </c>
      <c r="AG850" s="227">
        <v>45770</v>
      </c>
      <c r="AH850" s="227">
        <v>45770</v>
      </c>
      <c r="AI850" s="228">
        <v>519168</v>
      </c>
      <c r="AJ850" s="228">
        <v>52</v>
      </c>
      <c r="AK850" s="228">
        <v>519168</v>
      </c>
      <c r="AL850" s="228">
        <v>52</v>
      </c>
      <c r="AM850" s="228">
        <v>0</v>
      </c>
      <c r="AN850" s="228">
        <v>0</v>
      </c>
      <c r="AO850" s="229">
        <v>17</v>
      </c>
      <c r="AP850" s="231">
        <v>4</v>
      </c>
      <c r="AQ850" s="231">
        <v>2025</v>
      </c>
      <c r="AR850" s="231" t="str">
        <f t="shared" si="115"/>
        <v>04/2025</v>
      </c>
      <c r="AS850" s="231">
        <f t="shared" si="116"/>
        <v>34</v>
      </c>
      <c r="AT850" s="239">
        <f>IF(G850="CERVECERIA Y MALTERIA",(AS850*AK850/1000000)*(1-VLOOKUP(N850,FCST!D:I,6,FALSE)),0)</f>
        <v>0</v>
      </c>
      <c r="AU850" s="232">
        <v>5.0000000000000001E-3</v>
      </c>
      <c r="AV850" s="239">
        <f t="shared" si="117"/>
        <v>0</v>
      </c>
      <c r="AW850" s="239">
        <f>(AS850*AK850/1000000)*(VLOOKUP(N850,FCST!D:I,6,FALSE))</f>
        <v>0</v>
      </c>
      <c r="AX850" s="239">
        <f t="shared" si="118"/>
        <v>0</v>
      </c>
      <c r="AY850" s="239">
        <f>IF($G850="CERVECERIA Y MALTERIA.",($AS850*$AK850/1000000)*(1-VLOOKUP($N850,FCST!D:I,6,FALSE)),0)</f>
        <v>17.651712</v>
      </c>
      <c r="AZ850" s="239">
        <f t="shared" si="119"/>
        <v>17.73997056</v>
      </c>
    </row>
    <row r="851" spans="1:52" x14ac:dyDescent="0.25">
      <c r="A851" s="209">
        <v>1110374</v>
      </c>
      <c r="B851" s="209">
        <v>50</v>
      </c>
      <c r="C851" s="209">
        <v>89442294</v>
      </c>
      <c r="D851" s="209">
        <v>10</v>
      </c>
      <c r="E851" s="209">
        <v>10000002</v>
      </c>
      <c r="F851" s="209">
        <v>20000336</v>
      </c>
      <c r="G851" s="209" t="s">
        <v>105</v>
      </c>
      <c r="H851" s="209">
        <v>20000336</v>
      </c>
      <c r="I851" s="209">
        <v>2</v>
      </c>
      <c r="J851" s="209" t="s">
        <v>169</v>
      </c>
      <c r="K851" s="209" t="s">
        <v>1950</v>
      </c>
      <c r="L851" s="209" t="s">
        <v>171</v>
      </c>
      <c r="M851" s="209" t="s">
        <v>172</v>
      </c>
      <c r="N851" s="209">
        <v>50037887</v>
      </c>
      <c r="O851" s="209" t="s">
        <v>679</v>
      </c>
      <c r="P851" s="209">
        <v>5121</v>
      </c>
      <c r="Q851" s="209" t="s">
        <v>174</v>
      </c>
      <c r="R851" s="209" t="s">
        <v>175</v>
      </c>
      <c r="S851" s="209" t="s">
        <v>176</v>
      </c>
      <c r="T851" s="209" t="s">
        <v>177</v>
      </c>
      <c r="U851" s="209" t="s">
        <v>178</v>
      </c>
      <c r="V851" s="209" t="s">
        <v>179</v>
      </c>
      <c r="W851" s="209" t="s">
        <v>179</v>
      </c>
      <c r="X851" s="209" t="s">
        <v>180</v>
      </c>
      <c r="Y851" s="209" t="s">
        <v>180</v>
      </c>
      <c r="Z851" s="209">
        <v>9521068247</v>
      </c>
      <c r="AA851" s="209" t="s">
        <v>1951</v>
      </c>
      <c r="AB851" s="209" t="s">
        <v>180</v>
      </c>
      <c r="AC851" s="209" t="s">
        <v>182</v>
      </c>
      <c r="AD851" s="209">
        <v>4</v>
      </c>
      <c r="AE851" s="209">
        <v>2025</v>
      </c>
      <c r="AF851" s="227">
        <v>45750</v>
      </c>
      <c r="AG851" s="227">
        <v>45770</v>
      </c>
      <c r="AH851" s="227">
        <v>45770</v>
      </c>
      <c r="AI851" s="228">
        <v>531648</v>
      </c>
      <c r="AJ851" s="228">
        <v>52</v>
      </c>
      <c r="AK851" s="228">
        <v>531648</v>
      </c>
      <c r="AL851" s="228">
        <v>52</v>
      </c>
      <c r="AM851" s="228">
        <v>0</v>
      </c>
      <c r="AN851" s="228">
        <v>0</v>
      </c>
      <c r="AO851" s="229">
        <v>14</v>
      </c>
      <c r="AP851" s="231">
        <v>4</v>
      </c>
      <c r="AQ851" s="231">
        <v>2025</v>
      </c>
      <c r="AR851" s="231" t="str">
        <f t="shared" si="115"/>
        <v>04/2025</v>
      </c>
      <c r="AS851" s="231">
        <f t="shared" si="116"/>
        <v>37.200000000000003</v>
      </c>
      <c r="AT851" s="239">
        <f>IF(G851="CERVECERIA Y MALTERIA",(AS851*AK851/1000000)*(1-VLOOKUP(N851,FCST!D:I,6,FALSE)),0)</f>
        <v>19.777305600000002</v>
      </c>
      <c r="AU851" s="232">
        <v>5.0000000000000001E-3</v>
      </c>
      <c r="AV851" s="239">
        <f t="shared" si="117"/>
        <v>19.876192128</v>
      </c>
      <c r="AW851" s="239">
        <f>(AS851*AK851/1000000)*(VLOOKUP(N851,FCST!D:I,6,FALSE))</f>
        <v>0</v>
      </c>
      <c r="AX851" s="239">
        <f t="shared" si="118"/>
        <v>0</v>
      </c>
      <c r="AY851" s="239">
        <f>IF($G851="CERVECERIA Y MALTERIA.",($AS851*$AK851/1000000)*(1-VLOOKUP($N851,FCST!D:I,6,FALSE)),0)</f>
        <v>0</v>
      </c>
      <c r="AZ851" s="239">
        <f t="shared" si="119"/>
        <v>0</v>
      </c>
    </row>
    <row r="852" spans="1:52" x14ac:dyDescent="0.25">
      <c r="A852" s="209">
        <v>1113085</v>
      </c>
      <c r="B852" s="209">
        <v>20</v>
      </c>
      <c r="C852" s="209">
        <v>89442164</v>
      </c>
      <c r="D852" s="209">
        <v>10</v>
      </c>
      <c r="E852" s="209">
        <v>10000002</v>
      </c>
      <c r="F852" s="209">
        <v>20000335</v>
      </c>
      <c r="G852" s="209" t="s">
        <v>105</v>
      </c>
      <c r="H852" s="209">
        <v>20000335</v>
      </c>
      <c r="I852" s="209">
        <v>2</v>
      </c>
      <c r="J852" s="209" t="s">
        <v>169</v>
      </c>
      <c r="K852" s="209" t="s">
        <v>1952</v>
      </c>
      <c r="L852" s="209" t="s">
        <v>171</v>
      </c>
      <c r="M852" s="209" t="s">
        <v>199</v>
      </c>
      <c r="N852" s="209">
        <v>50034616</v>
      </c>
      <c r="O852" s="209" t="s">
        <v>191</v>
      </c>
      <c r="P852" s="209">
        <v>5121</v>
      </c>
      <c r="Q852" s="209" t="s">
        <v>200</v>
      </c>
      <c r="R852" s="209" t="s">
        <v>201</v>
      </c>
      <c r="S852" s="209" t="s">
        <v>202</v>
      </c>
      <c r="T852" s="209" t="s">
        <v>203</v>
      </c>
      <c r="U852" s="209" t="s">
        <v>201</v>
      </c>
      <c r="V852" s="209" t="s">
        <v>179</v>
      </c>
      <c r="W852" s="209" t="s">
        <v>179</v>
      </c>
      <c r="X852" s="209" t="s">
        <v>180</v>
      </c>
      <c r="Y852" s="209" t="s">
        <v>180</v>
      </c>
      <c r="Z852" s="209">
        <v>9521068237</v>
      </c>
      <c r="AA852" s="209" t="s">
        <v>1940</v>
      </c>
      <c r="AB852" s="209" t="s">
        <v>180</v>
      </c>
      <c r="AC852" s="209" t="s">
        <v>182</v>
      </c>
      <c r="AD852" s="209">
        <v>4</v>
      </c>
      <c r="AE852" s="209">
        <v>2025</v>
      </c>
      <c r="AF852" s="227">
        <v>45764</v>
      </c>
      <c r="AG852" s="227">
        <v>45770</v>
      </c>
      <c r="AH852" s="227">
        <v>45770</v>
      </c>
      <c r="AI852" s="228">
        <v>426816</v>
      </c>
      <c r="AJ852" s="228">
        <v>52</v>
      </c>
      <c r="AK852" s="228">
        <v>426816</v>
      </c>
      <c r="AL852" s="228">
        <v>52</v>
      </c>
      <c r="AM852" s="228">
        <v>0</v>
      </c>
      <c r="AN852" s="228">
        <v>0</v>
      </c>
      <c r="AO852" s="229">
        <v>17</v>
      </c>
      <c r="AP852" s="231">
        <v>4</v>
      </c>
      <c r="AQ852" s="231">
        <v>2025</v>
      </c>
      <c r="AR852" s="231" t="str">
        <f t="shared" si="115"/>
        <v>04/2025</v>
      </c>
      <c r="AS852" s="231">
        <f t="shared" si="116"/>
        <v>46.6</v>
      </c>
      <c r="AT852" s="239">
        <f>IF(G852="CERVECERIA Y MALTERIA",(AS852*AK852/1000000)*(1-VLOOKUP(N852,FCST!D:I,6,FALSE)),0)</f>
        <v>19.889625600000002</v>
      </c>
      <c r="AU852" s="232">
        <v>5.0000000000000001E-3</v>
      </c>
      <c r="AV852" s="239">
        <f t="shared" si="117"/>
        <v>19.989073728000001</v>
      </c>
      <c r="AW852" s="239">
        <f>(AS852*AK852/1000000)*(VLOOKUP(N852,FCST!D:I,6,FALSE))</f>
        <v>0</v>
      </c>
      <c r="AX852" s="239">
        <f t="shared" si="118"/>
        <v>0</v>
      </c>
      <c r="AY852" s="239">
        <f>IF($G852="CERVECERIA Y MALTERIA.",($AS852*$AK852/1000000)*(1-VLOOKUP($N852,FCST!D:I,6,FALSE)),0)</f>
        <v>0</v>
      </c>
      <c r="AZ852" s="239">
        <f t="shared" si="119"/>
        <v>0</v>
      </c>
    </row>
    <row r="853" spans="1:52" x14ac:dyDescent="0.25">
      <c r="A853" s="209">
        <v>1113132</v>
      </c>
      <c r="B853" s="209">
        <v>30</v>
      </c>
      <c r="C853" s="209">
        <v>89441599</v>
      </c>
      <c r="D853" s="209">
        <v>10</v>
      </c>
      <c r="E853" s="209">
        <v>10000002</v>
      </c>
      <c r="F853" s="209">
        <v>20000337</v>
      </c>
      <c r="G853" s="209" t="s">
        <v>105</v>
      </c>
      <c r="H853" s="209">
        <v>20000337</v>
      </c>
      <c r="I853" s="209">
        <v>2</v>
      </c>
      <c r="J853" s="209" t="s">
        <v>169</v>
      </c>
      <c r="K853" s="209" t="s">
        <v>1953</v>
      </c>
      <c r="L853" s="209" t="s">
        <v>171</v>
      </c>
      <c r="M853" s="209" t="s">
        <v>184</v>
      </c>
      <c r="N853" s="209">
        <v>50024497</v>
      </c>
      <c r="O853" s="209" t="s">
        <v>1352</v>
      </c>
      <c r="P853" s="209">
        <v>5121</v>
      </c>
      <c r="Q853" s="209" t="s">
        <v>174</v>
      </c>
      <c r="R853" s="209" t="s">
        <v>175</v>
      </c>
      <c r="S853" s="209" t="s">
        <v>176</v>
      </c>
      <c r="T853" s="209" t="s">
        <v>177</v>
      </c>
      <c r="U853" s="209" t="s">
        <v>178</v>
      </c>
      <c r="V853" s="209" t="s">
        <v>179</v>
      </c>
      <c r="W853" s="209" t="s">
        <v>179</v>
      </c>
      <c r="X853" s="209" t="s">
        <v>180</v>
      </c>
      <c r="Y853" s="209" t="s">
        <v>180</v>
      </c>
      <c r="Z853" s="209">
        <v>9521068229</v>
      </c>
      <c r="AA853" s="209" t="s">
        <v>1954</v>
      </c>
      <c r="AB853" s="209" t="s">
        <v>180</v>
      </c>
      <c r="AC853" s="209" t="s">
        <v>182</v>
      </c>
      <c r="AD853" s="209">
        <v>4</v>
      </c>
      <c r="AE853" s="209">
        <v>2025</v>
      </c>
      <c r="AF853" s="227">
        <v>45764</v>
      </c>
      <c r="AG853" s="227">
        <v>45770</v>
      </c>
      <c r="AH853" s="227">
        <v>45769</v>
      </c>
      <c r="AI853" s="228">
        <v>351936</v>
      </c>
      <c r="AJ853" s="228">
        <v>52</v>
      </c>
      <c r="AK853" s="228">
        <v>351936</v>
      </c>
      <c r="AL853" s="228">
        <v>52</v>
      </c>
      <c r="AM853" s="228">
        <v>0</v>
      </c>
      <c r="AN853" s="228">
        <v>0</v>
      </c>
      <c r="AO853" s="229">
        <v>17</v>
      </c>
      <c r="AP853" s="231">
        <v>4</v>
      </c>
      <c r="AQ853" s="231">
        <v>2025</v>
      </c>
      <c r="AR853" s="231" t="str">
        <f t="shared" si="115"/>
        <v>04/2025</v>
      </c>
      <c r="AS853" s="231">
        <f t="shared" si="116"/>
        <v>54.7</v>
      </c>
      <c r="AT853" s="239">
        <f>IF(G853="CERVECERIA Y MALTERIA",(AS853*AK853/1000000)*(1-VLOOKUP(N853,FCST!D:I,6,FALSE)),0)</f>
        <v>19.250899199999999</v>
      </c>
      <c r="AU853" s="232">
        <v>5.0000000000000001E-3</v>
      </c>
      <c r="AV853" s="239">
        <f t="shared" si="117"/>
        <v>19.347153695999996</v>
      </c>
      <c r="AW853" s="239">
        <f>(AS853*AK853/1000000)*(VLOOKUP(N853,FCST!D:I,6,FALSE))</f>
        <v>0</v>
      </c>
      <c r="AX853" s="239">
        <f t="shared" si="118"/>
        <v>0</v>
      </c>
      <c r="AY853" s="239">
        <f>IF($G853="CERVECERIA Y MALTERIA.",($AS853*$AK853/1000000)*(1-VLOOKUP($N853,FCST!D:I,6,FALSE)),0)</f>
        <v>0</v>
      </c>
      <c r="AZ853" s="239">
        <f t="shared" si="119"/>
        <v>0</v>
      </c>
    </row>
    <row r="854" spans="1:52" x14ac:dyDescent="0.25">
      <c r="A854" s="209">
        <v>1114629</v>
      </c>
      <c r="B854" s="209">
        <v>20</v>
      </c>
      <c r="C854" s="209">
        <v>89447517</v>
      </c>
      <c r="D854" s="209">
        <v>10</v>
      </c>
      <c r="E854" s="209">
        <v>10000002</v>
      </c>
      <c r="F854" s="209">
        <v>20000340</v>
      </c>
      <c r="G854" s="209" t="s">
        <v>117</v>
      </c>
      <c r="H854" s="209">
        <v>20000340</v>
      </c>
      <c r="I854" s="209">
        <v>2</v>
      </c>
      <c r="J854" s="209" t="s">
        <v>169</v>
      </c>
      <c r="K854" s="209" t="s">
        <v>1955</v>
      </c>
      <c r="L854" s="209" t="s">
        <v>171</v>
      </c>
      <c r="M854" s="209" t="s">
        <v>172</v>
      </c>
      <c r="N854" s="209">
        <v>50029843</v>
      </c>
      <c r="O854" s="209" t="s">
        <v>460</v>
      </c>
      <c r="P854" s="209">
        <v>5121</v>
      </c>
      <c r="Q854" s="209" t="s">
        <v>174</v>
      </c>
      <c r="R854" s="209" t="s">
        <v>175</v>
      </c>
      <c r="S854" s="209" t="s">
        <v>176</v>
      </c>
      <c r="T854" s="209" t="s">
        <v>177</v>
      </c>
      <c r="U854" s="209" t="s">
        <v>178</v>
      </c>
      <c r="V854" s="209" t="s">
        <v>179</v>
      </c>
      <c r="W854" s="209" t="s">
        <v>179</v>
      </c>
      <c r="X854" s="209" t="s">
        <v>180</v>
      </c>
      <c r="Y854" s="209" t="s">
        <v>180</v>
      </c>
      <c r="Z854" s="209">
        <v>9521068352</v>
      </c>
      <c r="AA854" s="209" t="s">
        <v>1956</v>
      </c>
      <c r="AB854" s="209" t="s">
        <v>180</v>
      </c>
      <c r="AC854" s="209" t="s">
        <v>182</v>
      </c>
      <c r="AD854" s="209">
        <v>4</v>
      </c>
      <c r="AE854" s="209">
        <v>2025</v>
      </c>
      <c r="AF854" s="227">
        <v>45772</v>
      </c>
      <c r="AG854" s="227">
        <v>45776</v>
      </c>
      <c r="AH854" s="227">
        <v>45776</v>
      </c>
      <c r="AI854" s="228">
        <v>209664</v>
      </c>
      <c r="AJ854" s="228">
        <v>26</v>
      </c>
      <c r="AK854" s="228">
        <v>209664</v>
      </c>
      <c r="AL854" s="228">
        <v>26</v>
      </c>
      <c r="AM854" s="228">
        <v>0</v>
      </c>
      <c r="AN854" s="228">
        <v>0</v>
      </c>
      <c r="AO854" s="229">
        <v>18</v>
      </c>
      <c r="AP854" s="231">
        <v>4</v>
      </c>
      <c r="AQ854" s="231">
        <v>2025</v>
      </c>
      <c r="AR854" s="231" t="str">
        <f t="shared" si="115"/>
        <v>04/2025</v>
      </c>
      <c r="AS854" s="231">
        <f t="shared" si="116"/>
        <v>44.8</v>
      </c>
      <c r="AT854" s="239">
        <f>IF(G854="CERVECERIA Y MALTERIA",(AS854*AK854/1000000)*(1-VLOOKUP(N854,FCST!D:I,6,FALSE)),0)</f>
        <v>0</v>
      </c>
      <c r="AU854" s="232">
        <v>5.0000000000000001E-3</v>
      </c>
      <c r="AV854" s="239">
        <f t="shared" si="117"/>
        <v>0</v>
      </c>
      <c r="AW854" s="239">
        <f>(AS854*AK854/1000000)*(VLOOKUP(N854,FCST!D:I,6,FALSE))</f>
        <v>0</v>
      </c>
      <c r="AX854" s="239">
        <f t="shared" si="118"/>
        <v>0</v>
      </c>
      <c r="AY854" s="239">
        <f>IF($G854="CERVECERIA Y MALTERIA.",($AS854*$AK854/1000000)*(1-VLOOKUP($N854,FCST!D:I,6,FALSE)),0)</f>
        <v>9.3929472000000001</v>
      </c>
      <c r="AZ854" s="239">
        <f t="shared" si="119"/>
        <v>9.4399119359999997</v>
      </c>
    </row>
    <row r="855" spans="1:52" x14ac:dyDescent="0.25">
      <c r="A855" s="209">
        <v>1114623</v>
      </c>
      <c r="B855" s="209">
        <v>30</v>
      </c>
      <c r="C855" s="209">
        <v>89447516</v>
      </c>
      <c r="D855" s="209">
        <v>10</v>
      </c>
      <c r="E855" s="209">
        <v>10000002</v>
      </c>
      <c r="F855" s="209">
        <v>20000335</v>
      </c>
      <c r="G855" s="209" t="s">
        <v>105</v>
      </c>
      <c r="H855" s="209">
        <v>20000335</v>
      </c>
      <c r="I855" s="209">
        <v>2</v>
      </c>
      <c r="J855" s="209" t="s">
        <v>169</v>
      </c>
      <c r="K855" s="209" t="s">
        <v>1957</v>
      </c>
      <c r="L855" s="209" t="s">
        <v>171</v>
      </c>
      <c r="M855" s="209" t="s">
        <v>172</v>
      </c>
      <c r="N855" s="209">
        <v>50037887</v>
      </c>
      <c r="O855" s="209" t="s">
        <v>679</v>
      </c>
      <c r="P855" s="209">
        <v>5121</v>
      </c>
      <c r="Q855" s="209" t="s">
        <v>174</v>
      </c>
      <c r="R855" s="209" t="s">
        <v>175</v>
      </c>
      <c r="S855" s="209" t="s">
        <v>176</v>
      </c>
      <c r="T855" s="209" t="s">
        <v>177</v>
      </c>
      <c r="U855" s="209" t="s">
        <v>178</v>
      </c>
      <c r="V855" s="209" t="s">
        <v>179</v>
      </c>
      <c r="W855" s="209" t="s">
        <v>179</v>
      </c>
      <c r="X855" s="209" t="s">
        <v>180</v>
      </c>
      <c r="Y855" s="209" t="s">
        <v>180</v>
      </c>
      <c r="Z855" s="209">
        <v>9521068347</v>
      </c>
      <c r="AA855" s="209" t="s">
        <v>1958</v>
      </c>
      <c r="AB855" s="209" t="s">
        <v>180</v>
      </c>
      <c r="AC855" s="209" t="s">
        <v>182</v>
      </c>
      <c r="AD855" s="209">
        <v>4</v>
      </c>
      <c r="AE855" s="209">
        <v>2025</v>
      </c>
      <c r="AF855" s="227">
        <v>45772</v>
      </c>
      <c r="AG855" s="227">
        <v>45776</v>
      </c>
      <c r="AH855" s="227">
        <v>45776</v>
      </c>
      <c r="AI855" s="228">
        <v>265824</v>
      </c>
      <c r="AJ855" s="228">
        <v>26</v>
      </c>
      <c r="AK855" s="228">
        <v>265824</v>
      </c>
      <c r="AL855" s="228">
        <v>26</v>
      </c>
      <c r="AM855" s="228">
        <v>0</v>
      </c>
      <c r="AN855" s="228">
        <v>0</v>
      </c>
      <c r="AO855" s="229">
        <v>18</v>
      </c>
      <c r="AP855" s="231">
        <v>4</v>
      </c>
      <c r="AQ855" s="231">
        <v>2025</v>
      </c>
      <c r="AR855" s="231" t="str">
        <f t="shared" si="115"/>
        <v>04/2025</v>
      </c>
      <c r="AS855" s="231">
        <f t="shared" si="116"/>
        <v>37.200000000000003</v>
      </c>
      <c r="AT855" s="239">
        <f>IF(G855="CERVECERIA Y MALTERIA",(AS855*AK855/1000000)*(1-VLOOKUP(N855,FCST!D:I,6,FALSE)),0)</f>
        <v>9.8886528000000009</v>
      </c>
      <c r="AU855" s="232">
        <v>5.0000000000000001E-3</v>
      </c>
      <c r="AV855" s="239">
        <f t="shared" si="117"/>
        <v>9.9380960639999998</v>
      </c>
      <c r="AW855" s="239">
        <f>(AS855*AK855/1000000)*(VLOOKUP(N855,FCST!D:I,6,FALSE))</f>
        <v>0</v>
      </c>
      <c r="AX855" s="239">
        <f t="shared" si="118"/>
        <v>0</v>
      </c>
      <c r="AY855" s="239">
        <f>IF($G855="CERVECERIA Y MALTERIA.",($AS855*$AK855/1000000)*(1-VLOOKUP($N855,FCST!D:I,6,FALSE)),0)</f>
        <v>0</v>
      </c>
      <c r="AZ855" s="239">
        <f t="shared" si="119"/>
        <v>0</v>
      </c>
    </row>
    <row r="856" spans="1:52" x14ac:dyDescent="0.25">
      <c r="A856" s="209">
        <v>1111068</v>
      </c>
      <c r="B856" s="209">
        <v>90</v>
      </c>
      <c r="C856" s="209">
        <v>89447438</v>
      </c>
      <c r="D856" s="209">
        <v>10</v>
      </c>
      <c r="E856" s="209">
        <v>10000002</v>
      </c>
      <c r="F856" s="209">
        <v>20000339</v>
      </c>
      <c r="G856" s="209" t="s">
        <v>105</v>
      </c>
      <c r="H856" s="209">
        <v>20000339</v>
      </c>
      <c r="I856" s="209">
        <v>2</v>
      </c>
      <c r="J856" s="209" t="s">
        <v>169</v>
      </c>
      <c r="K856" s="209" t="s">
        <v>1959</v>
      </c>
      <c r="L856" s="209" t="s">
        <v>171</v>
      </c>
      <c r="M856" s="209" t="s">
        <v>227</v>
      </c>
      <c r="N856" s="209">
        <v>50034194</v>
      </c>
      <c r="O856" s="209" t="s">
        <v>276</v>
      </c>
      <c r="P856" s="209">
        <v>5121</v>
      </c>
      <c r="Q856" s="209" t="s">
        <v>228</v>
      </c>
      <c r="R856" s="209" t="s">
        <v>229</v>
      </c>
      <c r="S856" s="209" t="s">
        <v>230</v>
      </c>
      <c r="T856" s="209" t="s">
        <v>231</v>
      </c>
      <c r="U856" s="209" t="s">
        <v>232</v>
      </c>
      <c r="V856" s="209" t="s">
        <v>179</v>
      </c>
      <c r="W856" s="209" t="s">
        <v>179</v>
      </c>
      <c r="X856" s="209" t="s">
        <v>180</v>
      </c>
      <c r="Y856" s="209" t="s">
        <v>180</v>
      </c>
      <c r="Z856" s="209">
        <v>9521068344</v>
      </c>
      <c r="AA856" s="209" t="s">
        <v>1960</v>
      </c>
      <c r="AB856" s="209" t="s">
        <v>180</v>
      </c>
      <c r="AC856" s="209" t="s">
        <v>182</v>
      </c>
      <c r="AD856" s="209">
        <v>4</v>
      </c>
      <c r="AE856" s="209">
        <v>2025</v>
      </c>
      <c r="AF856" s="227">
        <v>45754</v>
      </c>
      <c r="AG856" s="227">
        <v>45776</v>
      </c>
      <c r="AH856" s="227">
        <v>45776</v>
      </c>
      <c r="AI856" s="228">
        <v>316992</v>
      </c>
      <c r="AJ856" s="228">
        <v>52</v>
      </c>
      <c r="AK856" s="228">
        <v>316992</v>
      </c>
      <c r="AL856" s="228">
        <v>52</v>
      </c>
      <c r="AM856" s="228">
        <v>0</v>
      </c>
      <c r="AN856" s="228">
        <v>0</v>
      </c>
      <c r="AO856" s="229">
        <v>15</v>
      </c>
      <c r="AP856" s="231">
        <v>4</v>
      </c>
      <c r="AQ856" s="231">
        <v>2025</v>
      </c>
      <c r="AR856" s="231" t="str">
        <f t="shared" si="115"/>
        <v>04/2025</v>
      </c>
      <c r="AS856" s="231">
        <f t="shared" si="116"/>
        <v>62</v>
      </c>
      <c r="AT856" s="239">
        <f>IF(G856="CERVECERIA Y MALTERIA",(AS856*AK856/1000000)*(1-VLOOKUP(N856,FCST!D:I,6,FALSE)),0)</f>
        <v>19.653504000000002</v>
      </c>
      <c r="AU856" s="232">
        <v>5.0000000000000001E-3</v>
      </c>
      <c r="AV856" s="239">
        <f t="shared" si="117"/>
        <v>19.751771519999998</v>
      </c>
      <c r="AW856" s="239">
        <f>(AS856*AK856/1000000)*(VLOOKUP(N856,FCST!D:I,6,FALSE))</f>
        <v>0</v>
      </c>
      <c r="AX856" s="239">
        <f t="shared" si="118"/>
        <v>0</v>
      </c>
      <c r="AY856" s="239">
        <f>IF($G856="CERVECERIA Y MALTERIA.",($AS856*$AK856/1000000)*(1-VLOOKUP($N856,FCST!D:I,6,FALSE)),0)</f>
        <v>0</v>
      </c>
      <c r="AZ856" s="239">
        <f t="shared" si="119"/>
        <v>0</v>
      </c>
    </row>
    <row r="857" spans="1:52" x14ac:dyDescent="0.25">
      <c r="A857" s="209">
        <v>1114623</v>
      </c>
      <c r="B857" s="209">
        <v>40</v>
      </c>
      <c r="C857" s="209">
        <v>89447409</v>
      </c>
      <c r="D857" s="209">
        <v>10</v>
      </c>
      <c r="E857" s="209">
        <v>10000002</v>
      </c>
      <c r="F857" s="209">
        <v>20000335</v>
      </c>
      <c r="G857" s="209" t="s">
        <v>105</v>
      </c>
      <c r="H857" s="209">
        <v>20000335</v>
      </c>
      <c r="I857" s="209">
        <v>2</v>
      </c>
      <c r="J857" s="209" t="s">
        <v>169</v>
      </c>
      <c r="K857" s="209" t="s">
        <v>1961</v>
      </c>
      <c r="L857" s="209" t="s">
        <v>171</v>
      </c>
      <c r="M857" s="209" t="s">
        <v>172</v>
      </c>
      <c r="N857" s="209">
        <v>50034616</v>
      </c>
      <c r="O857" s="209" t="s">
        <v>191</v>
      </c>
      <c r="P857" s="209">
        <v>5121</v>
      </c>
      <c r="Q857" s="209" t="s">
        <v>174</v>
      </c>
      <c r="R857" s="209" t="s">
        <v>175</v>
      </c>
      <c r="S857" s="209" t="s">
        <v>176</v>
      </c>
      <c r="T857" s="209" t="s">
        <v>177</v>
      </c>
      <c r="U857" s="209" t="s">
        <v>178</v>
      </c>
      <c r="V857" s="209" t="s">
        <v>179</v>
      </c>
      <c r="W857" s="209" t="s">
        <v>179</v>
      </c>
      <c r="X857" s="209" t="s">
        <v>180</v>
      </c>
      <c r="Y857" s="209" t="s">
        <v>180</v>
      </c>
      <c r="Z857" s="209">
        <v>9521068340</v>
      </c>
      <c r="AA857" s="209" t="s">
        <v>1962</v>
      </c>
      <c r="AB857" s="209" t="s">
        <v>180</v>
      </c>
      <c r="AC857" s="209" t="s">
        <v>182</v>
      </c>
      <c r="AD857" s="209">
        <v>4</v>
      </c>
      <c r="AE857" s="209">
        <v>2025</v>
      </c>
      <c r="AF857" s="227">
        <v>45772</v>
      </c>
      <c r="AG857" s="227">
        <v>45776</v>
      </c>
      <c r="AH857" s="227">
        <v>45776</v>
      </c>
      <c r="AI857" s="228">
        <v>426816</v>
      </c>
      <c r="AJ857" s="228">
        <v>52</v>
      </c>
      <c r="AK857" s="228">
        <v>426816</v>
      </c>
      <c r="AL857" s="228">
        <v>52</v>
      </c>
      <c r="AM857" s="228">
        <v>0</v>
      </c>
      <c r="AN857" s="228">
        <v>0</v>
      </c>
      <c r="AO857" s="229">
        <v>18</v>
      </c>
      <c r="AP857" s="231">
        <v>4</v>
      </c>
      <c r="AQ857" s="231">
        <v>2025</v>
      </c>
      <c r="AR857" s="231" t="str">
        <f t="shared" si="115"/>
        <v>04/2025</v>
      </c>
      <c r="AS857" s="231">
        <f t="shared" si="116"/>
        <v>46.6</v>
      </c>
      <c r="AT857" s="239">
        <f>IF(G857="CERVECERIA Y MALTERIA",(AS857*AK857/1000000)*(1-VLOOKUP(N857,FCST!D:I,6,FALSE)),0)</f>
        <v>19.889625600000002</v>
      </c>
      <c r="AU857" s="232">
        <v>5.0000000000000001E-3</v>
      </c>
      <c r="AV857" s="239">
        <f t="shared" si="117"/>
        <v>19.989073728000001</v>
      </c>
      <c r="AW857" s="239">
        <f>(AS857*AK857/1000000)*(VLOOKUP(N857,FCST!D:I,6,FALSE))</f>
        <v>0</v>
      </c>
      <c r="AX857" s="239">
        <f t="shared" si="118"/>
        <v>0</v>
      </c>
      <c r="AY857" s="239">
        <f>IF($G857="CERVECERIA Y MALTERIA.",($AS857*$AK857/1000000)*(1-VLOOKUP($N857,FCST!D:I,6,FALSE)),0)</f>
        <v>0</v>
      </c>
      <c r="AZ857" s="239">
        <f t="shared" si="119"/>
        <v>0</v>
      </c>
    </row>
    <row r="858" spans="1:52" x14ac:dyDescent="0.25">
      <c r="A858" s="209">
        <v>1114629</v>
      </c>
      <c r="B858" s="209">
        <v>30</v>
      </c>
      <c r="C858" s="209">
        <v>89447408</v>
      </c>
      <c r="D858" s="209">
        <v>10</v>
      </c>
      <c r="E858" s="209">
        <v>10000002</v>
      </c>
      <c r="F858" s="209">
        <v>20000340</v>
      </c>
      <c r="G858" s="209" t="s">
        <v>117</v>
      </c>
      <c r="H858" s="209">
        <v>20000340</v>
      </c>
      <c r="I858" s="209">
        <v>2</v>
      </c>
      <c r="J858" s="209" t="s">
        <v>169</v>
      </c>
      <c r="K858" s="209" t="s">
        <v>1963</v>
      </c>
      <c r="L858" s="209" t="s">
        <v>171</v>
      </c>
      <c r="M858" s="209" t="s">
        <v>172</v>
      </c>
      <c r="N858" s="209">
        <v>50029843</v>
      </c>
      <c r="O858" s="209" t="s">
        <v>460</v>
      </c>
      <c r="P858" s="209">
        <v>5121</v>
      </c>
      <c r="Q858" s="209" t="s">
        <v>174</v>
      </c>
      <c r="R858" s="209" t="s">
        <v>175</v>
      </c>
      <c r="S858" s="209" t="s">
        <v>176</v>
      </c>
      <c r="T858" s="209" t="s">
        <v>177</v>
      </c>
      <c r="U858" s="209" t="s">
        <v>178</v>
      </c>
      <c r="V858" s="209" t="s">
        <v>179</v>
      </c>
      <c r="W858" s="209" t="s">
        <v>179</v>
      </c>
      <c r="X858" s="209" t="s">
        <v>180</v>
      </c>
      <c r="Y858" s="209" t="s">
        <v>180</v>
      </c>
      <c r="Z858" s="209">
        <v>9521068352</v>
      </c>
      <c r="AA858" s="209" t="s">
        <v>1956</v>
      </c>
      <c r="AB858" s="209" t="s">
        <v>180</v>
      </c>
      <c r="AC858" s="209" t="s">
        <v>182</v>
      </c>
      <c r="AD858" s="209">
        <v>4</v>
      </c>
      <c r="AE858" s="209">
        <v>2025</v>
      </c>
      <c r="AF858" s="227">
        <v>45772</v>
      </c>
      <c r="AG858" s="227">
        <v>45776</v>
      </c>
      <c r="AH858" s="227">
        <v>45776</v>
      </c>
      <c r="AI858" s="228">
        <v>419328</v>
      </c>
      <c r="AJ858" s="228">
        <v>52</v>
      </c>
      <c r="AK858" s="228">
        <v>419328</v>
      </c>
      <c r="AL858" s="228">
        <v>52</v>
      </c>
      <c r="AM858" s="228">
        <v>0</v>
      </c>
      <c r="AN858" s="228">
        <v>0</v>
      </c>
      <c r="AO858" s="229">
        <v>18</v>
      </c>
      <c r="AP858" s="231">
        <v>4</v>
      </c>
      <c r="AQ858" s="231">
        <v>2025</v>
      </c>
      <c r="AR858" s="231" t="str">
        <f t="shared" si="115"/>
        <v>04/2025</v>
      </c>
      <c r="AS858" s="231">
        <f t="shared" si="116"/>
        <v>44.8</v>
      </c>
      <c r="AT858" s="239">
        <f>IF(G858="CERVECERIA Y MALTERIA",(AS858*AK858/1000000)*(1-VLOOKUP(N858,FCST!D:I,6,FALSE)),0)</f>
        <v>0</v>
      </c>
      <c r="AU858" s="232">
        <v>5.0000000000000001E-3</v>
      </c>
      <c r="AV858" s="239">
        <f t="shared" si="117"/>
        <v>0</v>
      </c>
      <c r="AW858" s="239">
        <f>(AS858*AK858/1000000)*(VLOOKUP(N858,FCST!D:I,6,FALSE))</f>
        <v>0</v>
      </c>
      <c r="AX858" s="239">
        <f t="shared" si="118"/>
        <v>0</v>
      </c>
      <c r="AY858" s="239">
        <f>IF($G858="CERVECERIA Y MALTERIA.",($AS858*$AK858/1000000)*(1-VLOOKUP($N858,FCST!D:I,6,FALSE)),0)</f>
        <v>18.7858944</v>
      </c>
      <c r="AZ858" s="239">
        <f t="shared" si="119"/>
        <v>18.879823871999999</v>
      </c>
    </row>
    <row r="859" spans="1:52" x14ac:dyDescent="0.25">
      <c r="A859" s="209">
        <v>1113132</v>
      </c>
      <c r="B859" s="209">
        <v>50</v>
      </c>
      <c r="C859" s="209">
        <v>89447399</v>
      </c>
      <c r="D859" s="209">
        <v>10</v>
      </c>
      <c r="E859" s="209">
        <v>10000002</v>
      </c>
      <c r="F859" s="209">
        <v>20000337</v>
      </c>
      <c r="G859" s="209" t="s">
        <v>105</v>
      </c>
      <c r="H859" s="209">
        <v>20000337</v>
      </c>
      <c r="I859" s="209">
        <v>2</v>
      </c>
      <c r="J859" s="209" t="s">
        <v>169</v>
      </c>
      <c r="K859" s="209" t="s">
        <v>1964</v>
      </c>
      <c r="L859" s="209" t="s">
        <v>171</v>
      </c>
      <c r="M859" s="209" t="s">
        <v>172</v>
      </c>
      <c r="N859" s="209">
        <v>50024497</v>
      </c>
      <c r="O859" s="209" t="s">
        <v>1352</v>
      </c>
      <c r="P859" s="209">
        <v>5121</v>
      </c>
      <c r="Q859" s="209" t="s">
        <v>174</v>
      </c>
      <c r="R859" s="209" t="s">
        <v>175</v>
      </c>
      <c r="S859" s="209" t="s">
        <v>176</v>
      </c>
      <c r="T859" s="209" t="s">
        <v>177</v>
      </c>
      <c r="U859" s="209" t="s">
        <v>178</v>
      </c>
      <c r="V859" s="209" t="s">
        <v>179</v>
      </c>
      <c r="W859" s="209" t="s">
        <v>179</v>
      </c>
      <c r="X859" s="209" t="s">
        <v>180</v>
      </c>
      <c r="Y859" s="209" t="s">
        <v>180</v>
      </c>
      <c r="Z859" s="209">
        <v>9521068339</v>
      </c>
      <c r="AA859" s="209" t="s">
        <v>1965</v>
      </c>
      <c r="AB859" s="209" t="s">
        <v>180</v>
      </c>
      <c r="AC859" s="209" t="s">
        <v>182</v>
      </c>
      <c r="AD859" s="209">
        <v>4</v>
      </c>
      <c r="AE859" s="209">
        <v>2025</v>
      </c>
      <c r="AF859" s="227">
        <v>45764</v>
      </c>
      <c r="AG859" s="227">
        <v>45775</v>
      </c>
      <c r="AH859" s="227">
        <v>45776</v>
      </c>
      <c r="AI859" s="228">
        <v>351936</v>
      </c>
      <c r="AJ859" s="228">
        <v>52</v>
      </c>
      <c r="AK859" s="228">
        <v>351936</v>
      </c>
      <c r="AL859" s="228">
        <v>52</v>
      </c>
      <c r="AM859" s="228">
        <v>0</v>
      </c>
      <c r="AN859" s="228">
        <v>0</v>
      </c>
      <c r="AO859" s="229">
        <v>17</v>
      </c>
      <c r="AP859" s="231">
        <v>4</v>
      </c>
      <c r="AQ859" s="231">
        <v>2025</v>
      </c>
      <c r="AR859" s="231" t="str">
        <f t="shared" si="115"/>
        <v>04/2025</v>
      </c>
      <c r="AS859" s="231">
        <f t="shared" si="116"/>
        <v>54.7</v>
      </c>
      <c r="AT859" s="239">
        <f>IF(G859="CERVECERIA Y MALTERIA",(AS859*AK859/1000000)*(1-VLOOKUP(N859,FCST!D:I,6,FALSE)),0)</f>
        <v>19.250899199999999</v>
      </c>
      <c r="AU859" s="232">
        <v>5.0000000000000001E-3</v>
      </c>
      <c r="AV859" s="239">
        <f t="shared" si="117"/>
        <v>19.347153695999996</v>
      </c>
      <c r="AW859" s="239">
        <f>(AS859*AK859/1000000)*(VLOOKUP(N859,FCST!D:I,6,FALSE))</f>
        <v>0</v>
      </c>
      <c r="AX859" s="239">
        <f t="shared" si="118"/>
        <v>0</v>
      </c>
      <c r="AY859" s="239">
        <f>IF($G859="CERVECERIA Y MALTERIA.",($AS859*$AK859/1000000)*(1-VLOOKUP($N859,FCST!D:I,6,FALSE)),0)</f>
        <v>0</v>
      </c>
      <c r="AZ859" s="239">
        <f t="shared" si="119"/>
        <v>0</v>
      </c>
    </row>
    <row r="860" spans="1:52" x14ac:dyDescent="0.25">
      <c r="A860" s="209">
        <v>1114623</v>
      </c>
      <c r="B860" s="209">
        <v>60</v>
      </c>
      <c r="C860" s="209">
        <v>89449118</v>
      </c>
      <c r="D860" s="209">
        <v>10</v>
      </c>
      <c r="E860" s="209">
        <v>10000002</v>
      </c>
      <c r="F860" s="209">
        <v>20000335</v>
      </c>
      <c r="G860" s="209" t="s">
        <v>105</v>
      </c>
      <c r="H860" s="209">
        <v>20000335</v>
      </c>
      <c r="I860" s="209">
        <v>2</v>
      </c>
      <c r="J860" s="209" t="s">
        <v>169</v>
      </c>
      <c r="K860" s="209" t="s">
        <v>1966</v>
      </c>
      <c r="L860" s="209" t="s">
        <v>171</v>
      </c>
      <c r="M860" s="209" t="s">
        <v>199</v>
      </c>
      <c r="N860" s="209">
        <v>50034616</v>
      </c>
      <c r="O860" s="209" t="s">
        <v>191</v>
      </c>
      <c r="P860" s="209">
        <v>5121</v>
      </c>
      <c r="Q860" s="209" t="s">
        <v>200</v>
      </c>
      <c r="R860" s="209" t="s">
        <v>201</v>
      </c>
      <c r="S860" s="209" t="s">
        <v>202</v>
      </c>
      <c r="T860" s="209" t="s">
        <v>203</v>
      </c>
      <c r="U860" s="209" t="s">
        <v>201</v>
      </c>
      <c r="V860" s="209" t="s">
        <v>179</v>
      </c>
      <c r="W860" s="209" t="s">
        <v>179</v>
      </c>
      <c r="X860" s="209" t="s">
        <v>180</v>
      </c>
      <c r="Y860" s="209" t="s">
        <v>180</v>
      </c>
      <c r="Z860" s="209">
        <v>9521068371</v>
      </c>
      <c r="AA860" s="209" t="s">
        <v>1967</v>
      </c>
      <c r="AB860" s="209" t="s">
        <v>180</v>
      </c>
      <c r="AC860" s="209" t="s">
        <v>182</v>
      </c>
      <c r="AD860" s="209">
        <v>4</v>
      </c>
      <c r="AE860" s="209">
        <v>2025</v>
      </c>
      <c r="AF860" s="227">
        <v>45772</v>
      </c>
      <c r="AG860" s="227">
        <v>45777</v>
      </c>
      <c r="AH860" s="227">
        <v>45777</v>
      </c>
      <c r="AI860" s="228">
        <v>426816</v>
      </c>
      <c r="AJ860" s="228">
        <v>52</v>
      </c>
      <c r="AK860" s="228">
        <v>426816</v>
      </c>
      <c r="AL860" s="228">
        <v>52</v>
      </c>
      <c r="AM860" s="228">
        <v>0</v>
      </c>
      <c r="AN860" s="228">
        <v>0</v>
      </c>
      <c r="AO860" s="229">
        <v>18</v>
      </c>
      <c r="AP860" s="231">
        <v>4</v>
      </c>
      <c r="AQ860" s="231">
        <v>2025</v>
      </c>
      <c r="AR860" s="231" t="str">
        <f t="shared" si="115"/>
        <v>04/2025</v>
      </c>
      <c r="AS860" s="231">
        <f t="shared" si="116"/>
        <v>46.6</v>
      </c>
      <c r="AT860" s="239">
        <f>IF(G860="CERVECERIA Y MALTERIA",(AS860*AK860/1000000)*(1-VLOOKUP(N860,FCST!D:I,6,FALSE)),0)</f>
        <v>19.889625600000002</v>
      </c>
      <c r="AU860" s="232">
        <v>5.0000000000000001E-3</v>
      </c>
      <c r="AV860" s="239">
        <f t="shared" si="117"/>
        <v>19.989073728000001</v>
      </c>
      <c r="AW860" s="239">
        <f>(AS860*AK860/1000000)*(VLOOKUP(N860,FCST!D:I,6,FALSE))</f>
        <v>0</v>
      </c>
      <c r="AX860" s="239">
        <f t="shared" si="118"/>
        <v>0</v>
      </c>
      <c r="AY860" s="239">
        <f>IF($G860="CERVECERIA Y MALTERIA.",($AS860*$AK860/1000000)*(1-VLOOKUP($N860,FCST!D:I,6,FALSE)),0)</f>
        <v>0</v>
      </c>
      <c r="AZ860" s="239">
        <f t="shared" si="119"/>
        <v>0</v>
      </c>
    </row>
    <row r="861" spans="1:52" x14ac:dyDescent="0.25">
      <c r="A861" s="209">
        <v>1114623</v>
      </c>
      <c r="B861" s="209">
        <v>50</v>
      </c>
      <c r="C861" s="209">
        <v>89449064</v>
      </c>
      <c r="D861" s="209">
        <v>10</v>
      </c>
      <c r="E861" s="209">
        <v>10000002</v>
      </c>
      <c r="F861" s="209">
        <v>20000335</v>
      </c>
      <c r="G861" s="209" t="s">
        <v>105</v>
      </c>
      <c r="H861" s="209">
        <v>20000335</v>
      </c>
      <c r="I861" s="209">
        <v>2</v>
      </c>
      <c r="J861" s="209" t="s">
        <v>169</v>
      </c>
      <c r="K861" s="209" t="s">
        <v>1968</v>
      </c>
      <c r="L861" s="209" t="s">
        <v>171</v>
      </c>
      <c r="M861" s="209" t="s">
        <v>199</v>
      </c>
      <c r="N861" s="209">
        <v>50034616</v>
      </c>
      <c r="O861" s="209" t="s">
        <v>191</v>
      </c>
      <c r="P861" s="209">
        <v>5121</v>
      </c>
      <c r="Q861" s="209" t="s">
        <v>200</v>
      </c>
      <c r="R861" s="209" t="s">
        <v>201</v>
      </c>
      <c r="S861" s="209" t="s">
        <v>202</v>
      </c>
      <c r="T861" s="209" t="s">
        <v>203</v>
      </c>
      <c r="U861" s="209" t="s">
        <v>201</v>
      </c>
      <c r="V861" s="209" t="s">
        <v>179</v>
      </c>
      <c r="W861" s="209" t="s">
        <v>179</v>
      </c>
      <c r="X861" s="209" t="s">
        <v>180</v>
      </c>
      <c r="Y861" s="209" t="s">
        <v>180</v>
      </c>
      <c r="Z861" s="209">
        <v>9521068369</v>
      </c>
      <c r="AA861" s="209" t="s">
        <v>1969</v>
      </c>
      <c r="AB861" s="209" t="s">
        <v>180</v>
      </c>
      <c r="AC861" s="209" t="s">
        <v>182</v>
      </c>
      <c r="AD861" s="209">
        <v>4</v>
      </c>
      <c r="AE861" s="209">
        <v>2025</v>
      </c>
      <c r="AF861" s="227">
        <v>45772</v>
      </c>
      <c r="AG861" s="227">
        <v>45777</v>
      </c>
      <c r="AH861" s="227">
        <v>45777</v>
      </c>
      <c r="AI861" s="228">
        <v>426816</v>
      </c>
      <c r="AJ861" s="228">
        <v>52</v>
      </c>
      <c r="AK861" s="228">
        <v>426816</v>
      </c>
      <c r="AL861" s="228">
        <v>52</v>
      </c>
      <c r="AM861" s="228">
        <v>0</v>
      </c>
      <c r="AN861" s="228">
        <v>0</v>
      </c>
      <c r="AO861" s="229">
        <v>18</v>
      </c>
      <c r="AP861" s="231">
        <v>4</v>
      </c>
      <c r="AQ861" s="231">
        <v>2025</v>
      </c>
      <c r="AR861" s="231" t="str">
        <f t="shared" si="115"/>
        <v>04/2025</v>
      </c>
      <c r="AS861" s="231">
        <f t="shared" si="116"/>
        <v>46.6</v>
      </c>
      <c r="AT861" s="239">
        <f>IF(G861="CERVECERIA Y MALTERIA",(AS861*AK861/1000000)*(1-VLOOKUP(N861,FCST!D:I,6,FALSE)),0)</f>
        <v>19.889625600000002</v>
      </c>
      <c r="AU861" s="232">
        <v>5.0000000000000001E-3</v>
      </c>
      <c r="AV861" s="239">
        <f t="shared" si="117"/>
        <v>19.989073728000001</v>
      </c>
      <c r="AW861" s="239">
        <f>(AS861*AK861/1000000)*(VLOOKUP(N861,FCST!D:I,6,FALSE))</f>
        <v>0</v>
      </c>
      <c r="AX861" s="239">
        <f t="shared" si="118"/>
        <v>0</v>
      </c>
      <c r="AY861" s="239">
        <f>IF($G861="CERVECERIA Y MALTERIA.",($AS861*$AK861/1000000)*(1-VLOOKUP($N861,FCST!D:I,6,FALSE)),0)</f>
        <v>0</v>
      </c>
      <c r="AZ861" s="239">
        <f t="shared" si="119"/>
        <v>0</v>
      </c>
    </row>
    <row r="862" spans="1:52" x14ac:dyDescent="0.25">
      <c r="A862" s="209">
        <v>1114629</v>
      </c>
      <c r="B862" s="209">
        <v>40</v>
      </c>
      <c r="C862" s="209">
        <v>89448972</v>
      </c>
      <c r="D862" s="209">
        <v>10</v>
      </c>
      <c r="E862" s="209">
        <v>10000002</v>
      </c>
      <c r="F862" s="209">
        <v>20000340</v>
      </c>
      <c r="G862" s="209" t="s">
        <v>117</v>
      </c>
      <c r="H862" s="209">
        <v>20000340</v>
      </c>
      <c r="I862" s="209">
        <v>2</v>
      </c>
      <c r="J862" s="209" t="s">
        <v>169</v>
      </c>
      <c r="K862" s="209" t="s">
        <v>1970</v>
      </c>
      <c r="L862" s="209" t="s">
        <v>171</v>
      </c>
      <c r="M862" s="209" t="s">
        <v>184</v>
      </c>
      <c r="N862" s="209">
        <v>50029843</v>
      </c>
      <c r="O862" s="209" t="s">
        <v>460</v>
      </c>
      <c r="P862" s="209">
        <v>5121</v>
      </c>
      <c r="Q862" s="209" t="s">
        <v>174</v>
      </c>
      <c r="R862" s="209" t="s">
        <v>175</v>
      </c>
      <c r="S862" s="209" t="s">
        <v>176</v>
      </c>
      <c r="T862" s="209" t="s">
        <v>177</v>
      </c>
      <c r="U862" s="209" t="s">
        <v>178</v>
      </c>
      <c r="V862" s="209" t="s">
        <v>179</v>
      </c>
      <c r="W862" s="209" t="s">
        <v>179</v>
      </c>
      <c r="X862" s="209" t="s">
        <v>180</v>
      </c>
      <c r="Y862" s="209" t="s">
        <v>180</v>
      </c>
      <c r="Z862" s="209">
        <v>9521068368</v>
      </c>
      <c r="AA862" s="209" t="s">
        <v>1971</v>
      </c>
      <c r="AB862" s="209" t="s">
        <v>180</v>
      </c>
      <c r="AC862" s="209" t="s">
        <v>182</v>
      </c>
      <c r="AD862" s="209">
        <v>4</v>
      </c>
      <c r="AE862" s="209">
        <v>2025</v>
      </c>
      <c r="AF862" s="227">
        <v>45772</v>
      </c>
      <c r="AG862" s="227">
        <v>45777</v>
      </c>
      <c r="AH862" s="227">
        <v>45777</v>
      </c>
      <c r="AI862" s="228">
        <v>419328</v>
      </c>
      <c r="AJ862" s="228">
        <v>52</v>
      </c>
      <c r="AK862" s="228">
        <v>419328</v>
      </c>
      <c r="AL862" s="228">
        <v>52</v>
      </c>
      <c r="AM862" s="228">
        <v>0</v>
      </c>
      <c r="AN862" s="228">
        <v>0</v>
      </c>
      <c r="AO862" s="229">
        <v>18</v>
      </c>
      <c r="AP862" s="231">
        <v>4</v>
      </c>
      <c r="AQ862" s="231">
        <v>2025</v>
      </c>
      <c r="AR862" s="231" t="str">
        <f t="shared" si="115"/>
        <v>04/2025</v>
      </c>
      <c r="AS862" s="231">
        <f t="shared" si="116"/>
        <v>44.8</v>
      </c>
      <c r="AT862" s="239">
        <f>IF(G862="CERVECERIA Y MALTERIA",(AS862*AK862/1000000)*(1-VLOOKUP(N862,FCST!D:I,6,FALSE)),0)</f>
        <v>0</v>
      </c>
      <c r="AU862" s="232">
        <v>5.0000000000000001E-3</v>
      </c>
      <c r="AV862" s="239">
        <f t="shared" si="117"/>
        <v>0</v>
      </c>
      <c r="AW862" s="239">
        <f>(AS862*AK862/1000000)*(VLOOKUP(N862,FCST!D:I,6,FALSE))</f>
        <v>0</v>
      </c>
      <c r="AX862" s="239">
        <f t="shared" si="118"/>
        <v>0</v>
      </c>
      <c r="AY862" s="239">
        <f>IF($G862="CERVECERIA Y MALTERIA.",($AS862*$AK862/1000000)*(1-VLOOKUP($N862,FCST!D:I,6,FALSE)),0)</f>
        <v>18.7858944</v>
      </c>
      <c r="AZ862" s="239">
        <f t="shared" si="119"/>
        <v>18.879823871999999</v>
      </c>
    </row>
    <row r="863" spans="1:52" x14ac:dyDescent="0.25">
      <c r="A863" s="209">
        <v>1114623</v>
      </c>
      <c r="B863" s="209">
        <v>10</v>
      </c>
      <c r="C863" s="209">
        <v>89446195</v>
      </c>
      <c r="D863" s="209">
        <v>10</v>
      </c>
      <c r="E863" s="209">
        <v>10000002</v>
      </c>
      <c r="F863" s="209">
        <v>20000335</v>
      </c>
      <c r="G863" s="209" t="s">
        <v>105</v>
      </c>
      <c r="H863" s="209">
        <v>20000335</v>
      </c>
      <c r="I863" s="209">
        <v>2</v>
      </c>
      <c r="J863" s="209" t="s">
        <v>169</v>
      </c>
      <c r="K863" s="209" t="s">
        <v>1972</v>
      </c>
      <c r="L863" s="209" t="s">
        <v>171</v>
      </c>
      <c r="M863" s="209" t="s">
        <v>199</v>
      </c>
      <c r="N863" s="209">
        <v>50034574</v>
      </c>
      <c r="O863" s="209" t="s">
        <v>196</v>
      </c>
      <c r="P863" s="209">
        <v>5121</v>
      </c>
      <c r="Q863" s="209" t="s">
        <v>200</v>
      </c>
      <c r="R863" s="209" t="s">
        <v>201</v>
      </c>
      <c r="S863" s="209" t="s">
        <v>202</v>
      </c>
      <c r="T863" s="209" t="s">
        <v>203</v>
      </c>
      <c r="U863" s="209" t="s">
        <v>201</v>
      </c>
      <c r="V863" s="209" t="s">
        <v>179</v>
      </c>
      <c r="W863" s="209" t="s">
        <v>179</v>
      </c>
      <c r="X863" s="209" t="s">
        <v>180</v>
      </c>
      <c r="Y863" s="209" t="s">
        <v>180</v>
      </c>
      <c r="Z863" s="209">
        <v>9521068322</v>
      </c>
      <c r="AA863" s="209" t="s">
        <v>1973</v>
      </c>
      <c r="AB863" s="209" t="s">
        <v>180</v>
      </c>
      <c r="AC863" s="209" t="s">
        <v>182</v>
      </c>
      <c r="AD863" s="209">
        <v>4</v>
      </c>
      <c r="AE863" s="209">
        <v>2025</v>
      </c>
      <c r="AF863" s="227">
        <v>45772</v>
      </c>
      <c r="AG863" s="227">
        <v>45775</v>
      </c>
      <c r="AH863" s="227">
        <v>45775</v>
      </c>
      <c r="AI863" s="228">
        <v>977184</v>
      </c>
      <c r="AJ863" s="228">
        <v>52</v>
      </c>
      <c r="AK863" s="228">
        <v>977184</v>
      </c>
      <c r="AL863" s="228">
        <v>52</v>
      </c>
      <c r="AM863" s="228">
        <v>0</v>
      </c>
      <c r="AN863" s="228">
        <v>0</v>
      </c>
      <c r="AO863" s="229">
        <v>18</v>
      </c>
      <c r="AP863" s="231">
        <v>4</v>
      </c>
      <c r="AQ863" s="231">
        <v>2025</v>
      </c>
      <c r="AR863" s="231" t="str">
        <f t="shared" si="115"/>
        <v>04/2025</v>
      </c>
      <c r="AS863" s="231">
        <f t="shared" si="116"/>
        <v>19.5</v>
      </c>
      <c r="AT863" s="239">
        <f>IF(G863="CERVECERIA Y MALTERIA",(AS863*AK863/1000000)*(1-VLOOKUP(N863,FCST!D:I,6,FALSE)),0)</f>
        <v>19.055088000000001</v>
      </c>
      <c r="AU863" s="232">
        <v>5.0000000000000001E-3</v>
      </c>
      <c r="AV863" s="239">
        <f t="shared" si="117"/>
        <v>19.15036344</v>
      </c>
      <c r="AW863" s="239">
        <f>(AS863*AK863/1000000)*(VLOOKUP(N863,FCST!D:I,6,FALSE))</f>
        <v>0</v>
      </c>
      <c r="AX863" s="239">
        <f t="shared" si="118"/>
        <v>0</v>
      </c>
      <c r="AY863" s="239">
        <f>IF($G863="CERVECERIA Y MALTERIA.",($AS863*$AK863/1000000)*(1-VLOOKUP($N863,FCST!D:I,6,FALSE)),0)</f>
        <v>0</v>
      </c>
      <c r="AZ863" s="239">
        <f t="shared" si="119"/>
        <v>0</v>
      </c>
    </row>
    <row r="864" spans="1:52" x14ac:dyDescent="0.25">
      <c r="A864" s="209">
        <v>1113132</v>
      </c>
      <c r="B864" s="209">
        <v>40</v>
      </c>
      <c r="C864" s="209">
        <v>89445251</v>
      </c>
      <c r="D864" s="209">
        <v>10</v>
      </c>
      <c r="E864" s="209">
        <v>10000002</v>
      </c>
      <c r="F864" s="209">
        <v>20000337</v>
      </c>
      <c r="G864" s="209" t="s">
        <v>105</v>
      </c>
      <c r="H864" s="209">
        <v>20000337</v>
      </c>
      <c r="I864" s="209">
        <v>2</v>
      </c>
      <c r="J864" s="209" t="s">
        <v>169</v>
      </c>
      <c r="K864" s="209" t="s">
        <v>1974</v>
      </c>
      <c r="L864" s="209" t="s">
        <v>171</v>
      </c>
      <c r="M864" s="209" t="s">
        <v>184</v>
      </c>
      <c r="N864" s="209">
        <v>50039302</v>
      </c>
      <c r="O864" s="209" t="s">
        <v>1942</v>
      </c>
      <c r="P864" s="209">
        <v>5121</v>
      </c>
      <c r="Q864" s="209" t="s">
        <v>174</v>
      </c>
      <c r="R864" s="209" t="s">
        <v>175</v>
      </c>
      <c r="S864" s="209" t="s">
        <v>176</v>
      </c>
      <c r="T864" s="209" t="s">
        <v>177</v>
      </c>
      <c r="U864" s="209" t="s">
        <v>178</v>
      </c>
      <c r="V864" s="209" t="s">
        <v>179</v>
      </c>
      <c r="W864" s="209" t="s">
        <v>179</v>
      </c>
      <c r="X864" s="209" t="s">
        <v>180</v>
      </c>
      <c r="Y864" s="209" t="s">
        <v>180</v>
      </c>
      <c r="Z864" s="209">
        <v>9521068295</v>
      </c>
      <c r="AA864" s="209" t="s">
        <v>1975</v>
      </c>
      <c r="AB864" s="209" t="s">
        <v>180</v>
      </c>
      <c r="AC864" s="209" t="s">
        <v>182</v>
      </c>
      <c r="AD864" s="209">
        <v>4</v>
      </c>
      <c r="AE864" s="209">
        <v>2025</v>
      </c>
      <c r="AF864" s="227">
        <v>45764</v>
      </c>
      <c r="AG864" s="227">
        <v>45772</v>
      </c>
      <c r="AH864" s="227">
        <v>45772</v>
      </c>
      <c r="AI864" s="228">
        <v>399360</v>
      </c>
      <c r="AJ864" s="228">
        <v>52</v>
      </c>
      <c r="AK864" s="228">
        <v>399360</v>
      </c>
      <c r="AL864" s="228">
        <v>52</v>
      </c>
      <c r="AM864" s="228">
        <v>0</v>
      </c>
      <c r="AN864" s="228">
        <v>0</v>
      </c>
      <c r="AO864" s="229">
        <v>17</v>
      </c>
      <c r="AP864" s="231">
        <v>4</v>
      </c>
      <c r="AQ864" s="231">
        <v>2025</v>
      </c>
      <c r="AR864" s="231" t="str">
        <f t="shared" si="115"/>
        <v>04/2025</v>
      </c>
      <c r="AS864" s="231">
        <f t="shared" si="116"/>
        <v>46.6</v>
      </c>
      <c r="AT864" s="239">
        <f>IF(G864="CERVECERIA Y MALTERIA",(AS864*AK864/1000000)*(1-VLOOKUP(N864,FCST!D:I,6,FALSE)),0)</f>
        <v>18.610175999999999</v>
      </c>
      <c r="AU864" s="232">
        <v>5.0000000000000001E-3</v>
      </c>
      <c r="AV864" s="239">
        <f t="shared" si="117"/>
        <v>18.703226879999995</v>
      </c>
      <c r="AW864" s="239">
        <f>(AS864*AK864/1000000)*(VLOOKUP(N864,FCST!D:I,6,FALSE))</f>
        <v>0</v>
      </c>
      <c r="AX864" s="239">
        <f t="shared" si="118"/>
        <v>0</v>
      </c>
      <c r="AY864" s="239">
        <f>IF($G864="CERVECERIA Y MALTERIA.",($AS864*$AK864/1000000)*(1-VLOOKUP($N864,FCST!D:I,6,FALSE)),0)</f>
        <v>0</v>
      </c>
      <c r="AZ864" s="239">
        <f t="shared" si="119"/>
        <v>0</v>
      </c>
    </row>
    <row r="865" spans="1:52" x14ac:dyDescent="0.25">
      <c r="A865" s="209">
        <v>1110374</v>
      </c>
      <c r="B865" s="209">
        <v>60</v>
      </c>
      <c r="C865" s="209">
        <v>89445015</v>
      </c>
      <c r="D865" s="209">
        <v>10</v>
      </c>
      <c r="E865" s="209">
        <v>10000002</v>
      </c>
      <c r="F865" s="209">
        <v>20000336</v>
      </c>
      <c r="G865" s="209" t="s">
        <v>105</v>
      </c>
      <c r="H865" s="209">
        <v>20000336</v>
      </c>
      <c r="I865" s="209">
        <v>2</v>
      </c>
      <c r="J865" s="209" t="s">
        <v>169</v>
      </c>
      <c r="K865" s="209" t="s">
        <v>1976</v>
      </c>
      <c r="L865" s="209" t="s">
        <v>171</v>
      </c>
      <c r="M865" s="209" t="s">
        <v>199</v>
      </c>
      <c r="N865" s="209">
        <v>50034616</v>
      </c>
      <c r="O865" s="209" t="s">
        <v>191</v>
      </c>
      <c r="P865" s="209">
        <v>5121</v>
      </c>
      <c r="Q865" s="209" t="s">
        <v>200</v>
      </c>
      <c r="R865" s="209" t="s">
        <v>201</v>
      </c>
      <c r="S865" s="209" t="s">
        <v>202</v>
      </c>
      <c r="T865" s="209" t="s">
        <v>203</v>
      </c>
      <c r="U865" s="209" t="s">
        <v>201</v>
      </c>
      <c r="V865" s="209" t="s">
        <v>179</v>
      </c>
      <c r="W865" s="209" t="s">
        <v>179</v>
      </c>
      <c r="X865" s="209" t="s">
        <v>180</v>
      </c>
      <c r="Y865" s="209" t="s">
        <v>180</v>
      </c>
      <c r="Z865" s="209">
        <v>9521068294</v>
      </c>
      <c r="AA865" s="209" t="s">
        <v>1977</v>
      </c>
      <c r="AB865" s="209" t="s">
        <v>180</v>
      </c>
      <c r="AC865" s="209" t="s">
        <v>182</v>
      </c>
      <c r="AD865" s="209">
        <v>4</v>
      </c>
      <c r="AE865" s="209">
        <v>2025</v>
      </c>
      <c r="AF865" s="227">
        <v>45750</v>
      </c>
      <c r="AG865" s="227">
        <v>45772</v>
      </c>
      <c r="AH865" s="227">
        <v>45772</v>
      </c>
      <c r="AI865" s="228">
        <v>426816</v>
      </c>
      <c r="AJ865" s="228">
        <v>52</v>
      </c>
      <c r="AK865" s="228">
        <v>426816</v>
      </c>
      <c r="AL865" s="228">
        <v>52</v>
      </c>
      <c r="AM865" s="228">
        <v>0</v>
      </c>
      <c r="AN865" s="228">
        <v>0</v>
      </c>
      <c r="AO865" s="229">
        <v>14</v>
      </c>
      <c r="AP865" s="231">
        <v>4</v>
      </c>
      <c r="AQ865" s="231">
        <v>2025</v>
      </c>
      <c r="AR865" s="231" t="str">
        <f t="shared" si="115"/>
        <v>04/2025</v>
      </c>
      <c r="AS865" s="231">
        <f t="shared" si="116"/>
        <v>46.6</v>
      </c>
      <c r="AT865" s="239">
        <f>IF(G865="CERVECERIA Y MALTERIA",(AS865*AK865/1000000)*(1-VLOOKUP(N865,FCST!D:I,6,FALSE)),0)</f>
        <v>19.889625600000002</v>
      </c>
      <c r="AU865" s="232">
        <v>5.0000000000000001E-3</v>
      </c>
      <c r="AV865" s="239">
        <f t="shared" si="117"/>
        <v>19.989073728000001</v>
      </c>
      <c r="AW865" s="239">
        <f>(AS865*AK865/1000000)*(VLOOKUP(N865,FCST!D:I,6,FALSE))</f>
        <v>0</v>
      </c>
      <c r="AX865" s="239">
        <f t="shared" si="118"/>
        <v>0</v>
      </c>
      <c r="AY865" s="239">
        <f>IF($G865="CERVECERIA Y MALTERIA.",($AS865*$AK865/1000000)*(1-VLOOKUP($N865,FCST!D:I,6,FALSE)),0)</f>
        <v>0</v>
      </c>
      <c r="AZ865" s="239">
        <f t="shared" si="119"/>
        <v>0</v>
      </c>
    </row>
    <row r="866" spans="1:52" x14ac:dyDescent="0.25">
      <c r="A866" s="209">
        <v>1113085</v>
      </c>
      <c r="B866" s="209">
        <v>60</v>
      </c>
      <c r="C866" s="209">
        <v>89444954</v>
      </c>
      <c r="D866" s="209">
        <v>10</v>
      </c>
      <c r="E866" s="209">
        <v>10000002</v>
      </c>
      <c r="F866" s="209">
        <v>20000335</v>
      </c>
      <c r="G866" s="209" t="s">
        <v>105</v>
      </c>
      <c r="H866" s="209">
        <v>20000335</v>
      </c>
      <c r="I866" s="209">
        <v>2</v>
      </c>
      <c r="J866" s="209" t="s">
        <v>169</v>
      </c>
      <c r="K866" s="209" t="s">
        <v>1978</v>
      </c>
      <c r="L866" s="209" t="s">
        <v>171</v>
      </c>
      <c r="M866" s="209" t="s">
        <v>172</v>
      </c>
      <c r="N866" s="209">
        <v>50034561</v>
      </c>
      <c r="O866" s="209" t="s">
        <v>307</v>
      </c>
      <c r="P866" s="209">
        <v>5121</v>
      </c>
      <c r="Q866" s="209" t="s">
        <v>174</v>
      </c>
      <c r="R866" s="209" t="s">
        <v>175</v>
      </c>
      <c r="S866" s="209" t="s">
        <v>176</v>
      </c>
      <c r="T866" s="209" t="s">
        <v>177</v>
      </c>
      <c r="U866" s="209" t="s">
        <v>178</v>
      </c>
      <c r="V866" s="209" t="s">
        <v>179</v>
      </c>
      <c r="W866" s="209" t="s">
        <v>179</v>
      </c>
      <c r="X866" s="209" t="s">
        <v>180</v>
      </c>
      <c r="Y866" s="209" t="s">
        <v>180</v>
      </c>
      <c r="Z866" s="209">
        <v>9521068298</v>
      </c>
      <c r="AA866" s="209" t="s">
        <v>1931</v>
      </c>
      <c r="AB866" s="209" t="s">
        <v>180</v>
      </c>
      <c r="AC866" s="209" t="s">
        <v>182</v>
      </c>
      <c r="AD866" s="209">
        <v>4</v>
      </c>
      <c r="AE866" s="209">
        <v>2025</v>
      </c>
      <c r="AF866" s="227">
        <v>45764</v>
      </c>
      <c r="AG866" s="227">
        <v>45772</v>
      </c>
      <c r="AH866" s="227">
        <v>45772</v>
      </c>
      <c r="AI866" s="228">
        <v>977184</v>
      </c>
      <c r="AJ866" s="228">
        <v>52</v>
      </c>
      <c r="AK866" s="228">
        <v>977184</v>
      </c>
      <c r="AL866" s="228">
        <v>52</v>
      </c>
      <c r="AM866" s="228">
        <v>0</v>
      </c>
      <c r="AN866" s="228">
        <v>0</v>
      </c>
      <c r="AO866" s="229">
        <v>17</v>
      </c>
      <c r="AP866" s="231">
        <v>4</v>
      </c>
      <c r="AQ866" s="231">
        <v>2025</v>
      </c>
      <c r="AR866" s="231" t="str">
        <f t="shared" si="115"/>
        <v>04/2025</v>
      </c>
      <c r="AS866" s="231">
        <f t="shared" si="116"/>
        <v>19.5</v>
      </c>
      <c r="AT866" s="239">
        <f>IF(G866="CERVECERIA Y MALTERIA",(AS866*AK866/1000000)*(1-VLOOKUP(N866,FCST!D:I,6,FALSE)),0)</f>
        <v>19.055088000000001</v>
      </c>
      <c r="AU866" s="232">
        <v>5.0000000000000001E-3</v>
      </c>
      <c r="AV866" s="239">
        <f t="shared" si="117"/>
        <v>19.15036344</v>
      </c>
      <c r="AW866" s="239">
        <f>(AS866*AK866/1000000)*(VLOOKUP(N866,FCST!D:I,6,FALSE))</f>
        <v>0</v>
      </c>
      <c r="AX866" s="239">
        <f t="shared" si="118"/>
        <v>0</v>
      </c>
      <c r="AY866" s="239">
        <f>IF($G866="CERVECERIA Y MALTERIA.",($AS866*$AK866/1000000)*(1-VLOOKUP($N866,FCST!D:I,6,FALSE)),0)</f>
        <v>0</v>
      </c>
      <c r="AZ866" s="239">
        <f t="shared" si="119"/>
        <v>0</v>
      </c>
    </row>
    <row r="867" spans="1:52" x14ac:dyDescent="0.25">
      <c r="A867" s="209">
        <v>1111068</v>
      </c>
      <c r="B867" s="209">
        <v>80</v>
      </c>
      <c r="C867" s="209">
        <v>89444911</v>
      </c>
      <c r="D867" s="209">
        <v>20</v>
      </c>
      <c r="E867" s="209">
        <v>10000002</v>
      </c>
      <c r="F867" s="209">
        <v>20000339</v>
      </c>
      <c r="G867" s="209" t="s">
        <v>105</v>
      </c>
      <c r="H867" s="209">
        <v>20000339</v>
      </c>
      <c r="I867" s="209">
        <v>2</v>
      </c>
      <c r="J867" s="209" t="s">
        <v>169</v>
      </c>
      <c r="K867" s="209" t="s">
        <v>1979</v>
      </c>
      <c r="L867" s="209" t="s">
        <v>171</v>
      </c>
      <c r="M867" s="209" t="s">
        <v>172</v>
      </c>
      <c r="N867" s="209">
        <v>50033268</v>
      </c>
      <c r="O867" s="209" t="s">
        <v>253</v>
      </c>
      <c r="P867" s="209">
        <v>5121</v>
      </c>
      <c r="Q867" s="209" t="s">
        <v>174</v>
      </c>
      <c r="R867" s="209" t="s">
        <v>175</v>
      </c>
      <c r="S867" s="209" t="s">
        <v>176</v>
      </c>
      <c r="T867" s="209" t="s">
        <v>177</v>
      </c>
      <c r="U867" s="209" t="s">
        <v>178</v>
      </c>
      <c r="V867" s="209" t="s">
        <v>179</v>
      </c>
      <c r="W867" s="209" t="s">
        <v>179</v>
      </c>
      <c r="X867" s="209" t="s">
        <v>180</v>
      </c>
      <c r="Y867" s="209" t="s">
        <v>180</v>
      </c>
      <c r="Z867" s="209">
        <v>9521068293</v>
      </c>
      <c r="AA867" s="209" t="s">
        <v>1980</v>
      </c>
      <c r="AB867" s="209" t="s">
        <v>180</v>
      </c>
      <c r="AC867" s="209" t="s">
        <v>182</v>
      </c>
      <c r="AD867" s="209">
        <v>4</v>
      </c>
      <c r="AE867" s="209">
        <v>2025</v>
      </c>
      <c r="AF867" s="227">
        <v>45754</v>
      </c>
      <c r="AG867" s="227">
        <v>45772</v>
      </c>
      <c r="AH867" s="227">
        <v>45772</v>
      </c>
      <c r="AI867" s="228">
        <v>109536</v>
      </c>
      <c r="AJ867" s="228">
        <v>14</v>
      </c>
      <c r="AK867" s="228">
        <v>109536</v>
      </c>
      <c r="AL867" s="228">
        <v>14</v>
      </c>
      <c r="AM867" s="228">
        <v>0</v>
      </c>
      <c r="AN867" s="228">
        <v>0</v>
      </c>
      <c r="AO867" s="229">
        <v>15</v>
      </c>
      <c r="AP867" s="231">
        <v>4</v>
      </c>
      <c r="AQ867" s="231">
        <v>2025</v>
      </c>
      <c r="AR867" s="231" t="str">
        <f t="shared" si="115"/>
        <v>04/2025</v>
      </c>
      <c r="AS867" s="231">
        <f t="shared" si="116"/>
        <v>44</v>
      </c>
      <c r="AT867" s="239">
        <f>IF(G867="CERVECERIA Y MALTERIA",(AS867*AK867/1000000)*(1-VLOOKUP(N867,FCST!D:I,6,FALSE)),0)</f>
        <v>4.8195839999999999</v>
      </c>
      <c r="AU867" s="232">
        <v>5.0000000000000001E-3</v>
      </c>
      <c r="AV867" s="239">
        <f t="shared" si="117"/>
        <v>4.843681919999999</v>
      </c>
      <c r="AW867" s="239">
        <f>(AS867*AK867/1000000)*(VLOOKUP(N867,FCST!D:I,6,FALSE))</f>
        <v>0</v>
      </c>
      <c r="AX867" s="239">
        <f t="shared" si="118"/>
        <v>0</v>
      </c>
      <c r="AY867" s="239">
        <f>IF($G867="CERVECERIA Y MALTERIA.",($AS867*$AK867/1000000)*(1-VLOOKUP($N867,FCST!D:I,6,FALSE)),0)</f>
        <v>0</v>
      </c>
      <c r="AZ867" s="239">
        <f t="shared" si="119"/>
        <v>0</v>
      </c>
    </row>
    <row r="868" spans="1:52" x14ac:dyDescent="0.25">
      <c r="A868" s="209">
        <v>1111068</v>
      </c>
      <c r="B868" s="209">
        <v>70</v>
      </c>
      <c r="C868" s="209">
        <v>89444911</v>
      </c>
      <c r="D868" s="209">
        <v>10</v>
      </c>
      <c r="E868" s="209">
        <v>10000002</v>
      </c>
      <c r="F868" s="209">
        <v>20000339</v>
      </c>
      <c r="G868" s="209" t="s">
        <v>105</v>
      </c>
      <c r="H868" s="209">
        <v>20000339</v>
      </c>
      <c r="I868" s="209">
        <v>2</v>
      </c>
      <c r="J868" s="209" t="s">
        <v>169</v>
      </c>
      <c r="K868" s="209" t="s">
        <v>1979</v>
      </c>
      <c r="L868" s="209" t="s">
        <v>171</v>
      </c>
      <c r="M868" s="209" t="s">
        <v>172</v>
      </c>
      <c r="N868" s="209">
        <v>50034634</v>
      </c>
      <c r="O868" s="209" t="s">
        <v>219</v>
      </c>
      <c r="P868" s="209">
        <v>5121</v>
      </c>
      <c r="Q868" s="209" t="s">
        <v>174</v>
      </c>
      <c r="R868" s="209" t="s">
        <v>175</v>
      </c>
      <c r="S868" s="209" t="s">
        <v>176</v>
      </c>
      <c r="T868" s="209" t="s">
        <v>177</v>
      </c>
      <c r="U868" s="209" t="s">
        <v>178</v>
      </c>
      <c r="V868" s="209" t="s">
        <v>179</v>
      </c>
      <c r="W868" s="209" t="s">
        <v>179</v>
      </c>
      <c r="X868" s="209" t="s">
        <v>180</v>
      </c>
      <c r="Y868" s="209" t="s">
        <v>180</v>
      </c>
      <c r="Z868" s="209">
        <v>9521068293</v>
      </c>
      <c r="AA868" s="209" t="s">
        <v>1980</v>
      </c>
      <c r="AB868" s="209" t="s">
        <v>180</v>
      </c>
      <c r="AC868" s="209" t="s">
        <v>182</v>
      </c>
      <c r="AD868" s="209">
        <v>4</v>
      </c>
      <c r="AE868" s="209">
        <v>2025</v>
      </c>
      <c r="AF868" s="227">
        <v>45754</v>
      </c>
      <c r="AG868" s="227">
        <v>45772</v>
      </c>
      <c r="AH868" s="227">
        <v>45772</v>
      </c>
      <c r="AI868" s="228">
        <v>266304</v>
      </c>
      <c r="AJ868" s="228">
        <v>38</v>
      </c>
      <c r="AK868" s="228">
        <v>266304</v>
      </c>
      <c r="AL868" s="228">
        <v>38</v>
      </c>
      <c r="AM868" s="228">
        <v>0</v>
      </c>
      <c r="AN868" s="228">
        <v>0</v>
      </c>
      <c r="AO868" s="229">
        <v>15</v>
      </c>
      <c r="AP868" s="231">
        <v>4</v>
      </c>
      <c r="AQ868" s="231">
        <v>2025</v>
      </c>
      <c r="AR868" s="231" t="str">
        <f t="shared" si="115"/>
        <v>04/2025</v>
      </c>
      <c r="AS868" s="231">
        <f t="shared" si="116"/>
        <v>52</v>
      </c>
      <c r="AT868" s="239">
        <f>IF(G868="CERVECERIA Y MALTERIA",(AS868*AK868/1000000)*(1-VLOOKUP(N868,FCST!D:I,6,FALSE)),0)</f>
        <v>13.847808000000001</v>
      </c>
      <c r="AU868" s="232">
        <v>5.0000000000000001E-3</v>
      </c>
      <c r="AV868" s="239">
        <f t="shared" si="117"/>
        <v>13.91704704</v>
      </c>
      <c r="AW868" s="239">
        <f>(AS868*AK868/1000000)*(VLOOKUP(N868,FCST!D:I,6,FALSE))</f>
        <v>0</v>
      </c>
      <c r="AX868" s="239">
        <f t="shared" si="118"/>
        <v>0</v>
      </c>
      <c r="AY868" s="239">
        <f>IF($G868="CERVECERIA Y MALTERIA.",($AS868*$AK868/1000000)*(1-VLOOKUP($N868,FCST!D:I,6,FALSE)),0)</f>
        <v>0</v>
      </c>
      <c r="AZ868" s="239">
        <f t="shared" si="119"/>
        <v>0</v>
      </c>
    </row>
    <row r="869" spans="1:52" x14ac:dyDescent="0.25">
      <c r="A869" s="209">
        <v>1115173</v>
      </c>
      <c r="B869" s="209">
        <v>10</v>
      </c>
      <c r="C869" s="209">
        <v>89448071</v>
      </c>
      <c r="D869" s="209">
        <v>10</v>
      </c>
      <c r="E869" s="209">
        <v>10000002</v>
      </c>
      <c r="F869" s="209">
        <v>20000339</v>
      </c>
      <c r="G869" s="209" t="s">
        <v>105</v>
      </c>
      <c r="H869" s="209">
        <v>20000339</v>
      </c>
      <c r="I869" s="209">
        <v>2</v>
      </c>
      <c r="J869" s="209" t="s">
        <v>169</v>
      </c>
      <c r="K869" s="209" t="s">
        <v>1981</v>
      </c>
      <c r="L869" s="209" t="s">
        <v>265</v>
      </c>
      <c r="M869" s="209" t="s">
        <v>172</v>
      </c>
      <c r="N869" s="209">
        <v>50034634</v>
      </c>
      <c r="O869" s="209" t="s">
        <v>219</v>
      </c>
      <c r="P869" s="209">
        <v>5121</v>
      </c>
      <c r="Q869" s="209" t="s">
        <v>174</v>
      </c>
      <c r="R869" s="209" t="s">
        <v>175</v>
      </c>
      <c r="S869" s="209" t="s">
        <v>176</v>
      </c>
      <c r="T869" s="209" t="s">
        <v>177</v>
      </c>
      <c r="U869" s="209" t="s">
        <v>178</v>
      </c>
      <c r="V869" s="209" t="s">
        <v>179</v>
      </c>
      <c r="W869" s="209" t="s">
        <v>179</v>
      </c>
      <c r="X869" s="209" t="s">
        <v>180</v>
      </c>
      <c r="Y869" s="209" t="s">
        <v>180</v>
      </c>
      <c r="Z869" s="209">
        <v>9521068341</v>
      </c>
      <c r="AA869" s="209" t="s">
        <v>1982</v>
      </c>
      <c r="AB869" s="209" t="s">
        <v>180</v>
      </c>
      <c r="AC869" s="209" t="s">
        <v>182</v>
      </c>
      <c r="AD869" s="209">
        <v>4</v>
      </c>
      <c r="AE869" s="209">
        <v>2025</v>
      </c>
      <c r="AF869" s="227">
        <v>45776</v>
      </c>
      <c r="AG869" s="227">
        <v>45776</v>
      </c>
      <c r="AH869" s="227">
        <v>45776</v>
      </c>
      <c r="AI869" s="228">
        <v>364416</v>
      </c>
      <c r="AJ869" s="228">
        <v>52</v>
      </c>
      <c r="AK869" s="228">
        <v>364416</v>
      </c>
      <c r="AL869" s="228">
        <v>52</v>
      </c>
      <c r="AM869" s="228">
        <v>0</v>
      </c>
      <c r="AN869" s="228">
        <v>0</v>
      </c>
      <c r="AO869" s="229">
        <v>18</v>
      </c>
      <c r="AP869" s="231">
        <v>4</v>
      </c>
      <c r="AQ869" s="231">
        <v>2025</v>
      </c>
      <c r="AR869" s="231" t="str">
        <f t="shared" si="115"/>
        <v>04/2025</v>
      </c>
      <c r="AS869" s="231">
        <f t="shared" si="116"/>
        <v>52</v>
      </c>
      <c r="AT869" s="239">
        <f>IF(G869="CERVECERIA Y MALTERIA",(AS869*AK869/1000000)*(1-VLOOKUP(N869,FCST!D:I,6,FALSE)),0)</f>
        <v>18.949632000000001</v>
      </c>
      <c r="AU869" s="232">
        <v>5.0000000000000001E-3</v>
      </c>
      <c r="AV869" s="239">
        <f t="shared" si="117"/>
        <v>19.044380159999999</v>
      </c>
      <c r="AW869" s="239">
        <f>(AS869*AK869/1000000)*(VLOOKUP(N869,FCST!D:I,6,FALSE))</f>
        <v>0</v>
      </c>
      <c r="AX869" s="239">
        <f t="shared" si="118"/>
        <v>0</v>
      </c>
      <c r="AY869" s="239">
        <f>IF($G869="CERVECERIA Y MALTERIA.",($AS869*$AK869/1000000)*(1-VLOOKUP($N869,FCST!D:I,6,FALSE)),0)</f>
        <v>0</v>
      </c>
      <c r="AZ869" s="239">
        <f t="shared" si="119"/>
        <v>0</v>
      </c>
    </row>
    <row r="870" spans="1:52" x14ac:dyDescent="0.25">
      <c r="A870" s="209">
        <v>1110374</v>
      </c>
      <c r="B870" s="209">
        <v>70</v>
      </c>
      <c r="C870" s="209">
        <v>89446963</v>
      </c>
      <c r="D870" s="209">
        <v>10</v>
      </c>
      <c r="E870" s="209">
        <v>10000002</v>
      </c>
      <c r="F870" s="209">
        <v>20000336</v>
      </c>
      <c r="G870" s="209" t="s">
        <v>105</v>
      </c>
      <c r="H870" s="209">
        <v>20000336</v>
      </c>
      <c r="I870" s="209">
        <v>2</v>
      </c>
      <c r="J870" s="209" t="s">
        <v>169</v>
      </c>
      <c r="K870" s="209" t="s">
        <v>1983</v>
      </c>
      <c r="L870" s="209" t="s">
        <v>171</v>
      </c>
      <c r="M870" s="209" t="s">
        <v>199</v>
      </c>
      <c r="N870" s="209">
        <v>50035183</v>
      </c>
      <c r="O870" s="209" t="s">
        <v>215</v>
      </c>
      <c r="P870" s="209">
        <v>5121</v>
      </c>
      <c r="Q870" s="209" t="s">
        <v>200</v>
      </c>
      <c r="R870" s="209" t="s">
        <v>201</v>
      </c>
      <c r="S870" s="209" t="s">
        <v>202</v>
      </c>
      <c r="T870" s="209" t="s">
        <v>203</v>
      </c>
      <c r="U870" s="209" t="s">
        <v>201</v>
      </c>
      <c r="V870" s="209" t="s">
        <v>179</v>
      </c>
      <c r="W870" s="209" t="s">
        <v>179</v>
      </c>
      <c r="X870" s="209" t="s">
        <v>180</v>
      </c>
      <c r="Y870" s="209" t="s">
        <v>180</v>
      </c>
      <c r="Z870" s="209">
        <v>9521068327</v>
      </c>
      <c r="AA870" s="209" t="s">
        <v>1984</v>
      </c>
      <c r="AB870" s="209" t="s">
        <v>180</v>
      </c>
      <c r="AC870" s="209" t="s">
        <v>182</v>
      </c>
      <c r="AD870" s="209">
        <v>4</v>
      </c>
      <c r="AE870" s="209">
        <v>2025</v>
      </c>
      <c r="AF870" s="227">
        <v>45750</v>
      </c>
      <c r="AG870" s="227">
        <v>45775</v>
      </c>
      <c r="AH870" s="227">
        <v>45775</v>
      </c>
      <c r="AI870" s="228">
        <v>426816</v>
      </c>
      <c r="AJ870" s="228">
        <v>52</v>
      </c>
      <c r="AK870" s="228">
        <v>426816</v>
      </c>
      <c r="AL870" s="228">
        <v>52</v>
      </c>
      <c r="AM870" s="228">
        <v>0</v>
      </c>
      <c r="AN870" s="228">
        <v>0</v>
      </c>
      <c r="AO870" s="229">
        <v>14</v>
      </c>
      <c r="AP870" s="231">
        <v>4</v>
      </c>
      <c r="AQ870" s="231">
        <v>2025</v>
      </c>
      <c r="AR870" s="231" t="str">
        <f t="shared" si="115"/>
        <v>04/2025</v>
      </c>
      <c r="AS870" s="231">
        <f t="shared" si="116"/>
        <v>46.6</v>
      </c>
      <c r="AT870" s="239">
        <f>IF(G870="CERVECERIA Y MALTERIA",(AS870*AK870/1000000)*(1-VLOOKUP(N870,FCST!D:I,6,FALSE)),0)</f>
        <v>19.889625600000002</v>
      </c>
      <c r="AU870" s="232">
        <v>5.0000000000000001E-3</v>
      </c>
      <c r="AV870" s="239">
        <f t="shared" si="117"/>
        <v>19.989073728000001</v>
      </c>
      <c r="AW870" s="239">
        <f>(AS870*AK870/1000000)*(VLOOKUP(N870,FCST!D:I,6,FALSE))</f>
        <v>0</v>
      </c>
      <c r="AX870" s="239">
        <f t="shared" si="118"/>
        <v>0</v>
      </c>
      <c r="AY870" s="239">
        <f>IF($G870="CERVECERIA Y MALTERIA.",($AS870*$AK870/1000000)*(1-VLOOKUP($N870,FCST!D:I,6,FALSE)),0)</f>
        <v>0</v>
      </c>
      <c r="AZ870" s="239">
        <f t="shared" si="119"/>
        <v>0</v>
      </c>
    </row>
    <row r="871" spans="1:52" x14ac:dyDescent="0.25">
      <c r="A871" s="209">
        <v>1114629</v>
      </c>
      <c r="B871" s="209">
        <v>10</v>
      </c>
      <c r="C871" s="209">
        <v>89446422</v>
      </c>
      <c r="D871" s="209">
        <v>10</v>
      </c>
      <c r="E871" s="209">
        <v>10000002</v>
      </c>
      <c r="F871" s="209">
        <v>20000340</v>
      </c>
      <c r="G871" s="209" t="s">
        <v>117</v>
      </c>
      <c r="H871" s="209">
        <v>20000340</v>
      </c>
      <c r="I871" s="209">
        <v>2</v>
      </c>
      <c r="J871" s="209" t="s">
        <v>169</v>
      </c>
      <c r="K871" s="209" t="s">
        <v>1985</v>
      </c>
      <c r="L871" s="209" t="s">
        <v>171</v>
      </c>
      <c r="M871" s="209" t="s">
        <v>184</v>
      </c>
      <c r="N871" s="209">
        <v>50039506</v>
      </c>
      <c r="O871" s="209" t="s">
        <v>1986</v>
      </c>
      <c r="P871" s="209">
        <v>5121</v>
      </c>
      <c r="Q871" s="209" t="s">
        <v>174</v>
      </c>
      <c r="R871" s="209" t="s">
        <v>175</v>
      </c>
      <c r="S871" s="209" t="s">
        <v>176</v>
      </c>
      <c r="T871" s="209" t="s">
        <v>177</v>
      </c>
      <c r="U871" s="209" t="s">
        <v>178</v>
      </c>
      <c r="V871" s="209" t="s">
        <v>179</v>
      </c>
      <c r="W871" s="209" t="s">
        <v>179</v>
      </c>
      <c r="X871" s="209" t="s">
        <v>180</v>
      </c>
      <c r="Y871" s="209" t="s">
        <v>180</v>
      </c>
      <c r="Z871" s="209">
        <v>9521068325</v>
      </c>
      <c r="AA871" s="209" t="s">
        <v>1987</v>
      </c>
      <c r="AB871" s="209" t="s">
        <v>180</v>
      </c>
      <c r="AC871" s="209" t="s">
        <v>182</v>
      </c>
      <c r="AD871" s="209">
        <v>4</v>
      </c>
      <c r="AE871" s="209">
        <v>2025</v>
      </c>
      <c r="AF871" s="227">
        <v>45772</v>
      </c>
      <c r="AG871" s="227">
        <v>45775</v>
      </c>
      <c r="AH871" s="227">
        <v>45775</v>
      </c>
      <c r="AI871" s="228">
        <v>591552</v>
      </c>
      <c r="AJ871" s="228">
        <v>52</v>
      </c>
      <c r="AK871" s="228">
        <v>591552</v>
      </c>
      <c r="AL871" s="228">
        <v>52</v>
      </c>
      <c r="AM871" s="228">
        <v>0</v>
      </c>
      <c r="AN871" s="228">
        <v>0</v>
      </c>
      <c r="AO871" s="229">
        <v>18</v>
      </c>
      <c r="AP871" s="231">
        <v>4</v>
      </c>
      <c r="AQ871" s="231">
        <v>2025</v>
      </c>
      <c r="AR871" s="231" t="str">
        <f t="shared" si="115"/>
        <v>04/2025</v>
      </c>
      <c r="AS871" s="231">
        <f t="shared" si="116"/>
        <v>30</v>
      </c>
      <c r="AT871" s="239">
        <f>IF(G871="CERVECERIA Y MALTERIA",(AS871*AK871/1000000)*(1-VLOOKUP(N871,FCST!D:I,6,FALSE)),0)</f>
        <v>0</v>
      </c>
      <c r="AU871" s="232">
        <v>5.0000000000000001E-3</v>
      </c>
      <c r="AV871" s="239">
        <f t="shared" si="117"/>
        <v>0</v>
      </c>
      <c r="AW871" s="239">
        <f>(AS871*AK871/1000000)*(VLOOKUP(N871,FCST!D:I,6,FALSE))</f>
        <v>0</v>
      </c>
      <c r="AX871" s="239">
        <f t="shared" si="118"/>
        <v>0</v>
      </c>
      <c r="AY871" s="239">
        <f>IF($G871="CERVECERIA Y MALTERIA.",($AS871*$AK871/1000000)*(1-VLOOKUP($N871,FCST!D:I,6,FALSE)),0)</f>
        <v>17.746559999999999</v>
      </c>
      <c r="AZ871" s="239">
        <f t="shared" si="119"/>
        <v>17.835292799999998</v>
      </c>
    </row>
    <row r="872" spans="1:52" x14ac:dyDescent="0.25">
      <c r="A872" s="209">
        <v>1114623</v>
      </c>
      <c r="B872" s="209">
        <v>20</v>
      </c>
      <c r="C872" s="209">
        <v>89446367</v>
      </c>
      <c r="D872" s="209">
        <v>10</v>
      </c>
      <c r="E872" s="209">
        <v>10000002</v>
      </c>
      <c r="F872" s="209">
        <v>20000335</v>
      </c>
      <c r="G872" s="209" t="s">
        <v>105</v>
      </c>
      <c r="H872" s="209">
        <v>20000335</v>
      </c>
      <c r="I872" s="209">
        <v>2</v>
      </c>
      <c r="J872" s="209" t="s">
        <v>169</v>
      </c>
      <c r="K872" s="209" t="s">
        <v>1988</v>
      </c>
      <c r="L872" s="209" t="s">
        <v>171</v>
      </c>
      <c r="M872" s="209" t="s">
        <v>199</v>
      </c>
      <c r="N872" s="209">
        <v>50034616</v>
      </c>
      <c r="O872" s="209" t="s">
        <v>191</v>
      </c>
      <c r="P872" s="209">
        <v>5121</v>
      </c>
      <c r="Q872" s="209" t="s">
        <v>200</v>
      </c>
      <c r="R872" s="209" t="s">
        <v>201</v>
      </c>
      <c r="S872" s="209" t="s">
        <v>202</v>
      </c>
      <c r="T872" s="209" t="s">
        <v>203</v>
      </c>
      <c r="U872" s="209" t="s">
        <v>201</v>
      </c>
      <c r="V872" s="209" t="s">
        <v>179</v>
      </c>
      <c r="W872" s="209" t="s">
        <v>179</v>
      </c>
      <c r="X872" s="209" t="s">
        <v>180</v>
      </c>
      <c r="Y872" s="209" t="s">
        <v>180</v>
      </c>
      <c r="Z872" s="209">
        <v>9521068324</v>
      </c>
      <c r="AA872" s="209" t="s">
        <v>1989</v>
      </c>
      <c r="AB872" s="209" t="s">
        <v>180</v>
      </c>
      <c r="AC872" s="209" t="s">
        <v>182</v>
      </c>
      <c r="AD872" s="209">
        <v>4</v>
      </c>
      <c r="AE872" s="209">
        <v>2025</v>
      </c>
      <c r="AF872" s="227">
        <v>45772</v>
      </c>
      <c r="AG872" s="227">
        <v>45775</v>
      </c>
      <c r="AH872" s="227">
        <v>45775</v>
      </c>
      <c r="AI872" s="228">
        <v>426816</v>
      </c>
      <c r="AJ872" s="228">
        <v>52</v>
      </c>
      <c r="AK872" s="228">
        <v>426816</v>
      </c>
      <c r="AL872" s="228">
        <v>52</v>
      </c>
      <c r="AM872" s="228">
        <v>0</v>
      </c>
      <c r="AN872" s="228">
        <v>0</v>
      </c>
      <c r="AO872" s="229">
        <v>18</v>
      </c>
      <c r="AP872" s="231">
        <v>4</v>
      </c>
      <c r="AQ872" s="231">
        <v>2025</v>
      </c>
      <c r="AR872" s="231" t="str">
        <f t="shared" si="115"/>
        <v>04/2025</v>
      </c>
      <c r="AS872" s="231">
        <f t="shared" si="116"/>
        <v>46.6</v>
      </c>
      <c r="AT872" s="239">
        <f>IF(G872="CERVECERIA Y MALTERIA",(AS872*AK872/1000000)*(1-VLOOKUP(N872,FCST!D:I,6,FALSE)),0)</f>
        <v>19.889625600000002</v>
      </c>
      <c r="AU872" s="232">
        <v>5.0000000000000001E-3</v>
      </c>
      <c r="AV872" s="239">
        <f t="shared" si="117"/>
        <v>19.989073728000001</v>
      </c>
      <c r="AW872" s="239">
        <f>(AS872*AK872/1000000)*(VLOOKUP(N872,FCST!D:I,6,FALSE))</f>
        <v>0</v>
      </c>
      <c r="AX872" s="239">
        <f t="shared" si="118"/>
        <v>0</v>
      </c>
      <c r="AY872" s="239">
        <f>IF($G872="CERVECERIA Y MALTERIA.",($AS872*$AK872/1000000)*(1-VLOOKUP($N872,FCST!D:I,6,FALSE)),0)</f>
        <v>0</v>
      </c>
      <c r="AZ872" s="239">
        <f t="shared" si="119"/>
        <v>0</v>
      </c>
    </row>
    <row r="873" spans="1:52" x14ac:dyDescent="0.25">
      <c r="A873" s="209">
        <v>1110627</v>
      </c>
      <c r="B873" s="209">
        <v>20</v>
      </c>
      <c r="C873" s="209">
        <v>89429922</v>
      </c>
      <c r="D873" s="209">
        <v>10</v>
      </c>
      <c r="E873" s="209">
        <v>10000002</v>
      </c>
      <c r="F873" s="209">
        <v>20000340</v>
      </c>
      <c r="G873" s="209" t="s">
        <v>117</v>
      </c>
      <c r="H873" s="209">
        <v>20000340</v>
      </c>
      <c r="I873" s="209">
        <v>2</v>
      </c>
      <c r="J873" s="209" t="s">
        <v>169</v>
      </c>
      <c r="K873" s="209" t="s">
        <v>1990</v>
      </c>
      <c r="L873" s="209" t="s">
        <v>171</v>
      </c>
      <c r="M873" s="209" t="s">
        <v>172</v>
      </c>
      <c r="N873" s="209">
        <v>50036718</v>
      </c>
      <c r="O873" s="209" t="s">
        <v>259</v>
      </c>
      <c r="P873" s="209">
        <v>5101</v>
      </c>
      <c r="Q873" s="209" t="s">
        <v>186</v>
      </c>
      <c r="R873" s="209" t="s">
        <v>175</v>
      </c>
      <c r="S873" s="209" t="s">
        <v>176</v>
      </c>
      <c r="T873" s="209" t="s">
        <v>187</v>
      </c>
      <c r="U873" s="209" t="s">
        <v>188</v>
      </c>
      <c r="V873" s="209" t="s">
        <v>179</v>
      </c>
      <c r="W873" s="209" t="s">
        <v>179</v>
      </c>
      <c r="X873" s="209" t="s">
        <v>180</v>
      </c>
      <c r="Y873" s="209" t="s">
        <v>180</v>
      </c>
      <c r="Z873" s="209">
        <v>9511047765</v>
      </c>
      <c r="AA873" s="209" t="s">
        <v>1945</v>
      </c>
      <c r="AB873" s="209" t="s">
        <v>180</v>
      </c>
      <c r="AC873" s="209" t="s">
        <v>182</v>
      </c>
      <c r="AD873" s="209">
        <v>4</v>
      </c>
      <c r="AE873" s="209">
        <v>2025</v>
      </c>
      <c r="AF873" s="227">
        <v>45750</v>
      </c>
      <c r="AG873" s="227">
        <v>45755</v>
      </c>
      <c r="AH873" s="227">
        <v>45755</v>
      </c>
      <c r="AI873" s="228">
        <v>519168</v>
      </c>
      <c r="AJ873" s="228">
        <v>52</v>
      </c>
      <c r="AK873" s="228">
        <v>519168</v>
      </c>
      <c r="AL873" s="228">
        <v>52</v>
      </c>
      <c r="AM873" s="228">
        <v>0</v>
      </c>
      <c r="AN873" s="228">
        <v>0</v>
      </c>
      <c r="AO873" s="229">
        <v>15</v>
      </c>
      <c r="AP873" s="231">
        <v>4</v>
      </c>
      <c r="AQ873" s="231">
        <v>2025</v>
      </c>
      <c r="AR873" s="231" t="str">
        <f t="shared" si="115"/>
        <v>04/2025</v>
      </c>
      <c r="AS873" s="231">
        <f t="shared" si="116"/>
        <v>34</v>
      </c>
      <c r="AT873" s="239">
        <f>IF(G873="CERVECERIA Y MALTERIA",(AS873*AK873/1000000)*(1-VLOOKUP(N873,FCST!D:I,6,FALSE)),0)</f>
        <v>0</v>
      </c>
      <c r="AU873" s="232">
        <v>5.0000000000000001E-3</v>
      </c>
      <c r="AV873" s="239">
        <f t="shared" si="117"/>
        <v>0</v>
      </c>
      <c r="AW873" s="239">
        <f>(AS873*AK873/1000000)*(VLOOKUP(N873,FCST!D:I,6,FALSE))</f>
        <v>0</v>
      </c>
      <c r="AX873" s="239">
        <f t="shared" si="118"/>
        <v>0</v>
      </c>
      <c r="AY873" s="239">
        <f>IF($G873="CERVECERIA Y MALTERIA.",($AS873*$AK873/1000000)*(1-VLOOKUP($N873,FCST!D:I,6,FALSE)),0)</f>
        <v>17.651712</v>
      </c>
      <c r="AZ873" s="239">
        <f t="shared" si="119"/>
        <v>17.73997056</v>
      </c>
    </row>
    <row r="874" spans="1:52" x14ac:dyDescent="0.25">
      <c r="A874" s="209">
        <v>10002017</v>
      </c>
      <c r="B874" s="209">
        <v>10</v>
      </c>
      <c r="C874" s="209">
        <v>89429888</v>
      </c>
      <c r="D874" s="209">
        <v>10</v>
      </c>
      <c r="E874" s="209">
        <v>10000002</v>
      </c>
      <c r="F874" s="209">
        <v>20000339</v>
      </c>
      <c r="G874" s="209" t="s">
        <v>105</v>
      </c>
      <c r="H874" s="209">
        <v>20000339</v>
      </c>
      <c r="I874" s="209">
        <v>2</v>
      </c>
      <c r="J874" s="209" t="s">
        <v>169</v>
      </c>
      <c r="K874" s="209" t="s">
        <v>1991</v>
      </c>
      <c r="L874" s="209" t="s">
        <v>171</v>
      </c>
      <c r="M874" s="209" t="s">
        <v>172</v>
      </c>
      <c r="N874" s="209">
        <v>50038607</v>
      </c>
      <c r="O874" s="209" t="s">
        <v>1992</v>
      </c>
      <c r="P874" s="209">
        <v>5101</v>
      </c>
      <c r="Q874" s="209" t="s">
        <v>186</v>
      </c>
      <c r="R874" s="209" t="s">
        <v>175</v>
      </c>
      <c r="S874" s="209" t="s">
        <v>176</v>
      </c>
      <c r="T874" s="209" t="s">
        <v>187</v>
      </c>
      <c r="U874" s="209" t="s">
        <v>188</v>
      </c>
      <c r="V874" s="209" t="s">
        <v>180</v>
      </c>
      <c r="W874" s="209" t="s">
        <v>180</v>
      </c>
      <c r="X874" s="209" t="s">
        <v>180</v>
      </c>
      <c r="Y874" s="209" t="s">
        <v>180</v>
      </c>
      <c r="Z874" s="209" t="s">
        <v>180</v>
      </c>
      <c r="AA874" s="209" t="s">
        <v>180</v>
      </c>
      <c r="AB874" s="209" t="s">
        <v>180</v>
      </c>
      <c r="AC874" s="209" t="s">
        <v>182</v>
      </c>
      <c r="AD874" s="209">
        <v>4</v>
      </c>
      <c r="AE874" s="209">
        <v>2025</v>
      </c>
      <c r="AF874" s="227">
        <v>45754</v>
      </c>
      <c r="AG874" s="227">
        <v>45755</v>
      </c>
      <c r="AH874" s="227">
        <v>45755</v>
      </c>
      <c r="AI874" s="228">
        <v>28608</v>
      </c>
      <c r="AJ874" s="228">
        <v>2</v>
      </c>
      <c r="AK874" s="228">
        <v>28608</v>
      </c>
      <c r="AL874" s="228">
        <v>2</v>
      </c>
      <c r="AM874" s="228">
        <v>0</v>
      </c>
      <c r="AN874" s="228">
        <v>0</v>
      </c>
      <c r="AO874" s="229">
        <v>15</v>
      </c>
      <c r="AP874" s="231">
        <v>4</v>
      </c>
      <c r="AQ874" s="231">
        <v>2025</v>
      </c>
      <c r="AR874" s="231" t="str">
        <f t="shared" si="115"/>
        <v>04/2025</v>
      </c>
      <c r="AS874" s="231">
        <f t="shared" si="116"/>
        <v>25</v>
      </c>
      <c r="AT874" s="239">
        <f>IF(G874="CERVECERIA Y MALTERIA",(AS874*AK874/1000000)*(1-VLOOKUP(N874,FCST!D:I,6,FALSE)),0)</f>
        <v>0.71519999999999995</v>
      </c>
      <c r="AU874" s="232">
        <v>5.0000000000000001E-3</v>
      </c>
      <c r="AV874" s="239">
        <f t="shared" si="117"/>
        <v>0.71877599999999986</v>
      </c>
      <c r="AW874" s="239">
        <f>(AS874*AK874/1000000)*(VLOOKUP(N874,FCST!D:I,6,FALSE))</f>
        <v>0</v>
      </c>
      <c r="AX874" s="239">
        <f t="shared" si="118"/>
        <v>0</v>
      </c>
      <c r="AY874" s="239">
        <f>IF($G874="CERVECERIA Y MALTERIA.",($AS874*$AK874/1000000)*(1-VLOOKUP($N874,FCST!D:I,6,FALSE)),0)</f>
        <v>0</v>
      </c>
      <c r="AZ874" s="239">
        <f t="shared" si="119"/>
        <v>0</v>
      </c>
    </row>
    <row r="875" spans="1:52" x14ac:dyDescent="0.25">
      <c r="A875" s="209">
        <v>1111068</v>
      </c>
      <c r="B875" s="209">
        <v>10</v>
      </c>
      <c r="C875" s="209">
        <v>89429885</v>
      </c>
      <c r="D875" s="209">
        <v>10</v>
      </c>
      <c r="E875" s="209">
        <v>10000002</v>
      </c>
      <c r="F875" s="209">
        <v>20000339</v>
      </c>
      <c r="G875" s="209" t="s">
        <v>105</v>
      </c>
      <c r="H875" s="209">
        <v>20000339</v>
      </c>
      <c r="I875" s="209">
        <v>2</v>
      </c>
      <c r="J875" s="209" t="s">
        <v>169</v>
      </c>
      <c r="K875" s="209" t="s">
        <v>1993</v>
      </c>
      <c r="L875" s="209" t="s">
        <v>171</v>
      </c>
      <c r="M875" s="209" t="s">
        <v>172</v>
      </c>
      <c r="N875" s="209">
        <v>50034634</v>
      </c>
      <c r="O875" s="209" t="s">
        <v>219</v>
      </c>
      <c r="P875" s="209">
        <v>5121</v>
      </c>
      <c r="Q875" s="209" t="s">
        <v>174</v>
      </c>
      <c r="R875" s="209" t="s">
        <v>175</v>
      </c>
      <c r="S875" s="209" t="s">
        <v>176</v>
      </c>
      <c r="T875" s="209" t="s">
        <v>177</v>
      </c>
      <c r="U875" s="209" t="s">
        <v>178</v>
      </c>
      <c r="V875" s="209" t="s">
        <v>179</v>
      </c>
      <c r="W875" s="209" t="s">
        <v>179</v>
      </c>
      <c r="X875" s="209" t="s">
        <v>180</v>
      </c>
      <c r="Y875" s="209" t="s">
        <v>180</v>
      </c>
      <c r="Z875" s="209">
        <v>9521068248</v>
      </c>
      <c r="AA875" s="209" t="s">
        <v>1994</v>
      </c>
      <c r="AB875" s="209" t="s">
        <v>180</v>
      </c>
      <c r="AC875" s="209" t="s">
        <v>182</v>
      </c>
      <c r="AD875" s="209">
        <v>4</v>
      </c>
      <c r="AE875" s="209">
        <v>2025</v>
      </c>
      <c r="AF875" s="227">
        <v>45754</v>
      </c>
      <c r="AG875" s="227">
        <v>45755</v>
      </c>
      <c r="AH875" s="227">
        <v>45755</v>
      </c>
      <c r="AI875" s="228">
        <v>70080</v>
      </c>
      <c r="AJ875" s="228">
        <v>10</v>
      </c>
      <c r="AK875" s="228">
        <v>70080</v>
      </c>
      <c r="AL875" s="228">
        <v>10</v>
      </c>
      <c r="AM875" s="228">
        <v>0</v>
      </c>
      <c r="AN875" s="228">
        <v>0</v>
      </c>
      <c r="AO875" s="229">
        <v>15</v>
      </c>
      <c r="AP875" s="231">
        <v>4</v>
      </c>
      <c r="AQ875" s="231">
        <v>2025</v>
      </c>
      <c r="AR875" s="231" t="str">
        <f t="shared" si="115"/>
        <v>04/2025</v>
      </c>
      <c r="AS875" s="231">
        <f t="shared" si="116"/>
        <v>52</v>
      </c>
      <c r="AT875" s="239">
        <f>IF(G875="CERVECERIA Y MALTERIA",(AS875*AK875/1000000)*(1-VLOOKUP(N875,FCST!D:I,6,FALSE)),0)</f>
        <v>3.6441599999999998</v>
      </c>
      <c r="AU875" s="232">
        <v>5.0000000000000001E-3</v>
      </c>
      <c r="AV875" s="239">
        <f t="shared" si="117"/>
        <v>3.6623807999999993</v>
      </c>
      <c r="AW875" s="239">
        <f>(AS875*AK875/1000000)*(VLOOKUP(N875,FCST!D:I,6,FALSE))</f>
        <v>0</v>
      </c>
      <c r="AX875" s="239">
        <f t="shared" si="118"/>
        <v>0</v>
      </c>
      <c r="AY875" s="239">
        <f>IF($G875="CERVECERIA Y MALTERIA.",($AS875*$AK875/1000000)*(1-VLOOKUP($N875,FCST!D:I,6,FALSE)),0)</f>
        <v>0</v>
      </c>
      <c r="AZ875" s="239">
        <f t="shared" si="119"/>
        <v>0</v>
      </c>
    </row>
    <row r="876" spans="1:52" x14ac:dyDescent="0.25">
      <c r="A876" s="209">
        <v>1110626</v>
      </c>
      <c r="B876" s="209">
        <v>40</v>
      </c>
      <c r="C876" s="209">
        <v>89429881</v>
      </c>
      <c r="D876" s="209">
        <v>10</v>
      </c>
      <c r="E876" s="209">
        <v>10000002</v>
      </c>
      <c r="F876" s="209">
        <v>20000335</v>
      </c>
      <c r="G876" s="209" t="s">
        <v>105</v>
      </c>
      <c r="H876" s="209">
        <v>20000335</v>
      </c>
      <c r="I876" s="209">
        <v>2</v>
      </c>
      <c r="J876" s="209" t="s">
        <v>169</v>
      </c>
      <c r="K876" s="209" t="s">
        <v>1995</v>
      </c>
      <c r="L876" s="209" t="s">
        <v>171</v>
      </c>
      <c r="M876" s="209" t="s">
        <v>199</v>
      </c>
      <c r="N876" s="209">
        <v>50034616</v>
      </c>
      <c r="O876" s="209" t="s">
        <v>191</v>
      </c>
      <c r="P876" s="209">
        <v>5121</v>
      </c>
      <c r="Q876" s="209" t="s">
        <v>200</v>
      </c>
      <c r="R876" s="209" t="s">
        <v>201</v>
      </c>
      <c r="S876" s="209" t="s">
        <v>202</v>
      </c>
      <c r="T876" s="209" t="s">
        <v>203</v>
      </c>
      <c r="U876" s="209" t="s">
        <v>201</v>
      </c>
      <c r="V876" s="209" t="s">
        <v>179</v>
      </c>
      <c r="W876" s="209" t="s">
        <v>179</v>
      </c>
      <c r="X876" s="209" t="s">
        <v>180</v>
      </c>
      <c r="Y876" s="209" t="s">
        <v>180</v>
      </c>
      <c r="Z876" s="209">
        <v>9521068237</v>
      </c>
      <c r="AA876" s="209" t="s">
        <v>1940</v>
      </c>
      <c r="AB876" s="209" t="s">
        <v>180</v>
      </c>
      <c r="AC876" s="209" t="s">
        <v>182</v>
      </c>
      <c r="AD876" s="209">
        <v>4</v>
      </c>
      <c r="AE876" s="209">
        <v>2025</v>
      </c>
      <c r="AF876" s="227">
        <v>45750</v>
      </c>
      <c r="AG876" s="227">
        <v>45755</v>
      </c>
      <c r="AH876" s="227">
        <v>45755</v>
      </c>
      <c r="AI876" s="228">
        <v>426816</v>
      </c>
      <c r="AJ876" s="228">
        <v>52</v>
      </c>
      <c r="AK876" s="228">
        <v>426816</v>
      </c>
      <c r="AL876" s="228">
        <v>52</v>
      </c>
      <c r="AM876" s="228">
        <v>0</v>
      </c>
      <c r="AN876" s="228">
        <v>0</v>
      </c>
      <c r="AO876" s="229">
        <v>15</v>
      </c>
      <c r="AP876" s="231">
        <v>4</v>
      </c>
      <c r="AQ876" s="231">
        <v>2025</v>
      </c>
      <c r="AR876" s="231" t="str">
        <f t="shared" si="115"/>
        <v>04/2025</v>
      </c>
      <c r="AS876" s="231">
        <f t="shared" si="116"/>
        <v>46.6</v>
      </c>
      <c r="AT876" s="239">
        <f>IF(G876="CERVECERIA Y MALTERIA",(AS876*AK876/1000000)*(1-VLOOKUP(N876,FCST!D:I,6,FALSE)),0)</f>
        <v>19.889625600000002</v>
      </c>
      <c r="AU876" s="232">
        <v>5.0000000000000001E-3</v>
      </c>
      <c r="AV876" s="239">
        <f t="shared" si="117"/>
        <v>19.989073728000001</v>
      </c>
      <c r="AW876" s="239">
        <f>(AS876*AK876/1000000)*(VLOOKUP(N876,FCST!D:I,6,FALSE))</f>
        <v>0</v>
      </c>
      <c r="AX876" s="239">
        <f t="shared" si="118"/>
        <v>0</v>
      </c>
      <c r="AY876" s="239">
        <f>IF($G876="CERVECERIA Y MALTERIA.",($AS876*$AK876/1000000)*(1-VLOOKUP($N876,FCST!D:I,6,FALSE)),0)</f>
        <v>0</v>
      </c>
      <c r="AZ876" s="239">
        <f t="shared" si="119"/>
        <v>0</v>
      </c>
    </row>
    <row r="877" spans="1:52" x14ac:dyDescent="0.25">
      <c r="A877" s="209">
        <v>1110626</v>
      </c>
      <c r="B877" s="209">
        <v>30</v>
      </c>
      <c r="C877" s="209">
        <v>89429046</v>
      </c>
      <c r="D877" s="209">
        <v>20</v>
      </c>
      <c r="E877" s="209">
        <v>10000002</v>
      </c>
      <c r="F877" s="209">
        <v>20000335</v>
      </c>
      <c r="G877" s="209" t="s">
        <v>105</v>
      </c>
      <c r="H877" s="209">
        <v>20000335</v>
      </c>
      <c r="I877" s="209">
        <v>2</v>
      </c>
      <c r="J877" s="209" t="s">
        <v>169</v>
      </c>
      <c r="K877" s="209" t="s">
        <v>1996</v>
      </c>
      <c r="L877" s="209" t="s">
        <v>171</v>
      </c>
      <c r="M877" s="209" t="s">
        <v>172</v>
      </c>
      <c r="N877" s="209">
        <v>50037887</v>
      </c>
      <c r="O877" s="209" t="s">
        <v>679</v>
      </c>
      <c r="P877" s="209">
        <v>5121</v>
      </c>
      <c r="Q877" s="209" t="s">
        <v>174</v>
      </c>
      <c r="R877" s="209" t="s">
        <v>175</v>
      </c>
      <c r="S877" s="209" t="s">
        <v>176</v>
      </c>
      <c r="T877" s="209" t="s">
        <v>177</v>
      </c>
      <c r="U877" s="209" t="s">
        <v>178</v>
      </c>
      <c r="V877" s="209" t="s">
        <v>179</v>
      </c>
      <c r="W877" s="209" t="s">
        <v>179</v>
      </c>
      <c r="X877" s="209" t="s">
        <v>180</v>
      </c>
      <c r="Y877" s="209" t="s">
        <v>180</v>
      </c>
      <c r="Z877" s="209">
        <v>9521068234</v>
      </c>
      <c r="AA877" s="209" t="s">
        <v>1997</v>
      </c>
      <c r="AB877" s="209" t="s">
        <v>180</v>
      </c>
      <c r="AC877" s="209" t="s">
        <v>182</v>
      </c>
      <c r="AD877" s="209">
        <v>4</v>
      </c>
      <c r="AE877" s="209">
        <v>2025</v>
      </c>
      <c r="AF877" s="227">
        <v>45750</v>
      </c>
      <c r="AG877" s="227">
        <v>45754</v>
      </c>
      <c r="AH877" s="227">
        <v>45754</v>
      </c>
      <c r="AI877" s="228">
        <v>429408</v>
      </c>
      <c r="AJ877" s="228">
        <v>42</v>
      </c>
      <c r="AK877" s="228">
        <v>429408</v>
      </c>
      <c r="AL877" s="228">
        <v>42</v>
      </c>
      <c r="AM877" s="228">
        <v>0</v>
      </c>
      <c r="AN877" s="228">
        <v>0</v>
      </c>
      <c r="AO877" s="229">
        <v>15</v>
      </c>
      <c r="AP877" s="231">
        <v>4</v>
      </c>
      <c r="AQ877" s="231">
        <v>2025</v>
      </c>
      <c r="AR877" s="231" t="str">
        <f t="shared" si="115"/>
        <v>04/2025</v>
      </c>
      <c r="AS877" s="231">
        <f t="shared" si="116"/>
        <v>37.200000000000003</v>
      </c>
      <c r="AT877" s="239">
        <f>IF(G877="CERVECERIA Y MALTERIA",(AS877*AK877/1000000)*(1-VLOOKUP(N877,FCST!D:I,6,FALSE)),0)</f>
        <v>15.973977600000001</v>
      </c>
      <c r="AU877" s="232">
        <v>5.0000000000000001E-3</v>
      </c>
      <c r="AV877" s="239">
        <f t="shared" si="117"/>
        <v>16.053847487999999</v>
      </c>
      <c r="AW877" s="239">
        <f>(AS877*AK877/1000000)*(VLOOKUP(N877,FCST!D:I,6,FALSE))</f>
        <v>0</v>
      </c>
      <c r="AX877" s="239">
        <f t="shared" si="118"/>
        <v>0</v>
      </c>
      <c r="AY877" s="239">
        <f>IF($G877="CERVECERIA Y MALTERIA.",($AS877*$AK877/1000000)*(1-VLOOKUP($N877,FCST!D:I,6,FALSE)),0)</f>
        <v>0</v>
      </c>
      <c r="AZ877" s="239">
        <f t="shared" si="119"/>
        <v>0</v>
      </c>
    </row>
    <row r="878" spans="1:52" x14ac:dyDescent="0.25">
      <c r="A878" s="209">
        <v>1110626</v>
      </c>
      <c r="B878" s="209">
        <v>20</v>
      </c>
      <c r="C878" s="209">
        <v>89429046</v>
      </c>
      <c r="D878" s="209">
        <v>10</v>
      </c>
      <c r="E878" s="209">
        <v>10000002</v>
      </c>
      <c r="F878" s="209">
        <v>20000335</v>
      </c>
      <c r="G878" s="209" t="s">
        <v>105</v>
      </c>
      <c r="H878" s="209">
        <v>20000335</v>
      </c>
      <c r="I878" s="209">
        <v>2</v>
      </c>
      <c r="J878" s="209" t="s">
        <v>169</v>
      </c>
      <c r="K878" s="209" t="s">
        <v>1996</v>
      </c>
      <c r="L878" s="209" t="s">
        <v>171</v>
      </c>
      <c r="M878" s="209" t="s">
        <v>172</v>
      </c>
      <c r="N878" s="209">
        <v>50025345</v>
      </c>
      <c r="O878" s="209" t="s">
        <v>1998</v>
      </c>
      <c r="P878" s="209">
        <v>5121</v>
      </c>
      <c r="Q878" s="209" t="s">
        <v>174</v>
      </c>
      <c r="R878" s="209" t="s">
        <v>175</v>
      </c>
      <c r="S878" s="209" t="s">
        <v>176</v>
      </c>
      <c r="T878" s="209" t="s">
        <v>177</v>
      </c>
      <c r="U878" s="209" t="s">
        <v>178</v>
      </c>
      <c r="V878" s="209" t="s">
        <v>179</v>
      </c>
      <c r="W878" s="209" t="s">
        <v>179</v>
      </c>
      <c r="X878" s="209" t="s">
        <v>180</v>
      </c>
      <c r="Y878" s="209" t="s">
        <v>180</v>
      </c>
      <c r="Z878" s="209">
        <v>9521068234</v>
      </c>
      <c r="AA878" s="209" t="s">
        <v>1997</v>
      </c>
      <c r="AB878" s="209" t="s">
        <v>180</v>
      </c>
      <c r="AC878" s="209" t="s">
        <v>182</v>
      </c>
      <c r="AD878" s="209">
        <v>4</v>
      </c>
      <c r="AE878" s="209">
        <v>2025</v>
      </c>
      <c r="AF878" s="227">
        <v>45750</v>
      </c>
      <c r="AG878" s="227">
        <v>45754</v>
      </c>
      <c r="AH878" s="227">
        <v>45754</v>
      </c>
      <c r="AI878" s="228">
        <v>82080</v>
      </c>
      <c r="AJ878" s="228">
        <v>10</v>
      </c>
      <c r="AK878" s="228">
        <v>82080</v>
      </c>
      <c r="AL878" s="228">
        <v>10</v>
      </c>
      <c r="AM878" s="228">
        <v>0</v>
      </c>
      <c r="AN878" s="228">
        <v>0</v>
      </c>
      <c r="AO878" s="229">
        <v>15</v>
      </c>
      <c r="AP878" s="231">
        <v>4</v>
      </c>
      <c r="AQ878" s="231">
        <v>2025</v>
      </c>
      <c r="AR878" s="231" t="str">
        <f t="shared" si="115"/>
        <v>04/2025</v>
      </c>
      <c r="AS878" s="231">
        <f t="shared" si="116"/>
        <v>46.6</v>
      </c>
      <c r="AT878" s="239">
        <f>IF(G878="CERVECERIA Y MALTERIA",(AS878*AK878/1000000)*(1-VLOOKUP(N878,FCST!D:I,6,FALSE)),0)</f>
        <v>3.8249279999999999</v>
      </c>
      <c r="AU878" s="232">
        <v>5.0000000000000001E-3</v>
      </c>
      <c r="AV878" s="239">
        <f t="shared" si="117"/>
        <v>3.8440526399999997</v>
      </c>
      <c r="AW878" s="239">
        <f>(AS878*AK878/1000000)*(VLOOKUP(N878,FCST!D:I,6,FALSE))</f>
        <v>0</v>
      </c>
      <c r="AX878" s="239">
        <f t="shared" si="118"/>
        <v>0</v>
      </c>
      <c r="AY878" s="239">
        <f>IF($G878="CERVECERIA Y MALTERIA.",($AS878*$AK878/1000000)*(1-VLOOKUP($N878,FCST!D:I,6,FALSE)),0)</f>
        <v>0</v>
      </c>
      <c r="AZ878" s="239">
        <f t="shared" si="119"/>
        <v>0</v>
      </c>
    </row>
    <row r="879" spans="1:52" x14ac:dyDescent="0.25">
      <c r="A879" s="209">
        <v>1110627</v>
      </c>
      <c r="B879" s="209">
        <v>30</v>
      </c>
      <c r="C879" s="209">
        <v>89430577</v>
      </c>
      <c r="D879" s="209">
        <v>10</v>
      </c>
      <c r="E879" s="209">
        <v>10000002</v>
      </c>
      <c r="F879" s="209">
        <v>20000340</v>
      </c>
      <c r="G879" s="209" t="s">
        <v>117</v>
      </c>
      <c r="H879" s="209">
        <v>20000340</v>
      </c>
      <c r="I879" s="209">
        <v>2</v>
      </c>
      <c r="J879" s="209" t="s">
        <v>169</v>
      </c>
      <c r="K879" s="209" t="s">
        <v>1999</v>
      </c>
      <c r="L879" s="209" t="s">
        <v>171</v>
      </c>
      <c r="M879" s="209" t="s">
        <v>172</v>
      </c>
      <c r="N879" s="209">
        <v>50029817</v>
      </c>
      <c r="O879" s="209" t="s">
        <v>396</v>
      </c>
      <c r="P879" s="209">
        <v>5101</v>
      </c>
      <c r="Q879" s="209" t="s">
        <v>186</v>
      </c>
      <c r="R879" s="209" t="s">
        <v>175</v>
      </c>
      <c r="S879" s="209" t="s">
        <v>176</v>
      </c>
      <c r="T879" s="209" t="s">
        <v>187</v>
      </c>
      <c r="U879" s="209" t="s">
        <v>188</v>
      </c>
      <c r="V879" s="209" t="s">
        <v>179</v>
      </c>
      <c r="W879" s="209" t="s">
        <v>179</v>
      </c>
      <c r="X879" s="209" t="s">
        <v>180</v>
      </c>
      <c r="Y879" s="209" t="s">
        <v>180</v>
      </c>
      <c r="Z879" s="209">
        <v>9511047762</v>
      </c>
      <c r="AA879" s="209" t="s">
        <v>2000</v>
      </c>
      <c r="AB879" s="209" t="s">
        <v>180</v>
      </c>
      <c r="AC879" s="209" t="s">
        <v>182</v>
      </c>
      <c r="AD879" s="209">
        <v>4</v>
      </c>
      <c r="AE879" s="209">
        <v>2025</v>
      </c>
      <c r="AF879" s="227">
        <v>45750</v>
      </c>
      <c r="AG879" s="227">
        <v>45756</v>
      </c>
      <c r="AH879" s="227">
        <v>45756</v>
      </c>
      <c r="AI879" s="228">
        <v>69984</v>
      </c>
      <c r="AJ879" s="228">
        <v>6</v>
      </c>
      <c r="AK879" s="228">
        <v>69984</v>
      </c>
      <c r="AL879" s="228">
        <v>6</v>
      </c>
      <c r="AM879" s="228">
        <v>0</v>
      </c>
      <c r="AN879" s="228">
        <v>0</v>
      </c>
      <c r="AO879" s="229">
        <v>15</v>
      </c>
      <c r="AP879" s="231">
        <v>4</v>
      </c>
      <c r="AQ879" s="231">
        <v>2025</v>
      </c>
      <c r="AR879" s="231" t="str">
        <f t="shared" si="115"/>
        <v>04/2025</v>
      </c>
      <c r="AS879" s="231">
        <f t="shared" si="116"/>
        <v>30</v>
      </c>
      <c r="AT879" s="239">
        <f>IF(G879="CERVECERIA Y MALTERIA",(AS879*AK879/1000000)*(1-VLOOKUP(N879,FCST!D:I,6,FALSE)),0)</f>
        <v>0</v>
      </c>
      <c r="AU879" s="232">
        <v>5.0000000000000001E-3</v>
      </c>
      <c r="AV879" s="239">
        <f t="shared" si="117"/>
        <v>0</v>
      </c>
      <c r="AW879" s="239">
        <f>(AS879*AK879/1000000)*(VLOOKUP(N879,FCST!D:I,6,FALSE))</f>
        <v>0.62985599999999997</v>
      </c>
      <c r="AX879" s="239">
        <f t="shared" si="118"/>
        <v>0.63300527999999989</v>
      </c>
      <c r="AY879" s="239">
        <f>IF($G879="CERVECERIA Y MALTERIA.",($AS879*$AK879/1000000)*(1-VLOOKUP($N879,FCST!D:I,6,FALSE)),0)</f>
        <v>1.4696639999999999</v>
      </c>
      <c r="AZ879" s="239">
        <f t="shared" si="119"/>
        <v>1.4770123199999996</v>
      </c>
    </row>
    <row r="880" spans="1:52" x14ac:dyDescent="0.25">
      <c r="A880" s="209">
        <v>1110626</v>
      </c>
      <c r="B880" s="209">
        <v>60</v>
      </c>
      <c r="C880" s="209">
        <v>89430576</v>
      </c>
      <c r="D880" s="209">
        <v>10</v>
      </c>
      <c r="E880" s="209">
        <v>10000002</v>
      </c>
      <c r="F880" s="209">
        <v>20000335</v>
      </c>
      <c r="G880" s="209" t="s">
        <v>105</v>
      </c>
      <c r="H880" s="209">
        <v>20000335</v>
      </c>
      <c r="I880" s="209">
        <v>2</v>
      </c>
      <c r="J880" s="209" t="s">
        <v>169</v>
      </c>
      <c r="K880" s="209" t="s">
        <v>2001</v>
      </c>
      <c r="L880" s="209" t="s">
        <v>171</v>
      </c>
      <c r="M880" s="209" t="s">
        <v>172</v>
      </c>
      <c r="N880" s="209">
        <v>50034561</v>
      </c>
      <c r="O880" s="209" t="s">
        <v>307</v>
      </c>
      <c r="P880" s="209">
        <v>5121</v>
      </c>
      <c r="Q880" s="209" t="s">
        <v>174</v>
      </c>
      <c r="R880" s="209" t="s">
        <v>175</v>
      </c>
      <c r="S880" s="209" t="s">
        <v>176</v>
      </c>
      <c r="T880" s="209" t="s">
        <v>177</v>
      </c>
      <c r="U880" s="209" t="s">
        <v>178</v>
      </c>
      <c r="V880" s="209" t="s">
        <v>179</v>
      </c>
      <c r="W880" s="209" t="s">
        <v>179</v>
      </c>
      <c r="X880" s="209" t="s">
        <v>180</v>
      </c>
      <c r="Y880" s="209" t="s">
        <v>180</v>
      </c>
      <c r="Z880" s="209">
        <v>9521068241</v>
      </c>
      <c r="AA880" s="209" t="s">
        <v>2002</v>
      </c>
      <c r="AB880" s="209" t="s">
        <v>180</v>
      </c>
      <c r="AC880" s="209" t="s">
        <v>182</v>
      </c>
      <c r="AD880" s="209">
        <v>4</v>
      </c>
      <c r="AE880" s="209">
        <v>2025</v>
      </c>
      <c r="AF880" s="227">
        <v>45750</v>
      </c>
      <c r="AG880" s="227">
        <v>45756</v>
      </c>
      <c r="AH880" s="227">
        <v>45756</v>
      </c>
      <c r="AI880" s="228">
        <v>864432</v>
      </c>
      <c r="AJ880" s="228">
        <v>46</v>
      </c>
      <c r="AK880" s="228">
        <v>864432</v>
      </c>
      <c r="AL880" s="228">
        <v>46</v>
      </c>
      <c r="AM880" s="228">
        <v>0</v>
      </c>
      <c r="AN880" s="228">
        <v>0</v>
      </c>
      <c r="AO880" s="229">
        <v>15</v>
      </c>
      <c r="AP880" s="231">
        <v>4</v>
      </c>
      <c r="AQ880" s="231">
        <v>2025</v>
      </c>
      <c r="AR880" s="231" t="str">
        <f t="shared" si="115"/>
        <v>04/2025</v>
      </c>
      <c r="AS880" s="231">
        <f t="shared" si="116"/>
        <v>19.5</v>
      </c>
      <c r="AT880" s="239">
        <f>IF(G880="CERVECERIA Y MALTERIA",(AS880*AK880/1000000)*(1-VLOOKUP(N880,FCST!D:I,6,FALSE)),0)</f>
        <v>16.856424000000001</v>
      </c>
      <c r="AU880" s="232">
        <v>5.0000000000000001E-3</v>
      </c>
      <c r="AV880" s="239">
        <f t="shared" si="117"/>
        <v>16.940706119999998</v>
      </c>
      <c r="AW880" s="239">
        <f>(AS880*AK880/1000000)*(VLOOKUP(N880,FCST!D:I,6,FALSE))</f>
        <v>0</v>
      </c>
      <c r="AX880" s="239">
        <f t="shared" si="118"/>
        <v>0</v>
      </c>
      <c r="AY880" s="239">
        <f>IF($G880="CERVECERIA Y MALTERIA.",($AS880*$AK880/1000000)*(1-VLOOKUP($N880,FCST!D:I,6,FALSE)),0)</f>
        <v>0</v>
      </c>
      <c r="AZ880" s="239">
        <f t="shared" si="119"/>
        <v>0</v>
      </c>
    </row>
    <row r="881" spans="1:52" x14ac:dyDescent="0.25">
      <c r="A881" s="209">
        <v>1110626</v>
      </c>
      <c r="B881" s="209">
        <v>80</v>
      </c>
      <c r="C881" s="209">
        <v>89430567</v>
      </c>
      <c r="D881" s="209">
        <v>10</v>
      </c>
      <c r="E881" s="209">
        <v>10000002</v>
      </c>
      <c r="F881" s="209">
        <v>20000335</v>
      </c>
      <c r="G881" s="209" t="s">
        <v>105</v>
      </c>
      <c r="H881" s="209">
        <v>20000335</v>
      </c>
      <c r="I881" s="209">
        <v>2</v>
      </c>
      <c r="J881" s="209" t="s">
        <v>169</v>
      </c>
      <c r="K881" s="209" t="s">
        <v>2003</v>
      </c>
      <c r="L881" s="209" t="s">
        <v>171</v>
      </c>
      <c r="M881" s="209" t="s">
        <v>199</v>
      </c>
      <c r="N881" s="209">
        <v>50034616</v>
      </c>
      <c r="O881" s="209" t="s">
        <v>191</v>
      </c>
      <c r="P881" s="209">
        <v>5121</v>
      </c>
      <c r="Q881" s="209" t="s">
        <v>200</v>
      </c>
      <c r="R881" s="209" t="s">
        <v>201</v>
      </c>
      <c r="S881" s="209" t="s">
        <v>202</v>
      </c>
      <c r="T881" s="209" t="s">
        <v>203</v>
      </c>
      <c r="U881" s="209" t="s">
        <v>201</v>
      </c>
      <c r="V881" s="209" t="s">
        <v>179</v>
      </c>
      <c r="W881" s="209" t="s">
        <v>179</v>
      </c>
      <c r="X881" s="209" t="s">
        <v>180</v>
      </c>
      <c r="Y881" s="209" t="s">
        <v>180</v>
      </c>
      <c r="Z881" s="209">
        <v>9521068237</v>
      </c>
      <c r="AA881" s="209" t="s">
        <v>1940</v>
      </c>
      <c r="AB881" s="209" t="s">
        <v>180</v>
      </c>
      <c r="AC881" s="209" t="s">
        <v>182</v>
      </c>
      <c r="AD881" s="209">
        <v>4</v>
      </c>
      <c r="AE881" s="209">
        <v>2025</v>
      </c>
      <c r="AF881" s="227">
        <v>45750</v>
      </c>
      <c r="AG881" s="227">
        <v>45756</v>
      </c>
      <c r="AH881" s="227">
        <v>45756</v>
      </c>
      <c r="AI881" s="228">
        <v>426816</v>
      </c>
      <c r="AJ881" s="228">
        <v>52</v>
      </c>
      <c r="AK881" s="228">
        <v>426816</v>
      </c>
      <c r="AL881" s="228">
        <v>52</v>
      </c>
      <c r="AM881" s="228">
        <v>0</v>
      </c>
      <c r="AN881" s="228">
        <v>0</v>
      </c>
      <c r="AO881" s="229">
        <v>15</v>
      </c>
      <c r="AP881" s="231">
        <v>4</v>
      </c>
      <c r="AQ881" s="231">
        <v>2025</v>
      </c>
      <c r="AR881" s="231" t="str">
        <f t="shared" si="115"/>
        <v>04/2025</v>
      </c>
      <c r="AS881" s="231">
        <f t="shared" si="116"/>
        <v>46.6</v>
      </c>
      <c r="AT881" s="239">
        <f>IF(G881="CERVECERIA Y MALTERIA",(AS881*AK881/1000000)*(1-VLOOKUP(N881,FCST!D:I,6,FALSE)),0)</f>
        <v>19.889625600000002</v>
      </c>
      <c r="AU881" s="232">
        <v>5.0000000000000001E-3</v>
      </c>
      <c r="AV881" s="239">
        <f t="shared" si="117"/>
        <v>19.989073728000001</v>
      </c>
      <c r="AW881" s="239">
        <f>(AS881*AK881/1000000)*(VLOOKUP(N881,FCST!D:I,6,FALSE))</f>
        <v>0</v>
      </c>
      <c r="AX881" s="239">
        <f t="shared" si="118"/>
        <v>0</v>
      </c>
      <c r="AY881" s="239">
        <f>IF($G881="CERVECERIA Y MALTERIA.",($AS881*$AK881/1000000)*(1-VLOOKUP($N881,FCST!D:I,6,FALSE)),0)</f>
        <v>0</v>
      </c>
      <c r="AZ881" s="239">
        <f t="shared" si="119"/>
        <v>0</v>
      </c>
    </row>
    <row r="882" spans="1:52" x14ac:dyDescent="0.25">
      <c r="A882" s="209">
        <v>1110627</v>
      </c>
      <c r="B882" s="209">
        <v>40</v>
      </c>
      <c r="C882" s="209">
        <v>89430545</v>
      </c>
      <c r="D882" s="209">
        <v>10</v>
      </c>
      <c r="E882" s="209">
        <v>10000002</v>
      </c>
      <c r="F882" s="209">
        <v>20000340</v>
      </c>
      <c r="G882" s="209" t="s">
        <v>117</v>
      </c>
      <c r="H882" s="209">
        <v>20000340</v>
      </c>
      <c r="I882" s="209">
        <v>2</v>
      </c>
      <c r="J882" s="209" t="s">
        <v>169</v>
      </c>
      <c r="K882" s="209" t="s">
        <v>2004</v>
      </c>
      <c r="L882" s="209" t="s">
        <v>171</v>
      </c>
      <c r="M882" s="209" t="s">
        <v>172</v>
      </c>
      <c r="N882" s="209">
        <v>50029817</v>
      </c>
      <c r="O882" s="209" t="s">
        <v>396</v>
      </c>
      <c r="P882" s="209">
        <v>5101</v>
      </c>
      <c r="Q882" s="209" t="s">
        <v>186</v>
      </c>
      <c r="R882" s="209" t="s">
        <v>175</v>
      </c>
      <c r="S882" s="209" t="s">
        <v>176</v>
      </c>
      <c r="T882" s="209" t="s">
        <v>187</v>
      </c>
      <c r="U882" s="209" t="s">
        <v>188</v>
      </c>
      <c r="V882" s="209" t="s">
        <v>179</v>
      </c>
      <c r="W882" s="209" t="s">
        <v>179</v>
      </c>
      <c r="X882" s="209" t="s">
        <v>180</v>
      </c>
      <c r="Y882" s="209" t="s">
        <v>180</v>
      </c>
      <c r="Z882" s="209">
        <v>9511047762</v>
      </c>
      <c r="AA882" s="209" t="s">
        <v>2000</v>
      </c>
      <c r="AB882" s="209" t="s">
        <v>180</v>
      </c>
      <c r="AC882" s="209" t="s">
        <v>182</v>
      </c>
      <c r="AD882" s="209">
        <v>4</v>
      </c>
      <c r="AE882" s="209">
        <v>2025</v>
      </c>
      <c r="AF882" s="227">
        <v>45750</v>
      </c>
      <c r="AG882" s="227">
        <v>45756</v>
      </c>
      <c r="AH882" s="227">
        <v>45756</v>
      </c>
      <c r="AI882" s="228">
        <v>454896</v>
      </c>
      <c r="AJ882" s="228">
        <v>39</v>
      </c>
      <c r="AK882" s="228">
        <v>454896</v>
      </c>
      <c r="AL882" s="228">
        <v>39</v>
      </c>
      <c r="AM882" s="228">
        <v>0</v>
      </c>
      <c r="AN882" s="228">
        <v>0</v>
      </c>
      <c r="AO882" s="229">
        <v>15</v>
      </c>
      <c r="AP882" s="231">
        <v>4</v>
      </c>
      <c r="AQ882" s="231">
        <v>2025</v>
      </c>
      <c r="AR882" s="231" t="str">
        <f t="shared" si="115"/>
        <v>04/2025</v>
      </c>
      <c r="AS882" s="231">
        <f t="shared" si="116"/>
        <v>30</v>
      </c>
      <c r="AT882" s="239">
        <f>IF(G882="CERVECERIA Y MALTERIA",(AS882*AK882/1000000)*(1-VLOOKUP(N882,FCST!D:I,6,FALSE)),0)</f>
        <v>0</v>
      </c>
      <c r="AU882" s="232">
        <v>5.0000000000000001E-3</v>
      </c>
      <c r="AV882" s="239">
        <f t="shared" si="117"/>
        <v>0</v>
      </c>
      <c r="AW882" s="239">
        <f>(AS882*AK882/1000000)*(VLOOKUP(N882,FCST!D:I,6,FALSE))</f>
        <v>4.0940639999999995</v>
      </c>
      <c r="AX882" s="239">
        <f t="shared" si="118"/>
        <v>4.1145343199999989</v>
      </c>
      <c r="AY882" s="239">
        <f>IF($G882="CERVECERIA Y MALTERIA.",($AS882*$AK882/1000000)*(1-VLOOKUP($N882,FCST!D:I,6,FALSE)),0)</f>
        <v>9.5528159999999982</v>
      </c>
      <c r="AZ882" s="239">
        <f t="shared" si="119"/>
        <v>9.6005800799999967</v>
      </c>
    </row>
    <row r="883" spans="1:52" x14ac:dyDescent="0.25">
      <c r="A883" s="209">
        <v>1110626</v>
      </c>
      <c r="B883" s="209">
        <v>70</v>
      </c>
      <c r="C883" s="209">
        <v>89430539</v>
      </c>
      <c r="D883" s="209">
        <v>10</v>
      </c>
      <c r="E883" s="209">
        <v>10000002</v>
      </c>
      <c r="F883" s="209">
        <v>20000335</v>
      </c>
      <c r="G883" s="209" t="s">
        <v>105</v>
      </c>
      <c r="H883" s="209">
        <v>20000335</v>
      </c>
      <c r="I883" s="209">
        <v>2</v>
      </c>
      <c r="J883" s="209" t="s">
        <v>169</v>
      </c>
      <c r="K883" s="209" t="s">
        <v>2005</v>
      </c>
      <c r="L883" s="209" t="s">
        <v>171</v>
      </c>
      <c r="M883" s="209" t="s">
        <v>172</v>
      </c>
      <c r="N883" s="209">
        <v>50034561</v>
      </c>
      <c r="O883" s="209" t="s">
        <v>307</v>
      </c>
      <c r="P883" s="209">
        <v>5121</v>
      </c>
      <c r="Q883" s="209" t="s">
        <v>174</v>
      </c>
      <c r="R883" s="209" t="s">
        <v>175</v>
      </c>
      <c r="S883" s="209" t="s">
        <v>176</v>
      </c>
      <c r="T883" s="209" t="s">
        <v>177</v>
      </c>
      <c r="U883" s="209" t="s">
        <v>178</v>
      </c>
      <c r="V883" s="209" t="s">
        <v>179</v>
      </c>
      <c r="W883" s="209" t="s">
        <v>179</v>
      </c>
      <c r="X883" s="209" t="s">
        <v>180</v>
      </c>
      <c r="Y883" s="209" t="s">
        <v>180</v>
      </c>
      <c r="Z883" s="209">
        <v>9521068241</v>
      </c>
      <c r="AA883" s="209" t="s">
        <v>2002</v>
      </c>
      <c r="AB883" s="209" t="s">
        <v>180</v>
      </c>
      <c r="AC883" s="209" t="s">
        <v>182</v>
      </c>
      <c r="AD883" s="209">
        <v>4</v>
      </c>
      <c r="AE883" s="209">
        <v>2025</v>
      </c>
      <c r="AF883" s="227">
        <v>45750</v>
      </c>
      <c r="AG883" s="227">
        <v>45756</v>
      </c>
      <c r="AH883" s="227">
        <v>45756</v>
      </c>
      <c r="AI883" s="228">
        <v>225504</v>
      </c>
      <c r="AJ883" s="228">
        <v>12</v>
      </c>
      <c r="AK883" s="228">
        <v>225504</v>
      </c>
      <c r="AL883" s="228">
        <v>12</v>
      </c>
      <c r="AM883" s="228">
        <v>0</v>
      </c>
      <c r="AN883" s="228">
        <v>0</v>
      </c>
      <c r="AO883" s="229">
        <v>15</v>
      </c>
      <c r="AP883" s="231">
        <v>4</v>
      </c>
      <c r="AQ883" s="231">
        <v>2025</v>
      </c>
      <c r="AR883" s="231" t="str">
        <f t="shared" si="115"/>
        <v>04/2025</v>
      </c>
      <c r="AS883" s="231">
        <f t="shared" si="116"/>
        <v>19.5</v>
      </c>
      <c r="AT883" s="239">
        <f>IF(G883="CERVECERIA Y MALTERIA",(AS883*AK883/1000000)*(1-VLOOKUP(N883,FCST!D:I,6,FALSE)),0)</f>
        <v>4.3973279999999999</v>
      </c>
      <c r="AU883" s="232">
        <v>5.0000000000000001E-3</v>
      </c>
      <c r="AV883" s="239">
        <f t="shared" si="117"/>
        <v>4.4193146399999996</v>
      </c>
      <c r="AW883" s="239">
        <f>(AS883*AK883/1000000)*(VLOOKUP(N883,FCST!D:I,6,FALSE))</f>
        <v>0</v>
      </c>
      <c r="AX883" s="239">
        <f t="shared" si="118"/>
        <v>0</v>
      </c>
      <c r="AY883" s="239">
        <f>IF($G883="CERVECERIA Y MALTERIA.",($AS883*$AK883/1000000)*(1-VLOOKUP($N883,FCST!D:I,6,FALSE)),0)</f>
        <v>0</v>
      </c>
      <c r="AZ883" s="239">
        <f t="shared" si="119"/>
        <v>0</v>
      </c>
    </row>
    <row r="884" spans="1:52" x14ac:dyDescent="0.25">
      <c r="A884" s="209">
        <v>1110626</v>
      </c>
      <c r="B884" s="209">
        <v>50</v>
      </c>
      <c r="C884" s="209">
        <v>89429993</v>
      </c>
      <c r="D884" s="209">
        <v>10</v>
      </c>
      <c r="E884" s="209">
        <v>10000002</v>
      </c>
      <c r="F884" s="209">
        <v>20000335</v>
      </c>
      <c r="G884" s="209" t="s">
        <v>105</v>
      </c>
      <c r="H884" s="209">
        <v>20000335</v>
      </c>
      <c r="I884" s="209">
        <v>2</v>
      </c>
      <c r="J884" s="209" t="s">
        <v>169</v>
      </c>
      <c r="K884" s="209" t="s">
        <v>2006</v>
      </c>
      <c r="L884" s="209" t="s">
        <v>171</v>
      </c>
      <c r="M884" s="209" t="s">
        <v>199</v>
      </c>
      <c r="N884" s="209">
        <v>50034616</v>
      </c>
      <c r="O884" s="209" t="s">
        <v>191</v>
      </c>
      <c r="P884" s="209">
        <v>5121</v>
      </c>
      <c r="Q884" s="209" t="s">
        <v>200</v>
      </c>
      <c r="R884" s="209" t="s">
        <v>201</v>
      </c>
      <c r="S884" s="209" t="s">
        <v>202</v>
      </c>
      <c r="T884" s="209" t="s">
        <v>203</v>
      </c>
      <c r="U884" s="209" t="s">
        <v>201</v>
      </c>
      <c r="V884" s="209" t="s">
        <v>179</v>
      </c>
      <c r="W884" s="209" t="s">
        <v>179</v>
      </c>
      <c r="X884" s="209" t="s">
        <v>180</v>
      </c>
      <c r="Y884" s="209" t="s">
        <v>180</v>
      </c>
      <c r="Z884" s="209">
        <v>9521068237</v>
      </c>
      <c r="AA884" s="209" t="s">
        <v>1940</v>
      </c>
      <c r="AB884" s="209" t="s">
        <v>180</v>
      </c>
      <c r="AC884" s="209" t="s">
        <v>182</v>
      </c>
      <c r="AD884" s="209">
        <v>4</v>
      </c>
      <c r="AE884" s="209">
        <v>2025</v>
      </c>
      <c r="AF884" s="227">
        <v>45750</v>
      </c>
      <c r="AG884" s="227">
        <v>45755</v>
      </c>
      <c r="AH884" s="227">
        <v>45755</v>
      </c>
      <c r="AI884" s="228">
        <v>426816</v>
      </c>
      <c r="AJ884" s="228">
        <v>52</v>
      </c>
      <c r="AK884" s="228">
        <v>426816</v>
      </c>
      <c r="AL884" s="228">
        <v>52</v>
      </c>
      <c r="AM884" s="228">
        <v>0</v>
      </c>
      <c r="AN884" s="228">
        <v>0</v>
      </c>
      <c r="AO884" s="229">
        <v>15</v>
      </c>
      <c r="AP884" s="231">
        <v>4</v>
      </c>
      <c r="AQ884" s="231">
        <v>2025</v>
      </c>
      <c r="AR884" s="231" t="str">
        <f t="shared" si="115"/>
        <v>04/2025</v>
      </c>
      <c r="AS884" s="231">
        <f t="shared" si="116"/>
        <v>46.6</v>
      </c>
      <c r="AT884" s="239">
        <f>IF(G884="CERVECERIA Y MALTERIA",(AS884*AK884/1000000)*(1-VLOOKUP(N884,FCST!D:I,6,FALSE)),0)</f>
        <v>19.889625600000002</v>
      </c>
      <c r="AU884" s="232">
        <v>5.0000000000000001E-3</v>
      </c>
      <c r="AV884" s="239">
        <f t="shared" si="117"/>
        <v>19.989073728000001</v>
      </c>
      <c r="AW884" s="239">
        <f>(AS884*AK884/1000000)*(VLOOKUP(N884,FCST!D:I,6,FALSE))</f>
        <v>0</v>
      </c>
      <c r="AX884" s="239">
        <f t="shared" si="118"/>
        <v>0</v>
      </c>
      <c r="AY884" s="239">
        <f>IF($G884="CERVECERIA Y MALTERIA.",($AS884*$AK884/1000000)*(1-VLOOKUP($N884,FCST!D:I,6,FALSE)),0)</f>
        <v>0</v>
      </c>
      <c r="AZ884" s="239">
        <f t="shared" si="119"/>
        <v>0</v>
      </c>
    </row>
    <row r="885" spans="1:52" x14ac:dyDescent="0.25">
      <c r="A885" s="209">
        <v>1110374</v>
      </c>
      <c r="B885" s="209">
        <v>20</v>
      </c>
      <c r="C885" s="209">
        <v>89426380</v>
      </c>
      <c r="D885" s="209">
        <v>20</v>
      </c>
      <c r="E885" s="209">
        <v>10000002</v>
      </c>
      <c r="F885" s="209">
        <v>20000336</v>
      </c>
      <c r="G885" s="209" t="s">
        <v>105</v>
      </c>
      <c r="H885" s="209">
        <v>20000336</v>
      </c>
      <c r="I885" s="209">
        <v>2</v>
      </c>
      <c r="J885" s="209" t="s">
        <v>169</v>
      </c>
      <c r="K885" s="209" t="s">
        <v>2007</v>
      </c>
      <c r="L885" s="209" t="s">
        <v>171</v>
      </c>
      <c r="M885" s="209" t="s">
        <v>172</v>
      </c>
      <c r="N885" s="209">
        <v>50037887</v>
      </c>
      <c r="O885" s="209" t="s">
        <v>679</v>
      </c>
      <c r="P885" s="209">
        <v>5121</v>
      </c>
      <c r="Q885" s="209" t="s">
        <v>174</v>
      </c>
      <c r="R885" s="209" t="s">
        <v>175</v>
      </c>
      <c r="S885" s="209" t="s">
        <v>176</v>
      </c>
      <c r="T885" s="209" t="s">
        <v>177</v>
      </c>
      <c r="U885" s="209" t="s">
        <v>178</v>
      </c>
      <c r="V885" s="209" t="s">
        <v>179</v>
      </c>
      <c r="W885" s="209" t="s">
        <v>179</v>
      </c>
      <c r="X885" s="209" t="s">
        <v>180</v>
      </c>
      <c r="Y885" s="209" t="s">
        <v>180</v>
      </c>
      <c r="Z885" s="209">
        <v>9521068232</v>
      </c>
      <c r="AA885" s="209" t="s">
        <v>2008</v>
      </c>
      <c r="AB885" s="209" t="s">
        <v>180</v>
      </c>
      <c r="AC885" s="209" t="s">
        <v>182</v>
      </c>
      <c r="AD885" s="209">
        <v>4</v>
      </c>
      <c r="AE885" s="209">
        <v>2025</v>
      </c>
      <c r="AF885" s="227">
        <v>45750</v>
      </c>
      <c r="AG885" s="227">
        <v>45750</v>
      </c>
      <c r="AH885" s="227">
        <v>45750</v>
      </c>
      <c r="AI885" s="228">
        <v>265824</v>
      </c>
      <c r="AJ885" s="228">
        <v>26</v>
      </c>
      <c r="AK885" s="228">
        <v>265824</v>
      </c>
      <c r="AL885" s="228">
        <v>26</v>
      </c>
      <c r="AM885" s="228">
        <v>0</v>
      </c>
      <c r="AN885" s="228">
        <v>0</v>
      </c>
      <c r="AO885" s="229">
        <v>14</v>
      </c>
      <c r="AP885" s="231">
        <v>4</v>
      </c>
      <c r="AQ885" s="231">
        <v>2025</v>
      </c>
      <c r="AR885" s="231" t="str">
        <f t="shared" si="115"/>
        <v>04/2025</v>
      </c>
      <c r="AS885" s="231">
        <f t="shared" si="116"/>
        <v>37.200000000000003</v>
      </c>
      <c r="AT885" s="239">
        <f>IF(G885="CERVECERIA Y MALTERIA",(AS885*AK885/1000000)*(1-VLOOKUP(N885,FCST!D:I,6,FALSE)),0)</f>
        <v>9.8886528000000009</v>
      </c>
      <c r="AU885" s="232">
        <v>5.0000000000000001E-3</v>
      </c>
      <c r="AV885" s="239">
        <f t="shared" si="117"/>
        <v>9.9380960639999998</v>
      </c>
      <c r="AW885" s="239">
        <f>(AS885*AK885/1000000)*(VLOOKUP(N885,FCST!D:I,6,FALSE))</f>
        <v>0</v>
      </c>
      <c r="AX885" s="239">
        <f t="shared" si="118"/>
        <v>0</v>
      </c>
      <c r="AY885" s="239">
        <f>IF($G885="CERVECERIA Y MALTERIA.",($AS885*$AK885/1000000)*(1-VLOOKUP($N885,FCST!D:I,6,FALSE)),0)</f>
        <v>0</v>
      </c>
      <c r="AZ885" s="239">
        <f t="shared" si="119"/>
        <v>0</v>
      </c>
    </row>
    <row r="886" spans="1:52" x14ac:dyDescent="0.25">
      <c r="A886" s="209">
        <v>1110374</v>
      </c>
      <c r="B886" s="209">
        <v>10</v>
      </c>
      <c r="C886" s="209">
        <v>89426380</v>
      </c>
      <c r="D886" s="209">
        <v>10</v>
      </c>
      <c r="E886" s="209">
        <v>10000002</v>
      </c>
      <c r="F886" s="209">
        <v>20000336</v>
      </c>
      <c r="G886" s="209" t="s">
        <v>105</v>
      </c>
      <c r="H886" s="209">
        <v>20000336</v>
      </c>
      <c r="I886" s="209">
        <v>2</v>
      </c>
      <c r="J886" s="209" t="s">
        <v>169</v>
      </c>
      <c r="K886" s="209" t="s">
        <v>2007</v>
      </c>
      <c r="L886" s="209" t="s">
        <v>171</v>
      </c>
      <c r="M886" s="209" t="s">
        <v>172</v>
      </c>
      <c r="N886" s="209">
        <v>50024497</v>
      </c>
      <c r="O886" s="209" t="s">
        <v>1352</v>
      </c>
      <c r="P886" s="209">
        <v>5121</v>
      </c>
      <c r="Q886" s="209" t="s">
        <v>174</v>
      </c>
      <c r="R886" s="209" t="s">
        <v>175</v>
      </c>
      <c r="S886" s="209" t="s">
        <v>176</v>
      </c>
      <c r="T886" s="209" t="s">
        <v>177</v>
      </c>
      <c r="U886" s="209" t="s">
        <v>178</v>
      </c>
      <c r="V886" s="209" t="s">
        <v>179</v>
      </c>
      <c r="W886" s="209" t="s">
        <v>179</v>
      </c>
      <c r="X886" s="209" t="s">
        <v>180</v>
      </c>
      <c r="Y886" s="209" t="s">
        <v>180</v>
      </c>
      <c r="Z886" s="209">
        <v>9521068232</v>
      </c>
      <c r="AA886" s="209" t="s">
        <v>2008</v>
      </c>
      <c r="AB886" s="209" t="s">
        <v>180</v>
      </c>
      <c r="AC886" s="209" t="s">
        <v>182</v>
      </c>
      <c r="AD886" s="209">
        <v>4</v>
      </c>
      <c r="AE886" s="209">
        <v>2025</v>
      </c>
      <c r="AF886" s="227">
        <v>45750</v>
      </c>
      <c r="AG886" s="227">
        <v>45750</v>
      </c>
      <c r="AH886" s="227">
        <v>45750</v>
      </c>
      <c r="AI886" s="228">
        <v>175968</v>
      </c>
      <c r="AJ886" s="228">
        <v>26</v>
      </c>
      <c r="AK886" s="228">
        <v>175968</v>
      </c>
      <c r="AL886" s="228">
        <v>26</v>
      </c>
      <c r="AM886" s="228">
        <v>0</v>
      </c>
      <c r="AN886" s="228">
        <v>0</v>
      </c>
      <c r="AO886" s="229">
        <v>14</v>
      </c>
      <c r="AP886" s="231">
        <v>4</v>
      </c>
      <c r="AQ886" s="231">
        <v>2025</v>
      </c>
      <c r="AR886" s="231" t="str">
        <f t="shared" si="115"/>
        <v>04/2025</v>
      </c>
      <c r="AS886" s="231">
        <f t="shared" si="116"/>
        <v>54.7</v>
      </c>
      <c r="AT886" s="239">
        <f>IF(G886="CERVECERIA Y MALTERIA",(AS886*AK886/1000000)*(1-VLOOKUP(N886,FCST!D:I,6,FALSE)),0)</f>
        <v>9.6254495999999996</v>
      </c>
      <c r="AU886" s="232">
        <v>5.0000000000000001E-3</v>
      </c>
      <c r="AV886" s="239">
        <f t="shared" si="117"/>
        <v>9.673576847999998</v>
      </c>
      <c r="AW886" s="239">
        <f>(AS886*AK886/1000000)*(VLOOKUP(N886,FCST!D:I,6,FALSE))</f>
        <v>0</v>
      </c>
      <c r="AX886" s="239">
        <f t="shared" si="118"/>
        <v>0</v>
      </c>
      <c r="AY886" s="239">
        <f>IF($G886="CERVECERIA Y MALTERIA.",($AS886*$AK886/1000000)*(1-VLOOKUP($N886,FCST!D:I,6,FALSE)),0)</f>
        <v>0</v>
      </c>
      <c r="AZ886" s="239">
        <f t="shared" si="119"/>
        <v>0</v>
      </c>
    </row>
    <row r="887" spans="1:52" x14ac:dyDescent="0.25">
      <c r="A887" s="209">
        <v>1110094</v>
      </c>
      <c r="B887" s="209">
        <v>10</v>
      </c>
      <c r="C887" s="209">
        <v>89426236</v>
      </c>
      <c r="D887" s="209">
        <v>10</v>
      </c>
      <c r="E887" s="209">
        <v>10000002</v>
      </c>
      <c r="F887" s="209">
        <v>20000340</v>
      </c>
      <c r="G887" s="209" t="s">
        <v>117</v>
      </c>
      <c r="H887" s="209">
        <v>20000340</v>
      </c>
      <c r="I887" s="209">
        <v>2</v>
      </c>
      <c r="J887" s="209" t="s">
        <v>169</v>
      </c>
      <c r="K887" s="209" t="s">
        <v>2009</v>
      </c>
      <c r="L887" s="209" t="s">
        <v>171</v>
      </c>
      <c r="M887" s="209" t="s">
        <v>184</v>
      </c>
      <c r="N887" s="209">
        <v>50039337</v>
      </c>
      <c r="O887" s="209" t="s">
        <v>124</v>
      </c>
      <c r="P887" s="209">
        <v>5121</v>
      </c>
      <c r="Q887" s="209" t="s">
        <v>174</v>
      </c>
      <c r="R887" s="209" t="s">
        <v>175</v>
      </c>
      <c r="S887" s="209" t="s">
        <v>176</v>
      </c>
      <c r="T887" s="209" t="s">
        <v>177</v>
      </c>
      <c r="U887" s="209" t="s">
        <v>178</v>
      </c>
      <c r="V887" s="209" t="s">
        <v>179</v>
      </c>
      <c r="W887" s="209" t="s">
        <v>179</v>
      </c>
      <c r="X887" s="209" t="s">
        <v>180</v>
      </c>
      <c r="Y887" s="209" t="s">
        <v>180</v>
      </c>
      <c r="Z887" s="209">
        <v>9521068310</v>
      </c>
      <c r="AA887" s="209" t="s">
        <v>2010</v>
      </c>
      <c r="AB887" s="209" t="s">
        <v>180</v>
      </c>
      <c r="AC887" s="209" t="s">
        <v>182</v>
      </c>
      <c r="AD887" s="209">
        <v>4</v>
      </c>
      <c r="AE887" s="209">
        <v>2025</v>
      </c>
      <c r="AF887" s="227">
        <v>45748</v>
      </c>
      <c r="AG887" s="227">
        <v>45750</v>
      </c>
      <c r="AH887" s="227">
        <v>45750</v>
      </c>
      <c r="AI887" s="228">
        <v>227520</v>
      </c>
      <c r="AJ887" s="228">
        <v>20</v>
      </c>
      <c r="AK887" s="228">
        <v>227520</v>
      </c>
      <c r="AL887" s="228">
        <v>20</v>
      </c>
      <c r="AM887" s="228">
        <v>0</v>
      </c>
      <c r="AN887" s="228">
        <v>0</v>
      </c>
      <c r="AO887" s="229">
        <v>14</v>
      </c>
      <c r="AP887" s="231">
        <v>4</v>
      </c>
      <c r="AQ887" s="231">
        <v>2025</v>
      </c>
      <c r="AR887" s="231" t="str">
        <f t="shared" si="115"/>
        <v>04/2025</v>
      </c>
      <c r="AS887" s="231">
        <f t="shared" si="116"/>
        <v>30</v>
      </c>
      <c r="AT887" s="239">
        <f>IF(G887="CERVECERIA Y MALTERIA",(AS887*AK887/1000000)*(1-VLOOKUP(N887,FCST!D:I,6,FALSE)),0)</f>
        <v>0</v>
      </c>
      <c r="AU887" s="232">
        <v>5.0000000000000001E-3</v>
      </c>
      <c r="AV887" s="239">
        <f t="shared" si="117"/>
        <v>0</v>
      </c>
      <c r="AW887" s="239">
        <f>(AS887*AK887/1000000)*(VLOOKUP(N887,FCST!D:I,6,FALSE))</f>
        <v>0</v>
      </c>
      <c r="AX887" s="239">
        <f t="shared" si="118"/>
        <v>0</v>
      </c>
      <c r="AY887" s="239">
        <f>IF($G887="CERVECERIA Y MALTERIA.",($AS887*$AK887/1000000)*(1-VLOOKUP($N887,FCST!D:I,6,FALSE)),0)</f>
        <v>6.8255999999999997</v>
      </c>
      <c r="AZ887" s="239">
        <f t="shared" si="119"/>
        <v>6.8597279999999987</v>
      </c>
    </row>
    <row r="888" spans="1:52" x14ac:dyDescent="0.25">
      <c r="A888" s="209">
        <v>1109331</v>
      </c>
      <c r="B888" s="209">
        <v>20</v>
      </c>
      <c r="C888" s="209">
        <v>89426235</v>
      </c>
      <c r="D888" s="209">
        <v>10</v>
      </c>
      <c r="E888" s="209">
        <v>10000002</v>
      </c>
      <c r="F888" s="209">
        <v>20000335</v>
      </c>
      <c r="G888" s="209" t="s">
        <v>105</v>
      </c>
      <c r="H888" s="209">
        <v>20000335</v>
      </c>
      <c r="I888" s="209">
        <v>2</v>
      </c>
      <c r="J888" s="209" t="s">
        <v>169</v>
      </c>
      <c r="K888" s="209" t="s">
        <v>2011</v>
      </c>
      <c r="L888" s="209" t="s">
        <v>171</v>
      </c>
      <c r="M888" s="209" t="s">
        <v>184</v>
      </c>
      <c r="N888" s="209">
        <v>50034574</v>
      </c>
      <c r="O888" s="209" t="s">
        <v>196</v>
      </c>
      <c r="P888" s="209">
        <v>5121</v>
      </c>
      <c r="Q888" s="209" t="s">
        <v>174</v>
      </c>
      <c r="R888" s="209" t="s">
        <v>175</v>
      </c>
      <c r="S888" s="209" t="s">
        <v>176</v>
      </c>
      <c r="T888" s="209" t="s">
        <v>177</v>
      </c>
      <c r="U888" s="209" t="s">
        <v>178</v>
      </c>
      <c r="V888" s="209" t="s">
        <v>179</v>
      </c>
      <c r="W888" s="209" t="s">
        <v>179</v>
      </c>
      <c r="X888" s="209" t="s">
        <v>180</v>
      </c>
      <c r="Y888" s="209" t="s">
        <v>180</v>
      </c>
      <c r="Z888" s="209">
        <v>9521068233</v>
      </c>
      <c r="AA888" s="209" t="s">
        <v>2012</v>
      </c>
      <c r="AB888" s="209" t="s">
        <v>180</v>
      </c>
      <c r="AC888" s="209" t="s">
        <v>182</v>
      </c>
      <c r="AD888" s="209">
        <v>3</v>
      </c>
      <c r="AE888" s="209">
        <v>2025</v>
      </c>
      <c r="AF888" s="227">
        <v>45744</v>
      </c>
      <c r="AG888" s="227">
        <v>45750</v>
      </c>
      <c r="AH888" s="227">
        <v>45750</v>
      </c>
      <c r="AI888" s="228">
        <v>526176</v>
      </c>
      <c r="AJ888" s="228">
        <v>28</v>
      </c>
      <c r="AK888" s="228">
        <v>526176</v>
      </c>
      <c r="AL888" s="228">
        <v>28</v>
      </c>
      <c r="AM888" s="228">
        <v>0</v>
      </c>
      <c r="AN888" s="228">
        <v>0</v>
      </c>
      <c r="AO888" s="229">
        <v>14</v>
      </c>
      <c r="AP888" s="231">
        <v>4</v>
      </c>
      <c r="AQ888" s="231">
        <v>2025</v>
      </c>
      <c r="AR888" s="231" t="str">
        <f t="shared" si="115"/>
        <v>04/2025</v>
      </c>
      <c r="AS888" s="231">
        <f t="shared" si="116"/>
        <v>19.5</v>
      </c>
      <c r="AT888" s="239">
        <f>IF(G888="CERVECERIA Y MALTERIA",(AS888*AK888/1000000)*(1-VLOOKUP(N888,FCST!D:I,6,FALSE)),0)</f>
        <v>10.260432</v>
      </c>
      <c r="AU888" s="232">
        <v>5.0000000000000001E-3</v>
      </c>
      <c r="AV888" s="239">
        <f t="shared" si="117"/>
        <v>10.311734159999999</v>
      </c>
      <c r="AW888" s="239">
        <f>(AS888*AK888/1000000)*(VLOOKUP(N888,FCST!D:I,6,FALSE))</f>
        <v>0</v>
      </c>
      <c r="AX888" s="239">
        <f t="shared" si="118"/>
        <v>0</v>
      </c>
      <c r="AY888" s="239">
        <f>IF($G888="CERVECERIA Y MALTERIA.",($AS888*$AK888/1000000)*(1-VLOOKUP($N888,FCST!D:I,6,FALSE)),0)</f>
        <v>0</v>
      </c>
      <c r="AZ888" s="239">
        <f t="shared" si="119"/>
        <v>0</v>
      </c>
    </row>
    <row r="889" spans="1:52" x14ac:dyDescent="0.25">
      <c r="A889" s="209">
        <v>1109333</v>
      </c>
      <c r="B889" s="209">
        <v>30</v>
      </c>
      <c r="C889" s="209">
        <v>89426119</v>
      </c>
      <c r="D889" s="209">
        <v>10</v>
      </c>
      <c r="E889" s="209">
        <v>10000002</v>
      </c>
      <c r="F889" s="209">
        <v>20000340</v>
      </c>
      <c r="G889" s="209" t="s">
        <v>117</v>
      </c>
      <c r="H889" s="209">
        <v>20000340</v>
      </c>
      <c r="I889" s="209">
        <v>2</v>
      </c>
      <c r="J889" s="209" t="s">
        <v>169</v>
      </c>
      <c r="K889" s="209" t="s">
        <v>2013</v>
      </c>
      <c r="L889" s="209" t="s">
        <v>171</v>
      </c>
      <c r="M889" s="209" t="s">
        <v>184</v>
      </c>
      <c r="N889" s="209">
        <v>50036718</v>
      </c>
      <c r="O889" s="209" t="s">
        <v>259</v>
      </c>
      <c r="P889" s="209">
        <v>5101</v>
      </c>
      <c r="Q889" s="209" t="s">
        <v>186</v>
      </c>
      <c r="R889" s="209" t="s">
        <v>175</v>
      </c>
      <c r="S889" s="209" t="s">
        <v>176</v>
      </c>
      <c r="T889" s="209" t="s">
        <v>187</v>
      </c>
      <c r="U889" s="209" t="s">
        <v>188</v>
      </c>
      <c r="V889" s="209" t="s">
        <v>179</v>
      </c>
      <c r="W889" s="209" t="s">
        <v>179</v>
      </c>
      <c r="X889" s="209" t="s">
        <v>180</v>
      </c>
      <c r="Y889" s="209" t="s">
        <v>180</v>
      </c>
      <c r="Z889" s="209">
        <v>9511047765</v>
      </c>
      <c r="AA889" s="209" t="s">
        <v>1945</v>
      </c>
      <c r="AB889" s="209" t="s">
        <v>180</v>
      </c>
      <c r="AC889" s="209" t="s">
        <v>182</v>
      </c>
      <c r="AD889" s="209">
        <v>3</v>
      </c>
      <c r="AE889" s="209">
        <v>2025</v>
      </c>
      <c r="AF889" s="227">
        <v>45744</v>
      </c>
      <c r="AG889" s="227">
        <v>45750</v>
      </c>
      <c r="AH889" s="227">
        <v>45750</v>
      </c>
      <c r="AI889" s="228">
        <v>519168</v>
      </c>
      <c r="AJ889" s="228">
        <v>52</v>
      </c>
      <c r="AK889" s="228">
        <v>519168</v>
      </c>
      <c r="AL889" s="228">
        <v>52</v>
      </c>
      <c r="AM889" s="228">
        <v>0</v>
      </c>
      <c r="AN889" s="228">
        <v>0</v>
      </c>
      <c r="AO889" s="229">
        <v>14</v>
      </c>
      <c r="AP889" s="231">
        <v>4</v>
      </c>
      <c r="AQ889" s="231">
        <v>2025</v>
      </c>
      <c r="AR889" s="231" t="str">
        <f t="shared" si="115"/>
        <v>04/2025</v>
      </c>
      <c r="AS889" s="231">
        <f t="shared" si="116"/>
        <v>34</v>
      </c>
      <c r="AT889" s="239">
        <f>IF(G889="CERVECERIA Y MALTERIA",(AS889*AK889/1000000)*(1-VLOOKUP(N889,FCST!D:I,6,FALSE)),0)</f>
        <v>0</v>
      </c>
      <c r="AU889" s="232">
        <v>5.0000000000000001E-3</v>
      </c>
      <c r="AV889" s="239">
        <f t="shared" si="117"/>
        <v>0</v>
      </c>
      <c r="AW889" s="239">
        <f>(AS889*AK889/1000000)*(VLOOKUP(N889,FCST!D:I,6,FALSE))</f>
        <v>0</v>
      </c>
      <c r="AX889" s="239">
        <f t="shared" si="118"/>
        <v>0</v>
      </c>
      <c r="AY889" s="239">
        <f>IF($G889="CERVECERIA Y MALTERIA.",($AS889*$AK889/1000000)*(1-VLOOKUP($N889,FCST!D:I,6,FALSE)),0)</f>
        <v>17.651712</v>
      </c>
      <c r="AZ889" s="239">
        <f t="shared" si="119"/>
        <v>17.73997056</v>
      </c>
    </row>
    <row r="890" spans="1:52" x14ac:dyDescent="0.25">
      <c r="A890" s="209">
        <v>1109522</v>
      </c>
      <c r="B890" s="209">
        <v>20</v>
      </c>
      <c r="C890" s="209">
        <v>89424246</v>
      </c>
      <c r="D890" s="209">
        <v>10</v>
      </c>
      <c r="E890" s="209">
        <v>10000002</v>
      </c>
      <c r="F890" s="209">
        <v>20000337</v>
      </c>
      <c r="G890" s="209" t="s">
        <v>105</v>
      </c>
      <c r="H890" s="209">
        <v>20000337</v>
      </c>
      <c r="I890" s="209">
        <v>2</v>
      </c>
      <c r="J890" s="209" t="s">
        <v>169</v>
      </c>
      <c r="K890" s="209" t="s">
        <v>2014</v>
      </c>
      <c r="L890" s="209" t="s">
        <v>171</v>
      </c>
      <c r="M890" s="209" t="s">
        <v>199</v>
      </c>
      <c r="N890" s="209">
        <v>50034616</v>
      </c>
      <c r="O890" s="209" t="s">
        <v>191</v>
      </c>
      <c r="P890" s="209">
        <v>5121</v>
      </c>
      <c r="Q890" s="209" t="s">
        <v>200</v>
      </c>
      <c r="R890" s="209" t="s">
        <v>201</v>
      </c>
      <c r="S890" s="209" t="s">
        <v>202</v>
      </c>
      <c r="T890" s="209" t="s">
        <v>203</v>
      </c>
      <c r="U890" s="209" t="s">
        <v>201</v>
      </c>
      <c r="V890" s="209" t="s">
        <v>179</v>
      </c>
      <c r="W890" s="209" t="s">
        <v>179</v>
      </c>
      <c r="X890" s="209" t="s">
        <v>180</v>
      </c>
      <c r="Y890" s="209" t="s">
        <v>180</v>
      </c>
      <c r="Z890" s="209">
        <v>9521068228</v>
      </c>
      <c r="AA890" s="209" t="s">
        <v>2015</v>
      </c>
      <c r="AB890" s="209" t="s">
        <v>180</v>
      </c>
      <c r="AC890" s="209" t="s">
        <v>182</v>
      </c>
      <c r="AD890" s="209">
        <v>3</v>
      </c>
      <c r="AE890" s="209">
        <v>2025</v>
      </c>
      <c r="AF890" s="227">
        <v>45747</v>
      </c>
      <c r="AG890" s="227">
        <v>45748</v>
      </c>
      <c r="AH890" s="227">
        <v>45748</v>
      </c>
      <c r="AI890" s="228">
        <v>426816</v>
      </c>
      <c r="AJ890" s="228">
        <v>52</v>
      </c>
      <c r="AK890" s="228">
        <v>426816</v>
      </c>
      <c r="AL890" s="228">
        <v>52</v>
      </c>
      <c r="AM890" s="228">
        <v>0</v>
      </c>
      <c r="AN890" s="228">
        <v>0</v>
      </c>
      <c r="AO890" s="229">
        <v>14</v>
      </c>
      <c r="AP890" s="231">
        <v>4</v>
      </c>
      <c r="AQ890" s="231">
        <v>2025</v>
      </c>
      <c r="AR890" s="231" t="str">
        <f t="shared" si="115"/>
        <v>04/2025</v>
      </c>
      <c r="AS890" s="231">
        <f t="shared" si="116"/>
        <v>46.6</v>
      </c>
      <c r="AT890" s="239">
        <f>IF(G890="CERVECERIA Y MALTERIA",(AS890*AK890/1000000)*(1-VLOOKUP(N890,FCST!D:I,6,FALSE)),0)</f>
        <v>19.889625600000002</v>
      </c>
      <c r="AU890" s="232">
        <v>5.0000000000000001E-3</v>
      </c>
      <c r="AV890" s="239">
        <f t="shared" si="117"/>
        <v>19.989073728000001</v>
      </c>
      <c r="AW890" s="239">
        <f>(AS890*AK890/1000000)*(VLOOKUP(N890,FCST!D:I,6,FALSE))</f>
        <v>0</v>
      </c>
      <c r="AX890" s="239">
        <f t="shared" si="118"/>
        <v>0</v>
      </c>
      <c r="AY890" s="239">
        <f>IF($G890="CERVECERIA Y MALTERIA.",($AS890*$AK890/1000000)*(1-VLOOKUP($N890,FCST!D:I,6,FALSE)),0)</f>
        <v>0</v>
      </c>
      <c r="AZ890" s="239">
        <f t="shared" si="119"/>
        <v>0</v>
      </c>
    </row>
    <row r="891" spans="1:52" x14ac:dyDescent="0.25">
      <c r="A891" s="209">
        <v>1109333</v>
      </c>
      <c r="B891" s="209">
        <v>20</v>
      </c>
      <c r="C891" s="209">
        <v>89423563</v>
      </c>
      <c r="D891" s="209">
        <v>10</v>
      </c>
      <c r="E891" s="209">
        <v>10000002</v>
      </c>
      <c r="F891" s="209">
        <v>20000340</v>
      </c>
      <c r="G891" s="209" t="s">
        <v>117</v>
      </c>
      <c r="H891" s="209">
        <v>20000340</v>
      </c>
      <c r="I891" s="209">
        <v>2</v>
      </c>
      <c r="J891" s="209" t="s">
        <v>169</v>
      </c>
      <c r="K891" s="209" t="s">
        <v>2016</v>
      </c>
      <c r="L891" s="209" t="s">
        <v>171</v>
      </c>
      <c r="M891" s="209" t="s">
        <v>184</v>
      </c>
      <c r="N891" s="209">
        <v>50029817</v>
      </c>
      <c r="O891" s="209" t="s">
        <v>396</v>
      </c>
      <c r="P891" s="209">
        <v>5101</v>
      </c>
      <c r="Q891" s="209" t="s">
        <v>186</v>
      </c>
      <c r="R891" s="209" t="s">
        <v>175</v>
      </c>
      <c r="S891" s="209" t="s">
        <v>176</v>
      </c>
      <c r="T891" s="209" t="s">
        <v>187</v>
      </c>
      <c r="U891" s="209" t="s">
        <v>188</v>
      </c>
      <c r="V891" s="209" t="s">
        <v>179</v>
      </c>
      <c r="W891" s="209" t="s">
        <v>179</v>
      </c>
      <c r="X891" s="209" t="s">
        <v>180</v>
      </c>
      <c r="Y891" s="209" t="s">
        <v>180</v>
      </c>
      <c r="Z891" s="209">
        <v>9511047762</v>
      </c>
      <c r="AA891" s="209" t="s">
        <v>2000</v>
      </c>
      <c r="AB891" s="209" t="s">
        <v>180</v>
      </c>
      <c r="AC891" s="209" t="s">
        <v>182</v>
      </c>
      <c r="AD891" s="209">
        <v>3</v>
      </c>
      <c r="AE891" s="209">
        <v>2025</v>
      </c>
      <c r="AF891" s="227">
        <v>45744</v>
      </c>
      <c r="AG891" s="227">
        <v>45748</v>
      </c>
      <c r="AH891" s="227">
        <v>45748</v>
      </c>
      <c r="AI891" s="228">
        <v>606528</v>
      </c>
      <c r="AJ891" s="228">
        <v>52</v>
      </c>
      <c r="AK891" s="228">
        <v>606528</v>
      </c>
      <c r="AL891" s="228">
        <v>52</v>
      </c>
      <c r="AM891" s="228">
        <v>0</v>
      </c>
      <c r="AN891" s="228">
        <v>0</v>
      </c>
      <c r="AO891" s="229">
        <v>14</v>
      </c>
      <c r="AP891" s="231">
        <v>4</v>
      </c>
      <c r="AQ891" s="231">
        <v>2025</v>
      </c>
      <c r="AR891" s="231" t="str">
        <f t="shared" si="115"/>
        <v>04/2025</v>
      </c>
      <c r="AS891" s="231">
        <f t="shared" si="116"/>
        <v>30</v>
      </c>
      <c r="AT891" s="239">
        <f>IF(G891="CERVECERIA Y MALTERIA",(AS891*AK891/1000000)*(1-VLOOKUP(N891,FCST!D:I,6,FALSE)),0)</f>
        <v>0</v>
      </c>
      <c r="AU891" s="232">
        <v>5.0000000000000001E-3</v>
      </c>
      <c r="AV891" s="239">
        <f t="shared" si="117"/>
        <v>0</v>
      </c>
      <c r="AW891" s="239">
        <f>(AS891*AK891/1000000)*(VLOOKUP(N891,FCST!D:I,6,FALSE))</f>
        <v>5.4587519999999996</v>
      </c>
      <c r="AX891" s="239">
        <f t="shared" si="118"/>
        <v>5.4860457599999988</v>
      </c>
      <c r="AY891" s="239">
        <f>IF($G891="CERVECERIA Y MALTERIA.",($AS891*$AK891/1000000)*(1-VLOOKUP($N891,FCST!D:I,6,FALSE)),0)</f>
        <v>12.737088</v>
      </c>
      <c r="AZ891" s="239">
        <f t="shared" si="119"/>
        <v>12.800773439999999</v>
      </c>
    </row>
    <row r="892" spans="1:52" x14ac:dyDescent="0.25">
      <c r="A892" s="209">
        <v>1110374</v>
      </c>
      <c r="B892" s="209">
        <v>40</v>
      </c>
      <c r="C892" s="209">
        <v>89428958</v>
      </c>
      <c r="D892" s="209">
        <v>20</v>
      </c>
      <c r="E892" s="209">
        <v>10000002</v>
      </c>
      <c r="F892" s="209">
        <v>20000336</v>
      </c>
      <c r="G892" s="209" t="s">
        <v>105</v>
      </c>
      <c r="H892" s="209">
        <v>20000336</v>
      </c>
      <c r="I892" s="209">
        <v>2</v>
      </c>
      <c r="J892" s="209" t="s">
        <v>169</v>
      </c>
      <c r="K892" s="209" t="s">
        <v>2017</v>
      </c>
      <c r="L892" s="209" t="s">
        <v>171</v>
      </c>
      <c r="M892" s="209" t="s">
        <v>172</v>
      </c>
      <c r="N892" s="209">
        <v>50034616</v>
      </c>
      <c r="O892" s="209" t="s">
        <v>191</v>
      </c>
      <c r="P892" s="209">
        <v>5121</v>
      </c>
      <c r="Q892" s="209" t="s">
        <v>174</v>
      </c>
      <c r="R892" s="209" t="s">
        <v>175</v>
      </c>
      <c r="S892" s="209" t="s">
        <v>176</v>
      </c>
      <c r="T892" s="209" t="s">
        <v>177</v>
      </c>
      <c r="U892" s="209" t="s">
        <v>178</v>
      </c>
      <c r="V892" s="209" t="s">
        <v>179</v>
      </c>
      <c r="W892" s="209" t="s">
        <v>179</v>
      </c>
      <c r="X892" s="209" t="s">
        <v>180</v>
      </c>
      <c r="Y892" s="209" t="s">
        <v>180</v>
      </c>
      <c r="Z892" s="209">
        <v>9521068236</v>
      </c>
      <c r="AA892" s="209" t="s">
        <v>2018</v>
      </c>
      <c r="AB892" s="209" t="s">
        <v>180</v>
      </c>
      <c r="AC892" s="209" t="s">
        <v>182</v>
      </c>
      <c r="AD892" s="209">
        <v>4</v>
      </c>
      <c r="AE892" s="209">
        <v>2025</v>
      </c>
      <c r="AF892" s="227">
        <v>45750</v>
      </c>
      <c r="AG892" s="227">
        <v>45754</v>
      </c>
      <c r="AH892" s="227">
        <v>45754</v>
      </c>
      <c r="AI892" s="228">
        <v>205200</v>
      </c>
      <c r="AJ892" s="228">
        <v>25</v>
      </c>
      <c r="AK892" s="228">
        <v>205200</v>
      </c>
      <c r="AL892" s="228">
        <v>25</v>
      </c>
      <c r="AM892" s="228">
        <v>0</v>
      </c>
      <c r="AN892" s="228">
        <v>0</v>
      </c>
      <c r="AO892" s="229">
        <v>14</v>
      </c>
      <c r="AP892" s="231">
        <v>4</v>
      </c>
      <c r="AQ892" s="231">
        <v>2025</v>
      </c>
      <c r="AR892" s="231" t="str">
        <f t="shared" si="115"/>
        <v>04/2025</v>
      </c>
      <c r="AS892" s="231">
        <f t="shared" si="116"/>
        <v>46.6</v>
      </c>
      <c r="AT892" s="239">
        <f>IF(G892="CERVECERIA Y MALTERIA",(AS892*AK892/1000000)*(1-VLOOKUP(N892,FCST!D:I,6,FALSE)),0)</f>
        <v>9.5623199999999997</v>
      </c>
      <c r="AU892" s="232">
        <v>5.0000000000000001E-3</v>
      </c>
      <c r="AV892" s="239">
        <f t="shared" si="117"/>
        <v>9.610131599999999</v>
      </c>
      <c r="AW892" s="239">
        <f>(AS892*AK892/1000000)*(VLOOKUP(N892,FCST!D:I,6,FALSE))</f>
        <v>0</v>
      </c>
      <c r="AX892" s="239">
        <f t="shared" si="118"/>
        <v>0</v>
      </c>
      <c r="AY892" s="239">
        <f>IF($G892="CERVECERIA Y MALTERIA.",($AS892*$AK892/1000000)*(1-VLOOKUP($N892,FCST!D:I,6,FALSE)),0)</f>
        <v>0</v>
      </c>
      <c r="AZ892" s="239">
        <f t="shared" si="119"/>
        <v>0</v>
      </c>
    </row>
    <row r="893" spans="1:52" x14ac:dyDescent="0.25">
      <c r="A893" s="209">
        <v>1110374</v>
      </c>
      <c r="B893" s="209">
        <v>30</v>
      </c>
      <c r="C893" s="209">
        <v>89428958</v>
      </c>
      <c r="D893" s="209">
        <v>10</v>
      </c>
      <c r="E893" s="209">
        <v>10000002</v>
      </c>
      <c r="F893" s="209">
        <v>20000336</v>
      </c>
      <c r="G893" s="209" t="s">
        <v>105</v>
      </c>
      <c r="H893" s="209">
        <v>20000336</v>
      </c>
      <c r="I893" s="209">
        <v>2</v>
      </c>
      <c r="J893" s="209" t="s">
        <v>169</v>
      </c>
      <c r="K893" s="209" t="s">
        <v>2017</v>
      </c>
      <c r="L893" s="209" t="s">
        <v>171</v>
      </c>
      <c r="M893" s="209" t="s">
        <v>172</v>
      </c>
      <c r="N893" s="209">
        <v>50024497</v>
      </c>
      <c r="O893" s="209" t="s">
        <v>1352</v>
      </c>
      <c r="P893" s="209">
        <v>5121</v>
      </c>
      <c r="Q893" s="209" t="s">
        <v>174</v>
      </c>
      <c r="R893" s="209" t="s">
        <v>175</v>
      </c>
      <c r="S893" s="209" t="s">
        <v>176</v>
      </c>
      <c r="T893" s="209" t="s">
        <v>177</v>
      </c>
      <c r="U893" s="209" t="s">
        <v>178</v>
      </c>
      <c r="V893" s="209" t="s">
        <v>179</v>
      </c>
      <c r="W893" s="209" t="s">
        <v>179</v>
      </c>
      <c r="X893" s="209" t="s">
        <v>180</v>
      </c>
      <c r="Y893" s="209" t="s">
        <v>180</v>
      </c>
      <c r="Z893" s="209">
        <v>9521068236</v>
      </c>
      <c r="AA893" s="209" t="s">
        <v>2018</v>
      </c>
      <c r="AB893" s="209" t="s">
        <v>180</v>
      </c>
      <c r="AC893" s="209" t="s">
        <v>182</v>
      </c>
      <c r="AD893" s="209">
        <v>4</v>
      </c>
      <c r="AE893" s="209">
        <v>2025</v>
      </c>
      <c r="AF893" s="227">
        <v>45750</v>
      </c>
      <c r="AG893" s="227">
        <v>45754</v>
      </c>
      <c r="AH893" s="227">
        <v>45754</v>
      </c>
      <c r="AI893" s="228">
        <v>182736</v>
      </c>
      <c r="AJ893" s="228">
        <v>27</v>
      </c>
      <c r="AK893" s="228">
        <v>182736</v>
      </c>
      <c r="AL893" s="228">
        <v>27</v>
      </c>
      <c r="AM893" s="228">
        <v>0</v>
      </c>
      <c r="AN893" s="228">
        <v>0</v>
      </c>
      <c r="AO893" s="229">
        <v>14</v>
      </c>
      <c r="AP893" s="231">
        <v>4</v>
      </c>
      <c r="AQ893" s="231">
        <v>2025</v>
      </c>
      <c r="AR893" s="231" t="str">
        <f t="shared" si="115"/>
        <v>04/2025</v>
      </c>
      <c r="AS893" s="231">
        <f t="shared" si="116"/>
        <v>54.7</v>
      </c>
      <c r="AT893" s="239">
        <f>IF(G893="CERVECERIA Y MALTERIA",(AS893*AK893/1000000)*(1-VLOOKUP(N893,FCST!D:I,6,FALSE)),0)</f>
        <v>9.9956592000000004</v>
      </c>
      <c r="AU893" s="232">
        <v>5.0000000000000001E-3</v>
      </c>
      <c r="AV893" s="239">
        <f t="shared" si="117"/>
        <v>10.045637495999999</v>
      </c>
      <c r="AW893" s="239">
        <f>(AS893*AK893/1000000)*(VLOOKUP(N893,FCST!D:I,6,FALSE))</f>
        <v>0</v>
      </c>
      <c r="AX893" s="239">
        <f t="shared" si="118"/>
        <v>0</v>
      </c>
      <c r="AY893" s="239">
        <f>IF($G893="CERVECERIA Y MALTERIA.",($AS893*$AK893/1000000)*(1-VLOOKUP($N893,FCST!D:I,6,FALSE)),0)</f>
        <v>0</v>
      </c>
      <c r="AZ893" s="239">
        <f t="shared" si="119"/>
        <v>0</v>
      </c>
    </row>
    <row r="894" spans="1:52" x14ac:dyDescent="0.25">
      <c r="A894" s="209">
        <v>1110627</v>
      </c>
      <c r="B894" s="209">
        <v>10</v>
      </c>
      <c r="C894" s="209">
        <v>89428926</v>
      </c>
      <c r="D894" s="209">
        <v>10</v>
      </c>
      <c r="E894" s="209">
        <v>10000002</v>
      </c>
      <c r="F894" s="209">
        <v>20000340</v>
      </c>
      <c r="G894" s="209" t="s">
        <v>117</v>
      </c>
      <c r="H894" s="209">
        <v>20000340</v>
      </c>
      <c r="I894" s="209">
        <v>2</v>
      </c>
      <c r="J894" s="209" t="s">
        <v>169</v>
      </c>
      <c r="K894" s="209" t="s">
        <v>2019</v>
      </c>
      <c r="L894" s="209" t="s">
        <v>171</v>
      </c>
      <c r="M894" s="209" t="s">
        <v>172</v>
      </c>
      <c r="N894" s="209">
        <v>50036718</v>
      </c>
      <c r="O894" s="209" t="s">
        <v>259</v>
      </c>
      <c r="P894" s="209">
        <v>5101</v>
      </c>
      <c r="Q894" s="209" t="s">
        <v>186</v>
      </c>
      <c r="R894" s="209" t="s">
        <v>175</v>
      </c>
      <c r="S894" s="209" t="s">
        <v>176</v>
      </c>
      <c r="T894" s="209" t="s">
        <v>187</v>
      </c>
      <c r="U894" s="209" t="s">
        <v>188</v>
      </c>
      <c r="V894" s="209" t="s">
        <v>179</v>
      </c>
      <c r="W894" s="209" t="s">
        <v>179</v>
      </c>
      <c r="X894" s="209" t="s">
        <v>180</v>
      </c>
      <c r="Y894" s="209" t="s">
        <v>180</v>
      </c>
      <c r="Z894" s="209">
        <v>9511047765</v>
      </c>
      <c r="AA894" s="209" t="s">
        <v>1945</v>
      </c>
      <c r="AB894" s="209" t="s">
        <v>180</v>
      </c>
      <c r="AC894" s="209" t="s">
        <v>182</v>
      </c>
      <c r="AD894" s="209">
        <v>4</v>
      </c>
      <c r="AE894" s="209">
        <v>2025</v>
      </c>
      <c r="AF894" s="227">
        <v>45750</v>
      </c>
      <c r="AG894" s="227">
        <v>45754</v>
      </c>
      <c r="AH894" s="227">
        <v>45754</v>
      </c>
      <c r="AI894" s="228">
        <v>519168</v>
      </c>
      <c r="AJ894" s="228">
        <v>52</v>
      </c>
      <c r="AK894" s="228">
        <v>519168</v>
      </c>
      <c r="AL894" s="228">
        <v>52</v>
      </c>
      <c r="AM894" s="228">
        <v>0</v>
      </c>
      <c r="AN894" s="228">
        <v>0</v>
      </c>
      <c r="AO894" s="229">
        <v>15</v>
      </c>
      <c r="AP894" s="231">
        <v>4</v>
      </c>
      <c r="AQ894" s="231">
        <v>2025</v>
      </c>
      <c r="AR894" s="231" t="str">
        <f t="shared" si="115"/>
        <v>04/2025</v>
      </c>
      <c r="AS894" s="231">
        <f t="shared" si="116"/>
        <v>34</v>
      </c>
      <c r="AT894" s="239">
        <f>IF(G894="CERVECERIA Y MALTERIA",(AS894*AK894/1000000)*(1-VLOOKUP(N894,FCST!D:I,6,FALSE)),0)</f>
        <v>0</v>
      </c>
      <c r="AU894" s="232">
        <v>5.0000000000000001E-3</v>
      </c>
      <c r="AV894" s="239">
        <f t="shared" si="117"/>
        <v>0</v>
      </c>
      <c r="AW894" s="239">
        <f>(AS894*AK894/1000000)*(VLOOKUP(N894,FCST!D:I,6,FALSE))</f>
        <v>0</v>
      </c>
      <c r="AX894" s="239">
        <f t="shared" si="118"/>
        <v>0</v>
      </c>
      <c r="AY894" s="239">
        <f>IF($G894="CERVECERIA Y MALTERIA.",($AS894*$AK894/1000000)*(1-VLOOKUP($N894,FCST!D:I,6,FALSE)),0)</f>
        <v>17.651712</v>
      </c>
      <c r="AZ894" s="239">
        <f t="shared" si="119"/>
        <v>17.73997056</v>
      </c>
    </row>
    <row r="895" spans="1:52" x14ac:dyDescent="0.25">
      <c r="A895" s="209">
        <v>1110626</v>
      </c>
      <c r="B895" s="209">
        <v>10</v>
      </c>
      <c r="C895" s="209">
        <v>89428916</v>
      </c>
      <c r="D895" s="209">
        <v>10</v>
      </c>
      <c r="E895" s="209">
        <v>10000002</v>
      </c>
      <c r="F895" s="209">
        <v>20000335</v>
      </c>
      <c r="G895" s="209" t="s">
        <v>105</v>
      </c>
      <c r="H895" s="209">
        <v>20000335</v>
      </c>
      <c r="I895" s="209">
        <v>2</v>
      </c>
      <c r="J895" s="209" t="s">
        <v>169</v>
      </c>
      <c r="K895" s="209" t="s">
        <v>2020</v>
      </c>
      <c r="L895" s="209" t="s">
        <v>171</v>
      </c>
      <c r="M895" s="209" t="s">
        <v>199</v>
      </c>
      <c r="N895" s="209">
        <v>50035184</v>
      </c>
      <c r="O895" s="209" t="s">
        <v>672</v>
      </c>
      <c r="P895" s="209">
        <v>5121</v>
      </c>
      <c r="Q895" s="209" t="s">
        <v>200</v>
      </c>
      <c r="R895" s="209" t="s">
        <v>201</v>
      </c>
      <c r="S895" s="209" t="s">
        <v>202</v>
      </c>
      <c r="T895" s="209" t="s">
        <v>203</v>
      </c>
      <c r="U895" s="209" t="s">
        <v>201</v>
      </c>
      <c r="V895" s="209" t="s">
        <v>179</v>
      </c>
      <c r="W895" s="209" t="s">
        <v>179</v>
      </c>
      <c r="X895" s="209" t="s">
        <v>180</v>
      </c>
      <c r="Y895" s="209" t="s">
        <v>180</v>
      </c>
      <c r="Z895" s="209">
        <v>9521068240</v>
      </c>
      <c r="AA895" s="209" t="s">
        <v>2021</v>
      </c>
      <c r="AB895" s="209" t="s">
        <v>180</v>
      </c>
      <c r="AC895" s="209" t="s">
        <v>182</v>
      </c>
      <c r="AD895" s="209">
        <v>4</v>
      </c>
      <c r="AE895" s="209">
        <v>2025</v>
      </c>
      <c r="AF895" s="227">
        <v>45750</v>
      </c>
      <c r="AG895" s="227">
        <v>45754</v>
      </c>
      <c r="AH895" s="227">
        <v>45754</v>
      </c>
      <c r="AI895" s="228">
        <v>977184</v>
      </c>
      <c r="AJ895" s="228">
        <v>52</v>
      </c>
      <c r="AK895" s="228">
        <v>977184</v>
      </c>
      <c r="AL895" s="228">
        <v>52</v>
      </c>
      <c r="AM895" s="228">
        <v>0</v>
      </c>
      <c r="AN895" s="228">
        <v>0</v>
      </c>
      <c r="AO895" s="229">
        <v>15</v>
      </c>
      <c r="AP895" s="231">
        <v>4</v>
      </c>
      <c r="AQ895" s="231">
        <v>2025</v>
      </c>
      <c r="AR895" s="231" t="str">
        <f t="shared" si="115"/>
        <v>04/2025</v>
      </c>
      <c r="AS895" s="231">
        <f t="shared" si="116"/>
        <v>19.5</v>
      </c>
      <c r="AT895" s="239">
        <f>IF(G895="CERVECERIA Y MALTERIA",(AS895*AK895/1000000)*(1-VLOOKUP(N895,FCST!D:I,6,FALSE)),0)</f>
        <v>19.055088000000001</v>
      </c>
      <c r="AU895" s="232">
        <v>5.0000000000000001E-3</v>
      </c>
      <c r="AV895" s="239">
        <f t="shared" si="117"/>
        <v>19.15036344</v>
      </c>
      <c r="AW895" s="239">
        <f>(AS895*AK895/1000000)*(VLOOKUP(N895,FCST!D:I,6,FALSE))</f>
        <v>0</v>
      </c>
      <c r="AX895" s="239">
        <f t="shared" si="118"/>
        <v>0</v>
      </c>
      <c r="AY895" s="239">
        <f>IF($G895="CERVECERIA Y MALTERIA.",($AS895*$AK895/1000000)*(1-VLOOKUP($N895,FCST!D:I,6,FALSE)),0)</f>
        <v>0</v>
      </c>
      <c r="AZ895" s="239">
        <f t="shared" si="119"/>
        <v>0</v>
      </c>
    </row>
    <row r="896" spans="1:52" x14ac:dyDescent="0.25">
      <c r="A896" s="209">
        <v>1109333</v>
      </c>
      <c r="B896" s="209">
        <v>40</v>
      </c>
      <c r="C896" s="209">
        <v>89427269</v>
      </c>
      <c r="D896" s="209">
        <v>10</v>
      </c>
      <c r="E896" s="209">
        <v>10000002</v>
      </c>
      <c r="F896" s="209">
        <v>20000340</v>
      </c>
      <c r="G896" s="209" t="s">
        <v>117</v>
      </c>
      <c r="H896" s="209">
        <v>20000340</v>
      </c>
      <c r="I896" s="209">
        <v>2</v>
      </c>
      <c r="J896" s="209" t="s">
        <v>169</v>
      </c>
      <c r="K896" s="209" t="s">
        <v>2022</v>
      </c>
      <c r="L896" s="209" t="s">
        <v>171</v>
      </c>
      <c r="M896" s="209" t="s">
        <v>184</v>
      </c>
      <c r="N896" s="209">
        <v>50036718</v>
      </c>
      <c r="O896" s="209" t="s">
        <v>259</v>
      </c>
      <c r="P896" s="209">
        <v>5101</v>
      </c>
      <c r="Q896" s="209" t="s">
        <v>186</v>
      </c>
      <c r="R896" s="209" t="s">
        <v>175</v>
      </c>
      <c r="S896" s="209" t="s">
        <v>176</v>
      </c>
      <c r="T896" s="209" t="s">
        <v>187</v>
      </c>
      <c r="U896" s="209" t="s">
        <v>188</v>
      </c>
      <c r="V896" s="209" t="s">
        <v>179</v>
      </c>
      <c r="W896" s="209" t="s">
        <v>179</v>
      </c>
      <c r="X896" s="209" t="s">
        <v>180</v>
      </c>
      <c r="Y896" s="209" t="s">
        <v>180</v>
      </c>
      <c r="Z896" s="209">
        <v>9511047765</v>
      </c>
      <c r="AA896" s="209" t="s">
        <v>1945</v>
      </c>
      <c r="AB896" s="209" t="s">
        <v>180</v>
      </c>
      <c r="AC896" s="209" t="s">
        <v>182</v>
      </c>
      <c r="AD896" s="209">
        <v>3</v>
      </c>
      <c r="AE896" s="209">
        <v>2025</v>
      </c>
      <c r="AF896" s="227">
        <v>45744</v>
      </c>
      <c r="AG896" s="227">
        <v>45751</v>
      </c>
      <c r="AH896" s="227">
        <v>45751</v>
      </c>
      <c r="AI896" s="228">
        <v>519168</v>
      </c>
      <c r="AJ896" s="228">
        <v>52</v>
      </c>
      <c r="AK896" s="228">
        <v>519168</v>
      </c>
      <c r="AL896" s="228">
        <v>52</v>
      </c>
      <c r="AM896" s="228">
        <v>0</v>
      </c>
      <c r="AN896" s="228">
        <v>0</v>
      </c>
      <c r="AO896" s="229">
        <v>14</v>
      </c>
      <c r="AP896" s="231">
        <v>4</v>
      </c>
      <c r="AQ896" s="231">
        <v>2025</v>
      </c>
      <c r="AR896" s="231" t="str">
        <f t="shared" ref="AR896:AR921" si="120">+IF(AP896&lt;10,"0"&amp;AP896&amp; "/"&amp;AQ896,AP896&amp; "/"&amp;AQ896)</f>
        <v>04/2025</v>
      </c>
      <c r="AS896" s="231">
        <f t="shared" ref="AS896:AS921" si="121">VALUE(MID(INDEX(_xlfn.TEXTSPLIT(O896, ","), 1, 3), 1,FIND("G", INDEX(_xlfn.TEXTSPLIT(O896, ","), 1, 3))-1))</f>
        <v>34</v>
      </c>
      <c r="AT896" s="239">
        <f>IF(G896="CERVECERIA Y MALTERIA",(AS896*AK896/1000000)*(1-VLOOKUP(N896,FCST!D:I,6,FALSE)),0)</f>
        <v>0</v>
      </c>
      <c r="AU896" s="232">
        <v>5.0000000000000001E-3</v>
      </c>
      <c r="AV896" s="239">
        <f t="shared" ref="AV896:AV921" si="122">+AT896*(1+AU896)</f>
        <v>0</v>
      </c>
      <c r="AW896" s="239">
        <f>(AS896*AK896/1000000)*(VLOOKUP(N896,FCST!D:I,6,FALSE))</f>
        <v>0</v>
      </c>
      <c r="AX896" s="239">
        <f t="shared" ref="AX896:AX921" si="123">+AW896*(1+AU896)</f>
        <v>0</v>
      </c>
      <c r="AY896" s="239">
        <f>IF($G896="CERVECERIA Y MALTERIA.",($AS896*$AK896/1000000)*(1-VLOOKUP($N896,FCST!D:I,6,FALSE)),0)</f>
        <v>17.651712</v>
      </c>
      <c r="AZ896" s="239">
        <f t="shared" ref="AZ896:AZ921" si="124">+AY896*(1+AU896)</f>
        <v>17.73997056</v>
      </c>
    </row>
    <row r="897" spans="1:52" x14ac:dyDescent="0.25">
      <c r="A897" s="209">
        <v>1111957</v>
      </c>
      <c r="B897" s="209">
        <v>40</v>
      </c>
      <c r="C897" s="209">
        <v>89436951</v>
      </c>
      <c r="D897" s="209">
        <v>10</v>
      </c>
      <c r="E897" s="209">
        <v>10000002</v>
      </c>
      <c r="F897" s="209">
        <v>20000340</v>
      </c>
      <c r="G897" s="209" t="s">
        <v>117</v>
      </c>
      <c r="H897" s="209">
        <v>20000340</v>
      </c>
      <c r="I897" s="209">
        <v>2</v>
      </c>
      <c r="J897" s="209" t="s">
        <v>169</v>
      </c>
      <c r="K897" s="209" t="s">
        <v>2023</v>
      </c>
      <c r="L897" s="209" t="s">
        <v>171</v>
      </c>
      <c r="M897" s="209" t="s">
        <v>172</v>
      </c>
      <c r="N897" s="209">
        <v>50025163</v>
      </c>
      <c r="O897" s="209" t="s">
        <v>185</v>
      </c>
      <c r="P897" s="209">
        <v>5101</v>
      </c>
      <c r="Q897" s="209" t="s">
        <v>186</v>
      </c>
      <c r="R897" s="209" t="s">
        <v>175</v>
      </c>
      <c r="S897" s="209" t="s">
        <v>176</v>
      </c>
      <c r="T897" s="209" t="s">
        <v>187</v>
      </c>
      <c r="U897" s="209" t="s">
        <v>188</v>
      </c>
      <c r="V897" s="209" t="s">
        <v>179</v>
      </c>
      <c r="W897" s="209" t="s">
        <v>179</v>
      </c>
      <c r="X897" s="209" t="s">
        <v>180</v>
      </c>
      <c r="Y897" s="209" t="s">
        <v>180</v>
      </c>
      <c r="Z897" s="209">
        <v>9511047780</v>
      </c>
      <c r="AA897" s="209" t="s">
        <v>2024</v>
      </c>
      <c r="AB897" s="209" t="s">
        <v>180</v>
      </c>
      <c r="AC897" s="209" t="s">
        <v>182</v>
      </c>
      <c r="AD897" s="209">
        <v>4</v>
      </c>
      <c r="AE897" s="209">
        <v>2025</v>
      </c>
      <c r="AF897" s="227">
        <v>45758</v>
      </c>
      <c r="AG897" s="227">
        <v>45763</v>
      </c>
      <c r="AH897" s="227">
        <v>45763</v>
      </c>
      <c r="AI897" s="228">
        <v>606528</v>
      </c>
      <c r="AJ897" s="228">
        <v>52</v>
      </c>
      <c r="AK897" s="228">
        <v>606528</v>
      </c>
      <c r="AL897" s="228">
        <v>52</v>
      </c>
      <c r="AM897" s="228">
        <v>0</v>
      </c>
      <c r="AN897" s="228">
        <v>0</v>
      </c>
      <c r="AO897" s="229">
        <v>16</v>
      </c>
      <c r="AP897" s="231">
        <v>4</v>
      </c>
      <c r="AQ897" s="231">
        <v>2025</v>
      </c>
      <c r="AR897" s="231" t="str">
        <f t="shared" si="120"/>
        <v>04/2025</v>
      </c>
      <c r="AS897" s="231">
        <f t="shared" si="121"/>
        <v>30</v>
      </c>
      <c r="AT897" s="239">
        <f>IF(G897="CERVECERIA Y MALTERIA",(AS897*AK897/1000000)*(1-VLOOKUP(N897,FCST!D:I,6,FALSE)),0)</f>
        <v>0</v>
      </c>
      <c r="AU897" s="232">
        <v>5.0000000000000001E-3</v>
      </c>
      <c r="AV897" s="239">
        <f t="shared" si="122"/>
        <v>0</v>
      </c>
      <c r="AW897" s="239">
        <f>(AS897*AK897/1000000)*(VLOOKUP(N897,FCST!D:I,6,FALSE))</f>
        <v>0</v>
      </c>
      <c r="AX897" s="239">
        <f t="shared" si="123"/>
        <v>0</v>
      </c>
      <c r="AY897" s="239">
        <f>IF($G897="CERVECERIA Y MALTERIA.",($AS897*$AK897/1000000)*(1-VLOOKUP($N897,FCST!D:I,6,FALSE)),0)</f>
        <v>18.19584</v>
      </c>
      <c r="AZ897" s="239">
        <f t="shared" si="124"/>
        <v>18.2868192</v>
      </c>
    </row>
    <row r="898" spans="1:52" x14ac:dyDescent="0.25">
      <c r="A898" s="209">
        <v>1111956</v>
      </c>
      <c r="B898" s="209">
        <v>50</v>
      </c>
      <c r="C898" s="209">
        <v>89436937</v>
      </c>
      <c r="D898" s="209">
        <v>10</v>
      </c>
      <c r="E898" s="209">
        <v>10000002</v>
      </c>
      <c r="F898" s="209">
        <v>20000335</v>
      </c>
      <c r="G898" s="209" t="s">
        <v>105</v>
      </c>
      <c r="H898" s="209">
        <v>20000335</v>
      </c>
      <c r="I898" s="209">
        <v>2</v>
      </c>
      <c r="J898" s="209" t="s">
        <v>169</v>
      </c>
      <c r="K898" s="209" t="s">
        <v>2025</v>
      </c>
      <c r="L898" s="209" t="s">
        <v>171</v>
      </c>
      <c r="M898" s="209" t="s">
        <v>199</v>
      </c>
      <c r="N898" s="209">
        <v>50034616</v>
      </c>
      <c r="O898" s="209" t="s">
        <v>191</v>
      </c>
      <c r="P898" s="209">
        <v>5121</v>
      </c>
      <c r="Q898" s="209" t="s">
        <v>200</v>
      </c>
      <c r="R898" s="209" t="s">
        <v>201</v>
      </c>
      <c r="S898" s="209" t="s">
        <v>202</v>
      </c>
      <c r="T898" s="209" t="s">
        <v>203</v>
      </c>
      <c r="U898" s="209" t="s">
        <v>201</v>
      </c>
      <c r="V898" s="209" t="s">
        <v>179</v>
      </c>
      <c r="W898" s="209" t="s">
        <v>179</v>
      </c>
      <c r="X898" s="209" t="s">
        <v>180</v>
      </c>
      <c r="Y898" s="209" t="s">
        <v>180</v>
      </c>
      <c r="Z898" s="209">
        <v>9521068237</v>
      </c>
      <c r="AA898" s="209" t="s">
        <v>1940</v>
      </c>
      <c r="AB898" s="209" t="s">
        <v>180</v>
      </c>
      <c r="AC898" s="209" t="s">
        <v>182</v>
      </c>
      <c r="AD898" s="209">
        <v>4</v>
      </c>
      <c r="AE898" s="209">
        <v>2025</v>
      </c>
      <c r="AF898" s="227">
        <v>45758</v>
      </c>
      <c r="AG898" s="227">
        <v>45763</v>
      </c>
      <c r="AH898" s="227">
        <v>45763</v>
      </c>
      <c r="AI898" s="228">
        <v>426816</v>
      </c>
      <c r="AJ898" s="228">
        <v>52</v>
      </c>
      <c r="AK898" s="228">
        <v>426816</v>
      </c>
      <c r="AL898" s="228">
        <v>52</v>
      </c>
      <c r="AM898" s="228">
        <v>0</v>
      </c>
      <c r="AN898" s="228">
        <v>0</v>
      </c>
      <c r="AO898" s="229">
        <v>16</v>
      </c>
      <c r="AP898" s="231">
        <v>4</v>
      </c>
      <c r="AQ898" s="231">
        <v>2025</v>
      </c>
      <c r="AR898" s="231" t="str">
        <f t="shared" si="120"/>
        <v>04/2025</v>
      </c>
      <c r="AS898" s="231">
        <f t="shared" si="121"/>
        <v>46.6</v>
      </c>
      <c r="AT898" s="239">
        <f>IF(G898="CERVECERIA Y MALTERIA",(AS898*AK898/1000000)*(1-VLOOKUP(N898,FCST!D:I,6,FALSE)),0)</f>
        <v>19.889625600000002</v>
      </c>
      <c r="AU898" s="232">
        <v>5.0000000000000001E-3</v>
      </c>
      <c r="AV898" s="239">
        <f t="shared" si="122"/>
        <v>19.989073728000001</v>
      </c>
      <c r="AW898" s="239">
        <f>(AS898*AK898/1000000)*(VLOOKUP(N898,FCST!D:I,6,FALSE))</f>
        <v>0</v>
      </c>
      <c r="AX898" s="239">
        <f t="shared" si="123"/>
        <v>0</v>
      </c>
      <c r="AY898" s="239">
        <f>IF($G898="CERVECERIA Y MALTERIA.",($AS898*$AK898/1000000)*(1-VLOOKUP($N898,FCST!D:I,6,FALSE)),0)</f>
        <v>0</v>
      </c>
      <c r="AZ898" s="239">
        <f t="shared" si="124"/>
        <v>0</v>
      </c>
    </row>
    <row r="899" spans="1:52" x14ac:dyDescent="0.25">
      <c r="A899" s="209">
        <v>1111957</v>
      </c>
      <c r="B899" s="209">
        <v>50</v>
      </c>
      <c r="C899" s="209">
        <v>89436933</v>
      </c>
      <c r="D899" s="209">
        <v>10</v>
      </c>
      <c r="E899" s="209">
        <v>10000002</v>
      </c>
      <c r="F899" s="209">
        <v>20000340</v>
      </c>
      <c r="G899" s="209" t="s">
        <v>117</v>
      </c>
      <c r="H899" s="209">
        <v>20000340</v>
      </c>
      <c r="I899" s="209">
        <v>2</v>
      </c>
      <c r="J899" s="209" t="s">
        <v>169</v>
      </c>
      <c r="K899" s="209" t="s">
        <v>2026</v>
      </c>
      <c r="L899" s="209" t="s">
        <v>171</v>
      </c>
      <c r="M899" s="209" t="s">
        <v>172</v>
      </c>
      <c r="N899" s="209">
        <v>50025163</v>
      </c>
      <c r="O899" s="209" t="s">
        <v>185</v>
      </c>
      <c r="P899" s="209">
        <v>5101</v>
      </c>
      <c r="Q899" s="209" t="s">
        <v>186</v>
      </c>
      <c r="R899" s="209" t="s">
        <v>175</v>
      </c>
      <c r="S899" s="209" t="s">
        <v>176</v>
      </c>
      <c r="T899" s="209" t="s">
        <v>187</v>
      </c>
      <c r="U899" s="209" t="s">
        <v>188</v>
      </c>
      <c r="V899" s="209" t="s">
        <v>179</v>
      </c>
      <c r="W899" s="209" t="s">
        <v>179</v>
      </c>
      <c r="X899" s="209" t="s">
        <v>180</v>
      </c>
      <c r="Y899" s="209" t="s">
        <v>180</v>
      </c>
      <c r="Z899" s="209">
        <v>9511047780</v>
      </c>
      <c r="AA899" s="209" t="s">
        <v>2024</v>
      </c>
      <c r="AB899" s="209" t="s">
        <v>180</v>
      </c>
      <c r="AC899" s="209" t="s">
        <v>182</v>
      </c>
      <c r="AD899" s="209">
        <v>4</v>
      </c>
      <c r="AE899" s="209">
        <v>2025</v>
      </c>
      <c r="AF899" s="227">
        <v>45758</v>
      </c>
      <c r="AG899" s="227">
        <v>45763</v>
      </c>
      <c r="AH899" s="227">
        <v>45763</v>
      </c>
      <c r="AI899" s="228">
        <v>606528</v>
      </c>
      <c r="AJ899" s="228">
        <v>52</v>
      </c>
      <c r="AK899" s="228">
        <v>606528</v>
      </c>
      <c r="AL899" s="228">
        <v>52</v>
      </c>
      <c r="AM899" s="228">
        <v>0</v>
      </c>
      <c r="AN899" s="228">
        <v>0</v>
      </c>
      <c r="AO899" s="229">
        <v>16</v>
      </c>
      <c r="AP899" s="231">
        <v>4</v>
      </c>
      <c r="AQ899" s="231">
        <v>2025</v>
      </c>
      <c r="AR899" s="231" t="str">
        <f t="shared" si="120"/>
        <v>04/2025</v>
      </c>
      <c r="AS899" s="231">
        <f t="shared" si="121"/>
        <v>30</v>
      </c>
      <c r="AT899" s="239">
        <f>IF(G899="CERVECERIA Y MALTERIA",(AS899*AK899/1000000)*(1-VLOOKUP(N899,FCST!D:I,6,FALSE)),0)</f>
        <v>0</v>
      </c>
      <c r="AU899" s="232">
        <v>5.0000000000000001E-3</v>
      </c>
      <c r="AV899" s="239">
        <f t="shared" si="122"/>
        <v>0</v>
      </c>
      <c r="AW899" s="239">
        <f>(AS899*AK899/1000000)*(VLOOKUP(N899,FCST!D:I,6,FALSE))</f>
        <v>0</v>
      </c>
      <c r="AX899" s="239">
        <f t="shared" si="123"/>
        <v>0</v>
      </c>
      <c r="AY899" s="239">
        <f>IF($G899="CERVECERIA Y MALTERIA.",($AS899*$AK899/1000000)*(1-VLOOKUP($N899,FCST!D:I,6,FALSE)),0)</f>
        <v>18.19584</v>
      </c>
      <c r="AZ899" s="239">
        <f t="shared" si="124"/>
        <v>18.2868192</v>
      </c>
    </row>
    <row r="900" spans="1:52" x14ac:dyDescent="0.25">
      <c r="A900" s="209">
        <v>1109522</v>
      </c>
      <c r="B900" s="209">
        <v>60</v>
      </c>
      <c r="C900" s="209">
        <v>89436194</v>
      </c>
      <c r="D900" s="209">
        <v>10</v>
      </c>
      <c r="E900" s="209">
        <v>10000002</v>
      </c>
      <c r="F900" s="209">
        <v>20000337</v>
      </c>
      <c r="G900" s="209" t="s">
        <v>105</v>
      </c>
      <c r="H900" s="209">
        <v>20000337</v>
      </c>
      <c r="I900" s="209">
        <v>2</v>
      </c>
      <c r="J900" s="209" t="s">
        <v>169</v>
      </c>
      <c r="K900" s="209" t="s">
        <v>2027</v>
      </c>
      <c r="L900" s="209" t="s">
        <v>171</v>
      </c>
      <c r="M900" s="209" t="s">
        <v>199</v>
      </c>
      <c r="N900" s="209">
        <v>50035183</v>
      </c>
      <c r="O900" s="209" t="s">
        <v>215</v>
      </c>
      <c r="P900" s="209">
        <v>5121</v>
      </c>
      <c r="Q900" s="209" t="s">
        <v>200</v>
      </c>
      <c r="R900" s="209" t="s">
        <v>201</v>
      </c>
      <c r="S900" s="209" t="s">
        <v>202</v>
      </c>
      <c r="T900" s="209" t="s">
        <v>203</v>
      </c>
      <c r="U900" s="209" t="s">
        <v>201</v>
      </c>
      <c r="V900" s="209" t="s">
        <v>179</v>
      </c>
      <c r="W900" s="209" t="s">
        <v>179</v>
      </c>
      <c r="X900" s="209" t="s">
        <v>180</v>
      </c>
      <c r="Y900" s="209" t="s">
        <v>180</v>
      </c>
      <c r="Z900" s="209">
        <v>9521068230</v>
      </c>
      <c r="AA900" s="209" t="s">
        <v>2028</v>
      </c>
      <c r="AB900" s="209" t="s">
        <v>180</v>
      </c>
      <c r="AC900" s="209" t="s">
        <v>182</v>
      </c>
      <c r="AD900" s="209">
        <v>3</v>
      </c>
      <c r="AE900" s="209">
        <v>2025</v>
      </c>
      <c r="AF900" s="227">
        <v>45747</v>
      </c>
      <c r="AG900" s="227">
        <v>45763</v>
      </c>
      <c r="AH900" s="227">
        <v>45762</v>
      </c>
      <c r="AI900" s="228">
        <v>426816</v>
      </c>
      <c r="AJ900" s="228">
        <v>52</v>
      </c>
      <c r="AK900" s="228">
        <v>426816</v>
      </c>
      <c r="AL900" s="228">
        <v>52</v>
      </c>
      <c r="AM900" s="228">
        <v>0</v>
      </c>
      <c r="AN900" s="228">
        <v>0</v>
      </c>
      <c r="AO900" s="229">
        <v>14</v>
      </c>
      <c r="AP900" s="231">
        <v>4</v>
      </c>
      <c r="AQ900" s="231">
        <v>2025</v>
      </c>
      <c r="AR900" s="231" t="str">
        <f t="shared" si="120"/>
        <v>04/2025</v>
      </c>
      <c r="AS900" s="231">
        <f t="shared" si="121"/>
        <v>46.6</v>
      </c>
      <c r="AT900" s="239">
        <f>IF(G900="CERVECERIA Y MALTERIA",(AS900*AK900/1000000)*(1-VLOOKUP(N900,FCST!D:I,6,FALSE)),0)</f>
        <v>19.889625600000002</v>
      </c>
      <c r="AU900" s="232">
        <v>5.0000000000000001E-3</v>
      </c>
      <c r="AV900" s="239">
        <f t="shared" si="122"/>
        <v>19.989073728000001</v>
      </c>
      <c r="AW900" s="239">
        <f>(AS900*AK900/1000000)*(VLOOKUP(N900,FCST!D:I,6,FALSE))</f>
        <v>0</v>
      </c>
      <c r="AX900" s="239">
        <f t="shared" si="123"/>
        <v>0</v>
      </c>
      <c r="AY900" s="239">
        <f>IF($G900="CERVECERIA Y MALTERIA.",($AS900*$AK900/1000000)*(1-VLOOKUP($N900,FCST!D:I,6,FALSE)),0)</f>
        <v>0</v>
      </c>
      <c r="AZ900" s="239">
        <f t="shared" si="124"/>
        <v>0</v>
      </c>
    </row>
    <row r="901" spans="1:52" x14ac:dyDescent="0.25">
      <c r="A901" s="209">
        <v>1111068</v>
      </c>
      <c r="B901" s="209">
        <v>30</v>
      </c>
      <c r="C901" s="209">
        <v>89436044</v>
      </c>
      <c r="D901" s="209">
        <v>10</v>
      </c>
      <c r="E901" s="209">
        <v>10000002</v>
      </c>
      <c r="F901" s="209">
        <v>20000339</v>
      </c>
      <c r="G901" s="209" t="s">
        <v>105</v>
      </c>
      <c r="H901" s="209">
        <v>20000339</v>
      </c>
      <c r="I901" s="209">
        <v>2</v>
      </c>
      <c r="J901" s="209" t="s">
        <v>169</v>
      </c>
      <c r="K901" s="209" t="s">
        <v>2029</v>
      </c>
      <c r="L901" s="209" t="s">
        <v>171</v>
      </c>
      <c r="M901" s="209" t="s">
        <v>227</v>
      </c>
      <c r="N901" s="209">
        <v>50034634</v>
      </c>
      <c r="O901" s="209" t="s">
        <v>219</v>
      </c>
      <c r="P901" s="209">
        <v>5121</v>
      </c>
      <c r="Q901" s="209" t="s">
        <v>228</v>
      </c>
      <c r="R901" s="209" t="s">
        <v>229</v>
      </c>
      <c r="S901" s="209" t="s">
        <v>230</v>
      </c>
      <c r="T901" s="209" t="s">
        <v>231</v>
      </c>
      <c r="U901" s="209" t="s">
        <v>232</v>
      </c>
      <c r="V901" s="209" t="s">
        <v>179</v>
      </c>
      <c r="W901" s="209" t="s">
        <v>179</v>
      </c>
      <c r="X901" s="209" t="s">
        <v>180</v>
      </c>
      <c r="Y901" s="209" t="s">
        <v>180</v>
      </c>
      <c r="Z901" s="209">
        <v>9521068225</v>
      </c>
      <c r="AA901" s="209" t="s">
        <v>2030</v>
      </c>
      <c r="AB901" s="209" t="s">
        <v>180</v>
      </c>
      <c r="AC901" s="209" t="s">
        <v>182</v>
      </c>
      <c r="AD901" s="209">
        <v>4</v>
      </c>
      <c r="AE901" s="209">
        <v>2025</v>
      </c>
      <c r="AF901" s="227">
        <v>45754</v>
      </c>
      <c r="AG901" s="227">
        <v>45762</v>
      </c>
      <c r="AH901" s="227">
        <v>45762</v>
      </c>
      <c r="AI901" s="228">
        <v>392448</v>
      </c>
      <c r="AJ901" s="228">
        <v>56</v>
      </c>
      <c r="AK901" s="228">
        <v>392448</v>
      </c>
      <c r="AL901" s="228">
        <v>56</v>
      </c>
      <c r="AM901" s="228">
        <v>0</v>
      </c>
      <c r="AN901" s="228">
        <v>0</v>
      </c>
      <c r="AO901" s="229">
        <v>15</v>
      </c>
      <c r="AP901" s="231">
        <v>4</v>
      </c>
      <c r="AQ901" s="231">
        <v>2025</v>
      </c>
      <c r="AR901" s="231" t="str">
        <f t="shared" si="120"/>
        <v>04/2025</v>
      </c>
      <c r="AS901" s="231">
        <f t="shared" si="121"/>
        <v>52</v>
      </c>
      <c r="AT901" s="239">
        <f>IF(G901="CERVECERIA Y MALTERIA",(AS901*AK901/1000000)*(1-VLOOKUP(N901,FCST!D:I,6,FALSE)),0)</f>
        <v>20.407295999999999</v>
      </c>
      <c r="AU901" s="232">
        <v>5.0000000000000001E-3</v>
      </c>
      <c r="AV901" s="239">
        <f t="shared" si="122"/>
        <v>20.509332479999998</v>
      </c>
      <c r="AW901" s="239">
        <f>(AS901*AK901/1000000)*(VLOOKUP(N901,FCST!D:I,6,FALSE))</f>
        <v>0</v>
      </c>
      <c r="AX901" s="239">
        <f t="shared" si="123"/>
        <v>0</v>
      </c>
      <c r="AY901" s="239">
        <f>IF($G901="CERVECERIA Y MALTERIA.",($AS901*$AK901/1000000)*(1-VLOOKUP($N901,FCST!D:I,6,FALSE)),0)</f>
        <v>0</v>
      </c>
      <c r="AZ901" s="239">
        <f t="shared" si="124"/>
        <v>0</v>
      </c>
    </row>
    <row r="902" spans="1:52" x14ac:dyDescent="0.25">
      <c r="A902" s="209">
        <v>1111956</v>
      </c>
      <c r="B902" s="209">
        <v>30</v>
      </c>
      <c r="C902" s="209">
        <v>89435991</v>
      </c>
      <c r="D902" s="209">
        <v>10</v>
      </c>
      <c r="E902" s="209">
        <v>10000002</v>
      </c>
      <c r="F902" s="209">
        <v>20000335</v>
      </c>
      <c r="G902" s="209" t="s">
        <v>105</v>
      </c>
      <c r="H902" s="209">
        <v>20000335</v>
      </c>
      <c r="I902" s="209">
        <v>2</v>
      </c>
      <c r="J902" s="209" t="s">
        <v>169</v>
      </c>
      <c r="K902" s="209" t="s">
        <v>2031</v>
      </c>
      <c r="L902" s="209" t="s">
        <v>171</v>
      </c>
      <c r="M902" s="209" t="s">
        <v>199</v>
      </c>
      <c r="N902" s="209">
        <v>50035184</v>
      </c>
      <c r="O902" s="209" t="s">
        <v>672</v>
      </c>
      <c r="P902" s="209">
        <v>5121</v>
      </c>
      <c r="Q902" s="209" t="s">
        <v>200</v>
      </c>
      <c r="R902" s="209" t="s">
        <v>201</v>
      </c>
      <c r="S902" s="209" t="s">
        <v>202</v>
      </c>
      <c r="T902" s="209" t="s">
        <v>203</v>
      </c>
      <c r="U902" s="209" t="s">
        <v>201</v>
      </c>
      <c r="V902" s="209" t="s">
        <v>179</v>
      </c>
      <c r="W902" s="209" t="s">
        <v>179</v>
      </c>
      <c r="X902" s="209" t="s">
        <v>180</v>
      </c>
      <c r="Y902" s="209" t="s">
        <v>180</v>
      </c>
      <c r="Z902" s="209">
        <v>9521068240</v>
      </c>
      <c r="AA902" s="209" t="s">
        <v>2021</v>
      </c>
      <c r="AB902" s="209" t="s">
        <v>180</v>
      </c>
      <c r="AC902" s="209" t="s">
        <v>182</v>
      </c>
      <c r="AD902" s="209">
        <v>4</v>
      </c>
      <c r="AE902" s="209">
        <v>2025</v>
      </c>
      <c r="AF902" s="227">
        <v>45758</v>
      </c>
      <c r="AG902" s="227">
        <v>45762</v>
      </c>
      <c r="AH902" s="227">
        <v>45762</v>
      </c>
      <c r="AI902" s="228">
        <v>977184</v>
      </c>
      <c r="AJ902" s="228">
        <v>52</v>
      </c>
      <c r="AK902" s="228">
        <v>977184</v>
      </c>
      <c r="AL902" s="228">
        <v>52</v>
      </c>
      <c r="AM902" s="228">
        <v>0</v>
      </c>
      <c r="AN902" s="228">
        <v>0</v>
      </c>
      <c r="AO902" s="229">
        <v>16</v>
      </c>
      <c r="AP902" s="231">
        <v>4</v>
      </c>
      <c r="AQ902" s="231">
        <v>2025</v>
      </c>
      <c r="AR902" s="231" t="str">
        <f t="shared" si="120"/>
        <v>04/2025</v>
      </c>
      <c r="AS902" s="231">
        <f t="shared" si="121"/>
        <v>19.5</v>
      </c>
      <c r="AT902" s="239">
        <f>IF(G902="CERVECERIA Y MALTERIA",(AS902*AK902/1000000)*(1-VLOOKUP(N902,FCST!D:I,6,FALSE)),0)</f>
        <v>19.055088000000001</v>
      </c>
      <c r="AU902" s="232">
        <v>5.0000000000000001E-3</v>
      </c>
      <c r="AV902" s="239">
        <f t="shared" si="122"/>
        <v>19.15036344</v>
      </c>
      <c r="AW902" s="239">
        <f>(AS902*AK902/1000000)*(VLOOKUP(N902,FCST!D:I,6,FALSE))</f>
        <v>0</v>
      </c>
      <c r="AX902" s="239">
        <f t="shared" si="123"/>
        <v>0</v>
      </c>
      <c r="AY902" s="239">
        <f>IF($G902="CERVECERIA Y MALTERIA.",($AS902*$AK902/1000000)*(1-VLOOKUP($N902,FCST!D:I,6,FALSE)),0)</f>
        <v>0</v>
      </c>
      <c r="AZ902" s="239">
        <f t="shared" si="124"/>
        <v>0</v>
      </c>
    </row>
    <row r="903" spans="1:52" x14ac:dyDescent="0.25">
      <c r="A903" s="209">
        <v>1111957</v>
      </c>
      <c r="B903" s="209">
        <v>30</v>
      </c>
      <c r="C903" s="209">
        <v>89435964</v>
      </c>
      <c r="D903" s="209">
        <v>10</v>
      </c>
      <c r="E903" s="209">
        <v>10000002</v>
      </c>
      <c r="F903" s="209">
        <v>20000340</v>
      </c>
      <c r="G903" s="209" t="s">
        <v>117</v>
      </c>
      <c r="H903" s="209">
        <v>20000340</v>
      </c>
      <c r="I903" s="209">
        <v>2</v>
      </c>
      <c r="J903" s="209" t="s">
        <v>169</v>
      </c>
      <c r="K903" s="209" t="s">
        <v>2032</v>
      </c>
      <c r="L903" s="209" t="s">
        <v>171</v>
      </c>
      <c r="M903" s="209" t="s">
        <v>172</v>
      </c>
      <c r="N903" s="209">
        <v>50036718</v>
      </c>
      <c r="O903" s="209" t="s">
        <v>259</v>
      </c>
      <c r="P903" s="209">
        <v>5101</v>
      </c>
      <c r="Q903" s="209" t="s">
        <v>186</v>
      </c>
      <c r="R903" s="209" t="s">
        <v>175</v>
      </c>
      <c r="S903" s="209" t="s">
        <v>176</v>
      </c>
      <c r="T903" s="209" t="s">
        <v>187</v>
      </c>
      <c r="U903" s="209" t="s">
        <v>188</v>
      </c>
      <c r="V903" s="209" t="s">
        <v>179</v>
      </c>
      <c r="W903" s="209" t="s">
        <v>179</v>
      </c>
      <c r="X903" s="209" t="s">
        <v>180</v>
      </c>
      <c r="Y903" s="209" t="s">
        <v>180</v>
      </c>
      <c r="Z903" s="209">
        <v>9511047765</v>
      </c>
      <c r="AA903" s="209" t="s">
        <v>1945</v>
      </c>
      <c r="AB903" s="209" t="s">
        <v>180</v>
      </c>
      <c r="AC903" s="209" t="s">
        <v>182</v>
      </c>
      <c r="AD903" s="209">
        <v>4</v>
      </c>
      <c r="AE903" s="209">
        <v>2025</v>
      </c>
      <c r="AF903" s="227">
        <v>45758</v>
      </c>
      <c r="AG903" s="227">
        <v>45762</v>
      </c>
      <c r="AH903" s="227">
        <v>45762</v>
      </c>
      <c r="AI903" s="228">
        <v>519168</v>
      </c>
      <c r="AJ903" s="228">
        <v>52</v>
      </c>
      <c r="AK903" s="228">
        <v>519168</v>
      </c>
      <c r="AL903" s="228">
        <v>52</v>
      </c>
      <c r="AM903" s="228">
        <v>0</v>
      </c>
      <c r="AN903" s="228">
        <v>0</v>
      </c>
      <c r="AO903" s="229">
        <v>16</v>
      </c>
      <c r="AP903" s="231">
        <v>4</v>
      </c>
      <c r="AQ903" s="231">
        <v>2025</v>
      </c>
      <c r="AR903" s="231" t="str">
        <f t="shared" si="120"/>
        <v>04/2025</v>
      </c>
      <c r="AS903" s="231">
        <f t="shared" si="121"/>
        <v>34</v>
      </c>
      <c r="AT903" s="239">
        <f>IF(G903="CERVECERIA Y MALTERIA",(AS903*AK903/1000000)*(1-VLOOKUP(N903,FCST!D:I,6,FALSE)),0)</f>
        <v>0</v>
      </c>
      <c r="AU903" s="232">
        <v>5.0000000000000001E-3</v>
      </c>
      <c r="AV903" s="239">
        <f t="shared" si="122"/>
        <v>0</v>
      </c>
      <c r="AW903" s="239">
        <f>(AS903*AK903/1000000)*(VLOOKUP(N903,FCST!D:I,6,FALSE))</f>
        <v>0</v>
      </c>
      <c r="AX903" s="239">
        <f t="shared" si="123"/>
        <v>0</v>
      </c>
      <c r="AY903" s="239">
        <f>IF($G903="CERVECERIA Y MALTERIA.",($AS903*$AK903/1000000)*(1-VLOOKUP($N903,FCST!D:I,6,FALSE)),0)</f>
        <v>17.651712</v>
      </c>
      <c r="AZ903" s="239">
        <f t="shared" si="124"/>
        <v>17.73997056</v>
      </c>
    </row>
    <row r="904" spans="1:52" x14ac:dyDescent="0.25">
      <c r="A904" s="209">
        <v>1111956</v>
      </c>
      <c r="B904" s="209">
        <v>40</v>
      </c>
      <c r="C904" s="209">
        <v>89435961</v>
      </c>
      <c r="D904" s="209">
        <v>10</v>
      </c>
      <c r="E904" s="209">
        <v>10000002</v>
      </c>
      <c r="F904" s="209">
        <v>20000335</v>
      </c>
      <c r="G904" s="209" t="s">
        <v>105</v>
      </c>
      <c r="H904" s="209">
        <v>20000335</v>
      </c>
      <c r="I904" s="209">
        <v>2</v>
      </c>
      <c r="J904" s="209" t="s">
        <v>169</v>
      </c>
      <c r="K904" s="209" t="s">
        <v>2033</v>
      </c>
      <c r="L904" s="209" t="s">
        <v>171</v>
      </c>
      <c r="M904" s="209" t="s">
        <v>199</v>
      </c>
      <c r="N904" s="209">
        <v>50034616</v>
      </c>
      <c r="O904" s="209" t="s">
        <v>191</v>
      </c>
      <c r="P904" s="209">
        <v>5121</v>
      </c>
      <c r="Q904" s="209" t="s">
        <v>200</v>
      </c>
      <c r="R904" s="209" t="s">
        <v>201</v>
      </c>
      <c r="S904" s="209" t="s">
        <v>202</v>
      </c>
      <c r="T904" s="209" t="s">
        <v>203</v>
      </c>
      <c r="U904" s="209" t="s">
        <v>201</v>
      </c>
      <c r="V904" s="209" t="s">
        <v>179</v>
      </c>
      <c r="W904" s="209" t="s">
        <v>179</v>
      </c>
      <c r="X904" s="209" t="s">
        <v>180</v>
      </c>
      <c r="Y904" s="209" t="s">
        <v>180</v>
      </c>
      <c r="Z904" s="209">
        <v>9521068237</v>
      </c>
      <c r="AA904" s="209" t="s">
        <v>1940</v>
      </c>
      <c r="AB904" s="209" t="s">
        <v>180</v>
      </c>
      <c r="AC904" s="209" t="s">
        <v>182</v>
      </c>
      <c r="AD904" s="209">
        <v>4</v>
      </c>
      <c r="AE904" s="209">
        <v>2025</v>
      </c>
      <c r="AF904" s="227">
        <v>45758</v>
      </c>
      <c r="AG904" s="227">
        <v>45762</v>
      </c>
      <c r="AH904" s="227">
        <v>45762</v>
      </c>
      <c r="AI904" s="228">
        <v>426816</v>
      </c>
      <c r="AJ904" s="228">
        <v>52</v>
      </c>
      <c r="AK904" s="228">
        <v>426816</v>
      </c>
      <c r="AL904" s="228">
        <v>52</v>
      </c>
      <c r="AM904" s="228">
        <v>0</v>
      </c>
      <c r="AN904" s="228">
        <v>0</v>
      </c>
      <c r="AO904" s="229">
        <v>16</v>
      </c>
      <c r="AP904" s="231">
        <v>4</v>
      </c>
      <c r="AQ904" s="231">
        <v>2025</v>
      </c>
      <c r="AR904" s="231" t="str">
        <f t="shared" si="120"/>
        <v>04/2025</v>
      </c>
      <c r="AS904" s="231">
        <f t="shared" si="121"/>
        <v>46.6</v>
      </c>
      <c r="AT904" s="239">
        <f>IF(G904="CERVECERIA Y MALTERIA",(AS904*AK904/1000000)*(1-VLOOKUP(N904,FCST!D:I,6,FALSE)),0)</f>
        <v>19.889625600000002</v>
      </c>
      <c r="AU904" s="232">
        <v>5.0000000000000001E-3</v>
      </c>
      <c r="AV904" s="239">
        <f t="shared" si="122"/>
        <v>19.989073728000001</v>
      </c>
      <c r="AW904" s="239">
        <f>(AS904*AK904/1000000)*(VLOOKUP(N904,FCST!D:I,6,FALSE))</f>
        <v>0</v>
      </c>
      <c r="AX904" s="239">
        <f t="shared" si="123"/>
        <v>0</v>
      </c>
      <c r="AY904" s="239">
        <f>IF($G904="CERVECERIA Y MALTERIA.",($AS904*$AK904/1000000)*(1-VLOOKUP($N904,FCST!D:I,6,FALSE)),0)</f>
        <v>0</v>
      </c>
      <c r="AZ904" s="239">
        <f t="shared" si="124"/>
        <v>0</v>
      </c>
    </row>
    <row r="905" spans="1:52" x14ac:dyDescent="0.25">
      <c r="A905" s="209">
        <v>1111956</v>
      </c>
      <c r="B905" s="209">
        <v>60</v>
      </c>
      <c r="C905" s="209">
        <v>89437882</v>
      </c>
      <c r="D905" s="209">
        <v>10</v>
      </c>
      <c r="E905" s="209">
        <v>10000002</v>
      </c>
      <c r="F905" s="209">
        <v>20000335</v>
      </c>
      <c r="G905" s="209" t="s">
        <v>105</v>
      </c>
      <c r="H905" s="209">
        <v>20000335</v>
      </c>
      <c r="I905" s="209">
        <v>2</v>
      </c>
      <c r="J905" s="209" t="s">
        <v>169</v>
      </c>
      <c r="K905" s="209" t="s">
        <v>2034</v>
      </c>
      <c r="L905" s="209" t="s">
        <v>171</v>
      </c>
      <c r="M905" s="209" t="s">
        <v>199</v>
      </c>
      <c r="N905" s="209">
        <v>50034616</v>
      </c>
      <c r="O905" s="209" t="s">
        <v>191</v>
      </c>
      <c r="P905" s="209">
        <v>5121</v>
      </c>
      <c r="Q905" s="209" t="s">
        <v>200</v>
      </c>
      <c r="R905" s="209" t="s">
        <v>201</v>
      </c>
      <c r="S905" s="209" t="s">
        <v>202</v>
      </c>
      <c r="T905" s="209" t="s">
        <v>203</v>
      </c>
      <c r="U905" s="209" t="s">
        <v>201</v>
      </c>
      <c r="V905" s="209" t="s">
        <v>179</v>
      </c>
      <c r="W905" s="209" t="s">
        <v>179</v>
      </c>
      <c r="X905" s="209" t="s">
        <v>180</v>
      </c>
      <c r="Y905" s="209" t="s">
        <v>180</v>
      </c>
      <c r="Z905" s="209">
        <v>9521068237</v>
      </c>
      <c r="AA905" s="209" t="s">
        <v>1940</v>
      </c>
      <c r="AB905" s="209" t="s">
        <v>180</v>
      </c>
      <c r="AC905" s="209" t="s">
        <v>182</v>
      </c>
      <c r="AD905" s="209">
        <v>4</v>
      </c>
      <c r="AE905" s="209">
        <v>2025</v>
      </c>
      <c r="AF905" s="227">
        <v>45758</v>
      </c>
      <c r="AG905" s="227">
        <v>45764</v>
      </c>
      <c r="AH905" s="227">
        <v>45764</v>
      </c>
      <c r="AI905" s="228">
        <v>426816</v>
      </c>
      <c r="AJ905" s="228">
        <v>52</v>
      </c>
      <c r="AK905" s="228">
        <v>426816</v>
      </c>
      <c r="AL905" s="228">
        <v>52</v>
      </c>
      <c r="AM905" s="228">
        <v>0</v>
      </c>
      <c r="AN905" s="228">
        <v>0</v>
      </c>
      <c r="AO905" s="229">
        <v>16</v>
      </c>
      <c r="AP905" s="231">
        <v>4</v>
      </c>
      <c r="AQ905" s="231">
        <v>2025</v>
      </c>
      <c r="AR905" s="231" t="str">
        <f t="shared" si="120"/>
        <v>04/2025</v>
      </c>
      <c r="AS905" s="231">
        <f t="shared" si="121"/>
        <v>46.6</v>
      </c>
      <c r="AT905" s="239">
        <f>IF(G905="CERVECERIA Y MALTERIA",(AS905*AK905/1000000)*(1-VLOOKUP(N905,FCST!D:I,6,FALSE)),0)</f>
        <v>19.889625600000002</v>
      </c>
      <c r="AU905" s="232">
        <v>5.0000000000000001E-3</v>
      </c>
      <c r="AV905" s="239">
        <f t="shared" si="122"/>
        <v>19.989073728000001</v>
      </c>
      <c r="AW905" s="239">
        <f>(AS905*AK905/1000000)*(VLOOKUP(N905,FCST!D:I,6,FALSE))</f>
        <v>0</v>
      </c>
      <c r="AX905" s="239">
        <f t="shared" si="123"/>
        <v>0</v>
      </c>
      <c r="AY905" s="239">
        <f>IF($G905="CERVECERIA Y MALTERIA.",($AS905*$AK905/1000000)*(1-VLOOKUP($N905,FCST!D:I,6,FALSE)),0)</f>
        <v>0</v>
      </c>
      <c r="AZ905" s="239">
        <f t="shared" si="124"/>
        <v>0</v>
      </c>
    </row>
    <row r="906" spans="1:52" x14ac:dyDescent="0.25">
      <c r="A906" s="209">
        <v>1111958</v>
      </c>
      <c r="B906" s="209">
        <v>10</v>
      </c>
      <c r="C906" s="209">
        <v>89437879</v>
      </c>
      <c r="D906" s="209">
        <v>10</v>
      </c>
      <c r="E906" s="209">
        <v>10000002</v>
      </c>
      <c r="F906" s="209">
        <v>20000340</v>
      </c>
      <c r="G906" s="209" t="s">
        <v>117</v>
      </c>
      <c r="H906" s="209">
        <v>20000340</v>
      </c>
      <c r="I906" s="209">
        <v>2</v>
      </c>
      <c r="J906" s="209" t="s">
        <v>169</v>
      </c>
      <c r="K906" s="209" t="s">
        <v>2035</v>
      </c>
      <c r="L906" s="209" t="s">
        <v>171</v>
      </c>
      <c r="M906" s="209" t="s">
        <v>172</v>
      </c>
      <c r="N906" s="209">
        <v>50039337</v>
      </c>
      <c r="O906" s="209" t="s">
        <v>124</v>
      </c>
      <c r="P906" s="209">
        <v>5121</v>
      </c>
      <c r="Q906" s="209" t="s">
        <v>174</v>
      </c>
      <c r="R906" s="209" t="s">
        <v>175</v>
      </c>
      <c r="S906" s="209" t="s">
        <v>176</v>
      </c>
      <c r="T906" s="209" t="s">
        <v>177</v>
      </c>
      <c r="U906" s="209" t="s">
        <v>178</v>
      </c>
      <c r="V906" s="209" t="s">
        <v>179</v>
      </c>
      <c r="W906" s="209" t="s">
        <v>179</v>
      </c>
      <c r="X906" s="209" t="s">
        <v>180</v>
      </c>
      <c r="Y906" s="209" t="s">
        <v>180</v>
      </c>
      <c r="Z906" s="209">
        <v>9521068311</v>
      </c>
      <c r="AA906" s="209" t="s">
        <v>2036</v>
      </c>
      <c r="AB906" s="209" t="s">
        <v>180</v>
      </c>
      <c r="AC906" s="209" t="s">
        <v>182</v>
      </c>
      <c r="AD906" s="209">
        <v>4</v>
      </c>
      <c r="AE906" s="209">
        <v>2025</v>
      </c>
      <c r="AF906" s="227">
        <v>45758</v>
      </c>
      <c r="AG906" s="227">
        <v>45764</v>
      </c>
      <c r="AH906" s="227">
        <v>45764</v>
      </c>
      <c r="AI906" s="228">
        <v>591552</v>
      </c>
      <c r="AJ906" s="228">
        <v>52</v>
      </c>
      <c r="AK906" s="228">
        <v>591552</v>
      </c>
      <c r="AL906" s="228">
        <v>52</v>
      </c>
      <c r="AM906" s="228">
        <v>0</v>
      </c>
      <c r="AN906" s="228">
        <v>0</v>
      </c>
      <c r="AO906" s="229">
        <v>16</v>
      </c>
      <c r="AP906" s="231">
        <v>4</v>
      </c>
      <c r="AQ906" s="231">
        <v>2025</v>
      </c>
      <c r="AR906" s="231" t="str">
        <f t="shared" si="120"/>
        <v>04/2025</v>
      </c>
      <c r="AS906" s="231">
        <f t="shared" si="121"/>
        <v>30</v>
      </c>
      <c r="AT906" s="239">
        <f>IF(G906="CERVECERIA Y MALTERIA",(AS906*AK906/1000000)*(1-VLOOKUP(N906,FCST!D:I,6,FALSE)),0)</f>
        <v>0</v>
      </c>
      <c r="AU906" s="232">
        <v>5.0000000000000001E-3</v>
      </c>
      <c r="AV906" s="239">
        <f t="shared" si="122"/>
        <v>0</v>
      </c>
      <c r="AW906" s="239">
        <f>(AS906*AK906/1000000)*(VLOOKUP(N906,FCST!D:I,6,FALSE))</f>
        <v>0</v>
      </c>
      <c r="AX906" s="239">
        <f t="shared" si="123"/>
        <v>0</v>
      </c>
      <c r="AY906" s="239">
        <f>IF($G906="CERVECERIA Y MALTERIA.",($AS906*$AK906/1000000)*(1-VLOOKUP($N906,FCST!D:I,6,FALSE)),0)</f>
        <v>17.746559999999999</v>
      </c>
      <c r="AZ906" s="239">
        <f t="shared" si="124"/>
        <v>17.835292799999998</v>
      </c>
    </row>
    <row r="907" spans="1:52" x14ac:dyDescent="0.25">
      <c r="A907" s="209">
        <v>10002024</v>
      </c>
      <c r="B907" s="209">
        <v>10</v>
      </c>
      <c r="C907" s="209">
        <v>89437439</v>
      </c>
      <c r="D907" s="209">
        <v>10</v>
      </c>
      <c r="E907" s="209">
        <v>10000002</v>
      </c>
      <c r="F907" s="209">
        <v>20000339</v>
      </c>
      <c r="G907" s="209" t="s">
        <v>105</v>
      </c>
      <c r="H907" s="209">
        <v>20000339</v>
      </c>
      <c r="I907" s="209">
        <v>2</v>
      </c>
      <c r="J907" s="209" t="s">
        <v>169</v>
      </c>
      <c r="K907" s="209" t="s">
        <v>2037</v>
      </c>
      <c r="L907" s="209" t="s">
        <v>171</v>
      </c>
      <c r="M907" s="209" t="s">
        <v>172</v>
      </c>
      <c r="N907" s="209">
        <v>50033268</v>
      </c>
      <c r="O907" s="209" t="s">
        <v>253</v>
      </c>
      <c r="P907" s="209">
        <v>5121</v>
      </c>
      <c r="Q907" s="209" t="s">
        <v>174</v>
      </c>
      <c r="R907" s="209" t="s">
        <v>175</v>
      </c>
      <c r="S907" s="209" t="s">
        <v>176</v>
      </c>
      <c r="T907" s="209" t="s">
        <v>177</v>
      </c>
      <c r="U907" s="209" t="s">
        <v>178</v>
      </c>
      <c r="V907" s="209" t="s">
        <v>179</v>
      </c>
      <c r="W907" s="209" t="s">
        <v>179</v>
      </c>
      <c r="X907" s="209" t="s">
        <v>180</v>
      </c>
      <c r="Y907" s="209" t="s">
        <v>180</v>
      </c>
      <c r="Z907" s="209" t="s">
        <v>180</v>
      </c>
      <c r="AA907" s="209" t="s">
        <v>180</v>
      </c>
      <c r="AB907" s="209" t="s">
        <v>180</v>
      </c>
      <c r="AC907" s="209" t="s">
        <v>182</v>
      </c>
      <c r="AD907" s="209">
        <v>4</v>
      </c>
      <c r="AE907" s="209">
        <v>2025</v>
      </c>
      <c r="AF907" s="227">
        <v>45763</v>
      </c>
      <c r="AG907" s="227">
        <v>45763</v>
      </c>
      <c r="AH907" s="227">
        <v>45763</v>
      </c>
      <c r="AI907" s="228">
        <v>15648</v>
      </c>
      <c r="AJ907" s="228">
        <v>2</v>
      </c>
      <c r="AK907" s="228">
        <v>15648</v>
      </c>
      <c r="AL907" s="228">
        <v>2</v>
      </c>
      <c r="AM907" s="228">
        <v>0</v>
      </c>
      <c r="AN907" s="228">
        <v>0</v>
      </c>
      <c r="AO907" s="229">
        <v>16</v>
      </c>
      <c r="AP907" s="231">
        <v>4</v>
      </c>
      <c r="AQ907" s="231">
        <v>2025</v>
      </c>
      <c r="AR907" s="231" t="str">
        <f t="shared" si="120"/>
        <v>04/2025</v>
      </c>
      <c r="AS907" s="231">
        <f t="shared" si="121"/>
        <v>44</v>
      </c>
      <c r="AT907" s="239">
        <f>IF(G907="CERVECERIA Y MALTERIA",(AS907*AK907/1000000)*(1-VLOOKUP(N907,FCST!D:I,6,FALSE)),0)</f>
        <v>0.68851200000000001</v>
      </c>
      <c r="AU907" s="232">
        <v>5.0000000000000001E-3</v>
      </c>
      <c r="AV907" s="239">
        <f t="shared" si="122"/>
        <v>0.69195455999999989</v>
      </c>
      <c r="AW907" s="239">
        <f>(AS907*AK907/1000000)*(VLOOKUP(N907,FCST!D:I,6,FALSE))</f>
        <v>0</v>
      </c>
      <c r="AX907" s="239">
        <f t="shared" si="123"/>
        <v>0</v>
      </c>
      <c r="AY907" s="239">
        <f>IF($G907="CERVECERIA Y MALTERIA.",($AS907*$AK907/1000000)*(1-VLOOKUP($N907,FCST!D:I,6,FALSE)),0)</f>
        <v>0</v>
      </c>
      <c r="AZ907" s="239">
        <f t="shared" si="124"/>
        <v>0</v>
      </c>
    </row>
    <row r="908" spans="1:52" x14ac:dyDescent="0.25">
      <c r="A908" s="209">
        <v>1111068</v>
      </c>
      <c r="B908" s="209">
        <v>40</v>
      </c>
      <c r="C908" s="209">
        <v>89437438</v>
      </c>
      <c r="D908" s="209">
        <v>10</v>
      </c>
      <c r="E908" s="209">
        <v>10000002</v>
      </c>
      <c r="F908" s="209">
        <v>20000339</v>
      </c>
      <c r="G908" s="209" t="s">
        <v>105</v>
      </c>
      <c r="H908" s="209">
        <v>20000339</v>
      </c>
      <c r="I908" s="209">
        <v>2</v>
      </c>
      <c r="J908" s="209" t="s">
        <v>169</v>
      </c>
      <c r="K908" s="209" t="s">
        <v>2038</v>
      </c>
      <c r="L908" s="209" t="s">
        <v>171</v>
      </c>
      <c r="M908" s="209" t="s">
        <v>172</v>
      </c>
      <c r="N908" s="209">
        <v>50034634</v>
      </c>
      <c r="O908" s="209" t="s">
        <v>219</v>
      </c>
      <c r="P908" s="209">
        <v>5121</v>
      </c>
      <c r="Q908" s="209" t="s">
        <v>174</v>
      </c>
      <c r="R908" s="209" t="s">
        <v>175</v>
      </c>
      <c r="S908" s="209" t="s">
        <v>176</v>
      </c>
      <c r="T908" s="209" t="s">
        <v>177</v>
      </c>
      <c r="U908" s="209" t="s">
        <v>178</v>
      </c>
      <c r="V908" s="209" t="s">
        <v>179</v>
      </c>
      <c r="W908" s="209" t="s">
        <v>179</v>
      </c>
      <c r="X908" s="209" t="s">
        <v>180</v>
      </c>
      <c r="Y908" s="209" t="s">
        <v>180</v>
      </c>
      <c r="Z908" s="209">
        <v>9521068248</v>
      </c>
      <c r="AA908" s="209" t="s">
        <v>1994</v>
      </c>
      <c r="AB908" s="209" t="s">
        <v>180</v>
      </c>
      <c r="AC908" s="209" t="s">
        <v>182</v>
      </c>
      <c r="AD908" s="209">
        <v>4</v>
      </c>
      <c r="AE908" s="209">
        <v>2025</v>
      </c>
      <c r="AF908" s="227">
        <v>45754</v>
      </c>
      <c r="AG908" s="227">
        <v>45763</v>
      </c>
      <c r="AH908" s="227">
        <v>45763</v>
      </c>
      <c r="AI908" s="228">
        <v>84096</v>
      </c>
      <c r="AJ908" s="228">
        <v>12</v>
      </c>
      <c r="AK908" s="228">
        <v>84096</v>
      </c>
      <c r="AL908" s="228">
        <v>12</v>
      </c>
      <c r="AM908" s="228">
        <v>0</v>
      </c>
      <c r="AN908" s="228">
        <v>0</v>
      </c>
      <c r="AO908" s="229">
        <v>15</v>
      </c>
      <c r="AP908" s="231">
        <v>4</v>
      </c>
      <c r="AQ908" s="231">
        <v>2025</v>
      </c>
      <c r="AR908" s="231" t="str">
        <f t="shared" si="120"/>
        <v>04/2025</v>
      </c>
      <c r="AS908" s="231">
        <f t="shared" si="121"/>
        <v>52</v>
      </c>
      <c r="AT908" s="239">
        <f>IF(G908="CERVECERIA Y MALTERIA",(AS908*AK908/1000000)*(1-VLOOKUP(N908,FCST!D:I,6,FALSE)),0)</f>
        <v>4.372992</v>
      </c>
      <c r="AU908" s="232">
        <v>5.0000000000000001E-3</v>
      </c>
      <c r="AV908" s="239">
        <f t="shared" si="122"/>
        <v>4.3948569599999994</v>
      </c>
      <c r="AW908" s="239">
        <f>(AS908*AK908/1000000)*(VLOOKUP(N908,FCST!D:I,6,FALSE))</f>
        <v>0</v>
      </c>
      <c r="AX908" s="239">
        <f t="shared" si="123"/>
        <v>0</v>
      </c>
      <c r="AY908" s="239">
        <f>IF($G908="CERVECERIA Y MALTERIA.",($AS908*$AK908/1000000)*(1-VLOOKUP($N908,FCST!D:I,6,FALSE)),0)</f>
        <v>0</v>
      </c>
      <c r="AZ908" s="239">
        <f t="shared" si="124"/>
        <v>0</v>
      </c>
    </row>
    <row r="909" spans="1:52" x14ac:dyDescent="0.25">
      <c r="A909" s="209">
        <v>1109522</v>
      </c>
      <c r="B909" s="209">
        <v>40</v>
      </c>
      <c r="C909" s="209">
        <v>89434271</v>
      </c>
      <c r="D909" s="209">
        <v>20</v>
      </c>
      <c r="E909" s="209">
        <v>10000002</v>
      </c>
      <c r="F909" s="209">
        <v>20000337</v>
      </c>
      <c r="G909" s="209" t="s">
        <v>105</v>
      </c>
      <c r="H909" s="209">
        <v>20000337</v>
      </c>
      <c r="I909" s="209">
        <v>2</v>
      </c>
      <c r="J909" s="209" t="s">
        <v>169</v>
      </c>
      <c r="K909" s="209" t="s">
        <v>2039</v>
      </c>
      <c r="L909" s="209" t="s">
        <v>171</v>
      </c>
      <c r="M909" s="209" t="s">
        <v>172</v>
      </c>
      <c r="N909" s="209">
        <v>50032573</v>
      </c>
      <c r="O909" s="209" t="s">
        <v>173</v>
      </c>
      <c r="P909" s="209">
        <v>5121</v>
      </c>
      <c r="Q909" s="209" t="s">
        <v>174</v>
      </c>
      <c r="R909" s="209" t="s">
        <v>175</v>
      </c>
      <c r="S909" s="209" t="s">
        <v>176</v>
      </c>
      <c r="T909" s="209" t="s">
        <v>177</v>
      </c>
      <c r="U909" s="209" t="s">
        <v>178</v>
      </c>
      <c r="V909" s="209" t="s">
        <v>179</v>
      </c>
      <c r="W909" s="209" t="s">
        <v>179</v>
      </c>
      <c r="X909" s="209" t="s">
        <v>180</v>
      </c>
      <c r="Y909" s="209" t="s">
        <v>180</v>
      </c>
      <c r="Z909" s="209">
        <v>9521068227</v>
      </c>
      <c r="AA909" s="209" t="s">
        <v>2040</v>
      </c>
      <c r="AB909" s="209" t="s">
        <v>180</v>
      </c>
      <c r="AC909" s="209" t="s">
        <v>182</v>
      </c>
      <c r="AD909" s="209">
        <v>3</v>
      </c>
      <c r="AE909" s="209">
        <v>2025</v>
      </c>
      <c r="AF909" s="227">
        <v>45747</v>
      </c>
      <c r="AG909" s="227">
        <v>45759</v>
      </c>
      <c r="AH909" s="227">
        <v>45759</v>
      </c>
      <c r="AI909" s="228">
        <v>51120</v>
      </c>
      <c r="AJ909" s="228">
        <v>5</v>
      </c>
      <c r="AK909" s="228">
        <v>51120</v>
      </c>
      <c r="AL909" s="228">
        <v>5</v>
      </c>
      <c r="AM909" s="228">
        <v>0</v>
      </c>
      <c r="AN909" s="228">
        <v>0</v>
      </c>
      <c r="AO909" s="229">
        <v>14</v>
      </c>
      <c r="AP909" s="231">
        <v>4</v>
      </c>
      <c r="AQ909" s="231">
        <v>2025</v>
      </c>
      <c r="AR909" s="231" t="str">
        <f t="shared" si="120"/>
        <v>04/2025</v>
      </c>
      <c r="AS909" s="231">
        <f t="shared" si="121"/>
        <v>37.200000000000003</v>
      </c>
      <c r="AT909" s="239">
        <f>IF(G909="CERVECERIA Y MALTERIA",(AS909*AK909/1000000)*(1-VLOOKUP(N909,FCST!D:I,6,FALSE)),0)</f>
        <v>1.9016640000000002</v>
      </c>
      <c r="AU909" s="232">
        <v>5.0000000000000001E-3</v>
      </c>
      <c r="AV909" s="239">
        <f t="shared" si="122"/>
        <v>1.9111723200000001</v>
      </c>
      <c r="AW909" s="239">
        <f>(AS909*AK909/1000000)*(VLOOKUP(N909,FCST!D:I,6,FALSE))</f>
        <v>0</v>
      </c>
      <c r="AX909" s="239">
        <f t="shared" si="123"/>
        <v>0</v>
      </c>
      <c r="AY909" s="239">
        <f>IF($G909="CERVECERIA Y MALTERIA.",($AS909*$AK909/1000000)*(1-VLOOKUP($N909,FCST!D:I,6,FALSE)),0)</f>
        <v>0</v>
      </c>
      <c r="AZ909" s="239">
        <f t="shared" si="124"/>
        <v>0</v>
      </c>
    </row>
    <row r="910" spans="1:52" x14ac:dyDescent="0.25">
      <c r="A910" s="209">
        <v>1109522</v>
      </c>
      <c r="B910" s="209">
        <v>30</v>
      </c>
      <c r="C910" s="209">
        <v>89434271</v>
      </c>
      <c r="D910" s="209">
        <v>10</v>
      </c>
      <c r="E910" s="209">
        <v>10000002</v>
      </c>
      <c r="F910" s="209">
        <v>20000337</v>
      </c>
      <c r="G910" s="209" t="s">
        <v>105</v>
      </c>
      <c r="H910" s="209">
        <v>20000337</v>
      </c>
      <c r="I910" s="209">
        <v>2</v>
      </c>
      <c r="J910" s="209" t="s">
        <v>169</v>
      </c>
      <c r="K910" s="209" t="s">
        <v>2039</v>
      </c>
      <c r="L910" s="209" t="s">
        <v>171</v>
      </c>
      <c r="M910" s="209" t="s">
        <v>172</v>
      </c>
      <c r="N910" s="209">
        <v>50034616</v>
      </c>
      <c r="O910" s="209" t="s">
        <v>191</v>
      </c>
      <c r="P910" s="209">
        <v>5121</v>
      </c>
      <c r="Q910" s="209" t="s">
        <v>174</v>
      </c>
      <c r="R910" s="209" t="s">
        <v>175</v>
      </c>
      <c r="S910" s="209" t="s">
        <v>176</v>
      </c>
      <c r="T910" s="209" t="s">
        <v>177</v>
      </c>
      <c r="U910" s="209" t="s">
        <v>178</v>
      </c>
      <c r="V910" s="209" t="s">
        <v>179</v>
      </c>
      <c r="W910" s="209" t="s">
        <v>179</v>
      </c>
      <c r="X910" s="209" t="s">
        <v>180</v>
      </c>
      <c r="Y910" s="209" t="s">
        <v>180</v>
      </c>
      <c r="Z910" s="209">
        <v>9521068227</v>
      </c>
      <c r="AA910" s="209" t="s">
        <v>2040</v>
      </c>
      <c r="AB910" s="209" t="s">
        <v>180</v>
      </c>
      <c r="AC910" s="209" t="s">
        <v>182</v>
      </c>
      <c r="AD910" s="209">
        <v>3</v>
      </c>
      <c r="AE910" s="209">
        <v>2025</v>
      </c>
      <c r="AF910" s="227">
        <v>45747</v>
      </c>
      <c r="AG910" s="227">
        <v>45759</v>
      </c>
      <c r="AH910" s="227">
        <v>45759</v>
      </c>
      <c r="AI910" s="228">
        <v>377568</v>
      </c>
      <c r="AJ910" s="228">
        <v>46</v>
      </c>
      <c r="AK910" s="228">
        <v>377568</v>
      </c>
      <c r="AL910" s="228">
        <v>46</v>
      </c>
      <c r="AM910" s="228">
        <v>0</v>
      </c>
      <c r="AN910" s="228">
        <v>0</v>
      </c>
      <c r="AO910" s="229">
        <v>14</v>
      </c>
      <c r="AP910" s="231">
        <v>4</v>
      </c>
      <c r="AQ910" s="231">
        <v>2025</v>
      </c>
      <c r="AR910" s="231" t="str">
        <f t="shared" si="120"/>
        <v>04/2025</v>
      </c>
      <c r="AS910" s="231">
        <f t="shared" si="121"/>
        <v>46.6</v>
      </c>
      <c r="AT910" s="239">
        <f>IF(G910="CERVECERIA Y MALTERIA",(AS910*AK910/1000000)*(1-VLOOKUP(N910,FCST!D:I,6,FALSE)),0)</f>
        <v>17.594668800000001</v>
      </c>
      <c r="AU910" s="232">
        <v>5.0000000000000001E-3</v>
      </c>
      <c r="AV910" s="239">
        <f t="shared" si="122"/>
        <v>17.682642143999999</v>
      </c>
      <c r="AW910" s="239">
        <f>(AS910*AK910/1000000)*(VLOOKUP(N910,FCST!D:I,6,FALSE))</f>
        <v>0</v>
      </c>
      <c r="AX910" s="239">
        <f t="shared" si="123"/>
        <v>0</v>
      </c>
      <c r="AY910" s="239">
        <f>IF($G910="CERVECERIA Y MALTERIA.",($AS910*$AK910/1000000)*(1-VLOOKUP($N910,FCST!D:I,6,FALSE)),0)</f>
        <v>0</v>
      </c>
      <c r="AZ910" s="239">
        <f t="shared" si="124"/>
        <v>0</v>
      </c>
    </row>
    <row r="911" spans="1:52" x14ac:dyDescent="0.25">
      <c r="A911" s="209">
        <v>10002012</v>
      </c>
      <c r="B911" s="209">
        <v>10</v>
      </c>
      <c r="C911" s="209">
        <v>89434270</v>
      </c>
      <c r="D911" s="209">
        <v>10</v>
      </c>
      <c r="E911" s="209">
        <v>10000002</v>
      </c>
      <c r="F911" s="209">
        <v>20000337</v>
      </c>
      <c r="G911" s="209" t="s">
        <v>105</v>
      </c>
      <c r="H911" s="209">
        <v>20000337</v>
      </c>
      <c r="I911" s="209">
        <v>2</v>
      </c>
      <c r="J911" s="209" t="s">
        <v>169</v>
      </c>
      <c r="K911" s="209" t="s">
        <v>2041</v>
      </c>
      <c r="L911" s="209" t="s">
        <v>171</v>
      </c>
      <c r="M911" s="209" t="s">
        <v>172</v>
      </c>
      <c r="N911" s="209">
        <v>50038519</v>
      </c>
      <c r="O911" s="209" t="s">
        <v>123</v>
      </c>
      <c r="P911" s="209">
        <v>5121</v>
      </c>
      <c r="Q911" s="209" t="s">
        <v>174</v>
      </c>
      <c r="R911" s="209" t="s">
        <v>175</v>
      </c>
      <c r="S911" s="209" t="s">
        <v>176</v>
      </c>
      <c r="T911" s="209" t="s">
        <v>177</v>
      </c>
      <c r="U911" s="209" t="s">
        <v>178</v>
      </c>
      <c r="V911" s="209" t="s">
        <v>179</v>
      </c>
      <c r="W911" s="209" t="s">
        <v>179</v>
      </c>
      <c r="X911" s="209" t="s">
        <v>180</v>
      </c>
      <c r="Y911" s="209" t="s">
        <v>180</v>
      </c>
      <c r="Z911" s="209" t="s">
        <v>180</v>
      </c>
      <c r="AA911" s="209" t="s">
        <v>180</v>
      </c>
      <c r="AB911" s="209" t="s">
        <v>180</v>
      </c>
      <c r="AC911" s="209" t="s">
        <v>182</v>
      </c>
      <c r="AD911" s="209">
        <v>4</v>
      </c>
      <c r="AE911" s="209">
        <v>2025</v>
      </c>
      <c r="AF911" s="227">
        <v>45750</v>
      </c>
      <c r="AG911" s="227">
        <v>45759</v>
      </c>
      <c r="AH911" s="227">
        <v>45759</v>
      </c>
      <c r="AI911" s="228">
        <v>7808</v>
      </c>
      <c r="AJ911" s="228">
        <v>1</v>
      </c>
      <c r="AK911" s="228">
        <v>7808</v>
      </c>
      <c r="AL911" s="228">
        <v>1</v>
      </c>
      <c r="AM911" s="228">
        <v>0</v>
      </c>
      <c r="AN911" s="228">
        <v>0</v>
      </c>
      <c r="AO911" s="229">
        <v>14</v>
      </c>
      <c r="AP911" s="231">
        <v>4</v>
      </c>
      <c r="AQ911" s="231">
        <v>2025</v>
      </c>
      <c r="AR911" s="231" t="str">
        <f t="shared" si="120"/>
        <v>04/2025</v>
      </c>
      <c r="AS911" s="231">
        <f t="shared" si="121"/>
        <v>42.5</v>
      </c>
      <c r="AT911" s="239">
        <f>IF(G911="CERVECERIA Y MALTERIA",(AS911*AK911/1000000)*(1-VLOOKUP(N911,FCST!D:I,6,FALSE)),0)</f>
        <v>0.33184000000000002</v>
      </c>
      <c r="AU911" s="232">
        <v>5.0000000000000001E-3</v>
      </c>
      <c r="AV911" s="239">
        <f>+AT911*(1+AU911)</f>
        <v>0.3334992</v>
      </c>
      <c r="AW911" s="239">
        <f>(AS911*AK911/1000000)*(VLOOKUP(N911,FCST!D:I,6,FALSE))</f>
        <v>0</v>
      </c>
      <c r="AX911" s="239">
        <f>+AW911*(1+AU911)</f>
        <v>0</v>
      </c>
      <c r="AY911" s="239">
        <f>IF($G911="CERVECERIA Y MALTERIA.",($AS911*$AK911/1000000)*(1-VLOOKUP($N911,FCST!D:I,6,FALSE)),0)</f>
        <v>0</v>
      </c>
      <c r="AZ911" s="239">
        <f>+AY911*(1+AU911)</f>
        <v>0</v>
      </c>
    </row>
    <row r="912" spans="1:52" x14ac:dyDescent="0.25">
      <c r="A912" s="209">
        <v>1111068</v>
      </c>
      <c r="B912" s="209">
        <v>20</v>
      </c>
      <c r="C912" s="209">
        <v>89433392</v>
      </c>
      <c r="D912" s="209">
        <v>10</v>
      </c>
      <c r="E912" s="209">
        <v>10000002</v>
      </c>
      <c r="F912" s="209">
        <v>20000339</v>
      </c>
      <c r="G912" s="209" t="s">
        <v>105</v>
      </c>
      <c r="H912" s="209">
        <v>20000339</v>
      </c>
      <c r="I912" s="209">
        <v>2</v>
      </c>
      <c r="J912" s="209" t="s">
        <v>169</v>
      </c>
      <c r="K912" s="209" t="s">
        <v>2042</v>
      </c>
      <c r="L912" s="209" t="s">
        <v>171</v>
      </c>
      <c r="M912" s="209" t="s">
        <v>227</v>
      </c>
      <c r="N912" s="209">
        <v>50034634</v>
      </c>
      <c r="O912" s="209" t="s">
        <v>219</v>
      </c>
      <c r="P912" s="209">
        <v>5121</v>
      </c>
      <c r="Q912" s="209" t="s">
        <v>228</v>
      </c>
      <c r="R912" s="209" t="s">
        <v>229</v>
      </c>
      <c r="S912" s="209" t="s">
        <v>230</v>
      </c>
      <c r="T912" s="209" t="s">
        <v>231</v>
      </c>
      <c r="U912" s="209" t="s">
        <v>232</v>
      </c>
      <c r="V912" s="209" t="s">
        <v>179</v>
      </c>
      <c r="W912" s="209" t="s">
        <v>179</v>
      </c>
      <c r="X912" s="209" t="s">
        <v>180</v>
      </c>
      <c r="Y912" s="209" t="s">
        <v>180</v>
      </c>
      <c r="Z912" s="209">
        <v>9521068225</v>
      </c>
      <c r="AA912" s="209" t="s">
        <v>2030</v>
      </c>
      <c r="AB912" s="209" t="s">
        <v>180</v>
      </c>
      <c r="AC912" s="209" t="s">
        <v>182</v>
      </c>
      <c r="AD912" s="209">
        <v>4</v>
      </c>
      <c r="AE912" s="209">
        <v>2025</v>
      </c>
      <c r="AF912" s="227">
        <v>45754</v>
      </c>
      <c r="AG912" s="227">
        <v>45758</v>
      </c>
      <c r="AH912" s="227">
        <v>45758</v>
      </c>
      <c r="AI912" s="228">
        <v>392448</v>
      </c>
      <c r="AJ912" s="228">
        <v>56</v>
      </c>
      <c r="AK912" s="228">
        <v>392448</v>
      </c>
      <c r="AL912" s="228">
        <v>56</v>
      </c>
      <c r="AM912" s="228">
        <v>0</v>
      </c>
      <c r="AN912" s="228">
        <v>0</v>
      </c>
      <c r="AO912" s="229">
        <v>15</v>
      </c>
      <c r="AP912" s="231">
        <v>4</v>
      </c>
      <c r="AQ912" s="231">
        <v>2025</v>
      </c>
      <c r="AR912" s="231" t="str">
        <f t="shared" si="120"/>
        <v>04/2025</v>
      </c>
      <c r="AS912" s="231">
        <f t="shared" si="121"/>
        <v>52</v>
      </c>
      <c r="AT912" s="239">
        <f>IF(G912="CERVECERIA Y MALTERIA",(AS912*AK912/1000000)*(1-VLOOKUP(N912,FCST!D:I,6,FALSE)),0)</f>
        <v>20.407295999999999</v>
      </c>
      <c r="AU912" s="232">
        <v>5.0000000000000001E-3</v>
      </c>
      <c r="AV912" s="239">
        <f t="shared" si="122"/>
        <v>20.509332479999998</v>
      </c>
      <c r="AW912" s="239">
        <f>(AS912*AK912/1000000)*(VLOOKUP(N912,FCST!D:I,6,FALSE))</f>
        <v>0</v>
      </c>
      <c r="AX912" s="239">
        <f t="shared" si="123"/>
        <v>0</v>
      </c>
      <c r="AY912" s="239">
        <f>IF($G912="CERVECERIA Y MALTERIA.",($AS912*$AK912/1000000)*(1-VLOOKUP($N912,FCST!D:I,6,FALSE)),0)</f>
        <v>0</v>
      </c>
      <c r="AZ912" s="239">
        <f t="shared" si="124"/>
        <v>0</v>
      </c>
    </row>
    <row r="913" spans="1:52" x14ac:dyDescent="0.25">
      <c r="A913" s="209">
        <v>1110627</v>
      </c>
      <c r="B913" s="209">
        <v>50</v>
      </c>
      <c r="C913" s="209">
        <v>89433359</v>
      </c>
      <c r="D913" s="209">
        <v>10</v>
      </c>
      <c r="E913" s="209">
        <v>10000002</v>
      </c>
      <c r="F913" s="209">
        <v>20000340</v>
      </c>
      <c r="G913" s="209" t="s">
        <v>117</v>
      </c>
      <c r="H913" s="209">
        <v>20000340</v>
      </c>
      <c r="I913" s="209">
        <v>2</v>
      </c>
      <c r="J913" s="209" t="s">
        <v>169</v>
      </c>
      <c r="K913" s="209" t="s">
        <v>2043</v>
      </c>
      <c r="L913" s="209" t="s">
        <v>171</v>
      </c>
      <c r="M913" s="209" t="s">
        <v>172</v>
      </c>
      <c r="N913" s="209">
        <v>50025163</v>
      </c>
      <c r="O913" s="209" t="s">
        <v>185</v>
      </c>
      <c r="P913" s="209">
        <v>5101</v>
      </c>
      <c r="Q913" s="209" t="s">
        <v>186</v>
      </c>
      <c r="R913" s="209" t="s">
        <v>175</v>
      </c>
      <c r="S913" s="209" t="s">
        <v>176</v>
      </c>
      <c r="T913" s="209" t="s">
        <v>187</v>
      </c>
      <c r="U913" s="209" t="s">
        <v>188</v>
      </c>
      <c r="V913" s="209" t="s">
        <v>179</v>
      </c>
      <c r="W913" s="209" t="s">
        <v>179</v>
      </c>
      <c r="X913" s="209" t="s">
        <v>180</v>
      </c>
      <c r="Y913" s="209" t="s">
        <v>180</v>
      </c>
      <c r="Z913" s="209">
        <v>9511047780</v>
      </c>
      <c r="AA913" s="209" t="s">
        <v>2024</v>
      </c>
      <c r="AB913" s="209" t="s">
        <v>180</v>
      </c>
      <c r="AC913" s="209" t="s">
        <v>182</v>
      </c>
      <c r="AD913" s="209">
        <v>4</v>
      </c>
      <c r="AE913" s="209">
        <v>2025</v>
      </c>
      <c r="AF913" s="227">
        <v>45750</v>
      </c>
      <c r="AG913" s="227">
        <v>45758</v>
      </c>
      <c r="AH913" s="227">
        <v>45758</v>
      </c>
      <c r="AI913" s="228">
        <v>606528</v>
      </c>
      <c r="AJ913" s="228">
        <v>52</v>
      </c>
      <c r="AK913" s="228">
        <v>606528</v>
      </c>
      <c r="AL913" s="228">
        <v>52</v>
      </c>
      <c r="AM913" s="228">
        <v>0</v>
      </c>
      <c r="AN913" s="228">
        <v>0</v>
      </c>
      <c r="AO913" s="229">
        <v>15</v>
      </c>
      <c r="AP913" s="231">
        <v>4</v>
      </c>
      <c r="AQ913" s="231">
        <v>2025</v>
      </c>
      <c r="AR913" s="231" t="str">
        <f t="shared" si="120"/>
        <v>04/2025</v>
      </c>
      <c r="AS913" s="231">
        <f t="shared" si="121"/>
        <v>30</v>
      </c>
      <c r="AT913" s="239">
        <f>IF(G913="CERVECERIA Y MALTERIA",(AS913*AK913/1000000)*(1-VLOOKUP(N913,FCST!D:I,6,FALSE)),0)</f>
        <v>0</v>
      </c>
      <c r="AU913" s="232">
        <v>5.0000000000000001E-3</v>
      </c>
      <c r="AV913" s="239">
        <f t="shared" si="122"/>
        <v>0</v>
      </c>
      <c r="AW913" s="239">
        <f>(AS913*AK913/1000000)*(VLOOKUP(N913,FCST!D:I,6,FALSE))</f>
        <v>0</v>
      </c>
      <c r="AX913" s="239">
        <f t="shared" si="123"/>
        <v>0</v>
      </c>
      <c r="AY913" s="239">
        <f>IF($G913="CERVECERIA Y MALTERIA.",($AS913*$AK913/1000000)*(1-VLOOKUP($N913,FCST!D:I,6,FALSE)),0)</f>
        <v>18.19584</v>
      </c>
      <c r="AZ913" s="239">
        <f t="shared" si="124"/>
        <v>18.2868192</v>
      </c>
    </row>
    <row r="914" spans="1:52" x14ac:dyDescent="0.25">
      <c r="A914" s="209">
        <v>1110627</v>
      </c>
      <c r="B914" s="209">
        <v>60</v>
      </c>
      <c r="C914" s="209">
        <v>89433235</v>
      </c>
      <c r="D914" s="209">
        <v>10</v>
      </c>
      <c r="E914" s="209">
        <v>10000002</v>
      </c>
      <c r="F914" s="209">
        <v>20000340</v>
      </c>
      <c r="G914" s="209" t="s">
        <v>117</v>
      </c>
      <c r="H914" s="209">
        <v>20000340</v>
      </c>
      <c r="I914" s="209">
        <v>2</v>
      </c>
      <c r="J914" s="209" t="s">
        <v>169</v>
      </c>
      <c r="K914" s="209" t="s">
        <v>2044</v>
      </c>
      <c r="L914" s="209" t="s">
        <v>171</v>
      </c>
      <c r="M914" s="209" t="s">
        <v>172</v>
      </c>
      <c r="N914" s="209">
        <v>50025163</v>
      </c>
      <c r="O914" s="209" t="s">
        <v>185</v>
      </c>
      <c r="P914" s="209">
        <v>5101</v>
      </c>
      <c r="Q914" s="209" t="s">
        <v>186</v>
      </c>
      <c r="R914" s="209" t="s">
        <v>175</v>
      </c>
      <c r="S914" s="209" t="s">
        <v>176</v>
      </c>
      <c r="T914" s="209" t="s">
        <v>187</v>
      </c>
      <c r="U914" s="209" t="s">
        <v>188</v>
      </c>
      <c r="V914" s="209" t="s">
        <v>179</v>
      </c>
      <c r="W914" s="209" t="s">
        <v>179</v>
      </c>
      <c r="X914" s="209" t="s">
        <v>180</v>
      </c>
      <c r="Y914" s="209" t="s">
        <v>180</v>
      </c>
      <c r="Z914" s="209">
        <v>9511047780</v>
      </c>
      <c r="AA914" s="209" t="s">
        <v>2024</v>
      </c>
      <c r="AB914" s="209" t="s">
        <v>180</v>
      </c>
      <c r="AC914" s="209" t="s">
        <v>182</v>
      </c>
      <c r="AD914" s="209">
        <v>4</v>
      </c>
      <c r="AE914" s="209">
        <v>2025</v>
      </c>
      <c r="AF914" s="227">
        <v>45750</v>
      </c>
      <c r="AG914" s="227">
        <v>45758</v>
      </c>
      <c r="AH914" s="227">
        <v>45758</v>
      </c>
      <c r="AI914" s="228">
        <v>606528</v>
      </c>
      <c r="AJ914" s="228">
        <v>52</v>
      </c>
      <c r="AK914" s="228">
        <v>606528</v>
      </c>
      <c r="AL914" s="228">
        <v>52</v>
      </c>
      <c r="AM914" s="228">
        <v>0</v>
      </c>
      <c r="AN914" s="228">
        <v>0</v>
      </c>
      <c r="AO914" s="229">
        <v>15</v>
      </c>
      <c r="AP914" s="231">
        <v>4</v>
      </c>
      <c r="AQ914" s="231">
        <v>2025</v>
      </c>
      <c r="AR914" s="231" t="str">
        <f t="shared" si="120"/>
        <v>04/2025</v>
      </c>
      <c r="AS914" s="231">
        <f t="shared" si="121"/>
        <v>30</v>
      </c>
      <c r="AT914" s="239">
        <f>IF(G914="CERVECERIA Y MALTERIA",(AS914*AK914/1000000)*(1-VLOOKUP(N914,FCST!D:I,6,FALSE)),0)</f>
        <v>0</v>
      </c>
      <c r="AU914" s="232">
        <v>5.0000000000000001E-3</v>
      </c>
      <c r="AV914" s="239">
        <f t="shared" si="122"/>
        <v>0</v>
      </c>
      <c r="AW914" s="239">
        <f>(AS914*AK914/1000000)*(VLOOKUP(N914,FCST!D:I,6,FALSE))</f>
        <v>0</v>
      </c>
      <c r="AX914" s="239">
        <f t="shared" si="123"/>
        <v>0</v>
      </c>
      <c r="AY914" s="239">
        <f>IF($G914="CERVECERIA Y MALTERIA.",($AS914*$AK914/1000000)*(1-VLOOKUP($N914,FCST!D:I,6,FALSE)),0)</f>
        <v>18.19584</v>
      </c>
      <c r="AZ914" s="239">
        <f t="shared" si="124"/>
        <v>18.2868192</v>
      </c>
    </row>
    <row r="915" spans="1:52" x14ac:dyDescent="0.25">
      <c r="A915" s="209">
        <v>1109522</v>
      </c>
      <c r="B915" s="209">
        <v>50</v>
      </c>
      <c r="C915" s="209">
        <v>89435273</v>
      </c>
      <c r="D915" s="209">
        <v>10</v>
      </c>
      <c r="E915" s="209">
        <v>10000002</v>
      </c>
      <c r="F915" s="209">
        <v>20000337</v>
      </c>
      <c r="G915" s="209" t="s">
        <v>105</v>
      </c>
      <c r="H915" s="209">
        <v>20000337</v>
      </c>
      <c r="I915" s="209">
        <v>2</v>
      </c>
      <c r="J915" s="209" t="s">
        <v>169</v>
      </c>
      <c r="K915" s="209" t="s">
        <v>2045</v>
      </c>
      <c r="L915" s="209" t="s">
        <v>171</v>
      </c>
      <c r="M915" s="209" t="s">
        <v>199</v>
      </c>
      <c r="N915" s="209">
        <v>50035183</v>
      </c>
      <c r="O915" s="209" t="s">
        <v>215</v>
      </c>
      <c r="P915" s="209">
        <v>5121</v>
      </c>
      <c r="Q915" s="209" t="s">
        <v>200</v>
      </c>
      <c r="R915" s="209" t="s">
        <v>201</v>
      </c>
      <c r="S915" s="209" t="s">
        <v>202</v>
      </c>
      <c r="T915" s="209" t="s">
        <v>203</v>
      </c>
      <c r="U915" s="209" t="s">
        <v>201</v>
      </c>
      <c r="V915" s="209" t="s">
        <v>179</v>
      </c>
      <c r="W915" s="209" t="s">
        <v>179</v>
      </c>
      <c r="X915" s="209" t="s">
        <v>180</v>
      </c>
      <c r="Y915" s="209" t="s">
        <v>180</v>
      </c>
      <c r="Z915" s="209">
        <v>9521068230</v>
      </c>
      <c r="AA915" s="209" t="s">
        <v>2028</v>
      </c>
      <c r="AB915" s="209" t="s">
        <v>180</v>
      </c>
      <c r="AC915" s="209" t="s">
        <v>182</v>
      </c>
      <c r="AD915" s="209">
        <v>3</v>
      </c>
      <c r="AE915" s="209">
        <v>2025</v>
      </c>
      <c r="AF915" s="227">
        <v>45747</v>
      </c>
      <c r="AG915" s="227">
        <v>45762</v>
      </c>
      <c r="AH915" s="227">
        <v>45761</v>
      </c>
      <c r="AI915" s="228">
        <v>426816</v>
      </c>
      <c r="AJ915" s="228">
        <v>52</v>
      </c>
      <c r="AK915" s="228">
        <v>426816</v>
      </c>
      <c r="AL915" s="228">
        <v>52</v>
      </c>
      <c r="AM915" s="228">
        <v>0</v>
      </c>
      <c r="AN915" s="228">
        <v>0</v>
      </c>
      <c r="AO915" s="229">
        <v>14</v>
      </c>
      <c r="AP915" s="231">
        <v>4</v>
      </c>
      <c r="AQ915" s="231">
        <v>2025</v>
      </c>
      <c r="AR915" s="231" t="str">
        <f t="shared" si="120"/>
        <v>04/2025</v>
      </c>
      <c r="AS915" s="231">
        <f t="shared" si="121"/>
        <v>46.6</v>
      </c>
      <c r="AT915" s="239">
        <f>IF(G915="CERVECERIA Y MALTERIA",(AS915*AK915/1000000)*(1-VLOOKUP(N915,FCST!D:I,6,FALSE)),0)</f>
        <v>19.889625600000002</v>
      </c>
      <c r="AU915" s="232">
        <v>5.0000000000000001E-3</v>
      </c>
      <c r="AV915" s="239">
        <f t="shared" si="122"/>
        <v>19.989073728000001</v>
      </c>
      <c r="AW915" s="239">
        <f>(AS915*AK915/1000000)*(VLOOKUP(N915,FCST!D:I,6,FALSE))</f>
        <v>0</v>
      </c>
      <c r="AX915" s="239">
        <f t="shared" si="123"/>
        <v>0</v>
      </c>
      <c r="AY915" s="239">
        <f>IF($G915="CERVECERIA Y MALTERIA.",($AS915*$AK915/1000000)*(1-VLOOKUP($N915,FCST!D:I,6,FALSE)),0)</f>
        <v>0</v>
      </c>
      <c r="AZ915" s="239">
        <f t="shared" si="124"/>
        <v>0</v>
      </c>
    </row>
    <row r="916" spans="1:52" x14ac:dyDescent="0.25">
      <c r="A916" s="209">
        <v>1111957</v>
      </c>
      <c r="B916" s="209">
        <v>20</v>
      </c>
      <c r="C916" s="209">
        <v>89434989</v>
      </c>
      <c r="D916" s="209">
        <v>10</v>
      </c>
      <c r="E916" s="209">
        <v>10000002</v>
      </c>
      <c r="F916" s="209">
        <v>20000340</v>
      </c>
      <c r="G916" s="209" t="s">
        <v>117</v>
      </c>
      <c r="H916" s="209">
        <v>20000340</v>
      </c>
      <c r="I916" s="209">
        <v>2</v>
      </c>
      <c r="J916" s="209" t="s">
        <v>169</v>
      </c>
      <c r="K916" s="209" t="s">
        <v>2046</v>
      </c>
      <c r="L916" s="209" t="s">
        <v>171</v>
      </c>
      <c r="M916" s="209" t="s">
        <v>172</v>
      </c>
      <c r="N916" s="209">
        <v>50036718</v>
      </c>
      <c r="O916" s="209" t="s">
        <v>259</v>
      </c>
      <c r="P916" s="209">
        <v>5101</v>
      </c>
      <c r="Q916" s="209" t="s">
        <v>186</v>
      </c>
      <c r="R916" s="209" t="s">
        <v>175</v>
      </c>
      <c r="S916" s="209" t="s">
        <v>176</v>
      </c>
      <c r="T916" s="209" t="s">
        <v>187</v>
      </c>
      <c r="U916" s="209" t="s">
        <v>188</v>
      </c>
      <c r="V916" s="209" t="s">
        <v>179</v>
      </c>
      <c r="W916" s="209" t="s">
        <v>179</v>
      </c>
      <c r="X916" s="209" t="s">
        <v>180</v>
      </c>
      <c r="Y916" s="209" t="s">
        <v>180</v>
      </c>
      <c r="Z916" s="209">
        <v>9511047765</v>
      </c>
      <c r="AA916" s="209" t="s">
        <v>1945</v>
      </c>
      <c r="AB916" s="209" t="s">
        <v>180</v>
      </c>
      <c r="AC916" s="209" t="s">
        <v>182</v>
      </c>
      <c r="AD916" s="209">
        <v>4</v>
      </c>
      <c r="AE916" s="209">
        <v>2025</v>
      </c>
      <c r="AF916" s="227">
        <v>45758</v>
      </c>
      <c r="AG916" s="227">
        <v>45761</v>
      </c>
      <c r="AH916" s="227">
        <v>45761</v>
      </c>
      <c r="AI916" s="228">
        <v>519168</v>
      </c>
      <c r="AJ916" s="228">
        <v>52</v>
      </c>
      <c r="AK916" s="228">
        <v>519168</v>
      </c>
      <c r="AL916" s="228">
        <v>52</v>
      </c>
      <c r="AM916" s="228">
        <v>0</v>
      </c>
      <c r="AN916" s="228">
        <v>0</v>
      </c>
      <c r="AO916" s="229">
        <v>16</v>
      </c>
      <c r="AP916" s="231">
        <v>4</v>
      </c>
      <c r="AQ916" s="231">
        <v>2025</v>
      </c>
      <c r="AR916" s="231" t="str">
        <f t="shared" si="120"/>
        <v>04/2025</v>
      </c>
      <c r="AS916" s="231">
        <f t="shared" si="121"/>
        <v>34</v>
      </c>
      <c r="AT916" s="239">
        <f>IF(G916="CERVECERIA Y MALTERIA",(AS916*AK916/1000000)*(1-VLOOKUP(N916,FCST!D:I,6,FALSE)),0)</f>
        <v>0</v>
      </c>
      <c r="AU916" s="232">
        <v>5.0000000000000001E-3</v>
      </c>
      <c r="AV916" s="239">
        <f t="shared" si="122"/>
        <v>0</v>
      </c>
      <c r="AW916" s="239">
        <f>(AS916*AK916/1000000)*(VLOOKUP(N916,FCST!D:I,6,FALSE))</f>
        <v>0</v>
      </c>
      <c r="AX916" s="239">
        <f t="shared" si="123"/>
        <v>0</v>
      </c>
      <c r="AY916" s="239">
        <f>IF($G916="CERVECERIA Y MALTERIA.",($AS916*$AK916/1000000)*(1-VLOOKUP($N916,FCST!D:I,6,FALSE)),0)</f>
        <v>17.651712</v>
      </c>
      <c r="AZ916" s="239">
        <f t="shared" si="124"/>
        <v>17.73997056</v>
      </c>
    </row>
    <row r="917" spans="1:52" x14ac:dyDescent="0.25">
      <c r="A917" s="209">
        <v>1111956</v>
      </c>
      <c r="B917" s="209">
        <v>10</v>
      </c>
      <c r="C917" s="209">
        <v>89434820</v>
      </c>
      <c r="D917" s="209">
        <v>10</v>
      </c>
      <c r="E917" s="209">
        <v>10000002</v>
      </c>
      <c r="F917" s="209">
        <v>20000335</v>
      </c>
      <c r="G917" s="209" t="s">
        <v>105</v>
      </c>
      <c r="H917" s="209">
        <v>20000335</v>
      </c>
      <c r="I917" s="209">
        <v>2</v>
      </c>
      <c r="J917" s="209" t="s">
        <v>169</v>
      </c>
      <c r="K917" s="209" t="s">
        <v>2047</v>
      </c>
      <c r="L917" s="209" t="s">
        <v>171</v>
      </c>
      <c r="M917" s="209" t="s">
        <v>172</v>
      </c>
      <c r="N917" s="209">
        <v>50037887</v>
      </c>
      <c r="O917" s="209" t="s">
        <v>679</v>
      </c>
      <c r="P917" s="209">
        <v>5121</v>
      </c>
      <c r="Q917" s="209" t="s">
        <v>174</v>
      </c>
      <c r="R917" s="209" t="s">
        <v>175</v>
      </c>
      <c r="S917" s="209" t="s">
        <v>176</v>
      </c>
      <c r="T917" s="209" t="s">
        <v>177</v>
      </c>
      <c r="U917" s="209" t="s">
        <v>178</v>
      </c>
      <c r="V917" s="209" t="s">
        <v>179</v>
      </c>
      <c r="W917" s="209" t="s">
        <v>179</v>
      </c>
      <c r="X917" s="209" t="s">
        <v>180</v>
      </c>
      <c r="Y917" s="209" t="s">
        <v>180</v>
      </c>
      <c r="Z917" s="209">
        <v>9521068253</v>
      </c>
      <c r="AA917" s="209" t="s">
        <v>2048</v>
      </c>
      <c r="AB917" s="209" t="s">
        <v>180</v>
      </c>
      <c r="AC917" s="209" t="s">
        <v>182</v>
      </c>
      <c r="AD917" s="209">
        <v>4</v>
      </c>
      <c r="AE917" s="209">
        <v>2025</v>
      </c>
      <c r="AF917" s="227">
        <v>45758</v>
      </c>
      <c r="AG917" s="227">
        <v>45761</v>
      </c>
      <c r="AH917" s="227">
        <v>45761</v>
      </c>
      <c r="AI917" s="228">
        <v>531648</v>
      </c>
      <c r="AJ917" s="228">
        <v>52</v>
      </c>
      <c r="AK917" s="228">
        <v>531648</v>
      </c>
      <c r="AL917" s="228">
        <v>52</v>
      </c>
      <c r="AM917" s="228">
        <v>0</v>
      </c>
      <c r="AN917" s="228">
        <v>0</v>
      </c>
      <c r="AO917" s="229">
        <v>16</v>
      </c>
      <c r="AP917" s="231">
        <v>4</v>
      </c>
      <c r="AQ917" s="231">
        <v>2025</v>
      </c>
      <c r="AR917" s="231" t="str">
        <f t="shared" si="120"/>
        <v>04/2025</v>
      </c>
      <c r="AS917" s="231">
        <f t="shared" si="121"/>
        <v>37.200000000000003</v>
      </c>
      <c r="AT917" s="239">
        <f>IF(G917="CERVECERIA Y MALTERIA",(AS917*AK917/1000000)*(1-VLOOKUP(N917,FCST!D:I,6,FALSE)),0)</f>
        <v>19.777305600000002</v>
      </c>
      <c r="AU917" s="232">
        <v>5.0000000000000001E-3</v>
      </c>
      <c r="AV917" s="239">
        <f t="shared" si="122"/>
        <v>19.876192128</v>
      </c>
      <c r="AW917" s="239">
        <f>(AS917*AK917/1000000)*(VLOOKUP(N917,FCST!D:I,6,FALSE))</f>
        <v>0</v>
      </c>
      <c r="AX917" s="239">
        <f t="shared" si="123"/>
        <v>0</v>
      </c>
      <c r="AY917" s="239">
        <f>IF($G917="CERVECERIA Y MALTERIA.",($AS917*$AK917/1000000)*(1-VLOOKUP($N917,FCST!D:I,6,FALSE)),0)</f>
        <v>0</v>
      </c>
      <c r="AZ917" s="239">
        <f t="shared" si="124"/>
        <v>0</v>
      </c>
    </row>
    <row r="918" spans="1:52" x14ac:dyDescent="0.25">
      <c r="A918" s="209">
        <v>1111957</v>
      </c>
      <c r="B918" s="209">
        <v>10</v>
      </c>
      <c r="C918" s="209">
        <v>89434766</v>
      </c>
      <c r="D918" s="209">
        <v>10</v>
      </c>
      <c r="E918" s="209">
        <v>10000002</v>
      </c>
      <c r="F918" s="209">
        <v>20000340</v>
      </c>
      <c r="G918" s="209" t="s">
        <v>117</v>
      </c>
      <c r="H918" s="209">
        <v>20000340</v>
      </c>
      <c r="I918" s="209">
        <v>2</v>
      </c>
      <c r="J918" s="209" t="s">
        <v>169</v>
      </c>
      <c r="K918" s="209" t="s">
        <v>2049</v>
      </c>
      <c r="L918" s="209" t="s">
        <v>171</v>
      </c>
      <c r="M918" s="209" t="s">
        <v>172</v>
      </c>
      <c r="N918" s="209">
        <v>50036718</v>
      </c>
      <c r="O918" s="209" t="s">
        <v>259</v>
      </c>
      <c r="P918" s="209">
        <v>5101</v>
      </c>
      <c r="Q918" s="209" t="s">
        <v>186</v>
      </c>
      <c r="R918" s="209" t="s">
        <v>175</v>
      </c>
      <c r="S918" s="209" t="s">
        <v>176</v>
      </c>
      <c r="T918" s="209" t="s">
        <v>187</v>
      </c>
      <c r="U918" s="209" t="s">
        <v>188</v>
      </c>
      <c r="V918" s="209" t="s">
        <v>179</v>
      </c>
      <c r="W918" s="209" t="s">
        <v>179</v>
      </c>
      <c r="X918" s="209" t="s">
        <v>180</v>
      </c>
      <c r="Y918" s="209" t="s">
        <v>180</v>
      </c>
      <c r="Z918" s="209">
        <v>9511047765</v>
      </c>
      <c r="AA918" s="209" t="s">
        <v>1945</v>
      </c>
      <c r="AB918" s="209" t="s">
        <v>180</v>
      </c>
      <c r="AC918" s="209" t="s">
        <v>182</v>
      </c>
      <c r="AD918" s="209">
        <v>4</v>
      </c>
      <c r="AE918" s="209">
        <v>2025</v>
      </c>
      <c r="AF918" s="227">
        <v>45758</v>
      </c>
      <c r="AG918" s="227">
        <v>45761</v>
      </c>
      <c r="AH918" s="227">
        <v>45761</v>
      </c>
      <c r="AI918" s="228">
        <v>519168</v>
      </c>
      <c r="AJ918" s="228">
        <v>52</v>
      </c>
      <c r="AK918" s="228">
        <v>519168</v>
      </c>
      <c r="AL918" s="228">
        <v>52</v>
      </c>
      <c r="AM918" s="228">
        <v>0</v>
      </c>
      <c r="AN918" s="228">
        <v>0</v>
      </c>
      <c r="AO918" s="229">
        <v>16</v>
      </c>
      <c r="AP918" s="231">
        <v>4</v>
      </c>
      <c r="AQ918" s="231">
        <v>2025</v>
      </c>
      <c r="AR918" s="231" t="str">
        <f t="shared" si="120"/>
        <v>04/2025</v>
      </c>
      <c r="AS918" s="231">
        <f t="shared" si="121"/>
        <v>34</v>
      </c>
      <c r="AT918" s="239">
        <f>IF(G918="CERVECERIA Y MALTERIA",(AS918*AK918/1000000)*(1-VLOOKUP(N918,FCST!D:I,6,FALSE)),0)</f>
        <v>0</v>
      </c>
      <c r="AU918" s="232">
        <v>5.0000000000000001E-3</v>
      </c>
      <c r="AV918" s="239">
        <f t="shared" si="122"/>
        <v>0</v>
      </c>
      <c r="AW918" s="239">
        <f>(AS918*AK918/1000000)*(VLOOKUP(N918,FCST!D:I,6,FALSE))</f>
        <v>0</v>
      </c>
      <c r="AX918" s="239">
        <f t="shared" si="123"/>
        <v>0</v>
      </c>
      <c r="AY918" s="239">
        <f>IF($G918="CERVECERIA Y MALTERIA.",($AS918*$AK918/1000000)*(1-VLOOKUP($N918,FCST!D:I,6,FALSE)),0)</f>
        <v>17.651712</v>
      </c>
      <c r="AZ918" s="239">
        <f t="shared" si="124"/>
        <v>17.73997056</v>
      </c>
    </row>
    <row r="919" spans="1:52" x14ac:dyDescent="0.25">
      <c r="A919" s="209">
        <v>1111956</v>
      </c>
      <c r="B919" s="209">
        <v>20</v>
      </c>
      <c r="C919" s="209">
        <v>89434693</v>
      </c>
      <c r="D919" s="209">
        <v>10</v>
      </c>
      <c r="E919" s="209">
        <v>10000002</v>
      </c>
      <c r="F919" s="209">
        <v>20000335</v>
      </c>
      <c r="G919" s="209" t="s">
        <v>105</v>
      </c>
      <c r="H919" s="209">
        <v>20000335</v>
      </c>
      <c r="I919" s="209">
        <v>2</v>
      </c>
      <c r="J919" s="209" t="s">
        <v>169</v>
      </c>
      <c r="K919" s="209" t="s">
        <v>2050</v>
      </c>
      <c r="L919" s="209" t="s">
        <v>171</v>
      </c>
      <c r="M919" s="209" t="s">
        <v>199</v>
      </c>
      <c r="N919" s="209">
        <v>50034616</v>
      </c>
      <c r="O919" s="209" t="s">
        <v>191</v>
      </c>
      <c r="P919" s="209">
        <v>5121</v>
      </c>
      <c r="Q919" s="209" t="s">
        <v>200</v>
      </c>
      <c r="R919" s="209" t="s">
        <v>201</v>
      </c>
      <c r="S919" s="209" t="s">
        <v>202</v>
      </c>
      <c r="T919" s="209" t="s">
        <v>203</v>
      </c>
      <c r="U919" s="209" t="s">
        <v>201</v>
      </c>
      <c r="V919" s="209" t="s">
        <v>179</v>
      </c>
      <c r="W919" s="209" t="s">
        <v>179</v>
      </c>
      <c r="X919" s="209" t="s">
        <v>180</v>
      </c>
      <c r="Y919" s="209" t="s">
        <v>180</v>
      </c>
      <c r="Z919" s="209">
        <v>9521068237</v>
      </c>
      <c r="AA919" s="209" t="s">
        <v>1940</v>
      </c>
      <c r="AB919" s="209" t="s">
        <v>180</v>
      </c>
      <c r="AC919" s="209" t="s">
        <v>182</v>
      </c>
      <c r="AD919" s="209">
        <v>4</v>
      </c>
      <c r="AE919" s="209">
        <v>2025</v>
      </c>
      <c r="AF919" s="227">
        <v>45758</v>
      </c>
      <c r="AG919" s="227">
        <v>45761</v>
      </c>
      <c r="AH919" s="227">
        <v>45761</v>
      </c>
      <c r="AI919" s="228">
        <v>426816</v>
      </c>
      <c r="AJ919" s="228">
        <v>52</v>
      </c>
      <c r="AK919" s="228">
        <v>426816</v>
      </c>
      <c r="AL919" s="228">
        <v>52</v>
      </c>
      <c r="AM919" s="228">
        <v>0</v>
      </c>
      <c r="AN919" s="228">
        <v>0</v>
      </c>
      <c r="AO919" s="229">
        <v>16</v>
      </c>
      <c r="AP919" s="231">
        <v>4</v>
      </c>
      <c r="AQ919" s="231">
        <v>2025</v>
      </c>
      <c r="AR919" s="231" t="str">
        <f t="shared" si="120"/>
        <v>04/2025</v>
      </c>
      <c r="AS919" s="231">
        <f t="shared" si="121"/>
        <v>46.6</v>
      </c>
      <c r="AT919" s="239">
        <f>IF(G919="CERVECERIA Y MALTERIA",(AS919*AK919/1000000)*(1-VLOOKUP(N919,FCST!D:I,6,FALSE)),0)</f>
        <v>19.889625600000002</v>
      </c>
      <c r="AU919" s="232">
        <v>5.0000000000000001E-3</v>
      </c>
      <c r="AV919" s="239">
        <f t="shared" si="122"/>
        <v>19.989073728000001</v>
      </c>
      <c r="AW919" s="239">
        <f>(AS919*AK919/1000000)*(VLOOKUP(N919,FCST!D:I,6,FALSE))</f>
        <v>0</v>
      </c>
      <c r="AX919" s="239">
        <f t="shared" si="123"/>
        <v>0</v>
      </c>
      <c r="AY919" s="239">
        <f>IF($G919="CERVECERIA Y MALTERIA.",($AS919*$AK919/1000000)*(1-VLOOKUP($N919,FCST!D:I,6,FALSE)),0)</f>
        <v>0</v>
      </c>
      <c r="AZ919" s="239">
        <f t="shared" si="124"/>
        <v>0</v>
      </c>
    </row>
    <row r="920" spans="1:52" x14ac:dyDescent="0.25">
      <c r="A920" s="209">
        <v>1111633</v>
      </c>
      <c r="B920" s="209">
        <v>20</v>
      </c>
      <c r="C920" s="209">
        <v>89435536</v>
      </c>
      <c r="D920" s="209">
        <v>20</v>
      </c>
      <c r="E920" s="209">
        <v>10000002</v>
      </c>
      <c r="F920" s="209">
        <v>20001057</v>
      </c>
      <c r="G920" s="209" t="s">
        <v>105</v>
      </c>
      <c r="H920" s="209">
        <v>20001057</v>
      </c>
      <c r="I920" s="209">
        <v>2</v>
      </c>
      <c r="J920" s="209" t="s">
        <v>169</v>
      </c>
      <c r="K920" s="209" t="s">
        <v>2051</v>
      </c>
      <c r="L920" s="209" t="s">
        <v>171</v>
      </c>
      <c r="M920" s="209" t="s">
        <v>172</v>
      </c>
      <c r="N920" s="209">
        <v>50034616</v>
      </c>
      <c r="O920" s="209" t="s">
        <v>191</v>
      </c>
      <c r="P920" s="209">
        <v>5121</v>
      </c>
      <c r="Q920" s="209" t="s">
        <v>174</v>
      </c>
      <c r="R920" s="209" t="s">
        <v>175</v>
      </c>
      <c r="S920" s="209" t="s">
        <v>176</v>
      </c>
      <c r="T920" s="209" t="s">
        <v>177</v>
      </c>
      <c r="U920" s="209" t="s">
        <v>178</v>
      </c>
      <c r="V920" s="209" t="s">
        <v>179</v>
      </c>
      <c r="W920" s="209" t="s">
        <v>179</v>
      </c>
      <c r="X920" s="209" t="s">
        <v>180</v>
      </c>
      <c r="Y920" s="209" t="s">
        <v>180</v>
      </c>
      <c r="Z920" s="209">
        <v>9521068244</v>
      </c>
      <c r="AA920" s="209" t="s">
        <v>2052</v>
      </c>
      <c r="AB920" s="209" t="s">
        <v>180</v>
      </c>
      <c r="AC920" s="209" t="s">
        <v>182</v>
      </c>
      <c r="AD920" s="209">
        <v>4</v>
      </c>
      <c r="AE920" s="209">
        <v>2025</v>
      </c>
      <c r="AF920" s="227">
        <v>45756</v>
      </c>
      <c r="AG920" s="227">
        <v>45761</v>
      </c>
      <c r="AH920" s="227">
        <v>45761</v>
      </c>
      <c r="AI920" s="228">
        <v>221616</v>
      </c>
      <c r="AJ920" s="228">
        <v>27</v>
      </c>
      <c r="AK920" s="228">
        <v>221616</v>
      </c>
      <c r="AL920" s="228">
        <v>27</v>
      </c>
      <c r="AM920" s="228">
        <v>0</v>
      </c>
      <c r="AN920" s="228">
        <v>0</v>
      </c>
      <c r="AO920" s="229">
        <v>15</v>
      </c>
      <c r="AP920" s="231">
        <v>4</v>
      </c>
      <c r="AQ920" s="231">
        <v>2025</v>
      </c>
      <c r="AR920" s="231" t="str">
        <f t="shared" si="120"/>
        <v>04/2025</v>
      </c>
      <c r="AS920" s="231">
        <f t="shared" si="121"/>
        <v>46.6</v>
      </c>
      <c r="AT920" s="239">
        <f>IF(G920="CERVECERIA Y MALTERIA",(AS920*AK920/1000000)*(1-VLOOKUP(N920,FCST!D:I,6,FALSE)),0)</f>
        <v>10.327305599999999</v>
      </c>
      <c r="AU920" s="232">
        <v>5.0000000000000001E-3</v>
      </c>
      <c r="AV920" s="239">
        <f t="shared" si="122"/>
        <v>10.378942127999998</v>
      </c>
      <c r="AW920" s="239">
        <f>(AS920*AK920/1000000)*(VLOOKUP(N920,FCST!D:I,6,FALSE))</f>
        <v>0</v>
      </c>
      <c r="AX920" s="239">
        <f t="shared" si="123"/>
        <v>0</v>
      </c>
      <c r="AY920" s="239">
        <f>IF($G920="CERVECERIA Y MALTERIA.",($AS920*$AK920/1000000)*(1-VLOOKUP($N920,FCST!D:I,6,FALSE)),0)</f>
        <v>0</v>
      </c>
      <c r="AZ920" s="239">
        <f t="shared" si="124"/>
        <v>0</v>
      </c>
    </row>
    <row r="921" spans="1:52" x14ac:dyDescent="0.25">
      <c r="A921" s="209">
        <v>1111633</v>
      </c>
      <c r="B921" s="209">
        <v>10</v>
      </c>
      <c r="C921" s="209">
        <v>89435536</v>
      </c>
      <c r="D921" s="209">
        <v>10</v>
      </c>
      <c r="E921" s="209">
        <v>10000002</v>
      </c>
      <c r="F921" s="209">
        <v>20001057</v>
      </c>
      <c r="G921" s="209" t="s">
        <v>105</v>
      </c>
      <c r="H921" s="209">
        <v>20001057</v>
      </c>
      <c r="I921" s="209">
        <v>2</v>
      </c>
      <c r="J921" s="209" t="s">
        <v>169</v>
      </c>
      <c r="K921" s="209" t="s">
        <v>2051</v>
      </c>
      <c r="L921" s="209" t="s">
        <v>171</v>
      </c>
      <c r="M921" s="209" t="s">
        <v>172</v>
      </c>
      <c r="N921" s="209">
        <v>50035184</v>
      </c>
      <c r="O921" s="209" t="s">
        <v>672</v>
      </c>
      <c r="P921" s="209">
        <v>5121</v>
      </c>
      <c r="Q921" s="209" t="s">
        <v>174</v>
      </c>
      <c r="R921" s="209" t="s">
        <v>175</v>
      </c>
      <c r="S921" s="209" t="s">
        <v>176</v>
      </c>
      <c r="T921" s="209" t="s">
        <v>177</v>
      </c>
      <c r="U921" s="209" t="s">
        <v>178</v>
      </c>
      <c r="V921" s="209" t="s">
        <v>179</v>
      </c>
      <c r="W921" s="209" t="s">
        <v>179</v>
      </c>
      <c r="X921" s="209" t="s">
        <v>180</v>
      </c>
      <c r="Y921" s="209" t="s">
        <v>180</v>
      </c>
      <c r="Z921" s="209">
        <v>9521068244</v>
      </c>
      <c r="AA921" s="209" t="s">
        <v>2052</v>
      </c>
      <c r="AB921" s="209" t="s">
        <v>180</v>
      </c>
      <c r="AC921" s="209" t="s">
        <v>182</v>
      </c>
      <c r="AD921" s="209">
        <v>4</v>
      </c>
      <c r="AE921" s="209">
        <v>2025</v>
      </c>
      <c r="AF921" s="227">
        <v>45756</v>
      </c>
      <c r="AG921" s="227">
        <v>45761</v>
      </c>
      <c r="AH921" s="227">
        <v>45761</v>
      </c>
      <c r="AI921" s="228">
        <v>469800</v>
      </c>
      <c r="AJ921" s="228">
        <v>25</v>
      </c>
      <c r="AK921" s="228">
        <v>469800</v>
      </c>
      <c r="AL921" s="228">
        <v>25</v>
      </c>
      <c r="AM921" s="228">
        <v>0</v>
      </c>
      <c r="AN921" s="228">
        <v>0</v>
      </c>
      <c r="AO921" s="229">
        <v>15</v>
      </c>
      <c r="AP921" s="231">
        <v>4</v>
      </c>
      <c r="AQ921" s="231">
        <v>2025</v>
      </c>
      <c r="AR921" s="231" t="str">
        <f t="shared" si="120"/>
        <v>04/2025</v>
      </c>
      <c r="AS921" s="231">
        <f t="shared" si="121"/>
        <v>19.5</v>
      </c>
      <c r="AT921" s="239">
        <f>IF(G921="CERVECERIA Y MALTERIA",(AS921*AK921/1000000)*(1-VLOOKUP(N921,FCST!D:I,6,FALSE)),0)</f>
        <v>9.1610999999999994</v>
      </c>
      <c r="AU921" s="232">
        <v>5.0000000000000001E-3</v>
      </c>
      <c r="AV921" s="239">
        <f t="shared" si="122"/>
        <v>9.2069054999999977</v>
      </c>
      <c r="AW921" s="239">
        <f>(AS921*AK921/1000000)*(VLOOKUP(N921,FCST!D:I,6,FALSE))</f>
        <v>0</v>
      </c>
      <c r="AX921" s="239">
        <f t="shared" si="123"/>
        <v>0</v>
      </c>
      <c r="AY921" s="239">
        <f>IF($G921="CERVECERIA Y MALTERIA.",($AS921*$AK921/1000000)*(1-VLOOKUP($N921,FCST!D:I,6,FALSE)),0)</f>
        <v>0</v>
      </c>
      <c r="AZ921" s="239">
        <f t="shared" si="124"/>
        <v>0</v>
      </c>
    </row>
    <row r="923" spans="1:52" x14ac:dyDescent="0.25">
      <c r="A923" s="209">
        <v>1118131</v>
      </c>
      <c r="B923" s="209">
        <v>60</v>
      </c>
      <c r="C923" s="209">
        <v>89469251</v>
      </c>
      <c r="D923" s="209">
        <v>10</v>
      </c>
      <c r="E923" s="209">
        <v>10000002</v>
      </c>
      <c r="F923" s="209">
        <v>20000340</v>
      </c>
      <c r="G923" s="209" t="s">
        <v>117</v>
      </c>
      <c r="H923" s="209">
        <v>20000340</v>
      </c>
      <c r="I923" s="209">
        <v>2</v>
      </c>
      <c r="J923" s="209" t="s">
        <v>169</v>
      </c>
      <c r="K923" s="209" t="s">
        <v>2053</v>
      </c>
      <c r="L923" s="209" t="s">
        <v>171</v>
      </c>
      <c r="M923" s="209" t="s">
        <v>172</v>
      </c>
      <c r="N923" s="209">
        <v>50039509</v>
      </c>
      <c r="O923" s="209" t="s">
        <v>2054</v>
      </c>
      <c r="P923" s="209">
        <v>5101</v>
      </c>
      <c r="Q923" s="209" t="s">
        <v>186</v>
      </c>
      <c r="R923" s="209" t="s">
        <v>175</v>
      </c>
      <c r="S923" s="209" t="s">
        <v>176</v>
      </c>
      <c r="T923" s="209" t="s">
        <v>187</v>
      </c>
      <c r="U923" s="209" t="s">
        <v>188</v>
      </c>
      <c r="V923" s="209" t="s">
        <v>179</v>
      </c>
      <c r="W923" s="209" t="s">
        <v>179</v>
      </c>
      <c r="X923" s="209" t="s">
        <v>180</v>
      </c>
      <c r="Y923" s="209" t="s">
        <v>180</v>
      </c>
      <c r="Z923" s="209">
        <v>9511047948</v>
      </c>
      <c r="AA923" s="209" t="s">
        <v>2055</v>
      </c>
      <c r="AB923" s="209" t="s">
        <v>180</v>
      </c>
      <c r="AC923" s="209" t="s">
        <v>182</v>
      </c>
      <c r="AD923" s="209">
        <v>5</v>
      </c>
      <c r="AE923" s="209">
        <v>2025</v>
      </c>
      <c r="AF923" s="227">
        <v>45791</v>
      </c>
      <c r="AG923" s="227">
        <v>45799</v>
      </c>
      <c r="AH923" s="227">
        <v>45799</v>
      </c>
      <c r="AI923" s="228">
        <v>519168</v>
      </c>
      <c r="AJ923" s="228">
        <v>52</v>
      </c>
      <c r="AK923" s="228">
        <v>519168</v>
      </c>
      <c r="AL923" s="228">
        <v>52</v>
      </c>
      <c r="AM923" s="228">
        <v>0</v>
      </c>
      <c r="AN923" s="228">
        <v>0</v>
      </c>
      <c r="AO923" s="229">
        <v>21</v>
      </c>
      <c r="AP923" s="231">
        <v>5</v>
      </c>
      <c r="AQ923" s="231">
        <v>2025</v>
      </c>
      <c r="AR923" s="231" t="str">
        <f t="shared" ref="AR923:AR954" si="125">+IF(AP923&lt;10,"0"&amp;AP923&amp; "/"&amp;AQ923,AP923&amp; "/"&amp;AQ923)</f>
        <v>05/2025</v>
      </c>
      <c r="AS923" s="231">
        <f t="shared" ref="AS923:AS954" si="126">VALUE(MID(INDEX(_xlfn.TEXTSPLIT(O923, ","), 1, 3), 1,FIND("G", INDEX(_xlfn.TEXTSPLIT(O923, ","), 1, 3))-1))</f>
        <v>34</v>
      </c>
      <c r="AT923" s="239">
        <f>IF(G923="CERVECERIA Y MALTERIA",(AS923*AK923/1000000)*(1-VLOOKUP(N923,[1]FCST!D:I,6,FALSE)),0)</f>
        <v>0</v>
      </c>
      <c r="AU923" s="232">
        <v>5.0000000000000001E-3</v>
      </c>
      <c r="AV923" s="239">
        <f t="shared" ref="AV923:AV954" si="127">+AT923*(1+AU923)</f>
        <v>0</v>
      </c>
      <c r="AW923" s="239">
        <f>(AS923*AK923/1000000)*(VLOOKUP(N923,[1]FCST!D:I,6,FALSE))</f>
        <v>0</v>
      </c>
      <c r="AX923" s="239">
        <f t="shared" ref="AX923:AX954" si="128">+AW923*(1+AU923)</f>
        <v>0</v>
      </c>
      <c r="AY923" s="239">
        <f>IF($G923="CERVECERIA Y MALTERIA.",($AS923*$AK923/1000000)*(1-VLOOKUP($N923,[1]FCST!D:I,6,FALSE)),0)</f>
        <v>17.651712</v>
      </c>
      <c r="AZ923" s="239">
        <f t="shared" ref="AZ923:AZ954" si="129">+AY923*(1+AU923)</f>
        <v>17.73997056</v>
      </c>
    </row>
    <row r="924" spans="1:52" x14ac:dyDescent="0.25">
      <c r="A924" s="209">
        <v>1115330</v>
      </c>
      <c r="B924" s="209">
        <v>30</v>
      </c>
      <c r="C924" s="209">
        <v>89469400</v>
      </c>
      <c r="D924" s="209">
        <v>10</v>
      </c>
      <c r="E924" s="209">
        <v>10000002</v>
      </c>
      <c r="F924" s="209">
        <v>20000336</v>
      </c>
      <c r="G924" s="209" t="s">
        <v>105</v>
      </c>
      <c r="H924" s="209">
        <v>20000336</v>
      </c>
      <c r="I924" s="209">
        <v>2</v>
      </c>
      <c r="J924" s="209" t="s">
        <v>169</v>
      </c>
      <c r="K924" s="209" t="s">
        <v>2056</v>
      </c>
      <c r="L924" s="209" t="s">
        <v>171</v>
      </c>
      <c r="M924" s="209" t="s">
        <v>184</v>
      </c>
      <c r="N924" s="209">
        <v>50037887</v>
      </c>
      <c r="O924" s="209" t="s">
        <v>679</v>
      </c>
      <c r="P924" s="209">
        <v>5121</v>
      </c>
      <c r="Q924" s="209" t="s">
        <v>174</v>
      </c>
      <c r="R924" s="209" t="s">
        <v>175</v>
      </c>
      <c r="S924" s="209" t="s">
        <v>176</v>
      </c>
      <c r="T924" s="209" t="s">
        <v>177</v>
      </c>
      <c r="U924" s="209" t="s">
        <v>2057</v>
      </c>
      <c r="V924" s="209" t="s">
        <v>179</v>
      </c>
      <c r="W924" s="209" t="s">
        <v>179</v>
      </c>
      <c r="X924" s="209" t="s">
        <v>180</v>
      </c>
      <c r="Y924" s="209" t="s">
        <v>180</v>
      </c>
      <c r="Z924" s="209">
        <v>9521068596</v>
      </c>
      <c r="AA924" s="209" t="s">
        <v>2058</v>
      </c>
      <c r="AB924" s="209" t="s">
        <v>180</v>
      </c>
      <c r="AC924" s="209" t="s">
        <v>182</v>
      </c>
      <c r="AD924" s="209">
        <v>5</v>
      </c>
      <c r="AE924" s="209">
        <v>2025</v>
      </c>
      <c r="AF924" s="227">
        <v>45776</v>
      </c>
      <c r="AG924" s="227">
        <v>45799</v>
      </c>
      <c r="AH924" s="227">
        <v>45799</v>
      </c>
      <c r="AI924" s="228">
        <v>531648</v>
      </c>
      <c r="AJ924" s="228">
        <v>52</v>
      </c>
      <c r="AK924" s="228">
        <v>531648</v>
      </c>
      <c r="AL924" s="228">
        <v>52</v>
      </c>
      <c r="AM924" s="228">
        <v>0</v>
      </c>
      <c r="AN924" s="228">
        <v>0</v>
      </c>
      <c r="AO924" s="229">
        <v>19</v>
      </c>
      <c r="AP924" s="231">
        <v>5</v>
      </c>
      <c r="AQ924" s="231">
        <v>2025</v>
      </c>
      <c r="AR924" s="231" t="str">
        <f t="shared" si="125"/>
        <v>05/2025</v>
      </c>
      <c r="AS924" s="231">
        <f t="shared" si="126"/>
        <v>37.200000000000003</v>
      </c>
      <c r="AT924" s="239">
        <f>IF(G924="CERVECERIA Y MALTERIA",(AS924*AK924/1000000)*(1-VLOOKUP(N924,[1]FCST!D:I,6,FALSE)),0)</f>
        <v>19.777305600000002</v>
      </c>
      <c r="AU924" s="232">
        <v>5.0000000000000001E-3</v>
      </c>
      <c r="AV924" s="239">
        <f t="shared" si="127"/>
        <v>19.876192128</v>
      </c>
      <c r="AW924" s="239">
        <f>(AS924*AK924/1000000)*(VLOOKUP(N924,[1]FCST!D:I,6,FALSE))</f>
        <v>0</v>
      </c>
      <c r="AX924" s="239">
        <f t="shared" si="128"/>
        <v>0</v>
      </c>
      <c r="AY924" s="239">
        <f>IF($G924="CERVECERIA Y MALTERIA.",($AS924*$AK924/1000000)*(1-VLOOKUP($N924,[1]FCST!D:I,6,FALSE)),0)</f>
        <v>0</v>
      </c>
      <c r="AZ924" s="239">
        <f t="shared" si="129"/>
        <v>0</v>
      </c>
    </row>
    <row r="925" spans="1:52" x14ac:dyDescent="0.25">
      <c r="A925" s="209">
        <v>1118130</v>
      </c>
      <c r="B925" s="209">
        <v>60</v>
      </c>
      <c r="C925" s="209">
        <v>89469048</v>
      </c>
      <c r="D925" s="209">
        <v>10</v>
      </c>
      <c r="E925" s="209">
        <v>10000002</v>
      </c>
      <c r="F925" s="209">
        <v>20000335</v>
      </c>
      <c r="G925" s="209" t="s">
        <v>105</v>
      </c>
      <c r="H925" s="209">
        <v>20000335</v>
      </c>
      <c r="I925" s="209">
        <v>2</v>
      </c>
      <c r="J925" s="209" t="s">
        <v>169</v>
      </c>
      <c r="K925" s="209" t="s">
        <v>2059</v>
      </c>
      <c r="L925" s="209" t="s">
        <v>171</v>
      </c>
      <c r="M925" s="209" t="s">
        <v>172</v>
      </c>
      <c r="N925" s="209">
        <v>50034616</v>
      </c>
      <c r="O925" s="209" t="s">
        <v>191</v>
      </c>
      <c r="P925" s="209">
        <v>5121</v>
      </c>
      <c r="Q925" s="209" t="s">
        <v>174</v>
      </c>
      <c r="R925" s="209" t="s">
        <v>175</v>
      </c>
      <c r="S925" s="209" t="s">
        <v>176</v>
      </c>
      <c r="T925" s="209" t="s">
        <v>177</v>
      </c>
      <c r="U925" s="209" t="s">
        <v>2057</v>
      </c>
      <c r="V925" s="209" t="s">
        <v>179</v>
      </c>
      <c r="W925" s="209" t="s">
        <v>179</v>
      </c>
      <c r="X925" s="209" t="s">
        <v>180</v>
      </c>
      <c r="Y925" s="209" t="s">
        <v>180</v>
      </c>
      <c r="Z925" s="209">
        <v>9521068591</v>
      </c>
      <c r="AA925" s="209" t="s">
        <v>2060</v>
      </c>
      <c r="AB925" s="209" t="s">
        <v>180</v>
      </c>
      <c r="AC925" s="209" t="s">
        <v>182</v>
      </c>
      <c r="AD925" s="209">
        <v>5</v>
      </c>
      <c r="AE925" s="209">
        <v>2025</v>
      </c>
      <c r="AF925" s="227">
        <v>45791</v>
      </c>
      <c r="AG925" s="227">
        <v>45799</v>
      </c>
      <c r="AH925" s="227">
        <v>45799</v>
      </c>
      <c r="AI925" s="228">
        <v>426816</v>
      </c>
      <c r="AJ925" s="228">
        <v>52</v>
      </c>
      <c r="AK925" s="228">
        <v>426816</v>
      </c>
      <c r="AL925" s="228">
        <v>52</v>
      </c>
      <c r="AM925" s="228">
        <v>0</v>
      </c>
      <c r="AN925" s="228">
        <v>0</v>
      </c>
      <c r="AO925" s="229">
        <v>21</v>
      </c>
      <c r="AP925" s="231">
        <v>5</v>
      </c>
      <c r="AQ925" s="231">
        <v>2025</v>
      </c>
      <c r="AR925" s="231" t="str">
        <f t="shared" si="125"/>
        <v>05/2025</v>
      </c>
      <c r="AS925" s="231">
        <f t="shared" si="126"/>
        <v>46.6</v>
      </c>
      <c r="AT925" s="239">
        <f>IF(G925="CERVECERIA Y MALTERIA",(AS925*AK925/1000000)*(1-VLOOKUP(N925,[1]FCST!D:I,6,FALSE)),0)</f>
        <v>19.889625600000002</v>
      </c>
      <c r="AU925" s="232">
        <v>5.0000000000000001E-3</v>
      </c>
      <c r="AV925" s="239">
        <f t="shared" si="127"/>
        <v>19.989073728000001</v>
      </c>
      <c r="AW925" s="239">
        <f>(AS925*AK925/1000000)*(VLOOKUP(N925,[1]FCST!D:I,6,FALSE))</f>
        <v>0</v>
      </c>
      <c r="AX925" s="239">
        <f t="shared" si="128"/>
        <v>0</v>
      </c>
      <c r="AY925" s="239">
        <f>IF($G925="CERVECERIA Y MALTERIA.",($AS925*$AK925/1000000)*(1-VLOOKUP($N925,[1]FCST!D:I,6,FALSE)),0)</f>
        <v>0</v>
      </c>
      <c r="AZ925" s="239">
        <f t="shared" si="129"/>
        <v>0</v>
      </c>
    </row>
    <row r="926" spans="1:52" x14ac:dyDescent="0.25">
      <c r="A926" s="209">
        <v>1119829</v>
      </c>
      <c r="B926" s="209">
        <v>20</v>
      </c>
      <c r="C926" s="209">
        <v>89470570</v>
      </c>
      <c r="D926" s="209">
        <v>10</v>
      </c>
      <c r="E926" s="209">
        <v>10000002</v>
      </c>
      <c r="F926" s="209">
        <v>20001057</v>
      </c>
      <c r="G926" s="209" t="s">
        <v>105</v>
      </c>
      <c r="H926" s="209">
        <v>20001057</v>
      </c>
      <c r="I926" s="209">
        <v>2</v>
      </c>
      <c r="J926" s="209" t="s">
        <v>169</v>
      </c>
      <c r="K926" s="209" t="s">
        <v>2061</v>
      </c>
      <c r="L926" s="209" t="s">
        <v>265</v>
      </c>
      <c r="M926" s="209" t="s">
        <v>199</v>
      </c>
      <c r="N926" s="209">
        <v>50035184</v>
      </c>
      <c r="O926" s="209" t="s">
        <v>672</v>
      </c>
      <c r="P926" s="209">
        <v>5121</v>
      </c>
      <c r="Q926" s="209" t="s">
        <v>200</v>
      </c>
      <c r="R926" s="209" t="s">
        <v>201</v>
      </c>
      <c r="S926" s="209" t="s">
        <v>202</v>
      </c>
      <c r="T926" s="209" t="s">
        <v>203</v>
      </c>
      <c r="U926" s="209" t="s">
        <v>201</v>
      </c>
      <c r="V926" s="209" t="s">
        <v>179</v>
      </c>
      <c r="W926" s="209" t="s">
        <v>179</v>
      </c>
      <c r="X926" s="209" t="s">
        <v>180</v>
      </c>
      <c r="Y926" s="209" t="s">
        <v>180</v>
      </c>
      <c r="Z926" s="209">
        <v>9521068600</v>
      </c>
      <c r="AA926" s="209" t="s">
        <v>2062</v>
      </c>
      <c r="AB926" s="209" t="s">
        <v>180</v>
      </c>
      <c r="AC926" s="209" t="s">
        <v>182</v>
      </c>
      <c r="AD926" s="209">
        <v>5</v>
      </c>
      <c r="AE926" s="209">
        <v>2025</v>
      </c>
      <c r="AF926" s="227">
        <v>45800</v>
      </c>
      <c r="AG926" s="227">
        <v>45800</v>
      </c>
      <c r="AH926" s="227">
        <v>45800</v>
      </c>
      <c r="AI926" s="228">
        <v>977184</v>
      </c>
      <c r="AJ926" s="228">
        <v>52</v>
      </c>
      <c r="AK926" s="228">
        <v>977184</v>
      </c>
      <c r="AL926" s="228">
        <v>52</v>
      </c>
      <c r="AM926" s="228">
        <v>0</v>
      </c>
      <c r="AN926" s="228">
        <v>0</v>
      </c>
      <c r="AO926" s="229">
        <v>21</v>
      </c>
      <c r="AP926" s="231">
        <v>5</v>
      </c>
      <c r="AQ926" s="231">
        <v>2025</v>
      </c>
      <c r="AR926" s="231" t="str">
        <f t="shared" si="125"/>
        <v>05/2025</v>
      </c>
      <c r="AS926" s="231">
        <f t="shared" si="126"/>
        <v>19.5</v>
      </c>
      <c r="AT926" s="239">
        <f>IF(G926="CERVECERIA Y MALTERIA",(AS926*AK926/1000000)*(1-VLOOKUP(N926,[1]FCST!D:I,6,FALSE)),0)</f>
        <v>19.055088000000001</v>
      </c>
      <c r="AU926" s="232">
        <v>5.0000000000000001E-3</v>
      </c>
      <c r="AV926" s="239">
        <f t="shared" si="127"/>
        <v>19.15036344</v>
      </c>
      <c r="AW926" s="239">
        <f>(AS926*AK926/1000000)*(VLOOKUP(N926,[1]FCST!D:I,6,FALSE))</f>
        <v>0</v>
      </c>
      <c r="AX926" s="239">
        <f t="shared" si="128"/>
        <v>0</v>
      </c>
      <c r="AY926" s="239">
        <f>IF($G926="CERVECERIA Y MALTERIA.",($AS926*$AK926/1000000)*(1-VLOOKUP($N926,[1]FCST!D:I,6,FALSE)),0)</f>
        <v>0</v>
      </c>
      <c r="AZ926" s="239">
        <f t="shared" si="129"/>
        <v>0</v>
      </c>
    </row>
    <row r="927" spans="1:52" x14ac:dyDescent="0.25">
      <c r="A927" s="209">
        <v>1119588</v>
      </c>
      <c r="B927" s="209">
        <v>10</v>
      </c>
      <c r="C927" s="209">
        <v>89471711</v>
      </c>
      <c r="D927" s="209">
        <v>10</v>
      </c>
      <c r="E927" s="209">
        <v>10000002</v>
      </c>
      <c r="F927" s="209">
        <v>20000335</v>
      </c>
      <c r="G927" s="209" t="s">
        <v>105</v>
      </c>
      <c r="H927" s="209">
        <v>20000335</v>
      </c>
      <c r="I927" s="209">
        <v>2</v>
      </c>
      <c r="J927" s="209" t="s">
        <v>169</v>
      </c>
      <c r="K927" s="209" t="s">
        <v>2063</v>
      </c>
      <c r="L927" s="209" t="s">
        <v>171</v>
      </c>
      <c r="M927" s="209" t="s">
        <v>184</v>
      </c>
      <c r="N927" s="209">
        <v>50025345</v>
      </c>
      <c r="O927" s="209" t="s">
        <v>1998</v>
      </c>
      <c r="P927" s="209">
        <v>5121</v>
      </c>
      <c r="Q927" s="209" t="s">
        <v>174</v>
      </c>
      <c r="R927" s="209" t="s">
        <v>175</v>
      </c>
      <c r="S927" s="209" t="s">
        <v>176</v>
      </c>
      <c r="T927" s="209" t="s">
        <v>177</v>
      </c>
      <c r="U927" s="209" t="s">
        <v>2057</v>
      </c>
      <c r="V927" s="209" t="s">
        <v>179</v>
      </c>
      <c r="W927" s="209" t="s">
        <v>179</v>
      </c>
      <c r="X927" s="209" t="s">
        <v>180</v>
      </c>
      <c r="Y927" s="209" t="s">
        <v>180</v>
      </c>
      <c r="Z927" s="209">
        <v>9521068589</v>
      </c>
      <c r="AA927" s="209" t="s">
        <v>2064</v>
      </c>
      <c r="AB927" s="209" t="s">
        <v>180</v>
      </c>
      <c r="AC927" s="209" t="s">
        <v>182</v>
      </c>
      <c r="AD927" s="209">
        <v>5</v>
      </c>
      <c r="AE927" s="209">
        <v>2025</v>
      </c>
      <c r="AF927" s="227">
        <v>45799</v>
      </c>
      <c r="AG927" s="227">
        <v>45803</v>
      </c>
      <c r="AH927" s="227">
        <v>45803</v>
      </c>
      <c r="AI927" s="228">
        <v>426816</v>
      </c>
      <c r="AJ927" s="228">
        <v>52</v>
      </c>
      <c r="AK927" s="228">
        <v>426816</v>
      </c>
      <c r="AL927" s="228">
        <v>52</v>
      </c>
      <c r="AM927" s="228">
        <v>0</v>
      </c>
      <c r="AN927" s="228">
        <v>0</v>
      </c>
      <c r="AO927" s="229">
        <v>22</v>
      </c>
      <c r="AP927" s="231">
        <v>5</v>
      </c>
      <c r="AQ927" s="231">
        <v>2025</v>
      </c>
      <c r="AR927" s="231" t="str">
        <f t="shared" si="125"/>
        <v>05/2025</v>
      </c>
      <c r="AS927" s="231">
        <f t="shared" si="126"/>
        <v>46.6</v>
      </c>
      <c r="AT927" s="239">
        <f>IF(G927="CERVECERIA Y MALTERIA",(AS927*AK927/1000000)*(1-VLOOKUP(N927,[1]FCST!D:I,6,FALSE)),0)</f>
        <v>19.889625600000002</v>
      </c>
      <c r="AU927" s="232">
        <v>5.0000000000000001E-3</v>
      </c>
      <c r="AV927" s="239">
        <f t="shared" si="127"/>
        <v>19.989073728000001</v>
      </c>
      <c r="AW927" s="239">
        <f>(AS927*AK927/1000000)*(VLOOKUP(N927,[1]FCST!D:I,6,FALSE))</f>
        <v>0</v>
      </c>
      <c r="AX927" s="239">
        <f t="shared" si="128"/>
        <v>0</v>
      </c>
      <c r="AY927" s="239">
        <f>IF($G927="CERVECERIA Y MALTERIA.",($AS927*$AK927/1000000)*(1-VLOOKUP($N927,[1]FCST!D:I,6,FALSE)),0)</f>
        <v>0</v>
      </c>
      <c r="AZ927" s="239">
        <f t="shared" si="129"/>
        <v>0</v>
      </c>
    </row>
    <row r="928" spans="1:52" x14ac:dyDescent="0.25">
      <c r="A928" s="209">
        <v>1119589</v>
      </c>
      <c r="B928" s="209">
        <v>10</v>
      </c>
      <c r="C928" s="209">
        <v>89471648</v>
      </c>
      <c r="D928" s="209">
        <v>10</v>
      </c>
      <c r="E928" s="209">
        <v>10000002</v>
      </c>
      <c r="F928" s="209">
        <v>20000340</v>
      </c>
      <c r="G928" s="209" t="s">
        <v>117</v>
      </c>
      <c r="H928" s="209">
        <v>20000340</v>
      </c>
      <c r="I928" s="209">
        <v>2</v>
      </c>
      <c r="J928" s="209" t="s">
        <v>169</v>
      </c>
      <c r="K928" s="209" t="s">
        <v>2065</v>
      </c>
      <c r="L928" s="209" t="s">
        <v>171</v>
      </c>
      <c r="M928" s="209" t="s">
        <v>184</v>
      </c>
      <c r="N928" s="209">
        <v>50039509</v>
      </c>
      <c r="O928" s="209" t="s">
        <v>2054</v>
      </c>
      <c r="P928" s="209">
        <v>5101</v>
      </c>
      <c r="Q928" s="209" t="s">
        <v>186</v>
      </c>
      <c r="R928" s="209" t="s">
        <v>175</v>
      </c>
      <c r="S928" s="209" t="s">
        <v>176</v>
      </c>
      <c r="T928" s="209" t="s">
        <v>187</v>
      </c>
      <c r="U928" s="209" t="s">
        <v>188</v>
      </c>
      <c r="V928" s="209" t="s">
        <v>179</v>
      </c>
      <c r="W928" s="209" t="s">
        <v>179</v>
      </c>
      <c r="X928" s="209" t="s">
        <v>180</v>
      </c>
      <c r="Y928" s="209" t="s">
        <v>180</v>
      </c>
      <c r="Z928" s="209">
        <v>9511047948</v>
      </c>
      <c r="AA928" s="209" t="s">
        <v>2055</v>
      </c>
      <c r="AB928" s="209" t="s">
        <v>180</v>
      </c>
      <c r="AC928" s="209" t="s">
        <v>182</v>
      </c>
      <c r="AD928" s="209">
        <v>5</v>
      </c>
      <c r="AE928" s="209">
        <v>2025</v>
      </c>
      <c r="AF928" s="227">
        <v>45799</v>
      </c>
      <c r="AG928" s="227">
        <v>45803</v>
      </c>
      <c r="AH928" s="227">
        <v>45803</v>
      </c>
      <c r="AI928" s="228">
        <v>519168</v>
      </c>
      <c r="AJ928" s="228">
        <v>52</v>
      </c>
      <c r="AK928" s="228">
        <v>519168</v>
      </c>
      <c r="AL928" s="228">
        <v>52</v>
      </c>
      <c r="AM928" s="228">
        <v>0</v>
      </c>
      <c r="AN928" s="228">
        <v>0</v>
      </c>
      <c r="AO928" s="229">
        <v>22</v>
      </c>
      <c r="AP928" s="231">
        <v>5</v>
      </c>
      <c r="AQ928" s="231">
        <v>2025</v>
      </c>
      <c r="AR928" s="231" t="str">
        <f t="shared" si="125"/>
        <v>05/2025</v>
      </c>
      <c r="AS928" s="231">
        <f t="shared" si="126"/>
        <v>34</v>
      </c>
      <c r="AT928" s="239">
        <f>IF(G928="CERVECERIA Y MALTERIA",(AS928*AK928/1000000)*(1-VLOOKUP(N928,[1]FCST!D:I,6,FALSE)),0)</f>
        <v>0</v>
      </c>
      <c r="AU928" s="232">
        <v>5.0000000000000001E-3</v>
      </c>
      <c r="AV928" s="239">
        <f t="shared" si="127"/>
        <v>0</v>
      </c>
      <c r="AW928" s="239">
        <f>(AS928*AK928/1000000)*(VLOOKUP(N928,[1]FCST!D:I,6,FALSE))</f>
        <v>0</v>
      </c>
      <c r="AX928" s="239">
        <f t="shared" si="128"/>
        <v>0</v>
      </c>
      <c r="AY928" s="239">
        <f>IF($G928="CERVECERIA Y MALTERIA.",($AS928*$AK928/1000000)*(1-VLOOKUP($N928,[1]FCST!D:I,6,FALSE)),0)</f>
        <v>17.651712</v>
      </c>
      <c r="AZ928" s="239">
        <f t="shared" si="129"/>
        <v>17.73997056</v>
      </c>
    </row>
    <row r="929" spans="1:52" x14ac:dyDescent="0.25">
      <c r="A929" s="209">
        <v>1116730</v>
      </c>
      <c r="B929" s="209">
        <v>20</v>
      </c>
      <c r="C929" s="209">
        <v>89471292</v>
      </c>
      <c r="D929" s="209">
        <v>10</v>
      </c>
      <c r="E929" s="209">
        <v>10000002</v>
      </c>
      <c r="F929" s="209">
        <v>20000339</v>
      </c>
      <c r="G929" s="209" t="s">
        <v>105</v>
      </c>
      <c r="H929" s="209">
        <v>20000339</v>
      </c>
      <c r="I929" s="209">
        <v>2</v>
      </c>
      <c r="J929" s="209" t="s">
        <v>169</v>
      </c>
      <c r="K929" s="209" t="s">
        <v>2066</v>
      </c>
      <c r="L929" s="209" t="s">
        <v>171</v>
      </c>
      <c r="M929" s="209" t="s">
        <v>172</v>
      </c>
      <c r="N929" s="209">
        <v>50034577</v>
      </c>
      <c r="O929" s="209" t="s">
        <v>237</v>
      </c>
      <c r="P929" s="209">
        <v>5101</v>
      </c>
      <c r="Q929" s="209" t="s">
        <v>186</v>
      </c>
      <c r="R929" s="209" t="s">
        <v>175</v>
      </c>
      <c r="S929" s="209" t="s">
        <v>176</v>
      </c>
      <c r="T929" s="209" t="s">
        <v>187</v>
      </c>
      <c r="U929" s="209" t="s">
        <v>188</v>
      </c>
      <c r="V929" s="209" t="s">
        <v>179</v>
      </c>
      <c r="W929" s="209" t="s">
        <v>179</v>
      </c>
      <c r="X929" s="209" t="s">
        <v>180</v>
      </c>
      <c r="Y929" s="209" t="s">
        <v>180</v>
      </c>
      <c r="Z929" s="209">
        <v>9511047946</v>
      </c>
      <c r="AA929" s="209" t="s">
        <v>2067</v>
      </c>
      <c r="AB929" s="209" t="s">
        <v>180</v>
      </c>
      <c r="AC929" s="209" t="s">
        <v>182</v>
      </c>
      <c r="AD929" s="209">
        <v>5</v>
      </c>
      <c r="AE929" s="209">
        <v>2025</v>
      </c>
      <c r="AF929" s="227">
        <v>45784</v>
      </c>
      <c r="AG929" s="227">
        <v>45800</v>
      </c>
      <c r="AH929" s="227">
        <v>45801</v>
      </c>
      <c r="AI929" s="228">
        <v>371904</v>
      </c>
      <c r="AJ929" s="228">
        <v>26</v>
      </c>
      <c r="AK929" s="228">
        <v>371904</v>
      </c>
      <c r="AL929" s="228">
        <v>26</v>
      </c>
      <c r="AM929" s="228">
        <v>0</v>
      </c>
      <c r="AN929" s="228">
        <v>0</v>
      </c>
      <c r="AO929" s="229">
        <v>19</v>
      </c>
      <c r="AP929" s="231">
        <v>5</v>
      </c>
      <c r="AQ929" s="231">
        <v>2025</v>
      </c>
      <c r="AR929" s="231" t="str">
        <f t="shared" si="125"/>
        <v>05/2025</v>
      </c>
      <c r="AS929" s="231">
        <f t="shared" si="126"/>
        <v>25</v>
      </c>
      <c r="AT929" s="239">
        <f>IF(G929="CERVECERIA Y MALTERIA",(AS929*AK929/1000000)*(1-VLOOKUP(N929,[1]FCST!D:I,6,FALSE)),0)</f>
        <v>9.2975999999999992</v>
      </c>
      <c r="AU929" s="232">
        <v>5.0000000000000001E-3</v>
      </c>
      <c r="AV929" s="239">
        <f t="shared" si="127"/>
        <v>9.3440879999999975</v>
      </c>
      <c r="AW929" s="239">
        <f>(AS929*AK929/1000000)*(VLOOKUP(N929,[1]FCST!D:I,6,FALSE))</f>
        <v>0</v>
      </c>
      <c r="AX929" s="239">
        <f t="shared" si="128"/>
        <v>0</v>
      </c>
      <c r="AY929" s="239">
        <f>IF($G929="CERVECERIA Y MALTERIA.",($AS929*$AK929/1000000)*(1-VLOOKUP($N929,[1]FCST!D:I,6,FALSE)),0)</f>
        <v>0</v>
      </c>
      <c r="AZ929" s="239">
        <f t="shared" si="129"/>
        <v>0</v>
      </c>
    </row>
    <row r="930" spans="1:52" x14ac:dyDescent="0.25">
      <c r="A930" s="209">
        <v>10002046</v>
      </c>
      <c r="B930" s="209">
        <v>10</v>
      </c>
      <c r="C930" s="209">
        <v>89471291</v>
      </c>
      <c r="D930" s="209">
        <v>10</v>
      </c>
      <c r="E930" s="209">
        <v>10000002</v>
      </c>
      <c r="F930" s="209">
        <v>20000339</v>
      </c>
      <c r="G930" s="209" t="s">
        <v>105</v>
      </c>
      <c r="H930" s="209">
        <v>20000339</v>
      </c>
      <c r="I930" s="209">
        <v>2</v>
      </c>
      <c r="J930" s="209" t="s">
        <v>169</v>
      </c>
      <c r="K930" s="209" t="s">
        <v>2068</v>
      </c>
      <c r="L930" s="209" t="s">
        <v>171</v>
      </c>
      <c r="M930" s="209" t="s">
        <v>172</v>
      </c>
      <c r="N930" s="209">
        <v>50039622</v>
      </c>
      <c r="O930" s="209" t="s">
        <v>2069</v>
      </c>
      <c r="P930" s="209">
        <v>5121</v>
      </c>
      <c r="Q930" s="209" t="s">
        <v>174</v>
      </c>
      <c r="R930" s="209" t="s">
        <v>175</v>
      </c>
      <c r="S930" s="209" t="s">
        <v>176</v>
      </c>
      <c r="T930" s="209" t="s">
        <v>177</v>
      </c>
      <c r="U930" s="209" t="s">
        <v>2057</v>
      </c>
      <c r="V930" s="209" t="s">
        <v>179</v>
      </c>
      <c r="W930" s="209" t="s">
        <v>179</v>
      </c>
      <c r="X930" s="209" t="s">
        <v>180</v>
      </c>
      <c r="Y930" s="209" t="s">
        <v>180</v>
      </c>
      <c r="Z930" s="209" t="s">
        <v>180</v>
      </c>
      <c r="AA930" s="209" t="s">
        <v>180</v>
      </c>
      <c r="AB930" s="209" t="s">
        <v>180</v>
      </c>
      <c r="AC930" s="209" t="s">
        <v>182</v>
      </c>
      <c r="AD930" s="209">
        <v>5</v>
      </c>
      <c r="AE930" s="209">
        <v>2025</v>
      </c>
      <c r="AF930" s="227">
        <v>45790</v>
      </c>
      <c r="AG930" s="227">
        <v>45800</v>
      </c>
      <c r="AH930" s="227">
        <v>45801</v>
      </c>
      <c r="AI930" s="228">
        <v>14016</v>
      </c>
      <c r="AJ930" s="228">
        <v>2</v>
      </c>
      <c r="AK930" s="228">
        <v>14016</v>
      </c>
      <c r="AL930" s="228">
        <v>2</v>
      </c>
      <c r="AM930" s="228">
        <v>0</v>
      </c>
      <c r="AN930" s="228">
        <v>0</v>
      </c>
      <c r="AO930" s="229">
        <v>21</v>
      </c>
      <c r="AP930" s="231">
        <v>5</v>
      </c>
      <c r="AQ930" s="231">
        <v>2025</v>
      </c>
      <c r="AR930" s="231" t="str">
        <f t="shared" si="125"/>
        <v>05/2025</v>
      </c>
      <c r="AS930" s="231">
        <f t="shared" si="126"/>
        <v>52</v>
      </c>
      <c r="AT930" s="239">
        <f>IF(G930="CERVECERIA Y MALTERIA",(AS930*AK930/1000000)*(1-VLOOKUP(N930,[1]FCST!D:I,6,FALSE)),0)</f>
        <v>0.72883200000000004</v>
      </c>
      <c r="AU930" s="232">
        <v>5.0000000000000001E-3</v>
      </c>
      <c r="AV930" s="239">
        <f t="shared" si="127"/>
        <v>0.73247615999999993</v>
      </c>
      <c r="AW930" s="239">
        <f>(AS930*AK930/1000000)*(VLOOKUP(N930,[1]FCST!D:I,6,FALSE))</f>
        <v>0</v>
      </c>
      <c r="AX930" s="239">
        <f t="shared" si="128"/>
        <v>0</v>
      </c>
      <c r="AY930" s="239">
        <f>IF($G930="CERVECERIA Y MALTERIA.",($AS930*$AK930/1000000)*(1-VLOOKUP($N930,[1]FCST!D:I,6,FALSE)),0)</f>
        <v>0</v>
      </c>
      <c r="AZ930" s="239">
        <f t="shared" si="129"/>
        <v>0</v>
      </c>
    </row>
    <row r="931" spans="1:52" x14ac:dyDescent="0.25">
      <c r="A931" s="209">
        <v>1118309</v>
      </c>
      <c r="B931" s="209">
        <v>20</v>
      </c>
      <c r="C931" s="209">
        <v>89471290</v>
      </c>
      <c r="D931" s="209">
        <v>10</v>
      </c>
      <c r="E931" s="209">
        <v>10000002</v>
      </c>
      <c r="F931" s="209">
        <v>20000339</v>
      </c>
      <c r="G931" s="209" t="s">
        <v>105</v>
      </c>
      <c r="H931" s="209">
        <v>20000339</v>
      </c>
      <c r="I931" s="209">
        <v>2</v>
      </c>
      <c r="J931" s="209" t="s">
        <v>169</v>
      </c>
      <c r="K931" s="209" t="s">
        <v>2070</v>
      </c>
      <c r="L931" s="209" t="s">
        <v>265</v>
      </c>
      <c r="M931" s="209" t="s">
        <v>172</v>
      </c>
      <c r="N931" s="209">
        <v>50034634</v>
      </c>
      <c r="O931" s="209" t="s">
        <v>219</v>
      </c>
      <c r="P931" s="209">
        <v>5121</v>
      </c>
      <c r="Q931" s="209" t="s">
        <v>174</v>
      </c>
      <c r="R931" s="209" t="s">
        <v>175</v>
      </c>
      <c r="S931" s="209" t="s">
        <v>176</v>
      </c>
      <c r="T931" s="209" t="s">
        <v>177</v>
      </c>
      <c r="U931" s="209" t="s">
        <v>2057</v>
      </c>
      <c r="V931" s="209" t="s">
        <v>179</v>
      </c>
      <c r="W931" s="209" t="s">
        <v>179</v>
      </c>
      <c r="X931" s="209" t="s">
        <v>180</v>
      </c>
      <c r="Y931" s="209" t="s">
        <v>180</v>
      </c>
      <c r="Z931" s="209">
        <v>9521068598</v>
      </c>
      <c r="AA931" s="209" t="s">
        <v>2071</v>
      </c>
      <c r="AB931" s="209" t="s">
        <v>180</v>
      </c>
      <c r="AC931" s="209" t="s">
        <v>182</v>
      </c>
      <c r="AD931" s="209">
        <v>5</v>
      </c>
      <c r="AE931" s="209">
        <v>2025</v>
      </c>
      <c r="AF931" s="227">
        <v>45792</v>
      </c>
      <c r="AG931" s="227">
        <v>45800</v>
      </c>
      <c r="AH931" s="227">
        <v>45801</v>
      </c>
      <c r="AI931" s="228">
        <v>168192</v>
      </c>
      <c r="AJ931" s="228">
        <v>24</v>
      </c>
      <c r="AK931" s="228">
        <v>168192</v>
      </c>
      <c r="AL931" s="228">
        <v>24</v>
      </c>
      <c r="AM931" s="228">
        <v>0</v>
      </c>
      <c r="AN931" s="228">
        <v>0</v>
      </c>
      <c r="AO931" s="229">
        <v>21</v>
      </c>
      <c r="AP931" s="231">
        <v>5</v>
      </c>
      <c r="AQ931" s="231">
        <v>2025</v>
      </c>
      <c r="AR931" s="231" t="str">
        <f t="shared" si="125"/>
        <v>05/2025</v>
      </c>
      <c r="AS931" s="231">
        <f t="shared" si="126"/>
        <v>52</v>
      </c>
      <c r="AT931" s="239">
        <f>IF(G931="CERVECERIA Y MALTERIA",(AS931*AK931/1000000)*(1-VLOOKUP(N931,[1]FCST!D:I,6,FALSE)),0)</f>
        <v>8.745984</v>
      </c>
      <c r="AU931" s="232">
        <v>5.0000000000000001E-3</v>
      </c>
      <c r="AV931" s="239">
        <f t="shared" si="127"/>
        <v>8.7897139199999987</v>
      </c>
      <c r="AW931" s="239">
        <f>(AS931*AK931/1000000)*(VLOOKUP(N931,[1]FCST!D:I,6,FALSE))</f>
        <v>0</v>
      </c>
      <c r="AX931" s="239">
        <f t="shared" si="128"/>
        <v>0</v>
      </c>
      <c r="AY931" s="239">
        <f>IF($G931="CERVECERIA Y MALTERIA.",($AS931*$AK931/1000000)*(1-VLOOKUP($N931,[1]FCST!D:I,6,FALSE)),0)</f>
        <v>0</v>
      </c>
      <c r="AZ931" s="239">
        <f t="shared" si="129"/>
        <v>0</v>
      </c>
    </row>
    <row r="932" spans="1:52" x14ac:dyDescent="0.25">
      <c r="A932" s="209">
        <v>1119829</v>
      </c>
      <c r="B932" s="209">
        <v>10</v>
      </c>
      <c r="C932" s="209">
        <v>89470344</v>
      </c>
      <c r="D932" s="209">
        <v>10</v>
      </c>
      <c r="E932" s="209">
        <v>10000002</v>
      </c>
      <c r="F932" s="209">
        <v>20001057</v>
      </c>
      <c r="G932" s="209" t="s">
        <v>105</v>
      </c>
      <c r="H932" s="209">
        <v>20001057</v>
      </c>
      <c r="I932" s="209">
        <v>2</v>
      </c>
      <c r="J932" s="209" t="s">
        <v>169</v>
      </c>
      <c r="K932" s="209" t="s">
        <v>2072</v>
      </c>
      <c r="L932" s="209" t="s">
        <v>265</v>
      </c>
      <c r="M932" s="209" t="s">
        <v>199</v>
      </c>
      <c r="N932" s="209">
        <v>50037887</v>
      </c>
      <c r="O932" s="209" t="s">
        <v>679</v>
      </c>
      <c r="P932" s="209">
        <v>5121</v>
      </c>
      <c r="Q932" s="209" t="s">
        <v>200</v>
      </c>
      <c r="R932" s="209" t="s">
        <v>201</v>
      </c>
      <c r="S932" s="209" t="s">
        <v>202</v>
      </c>
      <c r="T932" s="209" t="s">
        <v>203</v>
      </c>
      <c r="U932" s="209" t="s">
        <v>201</v>
      </c>
      <c r="V932" s="209" t="s">
        <v>179</v>
      </c>
      <c r="W932" s="209" t="s">
        <v>179</v>
      </c>
      <c r="X932" s="209" t="s">
        <v>180</v>
      </c>
      <c r="Y932" s="209" t="s">
        <v>180</v>
      </c>
      <c r="Z932" s="209">
        <v>9521068601</v>
      </c>
      <c r="AA932" s="209" t="s">
        <v>2073</v>
      </c>
      <c r="AB932" s="209" t="s">
        <v>180</v>
      </c>
      <c r="AC932" s="209" t="s">
        <v>182</v>
      </c>
      <c r="AD932" s="209">
        <v>5</v>
      </c>
      <c r="AE932" s="209">
        <v>2025</v>
      </c>
      <c r="AF932" s="227">
        <v>45800</v>
      </c>
      <c r="AG932" s="227">
        <v>45800</v>
      </c>
      <c r="AH932" s="227">
        <v>45800</v>
      </c>
      <c r="AI932" s="228">
        <v>531648</v>
      </c>
      <c r="AJ932" s="228">
        <v>52</v>
      </c>
      <c r="AK932" s="228">
        <v>531648</v>
      </c>
      <c r="AL932" s="228">
        <v>52</v>
      </c>
      <c r="AM932" s="228">
        <v>0</v>
      </c>
      <c r="AN932" s="228">
        <v>0</v>
      </c>
      <c r="AO932" s="229">
        <v>21</v>
      </c>
      <c r="AP932" s="231">
        <v>5</v>
      </c>
      <c r="AQ932" s="231">
        <v>2025</v>
      </c>
      <c r="AR932" s="231" t="str">
        <f t="shared" si="125"/>
        <v>05/2025</v>
      </c>
      <c r="AS932" s="231">
        <f t="shared" si="126"/>
        <v>37.200000000000003</v>
      </c>
      <c r="AT932" s="239">
        <f>IF(G932="CERVECERIA Y MALTERIA",(AS932*AK932/1000000)*(1-VLOOKUP(N932,[1]FCST!D:I,6,FALSE)),0)</f>
        <v>19.777305600000002</v>
      </c>
      <c r="AU932" s="232">
        <v>5.0000000000000001E-3</v>
      </c>
      <c r="AV932" s="239">
        <f t="shared" si="127"/>
        <v>19.876192128</v>
      </c>
      <c r="AW932" s="239">
        <f>(AS932*AK932/1000000)*(VLOOKUP(N932,[1]FCST!D:I,6,FALSE))</f>
        <v>0</v>
      </c>
      <c r="AX932" s="239">
        <f t="shared" si="128"/>
        <v>0</v>
      </c>
      <c r="AY932" s="239">
        <f>IF($G932="CERVECERIA Y MALTERIA.",($AS932*$AK932/1000000)*(1-VLOOKUP($N932,[1]FCST!D:I,6,FALSE)),0)</f>
        <v>0</v>
      </c>
      <c r="AZ932" s="239">
        <f t="shared" si="129"/>
        <v>0</v>
      </c>
    </row>
    <row r="933" spans="1:52" x14ac:dyDescent="0.25">
      <c r="A933" s="209">
        <v>1118130</v>
      </c>
      <c r="B933" s="209">
        <v>80</v>
      </c>
      <c r="C933" s="209">
        <v>89470144</v>
      </c>
      <c r="D933" s="209">
        <v>10</v>
      </c>
      <c r="E933" s="209">
        <v>10000002</v>
      </c>
      <c r="F933" s="209">
        <v>20000335</v>
      </c>
      <c r="G933" s="209" t="s">
        <v>105</v>
      </c>
      <c r="H933" s="209">
        <v>20000335</v>
      </c>
      <c r="I933" s="209">
        <v>2</v>
      </c>
      <c r="J933" s="209" t="s">
        <v>169</v>
      </c>
      <c r="K933" s="209" t="s">
        <v>2074</v>
      </c>
      <c r="L933" s="209" t="s">
        <v>171</v>
      </c>
      <c r="M933" s="209" t="s">
        <v>172</v>
      </c>
      <c r="N933" s="209">
        <v>50034616</v>
      </c>
      <c r="O933" s="209" t="s">
        <v>191</v>
      </c>
      <c r="P933" s="209">
        <v>5121</v>
      </c>
      <c r="Q933" s="209" t="s">
        <v>174</v>
      </c>
      <c r="R933" s="209" t="s">
        <v>175</v>
      </c>
      <c r="S933" s="209" t="s">
        <v>176</v>
      </c>
      <c r="T933" s="209" t="s">
        <v>177</v>
      </c>
      <c r="U933" s="209" t="s">
        <v>2057</v>
      </c>
      <c r="V933" s="209" t="s">
        <v>179</v>
      </c>
      <c r="W933" s="209" t="s">
        <v>179</v>
      </c>
      <c r="X933" s="209" t="s">
        <v>180</v>
      </c>
      <c r="Y933" s="209" t="s">
        <v>180</v>
      </c>
      <c r="Z933" s="209">
        <v>9521068591</v>
      </c>
      <c r="AA933" s="209" t="s">
        <v>2060</v>
      </c>
      <c r="AB933" s="209" t="s">
        <v>180</v>
      </c>
      <c r="AC933" s="209" t="s">
        <v>182</v>
      </c>
      <c r="AD933" s="209">
        <v>5</v>
      </c>
      <c r="AE933" s="209">
        <v>2025</v>
      </c>
      <c r="AF933" s="227">
        <v>45791</v>
      </c>
      <c r="AG933" s="227">
        <v>45800</v>
      </c>
      <c r="AH933" s="227">
        <v>45800</v>
      </c>
      <c r="AI933" s="228">
        <v>426816</v>
      </c>
      <c r="AJ933" s="228">
        <v>52</v>
      </c>
      <c r="AK933" s="228">
        <v>426816</v>
      </c>
      <c r="AL933" s="228">
        <v>52</v>
      </c>
      <c r="AM933" s="228">
        <v>0</v>
      </c>
      <c r="AN933" s="228">
        <v>0</v>
      </c>
      <c r="AO933" s="229">
        <v>21</v>
      </c>
      <c r="AP933" s="231">
        <v>5</v>
      </c>
      <c r="AQ933" s="231">
        <v>2025</v>
      </c>
      <c r="AR933" s="231" t="str">
        <f t="shared" si="125"/>
        <v>05/2025</v>
      </c>
      <c r="AS933" s="231">
        <f t="shared" si="126"/>
        <v>46.6</v>
      </c>
      <c r="AT933" s="239">
        <f>IF(G933="CERVECERIA Y MALTERIA",(AS933*AK933/1000000)*(1-VLOOKUP(N933,[1]FCST!D:I,6,FALSE)),0)</f>
        <v>19.889625600000002</v>
      </c>
      <c r="AU933" s="232">
        <v>5.0000000000000001E-3</v>
      </c>
      <c r="AV933" s="239">
        <f t="shared" si="127"/>
        <v>19.989073728000001</v>
      </c>
      <c r="AW933" s="239">
        <f>(AS933*AK933/1000000)*(VLOOKUP(N933,[1]FCST!D:I,6,FALSE))</f>
        <v>0</v>
      </c>
      <c r="AX933" s="239">
        <f t="shared" si="128"/>
        <v>0</v>
      </c>
      <c r="AY933" s="239">
        <f>IF($G933="CERVECERIA Y MALTERIA.",($AS933*$AK933/1000000)*(1-VLOOKUP($N933,[1]FCST!D:I,6,FALSE)),0)</f>
        <v>0</v>
      </c>
      <c r="AZ933" s="239">
        <f t="shared" si="129"/>
        <v>0</v>
      </c>
    </row>
    <row r="934" spans="1:52" x14ac:dyDescent="0.25">
      <c r="A934" s="209">
        <v>1118131</v>
      </c>
      <c r="B934" s="209">
        <v>70</v>
      </c>
      <c r="C934" s="209">
        <v>89470115</v>
      </c>
      <c r="D934" s="209">
        <v>10</v>
      </c>
      <c r="E934" s="209">
        <v>10000002</v>
      </c>
      <c r="F934" s="209">
        <v>20000340</v>
      </c>
      <c r="G934" s="209" t="s">
        <v>117</v>
      </c>
      <c r="H934" s="209">
        <v>20000340</v>
      </c>
      <c r="I934" s="209">
        <v>2</v>
      </c>
      <c r="J934" s="209" t="s">
        <v>169</v>
      </c>
      <c r="K934" s="209" t="s">
        <v>2075</v>
      </c>
      <c r="L934" s="209" t="s">
        <v>171</v>
      </c>
      <c r="M934" s="209" t="s">
        <v>172</v>
      </c>
      <c r="N934" s="209">
        <v>50039509</v>
      </c>
      <c r="O934" s="209" t="s">
        <v>2054</v>
      </c>
      <c r="P934" s="209">
        <v>5101</v>
      </c>
      <c r="Q934" s="209" t="s">
        <v>186</v>
      </c>
      <c r="R934" s="209" t="s">
        <v>175</v>
      </c>
      <c r="S934" s="209" t="s">
        <v>176</v>
      </c>
      <c r="T934" s="209" t="s">
        <v>187</v>
      </c>
      <c r="U934" s="209" t="s">
        <v>188</v>
      </c>
      <c r="V934" s="209" t="s">
        <v>179</v>
      </c>
      <c r="W934" s="209" t="s">
        <v>179</v>
      </c>
      <c r="X934" s="209" t="s">
        <v>180</v>
      </c>
      <c r="Y934" s="209" t="s">
        <v>180</v>
      </c>
      <c r="Z934" s="209">
        <v>9511047948</v>
      </c>
      <c r="AA934" s="209" t="s">
        <v>2055</v>
      </c>
      <c r="AB934" s="209" t="s">
        <v>180</v>
      </c>
      <c r="AC934" s="209" t="s">
        <v>182</v>
      </c>
      <c r="AD934" s="209">
        <v>5</v>
      </c>
      <c r="AE934" s="209">
        <v>2025</v>
      </c>
      <c r="AF934" s="227">
        <v>45791</v>
      </c>
      <c r="AG934" s="227">
        <v>45800</v>
      </c>
      <c r="AH934" s="227">
        <v>45800</v>
      </c>
      <c r="AI934" s="228">
        <v>519168</v>
      </c>
      <c r="AJ934" s="228">
        <v>52</v>
      </c>
      <c r="AK934" s="228">
        <v>519168</v>
      </c>
      <c r="AL934" s="228">
        <v>52</v>
      </c>
      <c r="AM934" s="228">
        <v>0</v>
      </c>
      <c r="AN934" s="228">
        <v>0</v>
      </c>
      <c r="AO934" s="229">
        <v>21</v>
      </c>
      <c r="AP934" s="231">
        <v>5</v>
      </c>
      <c r="AQ934" s="231">
        <v>2025</v>
      </c>
      <c r="AR934" s="231" t="str">
        <f t="shared" si="125"/>
        <v>05/2025</v>
      </c>
      <c r="AS934" s="231">
        <f t="shared" si="126"/>
        <v>34</v>
      </c>
      <c r="AT934" s="239">
        <f>IF(G934="CERVECERIA Y MALTERIA",(AS934*AK934/1000000)*(1-VLOOKUP(N934,[1]FCST!D:I,6,FALSE)),0)</f>
        <v>0</v>
      </c>
      <c r="AU934" s="232">
        <v>5.0000000000000001E-3</v>
      </c>
      <c r="AV934" s="239">
        <f t="shared" si="127"/>
        <v>0</v>
      </c>
      <c r="AW934" s="239">
        <f>(AS934*AK934/1000000)*(VLOOKUP(N934,[1]FCST!D:I,6,FALSE))</f>
        <v>0</v>
      </c>
      <c r="AX934" s="239">
        <f t="shared" si="128"/>
        <v>0</v>
      </c>
      <c r="AY934" s="239">
        <f>IF($G934="CERVECERIA Y MALTERIA.",($AS934*$AK934/1000000)*(1-VLOOKUP($N934,[1]FCST!D:I,6,FALSE)),0)</f>
        <v>17.651712</v>
      </c>
      <c r="AZ934" s="239">
        <f t="shared" si="129"/>
        <v>17.73997056</v>
      </c>
    </row>
    <row r="935" spans="1:52" x14ac:dyDescent="0.25">
      <c r="A935" s="209">
        <v>1118309</v>
      </c>
      <c r="B935" s="209">
        <v>30</v>
      </c>
      <c r="C935" s="209">
        <v>89470093</v>
      </c>
      <c r="D935" s="209">
        <v>10</v>
      </c>
      <c r="E935" s="209">
        <v>10000002</v>
      </c>
      <c r="F935" s="209">
        <v>20000339</v>
      </c>
      <c r="G935" s="209" t="s">
        <v>105</v>
      </c>
      <c r="H935" s="209">
        <v>20000339</v>
      </c>
      <c r="I935" s="209">
        <v>2</v>
      </c>
      <c r="J935" s="209" t="s">
        <v>169</v>
      </c>
      <c r="K935" s="209" t="s">
        <v>2076</v>
      </c>
      <c r="L935" s="209" t="s">
        <v>265</v>
      </c>
      <c r="M935" s="209" t="s">
        <v>227</v>
      </c>
      <c r="N935" s="209">
        <v>50034634</v>
      </c>
      <c r="O935" s="209" t="s">
        <v>219</v>
      </c>
      <c r="P935" s="209">
        <v>5121</v>
      </c>
      <c r="Q935" s="209" t="s">
        <v>228</v>
      </c>
      <c r="R935" s="209" t="s">
        <v>229</v>
      </c>
      <c r="S935" s="209" t="s">
        <v>230</v>
      </c>
      <c r="T935" s="209" t="s">
        <v>231</v>
      </c>
      <c r="U935" s="209" t="s">
        <v>232</v>
      </c>
      <c r="V935" s="209" t="s">
        <v>179</v>
      </c>
      <c r="W935" s="209" t="s">
        <v>179</v>
      </c>
      <c r="X935" s="209" t="s">
        <v>180</v>
      </c>
      <c r="Y935" s="209" t="s">
        <v>180</v>
      </c>
      <c r="Z935" s="209">
        <v>9521068585</v>
      </c>
      <c r="AA935" s="209" t="s">
        <v>2077</v>
      </c>
      <c r="AB935" s="209" t="s">
        <v>180</v>
      </c>
      <c r="AC935" s="209" t="s">
        <v>182</v>
      </c>
      <c r="AD935" s="209">
        <v>5</v>
      </c>
      <c r="AE935" s="209">
        <v>2025</v>
      </c>
      <c r="AF935" s="227">
        <v>45792</v>
      </c>
      <c r="AG935" s="227">
        <v>45800</v>
      </c>
      <c r="AH935" s="227">
        <v>45800</v>
      </c>
      <c r="AI935" s="228">
        <v>364416</v>
      </c>
      <c r="AJ935" s="228">
        <v>52</v>
      </c>
      <c r="AK935" s="228">
        <v>364416</v>
      </c>
      <c r="AL935" s="228">
        <v>52</v>
      </c>
      <c r="AM935" s="228">
        <v>0</v>
      </c>
      <c r="AN935" s="228">
        <v>0</v>
      </c>
      <c r="AO935" s="229">
        <v>21</v>
      </c>
      <c r="AP935" s="231">
        <v>5</v>
      </c>
      <c r="AQ935" s="231">
        <v>2025</v>
      </c>
      <c r="AR935" s="231" t="str">
        <f t="shared" si="125"/>
        <v>05/2025</v>
      </c>
      <c r="AS935" s="231">
        <f t="shared" si="126"/>
        <v>52</v>
      </c>
      <c r="AT935" s="239">
        <f>IF(G935="CERVECERIA Y MALTERIA",(AS935*AK935/1000000)*(1-VLOOKUP(N935,[1]FCST!D:I,6,FALSE)),0)</f>
        <v>18.949632000000001</v>
      </c>
      <c r="AU935" s="232">
        <v>5.0000000000000001E-3</v>
      </c>
      <c r="AV935" s="239">
        <f t="shared" si="127"/>
        <v>19.044380159999999</v>
      </c>
      <c r="AW935" s="239">
        <f>(AS935*AK935/1000000)*(VLOOKUP(N935,[1]FCST!D:I,6,FALSE))</f>
        <v>0</v>
      </c>
      <c r="AX935" s="239">
        <f t="shared" si="128"/>
        <v>0</v>
      </c>
      <c r="AY935" s="239">
        <f>IF($G935="CERVECERIA Y MALTERIA.",($AS935*$AK935/1000000)*(1-VLOOKUP($N935,[1]FCST!D:I,6,FALSE)),0)</f>
        <v>0</v>
      </c>
      <c r="AZ935" s="239">
        <f t="shared" si="129"/>
        <v>0</v>
      </c>
    </row>
    <row r="936" spans="1:52" x14ac:dyDescent="0.25">
      <c r="A936" s="209">
        <v>1115256</v>
      </c>
      <c r="B936" s="209">
        <v>110</v>
      </c>
      <c r="C936" s="209">
        <v>89471157</v>
      </c>
      <c r="D936" s="209">
        <v>10</v>
      </c>
      <c r="E936" s="209">
        <v>10000002</v>
      </c>
      <c r="F936" s="209">
        <v>20000337</v>
      </c>
      <c r="G936" s="209" t="s">
        <v>105</v>
      </c>
      <c r="H936" s="209">
        <v>20000337</v>
      </c>
      <c r="I936" s="209">
        <v>2</v>
      </c>
      <c r="J936" s="209" t="s">
        <v>169</v>
      </c>
      <c r="K936" s="209" t="s">
        <v>2078</v>
      </c>
      <c r="L936" s="209" t="s">
        <v>171</v>
      </c>
      <c r="M936" s="209" t="s">
        <v>184</v>
      </c>
      <c r="N936" s="209">
        <v>50039302</v>
      </c>
      <c r="O936" s="209" t="s">
        <v>1942</v>
      </c>
      <c r="P936" s="209">
        <v>5121</v>
      </c>
      <c r="Q936" s="209" t="s">
        <v>174</v>
      </c>
      <c r="R936" s="209" t="s">
        <v>175</v>
      </c>
      <c r="S936" s="209" t="s">
        <v>176</v>
      </c>
      <c r="T936" s="209" t="s">
        <v>177</v>
      </c>
      <c r="U936" s="209" t="s">
        <v>2057</v>
      </c>
      <c r="V936" s="209" t="s">
        <v>179</v>
      </c>
      <c r="W936" s="209" t="s">
        <v>179</v>
      </c>
      <c r="X936" s="209" t="s">
        <v>180</v>
      </c>
      <c r="Y936" s="209" t="s">
        <v>180</v>
      </c>
      <c r="Z936" s="209">
        <v>9521068597</v>
      </c>
      <c r="AA936" s="209" t="s">
        <v>2079</v>
      </c>
      <c r="AB936" s="209" t="s">
        <v>180</v>
      </c>
      <c r="AC936" s="209" t="s">
        <v>182</v>
      </c>
      <c r="AD936" s="209">
        <v>4</v>
      </c>
      <c r="AE936" s="209">
        <v>2025</v>
      </c>
      <c r="AF936" s="227">
        <v>45776</v>
      </c>
      <c r="AG936" s="227">
        <v>45801</v>
      </c>
      <c r="AH936" s="227">
        <v>45800</v>
      </c>
      <c r="AI936" s="228">
        <v>184320</v>
      </c>
      <c r="AJ936" s="228">
        <v>24</v>
      </c>
      <c r="AK936" s="228">
        <v>184320</v>
      </c>
      <c r="AL936" s="228">
        <v>24</v>
      </c>
      <c r="AM936" s="228">
        <v>0</v>
      </c>
      <c r="AN936" s="228">
        <v>0</v>
      </c>
      <c r="AO936" s="229">
        <v>18</v>
      </c>
      <c r="AP936" s="231">
        <v>5</v>
      </c>
      <c r="AQ936" s="231">
        <v>2025</v>
      </c>
      <c r="AR936" s="231" t="str">
        <f t="shared" si="125"/>
        <v>05/2025</v>
      </c>
      <c r="AS936" s="231">
        <f t="shared" si="126"/>
        <v>46.6</v>
      </c>
      <c r="AT936" s="239">
        <f>IF(G936="CERVECERIA Y MALTERIA",(AS936*AK936/1000000)*(1-VLOOKUP(N936,[1]FCST!D:I,6,FALSE)),0)</f>
        <v>8.5893119999999996</v>
      </c>
      <c r="AU936" s="232">
        <v>5.0000000000000001E-3</v>
      </c>
      <c r="AV936" s="239">
        <f t="shared" si="127"/>
        <v>8.6322585599999986</v>
      </c>
      <c r="AW936" s="239">
        <f>(AS936*AK936/1000000)*(VLOOKUP(N936,[1]FCST!D:I,6,FALSE))</f>
        <v>0</v>
      </c>
      <c r="AX936" s="239">
        <f t="shared" si="128"/>
        <v>0</v>
      </c>
      <c r="AY936" s="239">
        <f>IF($G936="CERVECERIA Y MALTERIA.",($AS936*$AK936/1000000)*(1-VLOOKUP($N936,[1]FCST!D:I,6,FALSE)),0)</f>
        <v>0</v>
      </c>
      <c r="AZ936" s="239">
        <f t="shared" si="129"/>
        <v>0</v>
      </c>
    </row>
    <row r="937" spans="1:52" x14ac:dyDescent="0.25">
      <c r="A937" s="209">
        <v>1118131</v>
      </c>
      <c r="B937" s="209">
        <v>30</v>
      </c>
      <c r="C937" s="209">
        <v>89466573</v>
      </c>
      <c r="D937" s="209">
        <v>10</v>
      </c>
      <c r="E937" s="209">
        <v>10000002</v>
      </c>
      <c r="F937" s="209">
        <v>20000340</v>
      </c>
      <c r="G937" s="209" t="s">
        <v>117</v>
      </c>
      <c r="H937" s="209">
        <v>20000340</v>
      </c>
      <c r="I937" s="209">
        <v>2</v>
      </c>
      <c r="J937" s="209" t="s">
        <v>169</v>
      </c>
      <c r="K937" s="209" t="s">
        <v>2080</v>
      </c>
      <c r="L937" s="209" t="s">
        <v>171</v>
      </c>
      <c r="M937" s="209" t="s">
        <v>172</v>
      </c>
      <c r="N937" s="209">
        <v>50039509</v>
      </c>
      <c r="O937" s="209" t="s">
        <v>2054</v>
      </c>
      <c r="P937" s="209">
        <v>5101</v>
      </c>
      <c r="Q937" s="209" t="s">
        <v>186</v>
      </c>
      <c r="R937" s="209" t="s">
        <v>175</v>
      </c>
      <c r="S937" s="209" t="s">
        <v>176</v>
      </c>
      <c r="T937" s="209" t="s">
        <v>187</v>
      </c>
      <c r="U937" s="209" t="s">
        <v>188</v>
      </c>
      <c r="V937" s="209" t="s">
        <v>179</v>
      </c>
      <c r="W937" s="209" t="s">
        <v>179</v>
      </c>
      <c r="X937" s="209" t="s">
        <v>180</v>
      </c>
      <c r="Y937" s="209" t="s">
        <v>180</v>
      </c>
      <c r="Z937" s="209">
        <v>9511047948</v>
      </c>
      <c r="AA937" s="209" t="s">
        <v>2055</v>
      </c>
      <c r="AB937" s="209" t="s">
        <v>180</v>
      </c>
      <c r="AC937" s="209" t="s">
        <v>182</v>
      </c>
      <c r="AD937" s="209">
        <v>5</v>
      </c>
      <c r="AE937" s="209">
        <v>2025</v>
      </c>
      <c r="AF937" s="227">
        <v>45791</v>
      </c>
      <c r="AG937" s="227">
        <v>45797</v>
      </c>
      <c r="AH937" s="227">
        <v>45797</v>
      </c>
      <c r="AI937" s="228">
        <v>519168</v>
      </c>
      <c r="AJ937" s="228">
        <v>52</v>
      </c>
      <c r="AK937" s="228">
        <v>519168</v>
      </c>
      <c r="AL937" s="228">
        <v>52</v>
      </c>
      <c r="AM937" s="228">
        <v>0</v>
      </c>
      <c r="AN937" s="228">
        <v>0</v>
      </c>
      <c r="AO937" s="229">
        <v>21</v>
      </c>
      <c r="AP937" s="231">
        <v>5</v>
      </c>
      <c r="AQ937" s="231">
        <v>2025</v>
      </c>
      <c r="AR937" s="231" t="str">
        <f t="shared" si="125"/>
        <v>05/2025</v>
      </c>
      <c r="AS937" s="231">
        <f t="shared" si="126"/>
        <v>34</v>
      </c>
      <c r="AT937" s="239">
        <f>IF(G937="CERVECERIA Y MALTERIA",(AS937*AK937/1000000)*(1-VLOOKUP(N937,[1]FCST!D:I,6,FALSE)),0)</f>
        <v>0</v>
      </c>
      <c r="AU937" s="232">
        <v>5.0000000000000001E-3</v>
      </c>
      <c r="AV937" s="239">
        <f t="shared" si="127"/>
        <v>0</v>
      </c>
      <c r="AW937" s="239">
        <f>(AS937*AK937/1000000)*(VLOOKUP(N937,[1]FCST!D:I,6,FALSE))</f>
        <v>0</v>
      </c>
      <c r="AX937" s="239">
        <f t="shared" si="128"/>
        <v>0</v>
      </c>
      <c r="AY937" s="239">
        <f>IF($G937="CERVECERIA Y MALTERIA.",($AS937*$AK937/1000000)*(1-VLOOKUP($N937,[1]FCST!D:I,6,FALSE)),0)</f>
        <v>17.651712</v>
      </c>
      <c r="AZ937" s="239">
        <f t="shared" si="129"/>
        <v>17.73997056</v>
      </c>
    </row>
    <row r="938" spans="1:52" x14ac:dyDescent="0.25">
      <c r="A938" s="209">
        <v>1118131</v>
      </c>
      <c r="B938" s="209">
        <v>10</v>
      </c>
      <c r="C938" s="209">
        <v>89465602</v>
      </c>
      <c r="D938" s="209">
        <v>10</v>
      </c>
      <c r="E938" s="209">
        <v>10000002</v>
      </c>
      <c r="F938" s="209">
        <v>20000340</v>
      </c>
      <c r="G938" s="209" t="s">
        <v>117</v>
      </c>
      <c r="H938" s="209">
        <v>20000340</v>
      </c>
      <c r="I938" s="209">
        <v>2</v>
      </c>
      <c r="J938" s="209" t="s">
        <v>169</v>
      </c>
      <c r="K938" s="209" t="s">
        <v>2081</v>
      </c>
      <c r="L938" s="209" t="s">
        <v>171</v>
      </c>
      <c r="M938" s="209" t="s">
        <v>172</v>
      </c>
      <c r="N938" s="209">
        <v>50038523</v>
      </c>
      <c r="O938" s="209" t="s">
        <v>249</v>
      </c>
      <c r="P938" s="209">
        <v>5101</v>
      </c>
      <c r="Q938" s="209" t="s">
        <v>186</v>
      </c>
      <c r="R938" s="209" t="s">
        <v>175</v>
      </c>
      <c r="S938" s="209" t="s">
        <v>176</v>
      </c>
      <c r="T938" s="209" t="s">
        <v>187</v>
      </c>
      <c r="U938" s="209" t="s">
        <v>188</v>
      </c>
      <c r="V938" s="209" t="s">
        <v>179</v>
      </c>
      <c r="W938" s="209" t="s">
        <v>179</v>
      </c>
      <c r="X938" s="209" t="s">
        <v>180</v>
      </c>
      <c r="Y938" s="209" t="s">
        <v>180</v>
      </c>
      <c r="Z938" s="209">
        <v>9511047950</v>
      </c>
      <c r="AA938" s="209" t="s">
        <v>2082</v>
      </c>
      <c r="AB938" s="209" t="s">
        <v>180</v>
      </c>
      <c r="AC938" s="209" t="s">
        <v>182</v>
      </c>
      <c r="AD938" s="209">
        <v>5</v>
      </c>
      <c r="AE938" s="209">
        <v>2025</v>
      </c>
      <c r="AF938" s="227">
        <v>45791</v>
      </c>
      <c r="AG938" s="227">
        <v>45796</v>
      </c>
      <c r="AH938" s="227">
        <v>45796</v>
      </c>
      <c r="AI938" s="228">
        <v>606528</v>
      </c>
      <c r="AJ938" s="228">
        <v>52</v>
      </c>
      <c r="AK938" s="228">
        <v>606528</v>
      </c>
      <c r="AL938" s="228">
        <v>52</v>
      </c>
      <c r="AM938" s="228">
        <v>0</v>
      </c>
      <c r="AN938" s="228">
        <v>0</v>
      </c>
      <c r="AO938" s="229">
        <v>21</v>
      </c>
      <c r="AP938" s="231">
        <v>5</v>
      </c>
      <c r="AQ938" s="231">
        <v>2025</v>
      </c>
      <c r="AR938" s="231" t="str">
        <f t="shared" si="125"/>
        <v>05/2025</v>
      </c>
      <c r="AS938" s="231">
        <f t="shared" si="126"/>
        <v>30</v>
      </c>
      <c r="AT938" s="239">
        <f>IF(G938="CERVECERIA Y MALTERIA",(AS938*AK938/1000000)*(1-VLOOKUP(N938,[1]FCST!D:I,6,FALSE)),0)</f>
        <v>0</v>
      </c>
      <c r="AU938" s="232">
        <v>5.0000000000000001E-3</v>
      </c>
      <c r="AV938" s="239">
        <f t="shared" si="127"/>
        <v>0</v>
      </c>
      <c r="AW938" s="239">
        <f>(AS938*AK938/1000000)*(VLOOKUP(N938,[1]FCST!D:I,6,FALSE))</f>
        <v>0</v>
      </c>
      <c r="AX938" s="239">
        <f t="shared" si="128"/>
        <v>0</v>
      </c>
      <c r="AY938" s="239">
        <f>IF($G938="CERVECERIA Y MALTERIA.",($AS938*$AK938/1000000)*(1-VLOOKUP($N938,[1]FCST!D:I,6,FALSE)),0)</f>
        <v>18.19584</v>
      </c>
      <c r="AZ938" s="239">
        <f t="shared" si="129"/>
        <v>18.2868192</v>
      </c>
    </row>
    <row r="939" spans="1:52" x14ac:dyDescent="0.25">
      <c r="A939" s="209">
        <v>1118309</v>
      </c>
      <c r="B939" s="209">
        <v>10</v>
      </c>
      <c r="C939" s="209">
        <v>89465579</v>
      </c>
      <c r="D939" s="209">
        <v>10</v>
      </c>
      <c r="E939" s="209">
        <v>10000002</v>
      </c>
      <c r="F939" s="209">
        <v>20000339</v>
      </c>
      <c r="G939" s="209" t="s">
        <v>105</v>
      </c>
      <c r="H939" s="209">
        <v>20000339</v>
      </c>
      <c r="I939" s="209">
        <v>2</v>
      </c>
      <c r="J939" s="209" t="s">
        <v>169</v>
      </c>
      <c r="K939" s="209" t="s">
        <v>2083</v>
      </c>
      <c r="L939" s="209" t="s">
        <v>265</v>
      </c>
      <c r="M939" s="209" t="s">
        <v>227</v>
      </c>
      <c r="N939" s="209">
        <v>50034634</v>
      </c>
      <c r="O939" s="209" t="s">
        <v>219</v>
      </c>
      <c r="P939" s="209">
        <v>5121</v>
      </c>
      <c r="Q939" s="209" t="s">
        <v>228</v>
      </c>
      <c r="R939" s="209" t="s">
        <v>229</v>
      </c>
      <c r="S939" s="209" t="s">
        <v>230</v>
      </c>
      <c r="T939" s="209" t="s">
        <v>231</v>
      </c>
      <c r="U939" s="209" t="s">
        <v>232</v>
      </c>
      <c r="V939" s="209" t="s">
        <v>179</v>
      </c>
      <c r="W939" s="209" t="s">
        <v>179</v>
      </c>
      <c r="X939" s="209" t="s">
        <v>180</v>
      </c>
      <c r="Y939" s="209" t="s">
        <v>180</v>
      </c>
      <c r="Z939" s="209">
        <v>9521068584</v>
      </c>
      <c r="AA939" s="209" t="s">
        <v>2084</v>
      </c>
      <c r="AB939" s="209" t="s">
        <v>180</v>
      </c>
      <c r="AC939" s="209" t="s">
        <v>182</v>
      </c>
      <c r="AD939" s="209">
        <v>5</v>
      </c>
      <c r="AE939" s="209">
        <v>2025</v>
      </c>
      <c r="AF939" s="227">
        <v>45792</v>
      </c>
      <c r="AG939" s="227">
        <v>45796</v>
      </c>
      <c r="AH939" s="227">
        <v>45796</v>
      </c>
      <c r="AI939" s="228">
        <v>364416</v>
      </c>
      <c r="AJ939" s="228">
        <v>52</v>
      </c>
      <c r="AK939" s="228">
        <v>364416</v>
      </c>
      <c r="AL939" s="228">
        <v>52</v>
      </c>
      <c r="AM939" s="228">
        <v>0</v>
      </c>
      <c r="AN939" s="228">
        <v>0</v>
      </c>
      <c r="AO939" s="229">
        <v>21</v>
      </c>
      <c r="AP939" s="231">
        <v>5</v>
      </c>
      <c r="AQ939" s="231">
        <v>2025</v>
      </c>
      <c r="AR939" s="231" t="str">
        <f t="shared" si="125"/>
        <v>05/2025</v>
      </c>
      <c r="AS939" s="231">
        <f t="shared" si="126"/>
        <v>52</v>
      </c>
      <c r="AT939" s="239">
        <f>IF(G939="CERVECERIA Y MALTERIA",(AS939*AK939/1000000)*(1-VLOOKUP(N939,[1]FCST!D:I,6,FALSE)),0)</f>
        <v>18.949632000000001</v>
      </c>
      <c r="AU939" s="232">
        <v>5.0000000000000001E-3</v>
      </c>
      <c r="AV939" s="239">
        <f t="shared" si="127"/>
        <v>19.044380159999999</v>
      </c>
      <c r="AW939" s="239">
        <f>(AS939*AK939/1000000)*(VLOOKUP(N939,[1]FCST!D:I,6,FALSE))</f>
        <v>0</v>
      </c>
      <c r="AX939" s="239">
        <f t="shared" si="128"/>
        <v>0</v>
      </c>
      <c r="AY939" s="239">
        <f>IF($G939="CERVECERIA Y MALTERIA.",($AS939*$AK939/1000000)*(1-VLOOKUP($N939,[1]FCST!D:I,6,FALSE)),0)</f>
        <v>0</v>
      </c>
      <c r="AZ939" s="239">
        <f t="shared" si="129"/>
        <v>0</v>
      </c>
    </row>
    <row r="940" spans="1:52" x14ac:dyDescent="0.25">
      <c r="A940" s="209">
        <v>1118131</v>
      </c>
      <c r="B940" s="209">
        <v>20</v>
      </c>
      <c r="C940" s="209">
        <v>89465560</v>
      </c>
      <c r="D940" s="209">
        <v>10</v>
      </c>
      <c r="E940" s="209">
        <v>10000002</v>
      </c>
      <c r="F940" s="209">
        <v>20000340</v>
      </c>
      <c r="G940" s="209" t="s">
        <v>117</v>
      </c>
      <c r="H940" s="209">
        <v>20000340</v>
      </c>
      <c r="I940" s="209">
        <v>2</v>
      </c>
      <c r="J940" s="209" t="s">
        <v>169</v>
      </c>
      <c r="K940" s="209" t="s">
        <v>2085</v>
      </c>
      <c r="L940" s="209" t="s">
        <v>171</v>
      </c>
      <c r="M940" s="209" t="s">
        <v>172</v>
      </c>
      <c r="N940" s="209">
        <v>50038523</v>
      </c>
      <c r="O940" s="209" t="s">
        <v>249</v>
      </c>
      <c r="P940" s="209">
        <v>5101</v>
      </c>
      <c r="Q940" s="209" t="s">
        <v>186</v>
      </c>
      <c r="R940" s="209" t="s">
        <v>175</v>
      </c>
      <c r="S940" s="209" t="s">
        <v>176</v>
      </c>
      <c r="T940" s="209" t="s">
        <v>187</v>
      </c>
      <c r="U940" s="209" t="s">
        <v>188</v>
      </c>
      <c r="V940" s="209" t="s">
        <v>179</v>
      </c>
      <c r="W940" s="209" t="s">
        <v>179</v>
      </c>
      <c r="X940" s="209" t="s">
        <v>180</v>
      </c>
      <c r="Y940" s="209" t="s">
        <v>180</v>
      </c>
      <c r="Z940" s="209">
        <v>9511047950</v>
      </c>
      <c r="AA940" s="209" t="s">
        <v>2082</v>
      </c>
      <c r="AB940" s="209" t="s">
        <v>180</v>
      </c>
      <c r="AC940" s="209" t="s">
        <v>182</v>
      </c>
      <c r="AD940" s="209">
        <v>5</v>
      </c>
      <c r="AE940" s="209">
        <v>2025</v>
      </c>
      <c r="AF940" s="227">
        <v>45791</v>
      </c>
      <c r="AG940" s="227">
        <v>45796</v>
      </c>
      <c r="AH940" s="227">
        <v>45796</v>
      </c>
      <c r="AI940" s="228">
        <v>606528</v>
      </c>
      <c r="AJ940" s="228">
        <v>52</v>
      </c>
      <c r="AK940" s="228">
        <v>606528</v>
      </c>
      <c r="AL940" s="228">
        <v>52</v>
      </c>
      <c r="AM940" s="228">
        <v>0</v>
      </c>
      <c r="AN940" s="228">
        <v>0</v>
      </c>
      <c r="AO940" s="229">
        <v>21</v>
      </c>
      <c r="AP940" s="231">
        <v>5</v>
      </c>
      <c r="AQ940" s="231">
        <v>2025</v>
      </c>
      <c r="AR940" s="231" t="str">
        <f t="shared" si="125"/>
        <v>05/2025</v>
      </c>
      <c r="AS940" s="231">
        <f t="shared" si="126"/>
        <v>30</v>
      </c>
      <c r="AT940" s="239">
        <f>IF(G940="CERVECERIA Y MALTERIA",(AS940*AK940/1000000)*(1-VLOOKUP(N940,[1]FCST!D:I,6,FALSE)),0)</f>
        <v>0</v>
      </c>
      <c r="AU940" s="232">
        <v>5.0000000000000001E-3</v>
      </c>
      <c r="AV940" s="239">
        <f t="shared" si="127"/>
        <v>0</v>
      </c>
      <c r="AW940" s="239">
        <f>(AS940*AK940/1000000)*(VLOOKUP(N940,[1]FCST!D:I,6,FALSE))</f>
        <v>0</v>
      </c>
      <c r="AX940" s="239">
        <f t="shared" si="128"/>
        <v>0</v>
      </c>
      <c r="AY940" s="239">
        <f>IF($G940="CERVECERIA Y MALTERIA.",($AS940*$AK940/1000000)*(1-VLOOKUP($N940,[1]FCST!D:I,6,FALSE)),0)</f>
        <v>18.19584</v>
      </c>
      <c r="AZ940" s="239">
        <f t="shared" si="129"/>
        <v>18.2868192</v>
      </c>
    </row>
    <row r="941" spans="1:52" x14ac:dyDescent="0.25">
      <c r="A941" s="209">
        <v>1118130</v>
      </c>
      <c r="B941" s="209">
        <v>10</v>
      </c>
      <c r="C941" s="209">
        <v>89465491</v>
      </c>
      <c r="D941" s="209">
        <v>10</v>
      </c>
      <c r="E941" s="209">
        <v>10000002</v>
      </c>
      <c r="F941" s="209">
        <v>20000335</v>
      </c>
      <c r="G941" s="209" t="s">
        <v>105</v>
      </c>
      <c r="H941" s="209">
        <v>20000335</v>
      </c>
      <c r="I941" s="209">
        <v>2</v>
      </c>
      <c r="J941" s="209" t="s">
        <v>169</v>
      </c>
      <c r="K941" s="209" t="s">
        <v>2086</v>
      </c>
      <c r="L941" s="209" t="s">
        <v>171</v>
      </c>
      <c r="M941" s="209" t="s">
        <v>172</v>
      </c>
      <c r="N941" s="209">
        <v>50034616</v>
      </c>
      <c r="O941" s="209" t="s">
        <v>191</v>
      </c>
      <c r="P941" s="209">
        <v>5121</v>
      </c>
      <c r="Q941" s="209" t="s">
        <v>174</v>
      </c>
      <c r="R941" s="209" t="s">
        <v>175</v>
      </c>
      <c r="S941" s="209" t="s">
        <v>176</v>
      </c>
      <c r="T941" s="209" t="s">
        <v>177</v>
      </c>
      <c r="U941" s="209" t="s">
        <v>2057</v>
      </c>
      <c r="V941" s="209" t="s">
        <v>179</v>
      </c>
      <c r="W941" s="209" t="s">
        <v>179</v>
      </c>
      <c r="X941" s="209" t="s">
        <v>180</v>
      </c>
      <c r="Y941" s="209" t="s">
        <v>180</v>
      </c>
      <c r="Z941" s="209">
        <v>9521068591</v>
      </c>
      <c r="AA941" s="209" t="s">
        <v>2060</v>
      </c>
      <c r="AB941" s="209" t="s">
        <v>180</v>
      </c>
      <c r="AC941" s="209" t="s">
        <v>182</v>
      </c>
      <c r="AD941" s="209">
        <v>5</v>
      </c>
      <c r="AE941" s="209">
        <v>2025</v>
      </c>
      <c r="AF941" s="227">
        <v>45791</v>
      </c>
      <c r="AG941" s="227">
        <v>45796</v>
      </c>
      <c r="AH941" s="227">
        <v>45796</v>
      </c>
      <c r="AI941" s="228">
        <v>426816</v>
      </c>
      <c r="AJ941" s="228">
        <v>52</v>
      </c>
      <c r="AK941" s="228">
        <v>426816</v>
      </c>
      <c r="AL941" s="228">
        <v>52</v>
      </c>
      <c r="AM941" s="228">
        <v>0</v>
      </c>
      <c r="AN941" s="228">
        <v>0</v>
      </c>
      <c r="AO941" s="229">
        <v>21</v>
      </c>
      <c r="AP941" s="231">
        <v>5</v>
      </c>
      <c r="AQ941" s="231">
        <v>2025</v>
      </c>
      <c r="AR941" s="231" t="str">
        <f t="shared" si="125"/>
        <v>05/2025</v>
      </c>
      <c r="AS941" s="231">
        <f t="shared" si="126"/>
        <v>46.6</v>
      </c>
      <c r="AT941" s="239">
        <f>IF(G941="CERVECERIA Y MALTERIA",(AS941*AK941/1000000)*(1-VLOOKUP(N941,[1]FCST!D:I,6,FALSE)),0)</f>
        <v>19.889625600000002</v>
      </c>
      <c r="AU941" s="232">
        <v>5.0000000000000001E-3</v>
      </c>
      <c r="AV941" s="239">
        <f t="shared" si="127"/>
        <v>19.989073728000001</v>
      </c>
      <c r="AW941" s="239">
        <f>(AS941*AK941/1000000)*(VLOOKUP(N941,[1]FCST!D:I,6,FALSE))</f>
        <v>0</v>
      </c>
      <c r="AX941" s="239">
        <f t="shared" si="128"/>
        <v>0</v>
      </c>
      <c r="AY941" s="239">
        <f>IF($G941="CERVECERIA Y MALTERIA.",($AS941*$AK941/1000000)*(1-VLOOKUP($N941,[1]FCST!D:I,6,FALSE)),0)</f>
        <v>0</v>
      </c>
      <c r="AZ941" s="239">
        <f t="shared" si="129"/>
        <v>0</v>
      </c>
    </row>
    <row r="942" spans="1:52" x14ac:dyDescent="0.25">
      <c r="A942" s="209">
        <v>1118130</v>
      </c>
      <c r="B942" s="209">
        <v>30</v>
      </c>
      <c r="C942" s="209">
        <v>89467906</v>
      </c>
      <c r="D942" s="209">
        <v>10</v>
      </c>
      <c r="E942" s="209">
        <v>10000002</v>
      </c>
      <c r="F942" s="209">
        <v>20000335</v>
      </c>
      <c r="G942" s="209" t="s">
        <v>105</v>
      </c>
      <c r="H942" s="209">
        <v>20000335</v>
      </c>
      <c r="I942" s="209">
        <v>2</v>
      </c>
      <c r="J942" s="209" t="s">
        <v>169</v>
      </c>
      <c r="K942" s="209" t="s">
        <v>2087</v>
      </c>
      <c r="L942" s="209" t="s">
        <v>171</v>
      </c>
      <c r="M942" s="209" t="s">
        <v>172</v>
      </c>
      <c r="N942" s="209">
        <v>50034616</v>
      </c>
      <c r="O942" s="209" t="s">
        <v>191</v>
      </c>
      <c r="P942" s="209">
        <v>5121</v>
      </c>
      <c r="Q942" s="209" t="s">
        <v>174</v>
      </c>
      <c r="R942" s="209" t="s">
        <v>175</v>
      </c>
      <c r="S942" s="209" t="s">
        <v>176</v>
      </c>
      <c r="T942" s="209" t="s">
        <v>177</v>
      </c>
      <c r="U942" s="209" t="s">
        <v>2057</v>
      </c>
      <c r="V942" s="209" t="s">
        <v>179</v>
      </c>
      <c r="W942" s="209" t="s">
        <v>179</v>
      </c>
      <c r="X942" s="209" t="s">
        <v>180</v>
      </c>
      <c r="Y942" s="209" t="s">
        <v>180</v>
      </c>
      <c r="Z942" s="209">
        <v>9521068591</v>
      </c>
      <c r="AA942" s="209" t="s">
        <v>2060</v>
      </c>
      <c r="AB942" s="209" t="s">
        <v>180</v>
      </c>
      <c r="AC942" s="209" t="s">
        <v>182</v>
      </c>
      <c r="AD942" s="209">
        <v>5</v>
      </c>
      <c r="AE942" s="209">
        <v>2025</v>
      </c>
      <c r="AF942" s="227">
        <v>45791</v>
      </c>
      <c r="AG942" s="227">
        <v>45798</v>
      </c>
      <c r="AH942" s="227">
        <v>45798</v>
      </c>
      <c r="AI942" s="228">
        <v>426816</v>
      </c>
      <c r="AJ942" s="228">
        <v>52</v>
      </c>
      <c r="AK942" s="228">
        <v>426816</v>
      </c>
      <c r="AL942" s="228">
        <v>52</v>
      </c>
      <c r="AM942" s="228">
        <v>0</v>
      </c>
      <c r="AN942" s="228">
        <v>0</v>
      </c>
      <c r="AO942" s="229">
        <v>21</v>
      </c>
      <c r="AP942" s="231">
        <v>5</v>
      </c>
      <c r="AQ942" s="231">
        <v>2025</v>
      </c>
      <c r="AR942" s="231" t="str">
        <f t="shared" si="125"/>
        <v>05/2025</v>
      </c>
      <c r="AS942" s="231">
        <f t="shared" si="126"/>
        <v>46.6</v>
      </c>
      <c r="AT942" s="239">
        <f>IF(G942="CERVECERIA Y MALTERIA",(AS942*AK942/1000000)*(1-VLOOKUP(N942,[1]FCST!D:I,6,FALSE)),0)</f>
        <v>19.889625600000002</v>
      </c>
      <c r="AU942" s="232">
        <v>5.0000000000000001E-3</v>
      </c>
      <c r="AV942" s="239">
        <f t="shared" si="127"/>
        <v>19.989073728000001</v>
      </c>
      <c r="AW942" s="239">
        <f>(AS942*AK942/1000000)*(VLOOKUP(N942,[1]FCST!D:I,6,FALSE))</f>
        <v>0</v>
      </c>
      <c r="AX942" s="239">
        <f t="shared" si="128"/>
        <v>0</v>
      </c>
      <c r="AY942" s="239">
        <f>IF($G942="CERVECERIA Y MALTERIA.",($AS942*$AK942/1000000)*(1-VLOOKUP($N942,[1]FCST!D:I,6,FALSE)),0)</f>
        <v>0</v>
      </c>
      <c r="AZ942" s="239">
        <f t="shared" si="129"/>
        <v>0</v>
      </c>
    </row>
    <row r="943" spans="1:52" x14ac:dyDescent="0.25">
      <c r="A943" s="209">
        <v>1118130</v>
      </c>
      <c r="B943" s="209">
        <v>40</v>
      </c>
      <c r="C943" s="209">
        <v>89467596</v>
      </c>
      <c r="D943" s="209">
        <v>10</v>
      </c>
      <c r="E943" s="209">
        <v>10000002</v>
      </c>
      <c r="F943" s="209">
        <v>20000335</v>
      </c>
      <c r="G943" s="209" t="s">
        <v>105</v>
      </c>
      <c r="H943" s="209">
        <v>20000335</v>
      </c>
      <c r="I943" s="209">
        <v>2</v>
      </c>
      <c r="J943" s="209" t="s">
        <v>169</v>
      </c>
      <c r="K943" s="209" t="s">
        <v>2088</v>
      </c>
      <c r="L943" s="209" t="s">
        <v>171</v>
      </c>
      <c r="M943" s="209" t="s">
        <v>199</v>
      </c>
      <c r="N943" s="209">
        <v>50034616</v>
      </c>
      <c r="O943" s="209" t="s">
        <v>191</v>
      </c>
      <c r="P943" s="209">
        <v>5121</v>
      </c>
      <c r="Q943" s="209" t="s">
        <v>200</v>
      </c>
      <c r="R943" s="209" t="s">
        <v>201</v>
      </c>
      <c r="S943" s="209" t="s">
        <v>202</v>
      </c>
      <c r="T943" s="209" t="s">
        <v>203</v>
      </c>
      <c r="U943" s="209" t="s">
        <v>201</v>
      </c>
      <c r="V943" s="209" t="s">
        <v>179</v>
      </c>
      <c r="W943" s="209" t="s">
        <v>179</v>
      </c>
      <c r="X943" s="209" t="s">
        <v>180</v>
      </c>
      <c r="Y943" s="209" t="s">
        <v>180</v>
      </c>
      <c r="Z943" s="209">
        <v>9521068591</v>
      </c>
      <c r="AA943" s="209" t="s">
        <v>2060</v>
      </c>
      <c r="AB943" s="209" t="s">
        <v>180</v>
      </c>
      <c r="AC943" s="209" t="s">
        <v>182</v>
      </c>
      <c r="AD943" s="209">
        <v>5</v>
      </c>
      <c r="AE943" s="209">
        <v>2025</v>
      </c>
      <c r="AF943" s="227">
        <v>45791</v>
      </c>
      <c r="AG943" s="227">
        <v>45798</v>
      </c>
      <c r="AH943" s="227">
        <v>45798</v>
      </c>
      <c r="AI943" s="228">
        <v>426816</v>
      </c>
      <c r="AJ943" s="228">
        <v>52</v>
      </c>
      <c r="AK943" s="228">
        <v>426816</v>
      </c>
      <c r="AL943" s="228">
        <v>52</v>
      </c>
      <c r="AM943" s="228">
        <v>0</v>
      </c>
      <c r="AN943" s="228">
        <v>0</v>
      </c>
      <c r="AO943" s="229">
        <v>21</v>
      </c>
      <c r="AP943" s="231">
        <v>5</v>
      </c>
      <c r="AQ943" s="231">
        <v>2025</v>
      </c>
      <c r="AR943" s="231" t="str">
        <f t="shared" si="125"/>
        <v>05/2025</v>
      </c>
      <c r="AS943" s="231">
        <f t="shared" si="126"/>
        <v>46.6</v>
      </c>
      <c r="AT943" s="239">
        <f>IF(G943="CERVECERIA Y MALTERIA",(AS943*AK943/1000000)*(1-VLOOKUP(N943,[1]FCST!D:I,6,FALSE)),0)</f>
        <v>19.889625600000002</v>
      </c>
      <c r="AU943" s="232">
        <v>5.0000000000000001E-3</v>
      </c>
      <c r="AV943" s="239">
        <f t="shared" si="127"/>
        <v>19.989073728000001</v>
      </c>
      <c r="AW943" s="239">
        <f>(AS943*AK943/1000000)*(VLOOKUP(N943,[1]FCST!D:I,6,FALSE))</f>
        <v>0</v>
      </c>
      <c r="AX943" s="239">
        <f t="shared" si="128"/>
        <v>0</v>
      </c>
      <c r="AY943" s="239">
        <f>IF($G943="CERVECERIA Y MALTERIA.",($AS943*$AK943/1000000)*(1-VLOOKUP($N943,[1]FCST!D:I,6,FALSE)),0)</f>
        <v>0</v>
      </c>
      <c r="AZ943" s="239">
        <f t="shared" si="129"/>
        <v>0</v>
      </c>
    </row>
    <row r="944" spans="1:52" x14ac:dyDescent="0.25">
      <c r="A944" s="209">
        <v>1118131</v>
      </c>
      <c r="B944" s="209">
        <v>50</v>
      </c>
      <c r="C944" s="209">
        <v>89467433</v>
      </c>
      <c r="D944" s="209">
        <v>10</v>
      </c>
      <c r="E944" s="209">
        <v>10000002</v>
      </c>
      <c r="F944" s="209">
        <v>20000340</v>
      </c>
      <c r="G944" s="209" t="s">
        <v>117</v>
      </c>
      <c r="H944" s="209">
        <v>20000340</v>
      </c>
      <c r="I944" s="209">
        <v>2</v>
      </c>
      <c r="J944" s="209" t="s">
        <v>169</v>
      </c>
      <c r="K944" s="209" t="s">
        <v>2089</v>
      </c>
      <c r="L944" s="209" t="s">
        <v>171</v>
      </c>
      <c r="M944" s="209" t="s">
        <v>172</v>
      </c>
      <c r="N944" s="209">
        <v>50039509</v>
      </c>
      <c r="O944" s="209" t="s">
        <v>2054</v>
      </c>
      <c r="P944" s="209">
        <v>5101</v>
      </c>
      <c r="Q944" s="209" t="s">
        <v>186</v>
      </c>
      <c r="R944" s="209" t="s">
        <v>175</v>
      </c>
      <c r="S944" s="209" t="s">
        <v>176</v>
      </c>
      <c r="T944" s="209" t="s">
        <v>187</v>
      </c>
      <c r="U944" s="209" t="s">
        <v>188</v>
      </c>
      <c r="V944" s="209" t="s">
        <v>179</v>
      </c>
      <c r="W944" s="209" t="s">
        <v>179</v>
      </c>
      <c r="X944" s="209" t="s">
        <v>180</v>
      </c>
      <c r="Y944" s="209" t="s">
        <v>180</v>
      </c>
      <c r="Z944" s="209">
        <v>9511047948</v>
      </c>
      <c r="AA944" s="209" t="s">
        <v>2055</v>
      </c>
      <c r="AB944" s="209" t="s">
        <v>180</v>
      </c>
      <c r="AC944" s="209" t="s">
        <v>182</v>
      </c>
      <c r="AD944" s="209">
        <v>5</v>
      </c>
      <c r="AE944" s="209">
        <v>2025</v>
      </c>
      <c r="AF944" s="227">
        <v>45791</v>
      </c>
      <c r="AG944" s="227">
        <v>45798</v>
      </c>
      <c r="AH944" s="227">
        <v>45798</v>
      </c>
      <c r="AI944" s="228">
        <v>519168</v>
      </c>
      <c r="AJ944" s="228">
        <v>52</v>
      </c>
      <c r="AK944" s="228">
        <v>519168</v>
      </c>
      <c r="AL944" s="228">
        <v>52</v>
      </c>
      <c r="AM944" s="228">
        <v>0</v>
      </c>
      <c r="AN944" s="228">
        <v>0</v>
      </c>
      <c r="AO944" s="229">
        <v>21</v>
      </c>
      <c r="AP944" s="231">
        <v>5</v>
      </c>
      <c r="AQ944" s="231">
        <v>2025</v>
      </c>
      <c r="AR944" s="231" t="str">
        <f t="shared" si="125"/>
        <v>05/2025</v>
      </c>
      <c r="AS944" s="231">
        <f t="shared" si="126"/>
        <v>34</v>
      </c>
      <c r="AT944" s="239">
        <f>IF(G944="CERVECERIA Y MALTERIA",(AS944*AK944/1000000)*(1-VLOOKUP(N944,[1]FCST!D:I,6,FALSE)),0)</f>
        <v>0</v>
      </c>
      <c r="AU944" s="232">
        <v>5.0000000000000001E-3</v>
      </c>
      <c r="AV944" s="239">
        <f t="shared" si="127"/>
        <v>0</v>
      </c>
      <c r="AW944" s="239">
        <f>(AS944*AK944/1000000)*(VLOOKUP(N944,[1]FCST!D:I,6,FALSE))</f>
        <v>0</v>
      </c>
      <c r="AX944" s="239">
        <f t="shared" si="128"/>
        <v>0</v>
      </c>
      <c r="AY944" s="239">
        <f>IF($G944="CERVECERIA Y MALTERIA.",($AS944*$AK944/1000000)*(1-VLOOKUP($N944,[1]FCST!D:I,6,FALSE)),0)</f>
        <v>17.651712</v>
      </c>
      <c r="AZ944" s="239">
        <f t="shared" si="129"/>
        <v>17.73997056</v>
      </c>
    </row>
    <row r="945" spans="1:52" x14ac:dyDescent="0.25">
      <c r="A945" s="209">
        <v>1118570</v>
      </c>
      <c r="B945" s="209">
        <v>10</v>
      </c>
      <c r="C945" s="209">
        <v>89466976</v>
      </c>
      <c r="D945" s="209">
        <v>10</v>
      </c>
      <c r="E945" s="209">
        <v>10000002</v>
      </c>
      <c r="F945" s="209">
        <v>20000336</v>
      </c>
      <c r="G945" s="209" t="s">
        <v>105</v>
      </c>
      <c r="H945" s="209">
        <v>20000336</v>
      </c>
      <c r="I945" s="209">
        <v>2</v>
      </c>
      <c r="J945" s="209" t="s">
        <v>169</v>
      </c>
      <c r="K945" s="209" t="s">
        <v>2090</v>
      </c>
      <c r="L945" s="209" t="s">
        <v>265</v>
      </c>
      <c r="M945" s="209" t="s">
        <v>184</v>
      </c>
      <c r="N945" s="209">
        <v>50034616</v>
      </c>
      <c r="O945" s="209" t="s">
        <v>191</v>
      </c>
      <c r="P945" s="209">
        <v>5121</v>
      </c>
      <c r="Q945" s="209" t="s">
        <v>174</v>
      </c>
      <c r="R945" s="209" t="s">
        <v>175</v>
      </c>
      <c r="S945" s="209" t="s">
        <v>176</v>
      </c>
      <c r="T945" s="209" t="s">
        <v>177</v>
      </c>
      <c r="U945" s="209" t="s">
        <v>2057</v>
      </c>
      <c r="V945" s="209" t="s">
        <v>179</v>
      </c>
      <c r="W945" s="209" t="s">
        <v>179</v>
      </c>
      <c r="X945" s="209" t="s">
        <v>180</v>
      </c>
      <c r="Y945" s="209" t="s">
        <v>180</v>
      </c>
      <c r="Z945" s="209">
        <v>9521068595</v>
      </c>
      <c r="AA945" s="209" t="s">
        <v>2091</v>
      </c>
      <c r="AB945" s="209" t="s">
        <v>180</v>
      </c>
      <c r="AC945" s="209" t="s">
        <v>182</v>
      </c>
      <c r="AD945" s="209">
        <v>5</v>
      </c>
      <c r="AE945" s="209">
        <v>2025</v>
      </c>
      <c r="AF945" s="227">
        <v>45793</v>
      </c>
      <c r="AG945" s="227">
        <v>45797</v>
      </c>
      <c r="AH945" s="227">
        <v>45797</v>
      </c>
      <c r="AI945" s="228">
        <v>426816</v>
      </c>
      <c r="AJ945" s="228">
        <v>52</v>
      </c>
      <c r="AK945" s="228">
        <v>426816</v>
      </c>
      <c r="AL945" s="228">
        <v>52</v>
      </c>
      <c r="AM945" s="228">
        <v>0</v>
      </c>
      <c r="AN945" s="228">
        <v>0</v>
      </c>
      <c r="AO945" s="229">
        <v>21</v>
      </c>
      <c r="AP945" s="231">
        <v>5</v>
      </c>
      <c r="AQ945" s="231">
        <v>2025</v>
      </c>
      <c r="AR945" s="231" t="str">
        <f t="shared" si="125"/>
        <v>05/2025</v>
      </c>
      <c r="AS945" s="231">
        <f t="shared" si="126"/>
        <v>46.6</v>
      </c>
      <c r="AT945" s="239">
        <f>IF(G945="CERVECERIA Y MALTERIA",(AS945*AK945/1000000)*(1-VLOOKUP(N945,[1]FCST!D:I,6,FALSE)),0)</f>
        <v>19.889625600000002</v>
      </c>
      <c r="AU945" s="232">
        <v>5.0000000000000001E-3</v>
      </c>
      <c r="AV945" s="239">
        <f t="shared" si="127"/>
        <v>19.989073728000001</v>
      </c>
      <c r="AW945" s="239">
        <f>(AS945*AK945/1000000)*(VLOOKUP(N945,[1]FCST!D:I,6,FALSE))</f>
        <v>0</v>
      </c>
      <c r="AX945" s="239">
        <f t="shared" si="128"/>
        <v>0</v>
      </c>
      <c r="AY945" s="239">
        <f>IF($G945="CERVECERIA Y MALTERIA.",($AS945*$AK945/1000000)*(1-VLOOKUP($N945,[1]FCST!D:I,6,FALSE)),0)</f>
        <v>0</v>
      </c>
      <c r="AZ945" s="239">
        <f t="shared" si="129"/>
        <v>0</v>
      </c>
    </row>
    <row r="946" spans="1:52" x14ac:dyDescent="0.25">
      <c r="A946" s="209">
        <v>1115256</v>
      </c>
      <c r="B946" s="209">
        <v>70</v>
      </c>
      <c r="C946" s="209">
        <v>89466956</v>
      </c>
      <c r="D946" s="209">
        <v>10</v>
      </c>
      <c r="E946" s="209">
        <v>10000002</v>
      </c>
      <c r="F946" s="209">
        <v>20000337</v>
      </c>
      <c r="G946" s="209" t="s">
        <v>105</v>
      </c>
      <c r="H946" s="209">
        <v>20000337</v>
      </c>
      <c r="I946" s="209">
        <v>2</v>
      </c>
      <c r="J946" s="209" t="s">
        <v>169</v>
      </c>
      <c r="K946" s="209" t="s">
        <v>2092</v>
      </c>
      <c r="L946" s="209" t="s">
        <v>171</v>
      </c>
      <c r="M946" s="209" t="s">
        <v>199</v>
      </c>
      <c r="N946" s="209">
        <v>50039302</v>
      </c>
      <c r="O946" s="209" t="s">
        <v>1942</v>
      </c>
      <c r="P946" s="209">
        <v>5121</v>
      </c>
      <c r="Q946" s="209" t="s">
        <v>200</v>
      </c>
      <c r="R946" s="209" t="s">
        <v>201</v>
      </c>
      <c r="S946" s="209" t="s">
        <v>202</v>
      </c>
      <c r="T946" s="209" t="s">
        <v>203</v>
      </c>
      <c r="U946" s="209" t="s">
        <v>201</v>
      </c>
      <c r="V946" s="209" t="s">
        <v>179</v>
      </c>
      <c r="W946" s="209" t="s">
        <v>179</v>
      </c>
      <c r="X946" s="209" t="s">
        <v>180</v>
      </c>
      <c r="Y946" s="209" t="s">
        <v>180</v>
      </c>
      <c r="Z946" s="209">
        <v>9521068597</v>
      </c>
      <c r="AA946" s="209" t="s">
        <v>2079</v>
      </c>
      <c r="AB946" s="209" t="s">
        <v>180</v>
      </c>
      <c r="AC946" s="209" t="s">
        <v>182</v>
      </c>
      <c r="AD946" s="209">
        <v>4</v>
      </c>
      <c r="AE946" s="209">
        <v>2025</v>
      </c>
      <c r="AF946" s="227">
        <v>45776</v>
      </c>
      <c r="AG946" s="227">
        <v>45798</v>
      </c>
      <c r="AH946" s="227">
        <v>45797</v>
      </c>
      <c r="AI946" s="228">
        <v>399360</v>
      </c>
      <c r="AJ946" s="228">
        <v>52</v>
      </c>
      <c r="AK946" s="228">
        <v>399360</v>
      </c>
      <c r="AL946" s="228">
        <v>52</v>
      </c>
      <c r="AM946" s="228">
        <v>0</v>
      </c>
      <c r="AN946" s="228">
        <v>0</v>
      </c>
      <c r="AO946" s="229">
        <v>18</v>
      </c>
      <c r="AP946" s="231">
        <v>5</v>
      </c>
      <c r="AQ946" s="231">
        <v>2025</v>
      </c>
      <c r="AR946" s="231" t="str">
        <f t="shared" si="125"/>
        <v>05/2025</v>
      </c>
      <c r="AS946" s="231">
        <f t="shared" si="126"/>
        <v>46.6</v>
      </c>
      <c r="AT946" s="239">
        <f>IF(G946="CERVECERIA Y MALTERIA",(AS946*AK946/1000000)*(1-VLOOKUP(N946,[1]FCST!D:I,6,FALSE)),0)</f>
        <v>18.610175999999999</v>
      </c>
      <c r="AU946" s="232">
        <v>5.0000000000000001E-3</v>
      </c>
      <c r="AV946" s="239">
        <f t="shared" si="127"/>
        <v>18.703226879999995</v>
      </c>
      <c r="AW946" s="239">
        <f>(AS946*AK946/1000000)*(VLOOKUP(N946,[1]FCST!D:I,6,FALSE))</f>
        <v>0</v>
      </c>
      <c r="AX946" s="239">
        <f t="shared" si="128"/>
        <v>0</v>
      </c>
      <c r="AY946" s="239">
        <f>IF($G946="CERVECERIA Y MALTERIA.",($AS946*$AK946/1000000)*(1-VLOOKUP($N946,[1]FCST!D:I,6,FALSE)),0)</f>
        <v>0</v>
      </c>
      <c r="AZ946" s="239">
        <f t="shared" si="129"/>
        <v>0</v>
      </c>
    </row>
    <row r="947" spans="1:52" x14ac:dyDescent="0.25">
      <c r="A947" s="209">
        <v>1118131</v>
      </c>
      <c r="B947" s="209">
        <v>40</v>
      </c>
      <c r="C947" s="209">
        <v>89466922</v>
      </c>
      <c r="D947" s="209">
        <v>10</v>
      </c>
      <c r="E947" s="209">
        <v>10000002</v>
      </c>
      <c r="F947" s="209">
        <v>20000340</v>
      </c>
      <c r="G947" s="209" t="s">
        <v>117</v>
      </c>
      <c r="H947" s="209">
        <v>20000340</v>
      </c>
      <c r="I947" s="209">
        <v>2</v>
      </c>
      <c r="J947" s="209" t="s">
        <v>169</v>
      </c>
      <c r="K947" s="209" t="s">
        <v>2093</v>
      </c>
      <c r="L947" s="209" t="s">
        <v>171</v>
      </c>
      <c r="M947" s="209" t="s">
        <v>172</v>
      </c>
      <c r="N947" s="209">
        <v>50039509</v>
      </c>
      <c r="O947" s="209" t="s">
        <v>2054</v>
      </c>
      <c r="P947" s="209">
        <v>5101</v>
      </c>
      <c r="Q947" s="209" t="s">
        <v>186</v>
      </c>
      <c r="R947" s="209" t="s">
        <v>175</v>
      </c>
      <c r="S947" s="209" t="s">
        <v>176</v>
      </c>
      <c r="T947" s="209" t="s">
        <v>187</v>
      </c>
      <c r="U947" s="209" t="s">
        <v>188</v>
      </c>
      <c r="V947" s="209" t="s">
        <v>179</v>
      </c>
      <c r="W947" s="209" t="s">
        <v>179</v>
      </c>
      <c r="X947" s="209" t="s">
        <v>180</v>
      </c>
      <c r="Y947" s="209" t="s">
        <v>180</v>
      </c>
      <c r="Z947" s="209">
        <v>9511047948</v>
      </c>
      <c r="AA947" s="209" t="s">
        <v>2055</v>
      </c>
      <c r="AB947" s="209" t="s">
        <v>180</v>
      </c>
      <c r="AC947" s="209" t="s">
        <v>182</v>
      </c>
      <c r="AD947" s="209">
        <v>5</v>
      </c>
      <c r="AE947" s="209">
        <v>2025</v>
      </c>
      <c r="AF947" s="227">
        <v>45791</v>
      </c>
      <c r="AG947" s="227">
        <v>45797</v>
      </c>
      <c r="AH947" s="227">
        <v>45797</v>
      </c>
      <c r="AI947" s="228">
        <v>519168</v>
      </c>
      <c r="AJ947" s="228">
        <v>52</v>
      </c>
      <c r="AK947" s="228">
        <v>519168</v>
      </c>
      <c r="AL947" s="228">
        <v>52</v>
      </c>
      <c r="AM947" s="228">
        <v>0</v>
      </c>
      <c r="AN947" s="228">
        <v>0</v>
      </c>
      <c r="AO947" s="229">
        <v>21</v>
      </c>
      <c r="AP947" s="231">
        <v>5</v>
      </c>
      <c r="AQ947" s="231">
        <v>2025</v>
      </c>
      <c r="AR947" s="231" t="str">
        <f t="shared" si="125"/>
        <v>05/2025</v>
      </c>
      <c r="AS947" s="231">
        <f t="shared" si="126"/>
        <v>34</v>
      </c>
      <c r="AT947" s="239">
        <f>IF(G947="CERVECERIA Y MALTERIA",(AS947*AK947/1000000)*(1-VLOOKUP(N947,[1]FCST!D:I,6,FALSE)),0)</f>
        <v>0</v>
      </c>
      <c r="AU947" s="232">
        <v>5.0000000000000001E-3</v>
      </c>
      <c r="AV947" s="239">
        <f t="shared" si="127"/>
        <v>0</v>
      </c>
      <c r="AW947" s="239">
        <f>(AS947*AK947/1000000)*(VLOOKUP(N947,[1]FCST!D:I,6,FALSE))</f>
        <v>0</v>
      </c>
      <c r="AX947" s="239">
        <f t="shared" si="128"/>
        <v>0</v>
      </c>
      <c r="AY947" s="239">
        <f>IF($G947="CERVECERIA Y MALTERIA.",($AS947*$AK947/1000000)*(1-VLOOKUP($N947,[1]FCST!D:I,6,FALSE)),0)</f>
        <v>17.651712</v>
      </c>
      <c r="AZ947" s="239">
        <f t="shared" si="129"/>
        <v>17.73997056</v>
      </c>
    </row>
    <row r="948" spans="1:52" x14ac:dyDescent="0.25">
      <c r="A948" s="209">
        <v>1118130</v>
      </c>
      <c r="B948" s="209">
        <v>20</v>
      </c>
      <c r="C948" s="209">
        <v>89466578</v>
      </c>
      <c r="D948" s="209">
        <v>10</v>
      </c>
      <c r="E948" s="209">
        <v>10000002</v>
      </c>
      <c r="F948" s="209">
        <v>20000335</v>
      </c>
      <c r="G948" s="209" t="s">
        <v>105</v>
      </c>
      <c r="H948" s="209">
        <v>20000335</v>
      </c>
      <c r="I948" s="209">
        <v>2</v>
      </c>
      <c r="J948" s="209" t="s">
        <v>169</v>
      </c>
      <c r="K948" s="209" t="s">
        <v>2094</v>
      </c>
      <c r="L948" s="209" t="s">
        <v>171</v>
      </c>
      <c r="M948" s="209" t="s">
        <v>199</v>
      </c>
      <c r="N948" s="209">
        <v>50035183</v>
      </c>
      <c r="O948" s="209" t="s">
        <v>215</v>
      </c>
      <c r="P948" s="209">
        <v>5121</v>
      </c>
      <c r="Q948" s="209" t="s">
        <v>200</v>
      </c>
      <c r="R948" s="209" t="s">
        <v>201</v>
      </c>
      <c r="S948" s="209" t="s">
        <v>202</v>
      </c>
      <c r="T948" s="209" t="s">
        <v>203</v>
      </c>
      <c r="U948" s="209" t="s">
        <v>201</v>
      </c>
      <c r="V948" s="209" t="s">
        <v>179</v>
      </c>
      <c r="W948" s="209" t="s">
        <v>179</v>
      </c>
      <c r="X948" s="209" t="s">
        <v>180</v>
      </c>
      <c r="Y948" s="209" t="s">
        <v>180</v>
      </c>
      <c r="Z948" s="209">
        <v>9521068592</v>
      </c>
      <c r="AA948" s="209" t="s">
        <v>2095</v>
      </c>
      <c r="AB948" s="209" t="s">
        <v>180</v>
      </c>
      <c r="AC948" s="209" t="s">
        <v>182</v>
      </c>
      <c r="AD948" s="209">
        <v>5</v>
      </c>
      <c r="AE948" s="209">
        <v>2025</v>
      </c>
      <c r="AF948" s="227">
        <v>45791</v>
      </c>
      <c r="AG948" s="227">
        <v>45797</v>
      </c>
      <c r="AH948" s="227">
        <v>45797</v>
      </c>
      <c r="AI948" s="228">
        <v>426816</v>
      </c>
      <c r="AJ948" s="228">
        <v>52</v>
      </c>
      <c r="AK948" s="228">
        <v>426816</v>
      </c>
      <c r="AL948" s="228">
        <v>52</v>
      </c>
      <c r="AM948" s="228">
        <v>0</v>
      </c>
      <c r="AN948" s="228">
        <v>0</v>
      </c>
      <c r="AO948" s="229">
        <v>21</v>
      </c>
      <c r="AP948" s="231">
        <v>5</v>
      </c>
      <c r="AQ948" s="231">
        <v>2025</v>
      </c>
      <c r="AR948" s="231" t="str">
        <f t="shared" si="125"/>
        <v>05/2025</v>
      </c>
      <c r="AS948" s="231">
        <f t="shared" si="126"/>
        <v>46.6</v>
      </c>
      <c r="AT948" s="239">
        <f>IF(G948="CERVECERIA Y MALTERIA",(AS948*AK948/1000000)*(1-VLOOKUP(N948,[1]FCST!D:I,6,FALSE)),0)</f>
        <v>19.889625600000002</v>
      </c>
      <c r="AU948" s="232">
        <v>5.0000000000000001E-3</v>
      </c>
      <c r="AV948" s="239">
        <f t="shared" si="127"/>
        <v>19.989073728000001</v>
      </c>
      <c r="AW948" s="239">
        <f>(AS948*AK948/1000000)*(VLOOKUP(N948,[1]FCST!D:I,6,FALSE))</f>
        <v>0</v>
      </c>
      <c r="AX948" s="239">
        <f t="shared" si="128"/>
        <v>0</v>
      </c>
      <c r="AY948" s="239">
        <f>IF($G948="CERVECERIA Y MALTERIA.",($AS948*$AK948/1000000)*(1-VLOOKUP($N948,[1]FCST!D:I,6,FALSE)),0)</f>
        <v>0</v>
      </c>
      <c r="AZ948" s="239">
        <f t="shared" si="129"/>
        <v>0</v>
      </c>
    </row>
    <row r="949" spans="1:52" x14ac:dyDescent="0.25">
      <c r="A949" s="209">
        <v>1116730</v>
      </c>
      <c r="B949" s="209">
        <v>30</v>
      </c>
      <c r="C949" s="209">
        <v>89474894</v>
      </c>
      <c r="D949" s="209">
        <v>10</v>
      </c>
      <c r="E949" s="209">
        <v>10000002</v>
      </c>
      <c r="F949" s="209">
        <v>20000339</v>
      </c>
      <c r="G949" s="209" t="s">
        <v>105</v>
      </c>
      <c r="H949" s="209">
        <v>20000339</v>
      </c>
      <c r="I949" s="209">
        <v>2</v>
      </c>
      <c r="J949" s="209" t="s">
        <v>169</v>
      </c>
      <c r="K949" s="209" t="s">
        <v>2096</v>
      </c>
      <c r="L949" s="209" t="s">
        <v>171</v>
      </c>
      <c r="M949" s="209" t="s">
        <v>184</v>
      </c>
      <c r="N949" s="209">
        <v>50038607</v>
      </c>
      <c r="O949" s="209" t="s">
        <v>1992</v>
      </c>
      <c r="P949" s="209">
        <v>5101</v>
      </c>
      <c r="Q949" s="209" t="s">
        <v>186</v>
      </c>
      <c r="R949" s="209" t="s">
        <v>175</v>
      </c>
      <c r="S949" s="209" t="s">
        <v>176</v>
      </c>
      <c r="T949" s="209" t="s">
        <v>187</v>
      </c>
      <c r="U949" s="209" t="s">
        <v>188</v>
      </c>
      <c r="V949" s="209" t="s">
        <v>179</v>
      </c>
      <c r="W949" s="209" t="s">
        <v>179</v>
      </c>
      <c r="X949" s="209" t="s">
        <v>180</v>
      </c>
      <c r="Y949" s="209" t="s">
        <v>180</v>
      </c>
      <c r="Z949" s="209">
        <v>9511047959</v>
      </c>
      <c r="AA949" s="209" t="s">
        <v>2097</v>
      </c>
      <c r="AB949" s="209" t="s">
        <v>180</v>
      </c>
      <c r="AC949" s="209" t="s">
        <v>182</v>
      </c>
      <c r="AD949" s="209">
        <v>5</v>
      </c>
      <c r="AE949" s="209">
        <v>2025</v>
      </c>
      <c r="AF949" s="227">
        <v>45784</v>
      </c>
      <c r="AG949" s="227">
        <v>45805</v>
      </c>
      <c r="AH949" s="227">
        <v>45806</v>
      </c>
      <c r="AI949" s="228">
        <v>743808</v>
      </c>
      <c r="AJ949" s="228">
        <v>52</v>
      </c>
      <c r="AK949" s="228">
        <v>743808</v>
      </c>
      <c r="AL949" s="228">
        <v>52</v>
      </c>
      <c r="AM949" s="228">
        <v>0</v>
      </c>
      <c r="AN949" s="228">
        <v>0</v>
      </c>
      <c r="AO949" s="229">
        <v>19</v>
      </c>
      <c r="AP949" s="231">
        <v>5</v>
      </c>
      <c r="AQ949" s="231">
        <v>2025</v>
      </c>
      <c r="AR949" s="231" t="str">
        <f t="shared" si="125"/>
        <v>05/2025</v>
      </c>
      <c r="AS949" s="231">
        <f t="shared" si="126"/>
        <v>25</v>
      </c>
      <c r="AT949" s="239">
        <f>IF(G949="CERVECERIA Y MALTERIA",(AS949*AK949/1000000)*(1-VLOOKUP(N949,[1]FCST!D:I,6,FALSE)),0)</f>
        <v>18.595199999999998</v>
      </c>
      <c r="AU949" s="232">
        <v>5.0000000000000001E-3</v>
      </c>
      <c r="AV949" s="239">
        <f t="shared" si="127"/>
        <v>18.688175999999995</v>
      </c>
      <c r="AW949" s="239">
        <f>(AS949*AK949/1000000)*(VLOOKUP(N949,[1]FCST!D:I,6,FALSE))</f>
        <v>0</v>
      </c>
      <c r="AX949" s="239">
        <f t="shared" si="128"/>
        <v>0</v>
      </c>
      <c r="AY949" s="239">
        <f>IF($G949="CERVECERIA Y MALTERIA.",($AS949*$AK949/1000000)*(1-VLOOKUP($N949,[1]FCST!D:I,6,FALSE)),0)</f>
        <v>0</v>
      </c>
      <c r="AZ949" s="239">
        <f t="shared" si="129"/>
        <v>0</v>
      </c>
    </row>
    <row r="950" spans="1:52" x14ac:dyDescent="0.25">
      <c r="A950" s="209">
        <v>1115256</v>
      </c>
      <c r="B950" s="209">
        <v>90</v>
      </c>
      <c r="C950" s="209">
        <v>89476983</v>
      </c>
      <c r="D950" s="209">
        <v>10</v>
      </c>
      <c r="E950" s="209">
        <v>10000002</v>
      </c>
      <c r="F950" s="209">
        <v>20000337</v>
      </c>
      <c r="G950" s="209" t="s">
        <v>105</v>
      </c>
      <c r="H950" s="209">
        <v>20000337</v>
      </c>
      <c r="I950" s="209">
        <v>2</v>
      </c>
      <c r="J950" s="209" t="s">
        <v>169</v>
      </c>
      <c r="K950" s="209" t="s">
        <v>2098</v>
      </c>
      <c r="L950" s="209" t="s">
        <v>171</v>
      </c>
      <c r="M950" s="209" t="s">
        <v>184</v>
      </c>
      <c r="N950" s="209">
        <v>50039302</v>
      </c>
      <c r="O950" s="209" t="s">
        <v>1942</v>
      </c>
      <c r="P950" s="209">
        <v>5121</v>
      </c>
      <c r="Q950" s="209" t="s">
        <v>174</v>
      </c>
      <c r="R950" s="209" t="s">
        <v>175</v>
      </c>
      <c r="S950" s="209" t="s">
        <v>176</v>
      </c>
      <c r="T950" s="209" t="s">
        <v>177</v>
      </c>
      <c r="U950" s="209" t="s">
        <v>2057</v>
      </c>
      <c r="V950" s="209" t="s">
        <v>179</v>
      </c>
      <c r="W950" s="209" t="s">
        <v>179</v>
      </c>
      <c r="X950" s="209" t="s">
        <v>180</v>
      </c>
      <c r="Y950" s="209" t="s">
        <v>180</v>
      </c>
      <c r="Z950" s="209">
        <v>9521068626</v>
      </c>
      <c r="AA950" s="209" t="s">
        <v>2099</v>
      </c>
      <c r="AB950" s="209" t="s">
        <v>180</v>
      </c>
      <c r="AC950" s="209" t="s">
        <v>182</v>
      </c>
      <c r="AD950" s="209">
        <v>4</v>
      </c>
      <c r="AE950" s="209">
        <v>2025</v>
      </c>
      <c r="AF950" s="227">
        <v>45776</v>
      </c>
      <c r="AG950" s="227">
        <v>45805</v>
      </c>
      <c r="AH950" s="227">
        <v>45808</v>
      </c>
      <c r="AI950" s="228">
        <v>399360</v>
      </c>
      <c r="AJ950" s="228">
        <v>52</v>
      </c>
      <c r="AK950" s="228">
        <v>399360</v>
      </c>
      <c r="AL950" s="228">
        <v>52</v>
      </c>
      <c r="AM950" s="228">
        <v>0</v>
      </c>
      <c r="AN950" s="228">
        <v>0</v>
      </c>
      <c r="AO950" s="229">
        <v>18</v>
      </c>
      <c r="AP950" s="231">
        <v>5</v>
      </c>
      <c r="AQ950" s="231">
        <v>2025</v>
      </c>
      <c r="AR950" s="231" t="str">
        <f t="shared" si="125"/>
        <v>05/2025</v>
      </c>
      <c r="AS950" s="231">
        <f t="shared" si="126"/>
        <v>46.6</v>
      </c>
      <c r="AT950" s="239">
        <f>IF(G950="CERVECERIA Y MALTERIA",(AS950*AK950/1000000)*(1-VLOOKUP(N950,[1]FCST!D:I,6,FALSE)),0)</f>
        <v>18.610175999999999</v>
      </c>
      <c r="AU950" s="232">
        <v>5.0000000000000001E-3</v>
      </c>
      <c r="AV950" s="239">
        <f t="shared" si="127"/>
        <v>18.703226879999995</v>
      </c>
      <c r="AW950" s="239">
        <f>(AS950*AK950/1000000)*(VLOOKUP(N950,[1]FCST!D:I,6,FALSE))</f>
        <v>0</v>
      </c>
      <c r="AX950" s="239">
        <f t="shared" si="128"/>
        <v>0</v>
      </c>
      <c r="AY950" s="239">
        <f>IF($G950="CERVECERIA Y MALTERIA.",($AS950*$AK950/1000000)*(1-VLOOKUP($N950,[1]FCST!D:I,6,FALSE)),0)</f>
        <v>0</v>
      </c>
      <c r="AZ950" s="239">
        <f t="shared" si="129"/>
        <v>0</v>
      </c>
    </row>
    <row r="951" spans="1:52" x14ac:dyDescent="0.25">
      <c r="A951" s="209">
        <v>1119589</v>
      </c>
      <c r="B951" s="209">
        <v>60</v>
      </c>
      <c r="C951" s="209">
        <v>89475895</v>
      </c>
      <c r="D951" s="209">
        <v>10</v>
      </c>
      <c r="E951" s="209">
        <v>10000002</v>
      </c>
      <c r="F951" s="209">
        <v>20000340</v>
      </c>
      <c r="G951" s="209" t="s">
        <v>117</v>
      </c>
      <c r="H951" s="209">
        <v>20000340</v>
      </c>
      <c r="I951" s="209">
        <v>2</v>
      </c>
      <c r="J951" s="209" t="s">
        <v>169</v>
      </c>
      <c r="K951" s="209" t="s">
        <v>2100</v>
      </c>
      <c r="L951" s="209" t="s">
        <v>171</v>
      </c>
      <c r="M951" s="209" t="s">
        <v>184</v>
      </c>
      <c r="N951" s="209">
        <v>50039509</v>
      </c>
      <c r="O951" s="209" t="s">
        <v>2054</v>
      </c>
      <c r="P951" s="209">
        <v>5101</v>
      </c>
      <c r="Q951" s="209" t="s">
        <v>186</v>
      </c>
      <c r="R951" s="209" t="s">
        <v>175</v>
      </c>
      <c r="S951" s="209" t="s">
        <v>176</v>
      </c>
      <c r="T951" s="209" t="s">
        <v>187</v>
      </c>
      <c r="U951" s="209" t="s">
        <v>188</v>
      </c>
      <c r="V951" s="209" t="s">
        <v>179</v>
      </c>
      <c r="W951" s="209" t="s">
        <v>179</v>
      </c>
      <c r="X951" s="209" t="s">
        <v>180</v>
      </c>
      <c r="Y951" s="209" t="s">
        <v>180</v>
      </c>
      <c r="Z951" s="209">
        <v>9511047962</v>
      </c>
      <c r="AA951" s="209" t="s">
        <v>2101</v>
      </c>
      <c r="AB951" s="209" t="s">
        <v>180</v>
      </c>
      <c r="AC951" s="209" t="s">
        <v>182</v>
      </c>
      <c r="AD951" s="209">
        <v>5</v>
      </c>
      <c r="AE951" s="209">
        <v>2025</v>
      </c>
      <c r="AF951" s="227">
        <v>45799</v>
      </c>
      <c r="AG951" s="227">
        <v>45807</v>
      </c>
      <c r="AH951" s="227">
        <v>45807</v>
      </c>
      <c r="AI951" s="228">
        <v>519168</v>
      </c>
      <c r="AJ951" s="228">
        <v>52</v>
      </c>
      <c r="AK951" s="228">
        <v>519168</v>
      </c>
      <c r="AL951" s="228">
        <v>52</v>
      </c>
      <c r="AM951" s="228">
        <v>0</v>
      </c>
      <c r="AN951" s="228">
        <v>0</v>
      </c>
      <c r="AO951" s="229">
        <v>22</v>
      </c>
      <c r="AP951" s="231">
        <v>5</v>
      </c>
      <c r="AQ951" s="231">
        <v>2025</v>
      </c>
      <c r="AR951" s="231" t="str">
        <f t="shared" si="125"/>
        <v>05/2025</v>
      </c>
      <c r="AS951" s="231">
        <f t="shared" si="126"/>
        <v>34</v>
      </c>
      <c r="AT951" s="239">
        <f>IF(G951="CERVECERIA Y MALTERIA",(AS951*AK951/1000000)*(1-VLOOKUP(N951,[1]FCST!D:I,6,FALSE)),0)</f>
        <v>0</v>
      </c>
      <c r="AU951" s="232">
        <v>5.0000000000000001E-3</v>
      </c>
      <c r="AV951" s="239">
        <f t="shared" si="127"/>
        <v>0</v>
      </c>
      <c r="AW951" s="239">
        <f>(AS951*AK951/1000000)*(VLOOKUP(N951,[1]FCST!D:I,6,FALSE))</f>
        <v>0</v>
      </c>
      <c r="AX951" s="239">
        <f t="shared" si="128"/>
        <v>0</v>
      </c>
      <c r="AY951" s="239">
        <f>IF($G951="CERVECERIA Y MALTERIA.",($AS951*$AK951/1000000)*(1-VLOOKUP($N951,[1]FCST!D:I,6,FALSE)),0)</f>
        <v>17.651712</v>
      </c>
      <c r="AZ951" s="239">
        <f t="shared" si="129"/>
        <v>17.73997056</v>
      </c>
    </row>
    <row r="952" spans="1:52" x14ac:dyDescent="0.25">
      <c r="A952" s="209">
        <v>1119588</v>
      </c>
      <c r="B952" s="209">
        <v>40</v>
      </c>
      <c r="C952" s="209">
        <v>89475892</v>
      </c>
      <c r="D952" s="209">
        <v>10</v>
      </c>
      <c r="E952" s="209">
        <v>10000002</v>
      </c>
      <c r="F952" s="209">
        <v>20000335</v>
      </c>
      <c r="G952" s="209" t="s">
        <v>105</v>
      </c>
      <c r="H952" s="209">
        <v>20000335</v>
      </c>
      <c r="I952" s="209">
        <v>2</v>
      </c>
      <c r="J952" s="209" t="s">
        <v>169</v>
      </c>
      <c r="K952" s="209" t="s">
        <v>2102</v>
      </c>
      <c r="L952" s="209" t="s">
        <v>171</v>
      </c>
      <c r="M952" s="209" t="s">
        <v>199</v>
      </c>
      <c r="N952" s="209">
        <v>50025345</v>
      </c>
      <c r="O952" s="209" t="s">
        <v>1998</v>
      </c>
      <c r="P952" s="209">
        <v>5121</v>
      </c>
      <c r="Q952" s="209" t="s">
        <v>200</v>
      </c>
      <c r="R952" s="209" t="s">
        <v>201</v>
      </c>
      <c r="S952" s="209" t="s">
        <v>202</v>
      </c>
      <c r="T952" s="209" t="s">
        <v>203</v>
      </c>
      <c r="U952" s="209" t="s">
        <v>201</v>
      </c>
      <c r="V952" s="209" t="s">
        <v>179</v>
      </c>
      <c r="W952" s="209" t="s">
        <v>179</v>
      </c>
      <c r="X952" s="209" t="s">
        <v>180</v>
      </c>
      <c r="Y952" s="209" t="s">
        <v>180</v>
      </c>
      <c r="Z952" s="209">
        <v>9521068610</v>
      </c>
      <c r="AA952" s="209" t="s">
        <v>2103</v>
      </c>
      <c r="AB952" s="209" t="s">
        <v>180</v>
      </c>
      <c r="AC952" s="209" t="s">
        <v>182</v>
      </c>
      <c r="AD952" s="209">
        <v>5</v>
      </c>
      <c r="AE952" s="209">
        <v>2025</v>
      </c>
      <c r="AF952" s="227">
        <v>45799</v>
      </c>
      <c r="AG952" s="227">
        <v>45807</v>
      </c>
      <c r="AH952" s="227">
        <v>45807</v>
      </c>
      <c r="AI952" s="228">
        <v>426816</v>
      </c>
      <c r="AJ952" s="228">
        <v>52</v>
      </c>
      <c r="AK952" s="228">
        <v>426816</v>
      </c>
      <c r="AL952" s="228">
        <v>52</v>
      </c>
      <c r="AM952" s="228">
        <v>0</v>
      </c>
      <c r="AN952" s="228">
        <v>0</v>
      </c>
      <c r="AO952" s="229">
        <v>22</v>
      </c>
      <c r="AP952" s="231">
        <v>5</v>
      </c>
      <c r="AQ952" s="231">
        <v>2025</v>
      </c>
      <c r="AR952" s="231" t="str">
        <f t="shared" si="125"/>
        <v>05/2025</v>
      </c>
      <c r="AS952" s="231">
        <f t="shared" si="126"/>
        <v>46.6</v>
      </c>
      <c r="AT952" s="239">
        <f>IF(G952="CERVECERIA Y MALTERIA",(AS952*AK952/1000000)*(1-VLOOKUP(N952,[1]FCST!D:I,6,FALSE)),0)</f>
        <v>19.889625600000002</v>
      </c>
      <c r="AU952" s="232">
        <v>5.0000000000000001E-3</v>
      </c>
      <c r="AV952" s="239">
        <f t="shared" si="127"/>
        <v>19.989073728000001</v>
      </c>
      <c r="AW952" s="239">
        <f>(AS952*AK952/1000000)*(VLOOKUP(N952,[1]FCST!D:I,6,FALSE))</f>
        <v>0</v>
      </c>
      <c r="AX952" s="239">
        <f t="shared" si="128"/>
        <v>0</v>
      </c>
      <c r="AY952" s="239">
        <f>IF($G952="CERVECERIA Y MALTERIA.",($AS952*$AK952/1000000)*(1-VLOOKUP($N952,[1]FCST!D:I,6,FALSE)),0)</f>
        <v>0</v>
      </c>
      <c r="AZ952" s="239">
        <f t="shared" si="129"/>
        <v>0</v>
      </c>
    </row>
    <row r="953" spans="1:52" x14ac:dyDescent="0.25">
      <c r="A953" s="209">
        <v>1119830</v>
      </c>
      <c r="B953" s="209">
        <v>10</v>
      </c>
      <c r="C953" s="209">
        <v>89472854</v>
      </c>
      <c r="D953" s="209">
        <v>10</v>
      </c>
      <c r="E953" s="209">
        <v>10000002</v>
      </c>
      <c r="F953" s="209">
        <v>20000336</v>
      </c>
      <c r="G953" s="209" t="s">
        <v>105</v>
      </c>
      <c r="H953" s="209">
        <v>20000336</v>
      </c>
      <c r="I953" s="209">
        <v>2</v>
      </c>
      <c r="J953" s="209" t="s">
        <v>169</v>
      </c>
      <c r="K953" s="209" t="s">
        <v>2104</v>
      </c>
      <c r="L953" s="209" t="s">
        <v>265</v>
      </c>
      <c r="M953" s="209" t="s">
        <v>199</v>
      </c>
      <c r="N953" s="209">
        <v>50037887</v>
      </c>
      <c r="O953" s="209" t="s">
        <v>679</v>
      </c>
      <c r="P953" s="209">
        <v>5121</v>
      </c>
      <c r="Q953" s="209" t="s">
        <v>200</v>
      </c>
      <c r="R953" s="209" t="s">
        <v>201</v>
      </c>
      <c r="S953" s="209" t="s">
        <v>202</v>
      </c>
      <c r="T953" s="209" t="s">
        <v>203</v>
      </c>
      <c r="U953" s="209" t="s">
        <v>201</v>
      </c>
      <c r="V953" s="209" t="s">
        <v>179</v>
      </c>
      <c r="W953" s="209" t="s">
        <v>179</v>
      </c>
      <c r="X953" s="209" t="s">
        <v>180</v>
      </c>
      <c r="Y953" s="209" t="s">
        <v>180</v>
      </c>
      <c r="Z953" s="209">
        <v>9521068596</v>
      </c>
      <c r="AA953" s="209" t="s">
        <v>2058</v>
      </c>
      <c r="AB953" s="209" t="s">
        <v>180</v>
      </c>
      <c r="AC953" s="209" t="s">
        <v>182</v>
      </c>
      <c r="AD953" s="209">
        <v>5</v>
      </c>
      <c r="AE953" s="209">
        <v>2025</v>
      </c>
      <c r="AF953" s="227">
        <v>45800</v>
      </c>
      <c r="AG953" s="227">
        <v>45804</v>
      </c>
      <c r="AH953" s="227">
        <v>45804</v>
      </c>
      <c r="AI953" s="228">
        <v>531648</v>
      </c>
      <c r="AJ953" s="228">
        <v>52</v>
      </c>
      <c r="AK953" s="228">
        <v>531648</v>
      </c>
      <c r="AL953" s="228">
        <v>52</v>
      </c>
      <c r="AM953" s="228">
        <v>0</v>
      </c>
      <c r="AN953" s="228">
        <v>0</v>
      </c>
      <c r="AO953" s="229">
        <v>22</v>
      </c>
      <c r="AP953" s="231">
        <v>5</v>
      </c>
      <c r="AQ953" s="231">
        <v>2025</v>
      </c>
      <c r="AR953" s="231" t="str">
        <f t="shared" si="125"/>
        <v>05/2025</v>
      </c>
      <c r="AS953" s="231">
        <f t="shared" si="126"/>
        <v>37.200000000000003</v>
      </c>
      <c r="AT953" s="239">
        <f>IF(G953="CERVECERIA Y MALTERIA",(AS953*AK953/1000000)*(1-VLOOKUP(N953,[1]FCST!D:I,6,FALSE)),0)</f>
        <v>19.777305600000002</v>
      </c>
      <c r="AU953" s="232">
        <v>5.0000000000000001E-3</v>
      </c>
      <c r="AV953" s="239">
        <f t="shared" si="127"/>
        <v>19.876192128</v>
      </c>
      <c r="AW953" s="239">
        <f>(AS953*AK953/1000000)*(VLOOKUP(N953,[1]FCST!D:I,6,FALSE))</f>
        <v>0</v>
      </c>
      <c r="AX953" s="239">
        <f t="shared" si="128"/>
        <v>0</v>
      </c>
      <c r="AY953" s="239">
        <f>IF($G953="CERVECERIA Y MALTERIA.",($AS953*$AK953/1000000)*(1-VLOOKUP($N953,[1]FCST!D:I,6,FALSE)),0)</f>
        <v>0</v>
      </c>
      <c r="AZ953" s="239">
        <f t="shared" si="129"/>
        <v>0</v>
      </c>
    </row>
    <row r="954" spans="1:52" x14ac:dyDescent="0.25">
      <c r="A954" s="209">
        <v>1115256</v>
      </c>
      <c r="B954" s="209">
        <v>120</v>
      </c>
      <c r="C954" s="209">
        <v>89472815</v>
      </c>
      <c r="D954" s="209">
        <v>10</v>
      </c>
      <c r="E954" s="209">
        <v>10000002</v>
      </c>
      <c r="F954" s="209">
        <v>20000337</v>
      </c>
      <c r="G954" s="209" t="s">
        <v>105</v>
      </c>
      <c r="H954" s="209">
        <v>20000337</v>
      </c>
      <c r="I954" s="209">
        <v>2</v>
      </c>
      <c r="J954" s="209" t="s">
        <v>169</v>
      </c>
      <c r="K954" s="209" t="s">
        <v>2105</v>
      </c>
      <c r="L954" s="209" t="s">
        <v>171</v>
      </c>
      <c r="M954" s="209" t="s">
        <v>172</v>
      </c>
      <c r="N954" s="209">
        <v>50039302</v>
      </c>
      <c r="O954" s="209" t="s">
        <v>1942</v>
      </c>
      <c r="P954" s="209">
        <v>5121</v>
      </c>
      <c r="Q954" s="209" t="s">
        <v>174</v>
      </c>
      <c r="R954" s="209" t="s">
        <v>175</v>
      </c>
      <c r="S954" s="209" t="s">
        <v>176</v>
      </c>
      <c r="T954" s="209" t="s">
        <v>177</v>
      </c>
      <c r="U954" s="209" t="s">
        <v>2057</v>
      </c>
      <c r="V954" s="209" t="s">
        <v>179</v>
      </c>
      <c r="W954" s="209" t="s">
        <v>179</v>
      </c>
      <c r="X954" s="209" t="s">
        <v>180</v>
      </c>
      <c r="Y954" s="209" t="s">
        <v>180</v>
      </c>
      <c r="Z954" s="209">
        <v>9521068597</v>
      </c>
      <c r="AA954" s="209" t="s">
        <v>2079</v>
      </c>
      <c r="AB954" s="209" t="s">
        <v>180</v>
      </c>
      <c r="AC954" s="209" t="s">
        <v>182</v>
      </c>
      <c r="AD954" s="209">
        <v>4</v>
      </c>
      <c r="AE954" s="209">
        <v>2025</v>
      </c>
      <c r="AF954" s="227">
        <v>45776</v>
      </c>
      <c r="AG954" s="227">
        <v>45804</v>
      </c>
      <c r="AH954" s="227">
        <v>45804</v>
      </c>
      <c r="AI954" s="228">
        <v>215040</v>
      </c>
      <c r="AJ954" s="228">
        <v>28</v>
      </c>
      <c r="AK954" s="228">
        <v>215040</v>
      </c>
      <c r="AL954" s="228">
        <v>28</v>
      </c>
      <c r="AM954" s="228">
        <v>0</v>
      </c>
      <c r="AN954" s="228">
        <v>0</v>
      </c>
      <c r="AO954" s="229">
        <v>18</v>
      </c>
      <c r="AP954" s="231">
        <v>5</v>
      </c>
      <c r="AQ954" s="231">
        <v>2025</v>
      </c>
      <c r="AR954" s="231" t="str">
        <f t="shared" si="125"/>
        <v>05/2025</v>
      </c>
      <c r="AS954" s="231">
        <f t="shared" si="126"/>
        <v>46.6</v>
      </c>
      <c r="AT954" s="239">
        <f>IF(G954="CERVECERIA Y MALTERIA",(AS954*AK954/1000000)*(1-VLOOKUP(N954,[1]FCST!D:I,6,FALSE)),0)</f>
        <v>10.020864</v>
      </c>
      <c r="AU954" s="232">
        <v>5.0000000000000001E-3</v>
      </c>
      <c r="AV954" s="239">
        <f t="shared" si="127"/>
        <v>10.070968319999999</v>
      </c>
      <c r="AW954" s="239">
        <f>(AS954*AK954/1000000)*(VLOOKUP(N954,[1]FCST!D:I,6,FALSE))</f>
        <v>0</v>
      </c>
      <c r="AX954" s="239">
        <f t="shared" si="128"/>
        <v>0</v>
      </c>
      <c r="AY954" s="239">
        <f>IF($G954="CERVECERIA Y MALTERIA.",($AS954*$AK954/1000000)*(1-VLOOKUP($N954,[1]FCST!D:I,6,FALSE)),0)</f>
        <v>0</v>
      </c>
      <c r="AZ954" s="239">
        <f t="shared" si="129"/>
        <v>0</v>
      </c>
    </row>
    <row r="955" spans="1:52" x14ac:dyDescent="0.25">
      <c r="A955" s="209">
        <v>1119589</v>
      </c>
      <c r="B955" s="209">
        <v>20</v>
      </c>
      <c r="C955" s="209">
        <v>89472794</v>
      </c>
      <c r="D955" s="209">
        <v>10</v>
      </c>
      <c r="E955" s="209">
        <v>10000002</v>
      </c>
      <c r="F955" s="209">
        <v>20000340</v>
      </c>
      <c r="G955" s="209" t="s">
        <v>117</v>
      </c>
      <c r="H955" s="209">
        <v>20000340</v>
      </c>
      <c r="I955" s="209">
        <v>2</v>
      </c>
      <c r="J955" s="209" t="s">
        <v>169</v>
      </c>
      <c r="K955" s="209" t="s">
        <v>2106</v>
      </c>
      <c r="L955" s="209" t="s">
        <v>171</v>
      </c>
      <c r="M955" s="209" t="s">
        <v>172</v>
      </c>
      <c r="N955" s="209">
        <v>50039509</v>
      </c>
      <c r="O955" s="209" t="s">
        <v>2054</v>
      </c>
      <c r="P955" s="209">
        <v>5101</v>
      </c>
      <c r="Q955" s="209" t="s">
        <v>186</v>
      </c>
      <c r="R955" s="209" t="s">
        <v>175</v>
      </c>
      <c r="S955" s="209" t="s">
        <v>176</v>
      </c>
      <c r="T955" s="209" t="s">
        <v>187</v>
      </c>
      <c r="U955" s="209" t="s">
        <v>188</v>
      </c>
      <c r="V955" s="209" t="s">
        <v>179</v>
      </c>
      <c r="W955" s="209" t="s">
        <v>179</v>
      </c>
      <c r="X955" s="209" t="s">
        <v>180</v>
      </c>
      <c r="Y955" s="209" t="s">
        <v>180</v>
      </c>
      <c r="Z955" s="209">
        <v>9511047948</v>
      </c>
      <c r="AA955" s="209" t="s">
        <v>2055</v>
      </c>
      <c r="AB955" s="209" t="s">
        <v>180</v>
      </c>
      <c r="AC955" s="209" t="s">
        <v>182</v>
      </c>
      <c r="AD955" s="209">
        <v>5</v>
      </c>
      <c r="AE955" s="209">
        <v>2025</v>
      </c>
      <c r="AF955" s="227">
        <v>45799</v>
      </c>
      <c r="AG955" s="227">
        <v>45804</v>
      </c>
      <c r="AH955" s="227">
        <v>45804</v>
      </c>
      <c r="AI955" s="228">
        <v>519168</v>
      </c>
      <c r="AJ955" s="228">
        <v>52</v>
      </c>
      <c r="AK955" s="228">
        <v>519168</v>
      </c>
      <c r="AL955" s="228">
        <v>52</v>
      </c>
      <c r="AM955" s="228">
        <v>0</v>
      </c>
      <c r="AN955" s="228">
        <v>0</v>
      </c>
      <c r="AO955" s="229">
        <v>22</v>
      </c>
      <c r="AP955" s="231">
        <v>5</v>
      </c>
      <c r="AQ955" s="231">
        <v>2025</v>
      </c>
      <c r="AR955" s="231" t="str">
        <f t="shared" ref="AR955:AR986" si="130">+IF(AP955&lt;10,"0"&amp;AP955&amp; "/"&amp;AQ955,AP955&amp; "/"&amp;AQ955)</f>
        <v>05/2025</v>
      </c>
      <c r="AS955" s="231">
        <f t="shared" ref="AS955:AS986" si="131">VALUE(MID(INDEX(_xlfn.TEXTSPLIT(O955, ","), 1, 3), 1,FIND("G", INDEX(_xlfn.TEXTSPLIT(O955, ","), 1, 3))-1))</f>
        <v>34</v>
      </c>
      <c r="AT955" s="239">
        <f>IF(G955="CERVECERIA Y MALTERIA",(AS955*AK955/1000000)*(1-VLOOKUP(N955,[1]FCST!D:I,6,FALSE)),0)</f>
        <v>0</v>
      </c>
      <c r="AU955" s="232">
        <v>5.0000000000000001E-3</v>
      </c>
      <c r="AV955" s="239">
        <f t="shared" ref="AV955:AV986" si="132">+AT955*(1+AU955)</f>
        <v>0</v>
      </c>
      <c r="AW955" s="239">
        <f>(AS955*AK955/1000000)*(VLOOKUP(N955,[1]FCST!D:I,6,FALSE))</f>
        <v>0</v>
      </c>
      <c r="AX955" s="239">
        <f t="shared" ref="AX955:AX986" si="133">+AW955*(1+AU955)</f>
        <v>0</v>
      </c>
      <c r="AY955" s="239">
        <f>IF($G955="CERVECERIA Y MALTERIA.",($AS955*$AK955/1000000)*(1-VLOOKUP($N955,[1]FCST!D:I,6,FALSE)),0)</f>
        <v>17.651712</v>
      </c>
      <c r="AZ955" s="239">
        <f t="shared" ref="AZ955:AZ986" si="134">+AY955*(1+AU955)</f>
        <v>17.73997056</v>
      </c>
    </row>
    <row r="956" spans="1:52" x14ac:dyDescent="0.25">
      <c r="A956" s="209">
        <v>1115256</v>
      </c>
      <c r="B956" s="209">
        <v>80</v>
      </c>
      <c r="C956" s="209">
        <v>89472475</v>
      </c>
      <c r="D956" s="209">
        <v>10</v>
      </c>
      <c r="E956" s="209">
        <v>10000002</v>
      </c>
      <c r="F956" s="209">
        <v>20000337</v>
      </c>
      <c r="G956" s="209" t="s">
        <v>105</v>
      </c>
      <c r="H956" s="209">
        <v>20000337</v>
      </c>
      <c r="I956" s="209">
        <v>2</v>
      </c>
      <c r="J956" s="209" t="s">
        <v>169</v>
      </c>
      <c r="K956" s="209" t="s">
        <v>2107</v>
      </c>
      <c r="L956" s="209" t="s">
        <v>171</v>
      </c>
      <c r="M956" s="209" t="s">
        <v>184</v>
      </c>
      <c r="N956" s="209">
        <v>50039302</v>
      </c>
      <c r="O956" s="209" t="s">
        <v>1942</v>
      </c>
      <c r="P956" s="209">
        <v>5121</v>
      </c>
      <c r="Q956" s="209" t="s">
        <v>174</v>
      </c>
      <c r="R956" s="209" t="s">
        <v>175</v>
      </c>
      <c r="S956" s="209" t="s">
        <v>176</v>
      </c>
      <c r="T956" s="209" t="s">
        <v>177</v>
      </c>
      <c r="U956" s="209" t="s">
        <v>2057</v>
      </c>
      <c r="V956" s="209" t="s">
        <v>179</v>
      </c>
      <c r="W956" s="209" t="s">
        <v>179</v>
      </c>
      <c r="X956" s="209" t="s">
        <v>180</v>
      </c>
      <c r="Y956" s="209" t="s">
        <v>180</v>
      </c>
      <c r="Z956" s="209">
        <v>9521068597</v>
      </c>
      <c r="AA956" s="209" t="s">
        <v>2079</v>
      </c>
      <c r="AB956" s="209" t="s">
        <v>180</v>
      </c>
      <c r="AC956" s="209" t="s">
        <v>182</v>
      </c>
      <c r="AD956" s="209">
        <v>4</v>
      </c>
      <c r="AE956" s="209">
        <v>2025</v>
      </c>
      <c r="AF956" s="227">
        <v>45776</v>
      </c>
      <c r="AG956" s="227">
        <v>45804</v>
      </c>
      <c r="AH956" s="227">
        <v>45804</v>
      </c>
      <c r="AI956" s="228">
        <v>399360</v>
      </c>
      <c r="AJ956" s="228">
        <v>52</v>
      </c>
      <c r="AK956" s="228">
        <v>399360</v>
      </c>
      <c r="AL956" s="228">
        <v>52</v>
      </c>
      <c r="AM956" s="228">
        <v>0</v>
      </c>
      <c r="AN956" s="228">
        <v>0</v>
      </c>
      <c r="AO956" s="229">
        <v>18</v>
      </c>
      <c r="AP956" s="231">
        <v>5</v>
      </c>
      <c r="AQ956" s="231">
        <v>2025</v>
      </c>
      <c r="AR956" s="231" t="str">
        <f t="shared" si="130"/>
        <v>05/2025</v>
      </c>
      <c r="AS956" s="231">
        <f t="shared" si="131"/>
        <v>46.6</v>
      </c>
      <c r="AT956" s="239">
        <f>IF(G956="CERVECERIA Y MALTERIA",(AS956*AK956/1000000)*(1-VLOOKUP(N956,[1]FCST!D:I,6,FALSE)),0)</f>
        <v>18.610175999999999</v>
      </c>
      <c r="AU956" s="232">
        <v>5.0000000000000001E-3</v>
      </c>
      <c r="AV956" s="239">
        <f t="shared" si="132"/>
        <v>18.703226879999995</v>
      </c>
      <c r="AW956" s="239">
        <f>(AS956*AK956/1000000)*(VLOOKUP(N956,[1]FCST!D:I,6,FALSE))</f>
        <v>0</v>
      </c>
      <c r="AX956" s="239">
        <f t="shared" si="133"/>
        <v>0</v>
      </c>
      <c r="AY956" s="239">
        <f>IF($G956="CERVECERIA Y MALTERIA.",($AS956*$AK956/1000000)*(1-VLOOKUP($N956,[1]FCST!D:I,6,FALSE)),0)</f>
        <v>0</v>
      </c>
      <c r="AZ956" s="239">
        <f t="shared" si="134"/>
        <v>0</v>
      </c>
    </row>
    <row r="957" spans="1:52" x14ac:dyDescent="0.25">
      <c r="A957" s="209">
        <v>1119588</v>
      </c>
      <c r="B957" s="209">
        <v>20</v>
      </c>
      <c r="C957" s="209">
        <v>89472288</v>
      </c>
      <c r="D957" s="209">
        <v>10</v>
      </c>
      <c r="E957" s="209">
        <v>10000002</v>
      </c>
      <c r="F957" s="209">
        <v>20000335</v>
      </c>
      <c r="G957" s="209" t="s">
        <v>105</v>
      </c>
      <c r="H957" s="209">
        <v>20000335</v>
      </c>
      <c r="I957" s="209">
        <v>2</v>
      </c>
      <c r="J957" s="209" t="s">
        <v>169</v>
      </c>
      <c r="K957" s="209" t="s">
        <v>2108</v>
      </c>
      <c r="L957" s="209" t="s">
        <v>171</v>
      </c>
      <c r="M957" s="209" t="s">
        <v>199</v>
      </c>
      <c r="N957" s="209">
        <v>50025345</v>
      </c>
      <c r="O957" s="209" t="s">
        <v>1998</v>
      </c>
      <c r="P957" s="209">
        <v>5121</v>
      </c>
      <c r="Q957" s="209" t="s">
        <v>200</v>
      </c>
      <c r="R957" s="209" t="s">
        <v>201</v>
      </c>
      <c r="S957" s="209" t="s">
        <v>202</v>
      </c>
      <c r="T957" s="209" t="s">
        <v>203</v>
      </c>
      <c r="U957" s="209" t="s">
        <v>201</v>
      </c>
      <c r="V957" s="209" t="s">
        <v>179</v>
      </c>
      <c r="W957" s="209" t="s">
        <v>179</v>
      </c>
      <c r="X957" s="209" t="s">
        <v>180</v>
      </c>
      <c r="Y957" s="209" t="s">
        <v>180</v>
      </c>
      <c r="Z957" s="209">
        <v>9521068589</v>
      </c>
      <c r="AA957" s="209" t="s">
        <v>2064</v>
      </c>
      <c r="AB957" s="209" t="s">
        <v>180</v>
      </c>
      <c r="AC957" s="209" t="s">
        <v>182</v>
      </c>
      <c r="AD957" s="209">
        <v>5</v>
      </c>
      <c r="AE957" s="209">
        <v>2025</v>
      </c>
      <c r="AF957" s="227">
        <v>45799</v>
      </c>
      <c r="AG957" s="227">
        <v>45804</v>
      </c>
      <c r="AH957" s="227">
        <v>45804</v>
      </c>
      <c r="AI957" s="228">
        <v>426816</v>
      </c>
      <c r="AJ957" s="228">
        <v>52</v>
      </c>
      <c r="AK957" s="228">
        <v>426816</v>
      </c>
      <c r="AL957" s="228">
        <v>52</v>
      </c>
      <c r="AM957" s="228">
        <v>0</v>
      </c>
      <c r="AN957" s="228">
        <v>0</v>
      </c>
      <c r="AO957" s="229">
        <v>22</v>
      </c>
      <c r="AP957" s="231">
        <v>5</v>
      </c>
      <c r="AQ957" s="231">
        <v>2025</v>
      </c>
      <c r="AR957" s="231" t="str">
        <f t="shared" si="130"/>
        <v>05/2025</v>
      </c>
      <c r="AS957" s="231">
        <f t="shared" si="131"/>
        <v>46.6</v>
      </c>
      <c r="AT957" s="239">
        <f>IF(G957="CERVECERIA Y MALTERIA",(AS957*AK957/1000000)*(1-VLOOKUP(N957,[1]FCST!D:I,6,FALSE)),0)</f>
        <v>19.889625600000002</v>
      </c>
      <c r="AU957" s="232">
        <v>5.0000000000000001E-3</v>
      </c>
      <c r="AV957" s="239">
        <f t="shared" si="132"/>
        <v>19.989073728000001</v>
      </c>
      <c r="AW957" s="239">
        <f>(AS957*AK957/1000000)*(VLOOKUP(N957,[1]FCST!D:I,6,FALSE))</f>
        <v>0</v>
      </c>
      <c r="AX957" s="239">
        <f t="shared" si="133"/>
        <v>0</v>
      </c>
      <c r="AY957" s="239">
        <f>IF($G957="CERVECERIA Y MALTERIA.",($AS957*$AK957/1000000)*(1-VLOOKUP($N957,[1]FCST!D:I,6,FALSE)),0)</f>
        <v>0</v>
      </c>
      <c r="AZ957" s="239">
        <f t="shared" si="134"/>
        <v>0</v>
      </c>
    </row>
    <row r="958" spans="1:52" x14ac:dyDescent="0.25">
      <c r="A958" s="209">
        <v>1119589</v>
      </c>
      <c r="B958" s="209">
        <v>70</v>
      </c>
      <c r="C958" s="209">
        <v>89472286</v>
      </c>
      <c r="D958" s="209">
        <v>10</v>
      </c>
      <c r="E958" s="209">
        <v>10000002</v>
      </c>
      <c r="F958" s="209">
        <v>20000340</v>
      </c>
      <c r="G958" s="209" t="s">
        <v>117</v>
      </c>
      <c r="H958" s="209">
        <v>20000340</v>
      </c>
      <c r="I958" s="209">
        <v>2</v>
      </c>
      <c r="J958" s="209" t="s">
        <v>169</v>
      </c>
      <c r="K958" s="209" t="s">
        <v>2109</v>
      </c>
      <c r="L958" s="209" t="s">
        <v>171</v>
      </c>
      <c r="M958" s="209" t="s">
        <v>184</v>
      </c>
      <c r="N958" s="209">
        <v>50039509</v>
      </c>
      <c r="O958" s="209" t="s">
        <v>2054</v>
      </c>
      <c r="P958" s="209">
        <v>5101</v>
      </c>
      <c r="Q958" s="209" t="s">
        <v>186</v>
      </c>
      <c r="R958" s="209" t="s">
        <v>175</v>
      </c>
      <c r="S958" s="209" t="s">
        <v>176</v>
      </c>
      <c r="T958" s="209" t="s">
        <v>187</v>
      </c>
      <c r="U958" s="209" t="s">
        <v>188</v>
      </c>
      <c r="V958" s="209" t="s">
        <v>179</v>
      </c>
      <c r="W958" s="209" t="s">
        <v>179</v>
      </c>
      <c r="X958" s="209" t="s">
        <v>180</v>
      </c>
      <c r="Y958" s="209" t="s">
        <v>180</v>
      </c>
      <c r="Z958" s="209">
        <v>9511047948</v>
      </c>
      <c r="AA958" s="209" t="s">
        <v>2055</v>
      </c>
      <c r="AB958" s="209" t="s">
        <v>180</v>
      </c>
      <c r="AC958" s="209" t="s">
        <v>182</v>
      </c>
      <c r="AD958" s="209">
        <v>5</v>
      </c>
      <c r="AE958" s="209">
        <v>2025</v>
      </c>
      <c r="AF958" s="227">
        <v>45799</v>
      </c>
      <c r="AG958" s="227">
        <v>45804</v>
      </c>
      <c r="AH958" s="227">
        <v>45804</v>
      </c>
      <c r="AI958" s="228">
        <v>519168</v>
      </c>
      <c r="AJ958" s="228">
        <v>52</v>
      </c>
      <c r="AK958" s="228">
        <v>519168</v>
      </c>
      <c r="AL958" s="228">
        <v>52</v>
      </c>
      <c r="AM958" s="228">
        <v>0</v>
      </c>
      <c r="AN958" s="228">
        <v>0</v>
      </c>
      <c r="AO958" s="229">
        <v>22</v>
      </c>
      <c r="AP958" s="231">
        <v>5</v>
      </c>
      <c r="AQ958" s="231">
        <v>2025</v>
      </c>
      <c r="AR958" s="231" t="str">
        <f t="shared" si="130"/>
        <v>05/2025</v>
      </c>
      <c r="AS958" s="231">
        <f t="shared" si="131"/>
        <v>34</v>
      </c>
      <c r="AT958" s="239">
        <f>IF(G958="CERVECERIA Y MALTERIA",(AS958*AK958/1000000)*(1-VLOOKUP(N958,[1]FCST!D:I,6,FALSE)),0)</f>
        <v>0</v>
      </c>
      <c r="AU958" s="232">
        <v>5.0000000000000001E-3</v>
      </c>
      <c r="AV958" s="239">
        <f t="shared" si="132"/>
        <v>0</v>
      </c>
      <c r="AW958" s="239">
        <f>(AS958*AK958/1000000)*(VLOOKUP(N958,[1]FCST!D:I,6,FALSE))</f>
        <v>0</v>
      </c>
      <c r="AX958" s="239">
        <f t="shared" si="133"/>
        <v>0</v>
      </c>
      <c r="AY958" s="239">
        <f>IF($G958="CERVECERIA Y MALTERIA.",($AS958*$AK958/1000000)*(1-VLOOKUP($N958,[1]FCST!D:I,6,FALSE)),0)</f>
        <v>17.651712</v>
      </c>
      <c r="AZ958" s="239">
        <f t="shared" si="134"/>
        <v>17.73997056</v>
      </c>
    </row>
    <row r="959" spans="1:52" x14ac:dyDescent="0.25">
      <c r="A959" s="209">
        <v>1119589</v>
      </c>
      <c r="B959" s="209">
        <v>50</v>
      </c>
      <c r="C959" s="209">
        <v>89474748</v>
      </c>
      <c r="D959" s="209">
        <v>10</v>
      </c>
      <c r="E959" s="209">
        <v>10000002</v>
      </c>
      <c r="F959" s="209">
        <v>20000340</v>
      </c>
      <c r="G959" s="209" t="s">
        <v>117</v>
      </c>
      <c r="H959" s="209">
        <v>20000340</v>
      </c>
      <c r="I959" s="209">
        <v>2</v>
      </c>
      <c r="J959" s="209" t="s">
        <v>169</v>
      </c>
      <c r="K959" s="209" t="s">
        <v>2110</v>
      </c>
      <c r="L959" s="209" t="s">
        <v>171</v>
      </c>
      <c r="M959" s="209" t="s">
        <v>184</v>
      </c>
      <c r="N959" s="209">
        <v>50039509</v>
      </c>
      <c r="O959" s="209" t="s">
        <v>2054</v>
      </c>
      <c r="P959" s="209">
        <v>5101</v>
      </c>
      <c r="Q959" s="209" t="s">
        <v>186</v>
      </c>
      <c r="R959" s="209" t="s">
        <v>175</v>
      </c>
      <c r="S959" s="209" t="s">
        <v>176</v>
      </c>
      <c r="T959" s="209" t="s">
        <v>187</v>
      </c>
      <c r="U959" s="209" t="s">
        <v>188</v>
      </c>
      <c r="V959" s="209" t="s">
        <v>179</v>
      </c>
      <c r="W959" s="209" t="s">
        <v>179</v>
      </c>
      <c r="X959" s="209" t="s">
        <v>180</v>
      </c>
      <c r="Y959" s="209" t="s">
        <v>180</v>
      </c>
      <c r="Z959" s="209">
        <v>9511047953</v>
      </c>
      <c r="AA959" s="209" t="s">
        <v>2111</v>
      </c>
      <c r="AB959" s="209" t="s">
        <v>180</v>
      </c>
      <c r="AC959" s="209" t="s">
        <v>182</v>
      </c>
      <c r="AD959" s="209">
        <v>5</v>
      </c>
      <c r="AE959" s="209">
        <v>2025</v>
      </c>
      <c r="AF959" s="227">
        <v>45799</v>
      </c>
      <c r="AG959" s="227">
        <v>45806</v>
      </c>
      <c r="AH959" s="227">
        <v>45806</v>
      </c>
      <c r="AI959" s="228">
        <v>519168</v>
      </c>
      <c r="AJ959" s="228">
        <v>52</v>
      </c>
      <c r="AK959" s="228">
        <v>519168</v>
      </c>
      <c r="AL959" s="228">
        <v>52</v>
      </c>
      <c r="AM959" s="228">
        <v>0</v>
      </c>
      <c r="AN959" s="228">
        <v>0</v>
      </c>
      <c r="AO959" s="229">
        <v>22</v>
      </c>
      <c r="AP959" s="231">
        <v>5</v>
      </c>
      <c r="AQ959" s="231">
        <v>2025</v>
      </c>
      <c r="AR959" s="231" t="str">
        <f t="shared" si="130"/>
        <v>05/2025</v>
      </c>
      <c r="AS959" s="231">
        <f t="shared" si="131"/>
        <v>34</v>
      </c>
      <c r="AT959" s="239">
        <f>IF(G959="CERVECERIA Y MALTERIA",(AS959*AK959/1000000)*(1-VLOOKUP(N959,[1]FCST!D:I,6,FALSE)),0)</f>
        <v>0</v>
      </c>
      <c r="AU959" s="232">
        <v>5.0000000000000001E-3</v>
      </c>
      <c r="AV959" s="239">
        <f t="shared" si="132"/>
        <v>0</v>
      </c>
      <c r="AW959" s="239">
        <f>(AS959*AK959/1000000)*(VLOOKUP(N959,[1]FCST!D:I,6,FALSE))</f>
        <v>0</v>
      </c>
      <c r="AX959" s="239">
        <f t="shared" si="133"/>
        <v>0</v>
      </c>
      <c r="AY959" s="239">
        <f>IF($G959="CERVECERIA Y MALTERIA.",($AS959*$AK959/1000000)*(1-VLOOKUP($N959,[1]FCST!D:I,6,FALSE)),0)</f>
        <v>17.651712</v>
      </c>
      <c r="AZ959" s="239">
        <f t="shared" si="134"/>
        <v>17.73997056</v>
      </c>
    </row>
    <row r="960" spans="1:52" x14ac:dyDescent="0.25">
      <c r="A960" s="209">
        <v>1119588</v>
      </c>
      <c r="B960" s="209">
        <v>30</v>
      </c>
      <c r="C960" s="209">
        <v>89474747</v>
      </c>
      <c r="D960" s="209">
        <v>10</v>
      </c>
      <c r="E960" s="209">
        <v>10000002</v>
      </c>
      <c r="F960" s="209">
        <v>20000335</v>
      </c>
      <c r="G960" s="209" t="s">
        <v>105</v>
      </c>
      <c r="H960" s="209">
        <v>20000335</v>
      </c>
      <c r="I960" s="209">
        <v>2</v>
      </c>
      <c r="J960" s="209" t="s">
        <v>169</v>
      </c>
      <c r="K960" s="209" t="s">
        <v>2112</v>
      </c>
      <c r="L960" s="209" t="s">
        <v>171</v>
      </c>
      <c r="M960" s="209" t="s">
        <v>184</v>
      </c>
      <c r="N960" s="209">
        <v>50024497</v>
      </c>
      <c r="O960" s="209" t="s">
        <v>1352</v>
      </c>
      <c r="P960" s="209">
        <v>5121</v>
      </c>
      <c r="Q960" s="209" t="s">
        <v>174</v>
      </c>
      <c r="R960" s="209" t="s">
        <v>175</v>
      </c>
      <c r="S960" s="209" t="s">
        <v>176</v>
      </c>
      <c r="T960" s="209" t="s">
        <v>177</v>
      </c>
      <c r="U960" s="209" t="s">
        <v>2057</v>
      </c>
      <c r="V960" s="209" t="s">
        <v>179</v>
      </c>
      <c r="W960" s="209" t="s">
        <v>179</v>
      </c>
      <c r="X960" s="209" t="s">
        <v>180</v>
      </c>
      <c r="Y960" s="209" t="s">
        <v>180</v>
      </c>
      <c r="Z960" s="209">
        <v>9521068588</v>
      </c>
      <c r="AA960" s="209" t="s">
        <v>2113</v>
      </c>
      <c r="AB960" s="209" t="s">
        <v>180</v>
      </c>
      <c r="AC960" s="209" t="s">
        <v>182</v>
      </c>
      <c r="AD960" s="209">
        <v>5</v>
      </c>
      <c r="AE960" s="209">
        <v>2025</v>
      </c>
      <c r="AF960" s="227">
        <v>45799</v>
      </c>
      <c r="AG960" s="227">
        <v>45806</v>
      </c>
      <c r="AH960" s="227">
        <v>45806</v>
      </c>
      <c r="AI960" s="228">
        <v>351936</v>
      </c>
      <c r="AJ960" s="228">
        <v>52</v>
      </c>
      <c r="AK960" s="228">
        <v>351936</v>
      </c>
      <c r="AL960" s="228">
        <v>52</v>
      </c>
      <c r="AM960" s="228">
        <v>0</v>
      </c>
      <c r="AN960" s="228">
        <v>0</v>
      </c>
      <c r="AO960" s="229">
        <v>22</v>
      </c>
      <c r="AP960" s="231">
        <v>5</v>
      </c>
      <c r="AQ960" s="231">
        <v>2025</v>
      </c>
      <c r="AR960" s="231" t="str">
        <f t="shared" si="130"/>
        <v>05/2025</v>
      </c>
      <c r="AS960" s="231">
        <f t="shared" si="131"/>
        <v>54.7</v>
      </c>
      <c r="AT960" s="239">
        <f>IF(G960="CERVECERIA Y MALTERIA",(AS960*AK960/1000000)*(1-VLOOKUP(N960,[1]FCST!D:I,6,FALSE)),0)</f>
        <v>19.250899199999999</v>
      </c>
      <c r="AU960" s="232">
        <v>5.0000000000000001E-3</v>
      </c>
      <c r="AV960" s="239">
        <f t="shared" si="132"/>
        <v>19.347153695999996</v>
      </c>
      <c r="AW960" s="239">
        <f>(AS960*AK960/1000000)*(VLOOKUP(N960,[1]FCST!D:I,6,FALSE))</f>
        <v>0</v>
      </c>
      <c r="AX960" s="239">
        <f t="shared" si="133"/>
        <v>0</v>
      </c>
      <c r="AY960" s="239">
        <f>IF($G960="CERVECERIA Y MALTERIA.",($AS960*$AK960/1000000)*(1-VLOOKUP($N960,[1]FCST!D:I,6,FALSE)),0)</f>
        <v>0</v>
      </c>
      <c r="AZ960" s="239">
        <f t="shared" si="134"/>
        <v>0</v>
      </c>
    </row>
    <row r="961" spans="1:52" x14ac:dyDescent="0.25">
      <c r="A961" s="209">
        <v>1119589</v>
      </c>
      <c r="B961" s="209">
        <v>30</v>
      </c>
      <c r="C961" s="209">
        <v>89473310</v>
      </c>
      <c r="D961" s="209">
        <v>10</v>
      </c>
      <c r="E961" s="209">
        <v>10000002</v>
      </c>
      <c r="F961" s="209">
        <v>20000340</v>
      </c>
      <c r="G961" s="209" t="s">
        <v>117</v>
      </c>
      <c r="H961" s="209">
        <v>20000340</v>
      </c>
      <c r="I961" s="209">
        <v>2</v>
      </c>
      <c r="J961" s="209" t="s">
        <v>169</v>
      </c>
      <c r="K961" s="209" t="s">
        <v>2114</v>
      </c>
      <c r="L961" s="209" t="s">
        <v>171</v>
      </c>
      <c r="M961" s="209" t="s">
        <v>184</v>
      </c>
      <c r="N961" s="209">
        <v>50039509</v>
      </c>
      <c r="O961" s="209" t="s">
        <v>2054</v>
      </c>
      <c r="P961" s="209">
        <v>5101</v>
      </c>
      <c r="Q961" s="209" t="s">
        <v>186</v>
      </c>
      <c r="R961" s="209" t="s">
        <v>175</v>
      </c>
      <c r="S961" s="209" t="s">
        <v>176</v>
      </c>
      <c r="T961" s="209" t="s">
        <v>187</v>
      </c>
      <c r="U961" s="209" t="s">
        <v>188</v>
      </c>
      <c r="V961" s="209" t="s">
        <v>179</v>
      </c>
      <c r="W961" s="209" t="s">
        <v>179</v>
      </c>
      <c r="X961" s="209" t="s">
        <v>180</v>
      </c>
      <c r="Y961" s="209" t="s">
        <v>180</v>
      </c>
      <c r="Z961" s="209">
        <v>9511047948</v>
      </c>
      <c r="AA961" s="209" t="s">
        <v>2055</v>
      </c>
      <c r="AB961" s="209" t="s">
        <v>180</v>
      </c>
      <c r="AC961" s="209" t="s">
        <v>182</v>
      </c>
      <c r="AD961" s="209">
        <v>5</v>
      </c>
      <c r="AE961" s="209">
        <v>2025</v>
      </c>
      <c r="AF961" s="227">
        <v>45799</v>
      </c>
      <c r="AG961" s="227">
        <v>45805</v>
      </c>
      <c r="AH961" s="227">
        <v>45805</v>
      </c>
      <c r="AI961" s="228">
        <v>519168</v>
      </c>
      <c r="AJ961" s="228">
        <v>52</v>
      </c>
      <c r="AK961" s="228">
        <v>519168</v>
      </c>
      <c r="AL961" s="228">
        <v>52</v>
      </c>
      <c r="AM961" s="228">
        <v>0</v>
      </c>
      <c r="AN961" s="228">
        <v>0</v>
      </c>
      <c r="AO961" s="229">
        <v>22</v>
      </c>
      <c r="AP961" s="231">
        <v>5</v>
      </c>
      <c r="AQ961" s="231">
        <v>2025</v>
      </c>
      <c r="AR961" s="231" t="str">
        <f t="shared" si="130"/>
        <v>05/2025</v>
      </c>
      <c r="AS961" s="231">
        <f t="shared" si="131"/>
        <v>34</v>
      </c>
      <c r="AT961" s="239">
        <f>IF(G961="CERVECERIA Y MALTERIA",(AS961*AK961/1000000)*(1-VLOOKUP(N961,[1]FCST!D:I,6,FALSE)),0)</f>
        <v>0</v>
      </c>
      <c r="AU961" s="232">
        <v>5.0000000000000001E-3</v>
      </c>
      <c r="AV961" s="239">
        <f t="shared" si="132"/>
        <v>0</v>
      </c>
      <c r="AW961" s="239">
        <f>(AS961*AK961/1000000)*(VLOOKUP(N961,[1]FCST!D:I,6,FALSE))</f>
        <v>0</v>
      </c>
      <c r="AX961" s="239">
        <f t="shared" si="133"/>
        <v>0</v>
      </c>
      <c r="AY961" s="239">
        <f>IF($G961="CERVECERIA Y MALTERIA.",($AS961*$AK961/1000000)*(1-VLOOKUP($N961,[1]FCST!D:I,6,FALSE)),0)</f>
        <v>17.651712</v>
      </c>
      <c r="AZ961" s="239">
        <f t="shared" si="134"/>
        <v>17.73997056</v>
      </c>
    </row>
    <row r="962" spans="1:52" x14ac:dyDescent="0.25">
      <c r="A962" s="209">
        <v>1119589</v>
      </c>
      <c r="B962" s="209">
        <v>40</v>
      </c>
      <c r="C962" s="209">
        <v>89473166</v>
      </c>
      <c r="D962" s="209">
        <v>10</v>
      </c>
      <c r="E962" s="209">
        <v>10000002</v>
      </c>
      <c r="F962" s="209">
        <v>20000340</v>
      </c>
      <c r="G962" s="209" t="s">
        <v>117</v>
      </c>
      <c r="H962" s="209">
        <v>20000340</v>
      </c>
      <c r="I962" s="209">
        <v>2</v>
      </c>
      <c r="J962" s="209" t="s">
        <v>169</v>
      </c>
      <c r="K962" s="209" t="s">
        <v>2115</v>
      </c>
      <c r="L962" s="209" t="s">
        <v>171</v>
      </c>
      <c r="M962" s="209" t="s">
        <v>184</v>
      </c>
      <c r="N962" s="209">
        <v>50039509</v>
      </c>
      <c r="O962" s="209" t="s">
        <v>2054</v>
      </c>
      <c r="P962" s="209">
        <v>5101</v>
      </c>
      <c r="Q962" s="209" t="s">
        <v>186</v>
      </c>
      <c r="R962" s="209" t="s">
        <v>175</v>
      </c>
      <c r="S962" s="209" t="s">
        <v>176</v>
      </c>
      <c r="T962" s="209" t="s">
        <v>187</v>
      </c>
      <c r="U962" s="209" t="s">
        <v>188</v>
      </c>
      <c r="V962" s="209" t="s">
        <v>179</v>
      </c>
      <c r="W962" s="209" t="s">
        <v>179</v>
      </c>
      <c r="X962" s="209" t="s">
        <v>180</v>
      </c>
      <c r="Y962" s="209" t="s">
        <v>180</v>
      </c>
      <c r="Z962" s="209">
        <v>9511047948</v>
      </c>
      <c r="AA962" s="209" t="s">
        <v>2055</v>
      </c>
      <c r="AB962" s="209" t="s">
        <v>180</v>
      </c>
      <c r="AC962" s="209" t="s">
        <v>182</v>
      </c>
      <c r="AD962" s="209">
        <v>5</v>
      </c>
      <c r="AE962" s="209">
        <v>2025</v>
      </c>
      <c r="AF962" s="227">
        <v>45799</v>
      </c>
      <c r="AG962" s="227">
        <v>45805</v>
      </c>
      <c r="AH962" s="227">
        <v>45805</v>
      </c>
      <c r="AI962" s="228">
        <v>519168</v>
      </c>
      <c r="AJ962" s="228">
        <v>52</v>
      </c>
      <c r="AK962" s="228">
        <v>519168</v>
      </c>
      <c r="AL962" s="228">
        <v>52</v>
      </c>
      <c r="AM962" s="228">
        <v>0</v>
      </c>
      <c r="AN962" s="228">
        <v>0</v>
      </c>
      <c r="AO962" s="229">
        <v>22</v>
      </c>
      <c r="AP962" s="231">
        <v>5</v>
      </c>
      <c r="AQ962" s="231">
        <v>2025</v>
      </c>
      <c r="AR962" s="231" t="str">
        <f t="shared" si="130"/>
        <v>05/2025</v>
      </c>
      <c r="AS962" s="231">
        <f t="shared" si="131"/>
        <v>34</v>
      </c>
      <c r="AT962" s="239">
        <f>IF(G962="CERVECERIA Y MALTERIA",(AS962*AK962/1000000)*(1-VLOOKUP(N962,[1]FCST!D:I,6,FALSE)),0)</f>
        <v>0</v>
      </c>
      <c r="AU962" s="232">
        <v>5.0000000000000001E-3</v>
      </c>
      <c r="AV962" s="239">
        <f t="shared" si="132"/>
        <v>0</v>
      </c>
      <c r="AW962" s="239">
        <f>(AS962*AK962/1000000)*(VLOOKUP(N962,[1]FCST!D:I,6,FALSE))</f>
        <v>0</v>
      </c>
      <c r="AX962" s="239">
        <f t="shared" si="133"/>
        <v>0</v>
      </c>
      <c r="AY962" s="239">
        <f>IF($G962="CERVECERIA Y MALTERIA.",($AS962*$AK962/1000000)*(1-VLOOKUP($N962,[1]FCST!D:I,6,FALSE)),0)</f>
        <v>17.651712</v>
      </c>
      <c r="AZ962" s="239">
        <f t="shared" si="134"/>
        <v>17.73997056</v>
      </c>
    </row>
    <row r="963" spans="1:52" x14ac:dyDescent="0.25">
      <c r="A963" s="209">
        <v>1116209</v>
      </c>
      <c r="B963" s="209">
        <v>80</v>
      </c>
      <c r="C963" s="209">
        <v>89457650</v>
      </c>
      <c r="D963" s="209">
        <v>10</v>
      </c>
      <c r="E963" s="209">
        <v>10000002</v>
      </c>
      <c r="F963" s="209">
        <v>20000335</v>
      </c>
      <c r="G963" s="209" t="s">
        <v>105</v>
      </c>
      <c r="H963" s="209">
        <v>20000335</v>
      </c>
      <c r="I963" s="209">
        <v>2</v>
      </c>
      <c r="J963" s="209" t="s">
        <v>169</v>
      </c>
      <c r="K963" s="209" t="s">
        <v>2116</v>
      </c>
      <c r="L963" s="209" t="s">
        <v>171</v>
      </c>
      <c r="M963" s="209" t="s">
        <v>199</v>
      </c>
      <c r="N963" s="209">
        <v>50037887</v>
      </c>
      <c r="O963" s="209" t="s">
        <v>679</v>
      </c>
      <c r="P963" s="209">
        <v>5121</v>
      </c>
      <c r="Q963" s="209" t="s">
        <v>200</v>
      </c>
      <c r="R963" s="209" t="s">
        <v>201</v>
      </c>
      <c r="S963" s="209" t="s">
        <v>202</v>
      </c>
      <c r="T963" s="209" t="s">
        <v>203</v>
      </c>
      <c r="U963" s="209" t="s">
        <v>201</v>
      </c>
      <c r="V963" s="209" t="s">
        <v>179</v>
      </c>
      <c r="W963" s="209" t="s">
        <v>179</v>
      </c>
      <c r="X963" s="209" t="s">
        <v>180</v>
      </c>
      <c r="Y963" s="209" t="s">
        <v>180</v>
      </c>
      <c r="Z963" s="209">
        <v>9521068594</v>
      </c>
      <c r="AA963" s="209" t="s">
        <v>2117</v>
      </c>
      <c r="AB963" s="209" t="s">
        <v>180</v>
      </c>
      <c r="AC963" s="209" t="s">
        <v>182</v>
      </c>
      <c r="AD963" s="209">
        <v>5</v>
      </c>
      <c r="AE963" s="209">
        <v>2025</v>
      </c>
      <c r="AF963" s="227">
        <v>45779</v>
      </c>
      <c r="AG963" s="227">
        <v>45786</v>
      </c>
      <c r="AH963" s="227">
        <v>45786</v>
      </c>
      <c r="AI963" s="228">
        <v>531648</v>
      </c>
      <c r="AJ963" s="228">
        <v>52</v>
      </c>
      <c r="AK963" s="228">
        <v>531648</v>
      </c>
      <c r="AL963" s="228">
        <v>52</v>
      </c>
      <c r="AM963" s="228">
        <v>0</v>
      </c>
      <c r="AN963" s="228">
        <v>0</v>
      </c>
      <c r="AO963" s="229">
        <v>19</v>
      </c>
      <c r="AP963" s="231">
        <v>5</v>
      </c>
      <c r="AQ963" s="231">
        <v>2025</v>
      </c>
      <c r="AR963" s="231" t="str">
        <f t="shared" si="130"/>
        <v>05/2025</v>
      </c>
      <c r="AS963" s="231">
        <f t="shared" si="131"/>
        <v>37.200000000000003</v>
      </c>
      <c r="AT963" s="239">
        <f>IF(G963="CERVECERIA Y MALTERIA",(AS963*AK963/1000000)*(1-VLOOKUP(N963,[1]FCST!D:I,6,FALSE)),0)</f>
        <v>19.777305600000002</v>
      </c>
      <c r="AU963" s="232">
        <v>5.0000000000000001E-3</v>
      </c>
      <c r="AV963" s="239">
        <f t="shared" si="132"/>
        <v>19.876192128</v>
      </c>
      <c r="AW963" s="239">
        <f>(AS963*AK963/1000000)*(VLOOKUP(N963,[1]FCST!D:I,6,FALSE))</f>
        <v>0</v>
      </c>
      <c r="AX963" s="239">
        <f t="shared" si="133"/>
        <v>0</v>
      </c>
      <c r="AY963" s="239">
        <f>IF($G963="CERVECERIA Y MALTERIA.",($AS963*$AK963/1000000)*(1-VLOOKUP($N963,[1]FCST!D:I,6,FALSE)),0)</f>
        <v>0</v>
      </c>
      <c r="AZ963" s="239">
        <f t="shared" si="134"/>
        <v>0</v>
      </c>
    </row>
    <row r="964" spans="1:52" x14ac:dyDescent="0.25">
      <c r="A964" s="209">
        <v>1116209</v>
      </c>
      <c r="B964" s="209">
        <v>70</v>
      </c>
      <c r="C964" s="209">
        <v>89457349</v>
      </c>
      <c r="D964" s="209">
        <v>10</v>
      </c>
      <c r="E964" s="209">
        <v>10000002</v>
      </c>
      <c r="F964" s="209">
        <v>20000335</v>
      </c>
      <c r="G964" s="209" t="s">
        <v>105</v>
      </c>
      <c r="H964" s="209">
        <v>20000335</v>
      </c>
      <c r="I964" s="209">
        <v>2</v>
      </c>
      <c r="J964" s="209" t="s">
        <v>169</v>
      </c>
      <c r="K964" s="209" t="s">
        <v>2118</v>
      </c>
      <c r="L964" s="209" t="s">
        <v>171</v>
      </c>
      <c r="M964" s="209" t="s">
        <v>199</v>
      </c>
      <c r="N964" s="209">
        <v>50032573</v>
      </c>
      <c r="O964" s="209" t="s">
        <v>173</v>
      </c>
      <c r="P964" s="209">
        <v>5121</v>
      </c>
      <c r="Q964" s="209" t="s">
        <v>200</v>
      </c>
      <c r="R964" s="209" t="s">
        <v>201</v>
      </c>
      <c r="S964" s="209" t="s">
        <v>202</v>
      </c>
      <c r="T964" s="209" t="s">
        <v>203</v>
      </c>
      <c r="U964" s="209" t="s">
        <v>201</v>
      </c>
      <c r="V964" s="209" t="s">
        <v>179</v>
      </c>
      <c r="W964" s="209" t="s">
        <v>179</v>
      </c>
      <c r="X964" s="209" t="s">
        <v>180</v>
      </c>
      <c r="Y964" s="209" t="s">
        <v>180</v>
      </c>
      <c r="Z964" s="209">
        <v>9521068590</v>
      </c>
      <c r="AA964" s="209" t="s">
        <v>2119</v>
      </c>
      <c r="AB964" s="209" t="s">
        <v>180</v>
      </c>
      <c r="AC964" s="209" t="s">
        <v>182</v>
      </c>
      <c r="AD964" s="209">
        <v>5</v>
      </c>
      <c r="AE964" s="209">
        <v>2025</v>
      </c>
      <c r="AF964" s="227">
        <v>45779</v>
      </c>
      <c r="AG964" s="227">
        <v>45785</v>
      </c>
      <c r="AH964" s="227">
        <v>45785</v>
      </c>
      <c r="AI964" s="228">
        <v>378288</v>
      </c>
      <c r="AJ964" s="228">
        <v>37</v>
      </c>
      <c r="AK964" s="228">
        <v>378288</v>
      </c>
      <c r="AL964" s="228">
        <v>37</v>
      </c>
      <c r="AM964" s="228">
        <v>0</v>
      </c>
      <c r="AN964" s="228">
        <v>0</v>
      </c>
      <c r="AO964" s="229">
        <v>19</v>
      </c>
      <c r="AP964" s="231">
        <v>5</v>
      </c>
      <c r="AQ964" s="231">
        <v>2025</v>
      </c>
      <c r="AR964" s="231" t="str">
        <f t="shared" si="130"/>
        <v>05/2025</v>
      </c>
      <c r="AS964" s="231">
        <f t="shared" si="131"/>
        <v>37.200000000000003</v>
      </c>
      <c r="AT964" s="239">
        <f>IF(G964="CERVECERIA Y MALTERIA",(AS964*AK964/1000000)*(1-VLOOKUP(N964,[1]FCST!D:I,6,FALSE)),0)</f>
        <v>14.072313600000001</v>
      </c>
      <c r="AU964" s="232">
        <v>5.0000000000000001E-3</v>
      </c>
      <c r="AV964" s="239">
        <f t="shared" si="132"/>
        <v>14.142675168</v>
      </c>
      <c r="AW964" s="239">
        <f>(AS964*AK964/1000000)*(VLOOKUP(N964,[1]FCST!D:I,6,FALSE))</f>
        <v>0</v>
      </c>
      <c r="AX964" s="239">
        <f t="shared" si="133"/>
        <v>0</v>
      </c>
      <c r="AY964" s="239">
        <f>IF($G964="CERVECERIA Y MALTERIA.",($AS964*$AK964/1000000)*(1-VLOOKUP($N964,[1]FCST!D:I,6,FALSE)),0)</f>
        <v>0</v>
      </c>
      <c r="AZ964" s="239">
        <f t="shared" si="134"/>
        <v>0</v>
      </c>
    </row>
    <row r="965" spans="1:52" x14ac:dyDescent="0.25">
      <c r="A965" s="209">
        <v>1115330</v>
      </c>
      <c r="B965" s="209">
        <v>20</v>
      </c>
      <c r="C965" s="209">
        <v>89456451</v>
      </c>
      <c r="D965" s="209">
        <v>20</v>
      </c>
      <c r="E965" s="209">
        <v>10000002</v>
      </c>
      <c r="F965" s="209">
        <v>20000336</v>
      </c>
      <c r="G965" s="209" t="s">
        <v>105</v>
      </c>
      <c r="H965" s="209">
        <v>20000336</v>
      </c>
      <c r="I965" s="209">
        <v>2</v>
      </c>
      <c r="J965" s="209" t="s">
        <v>169</v>
      </c>
      <c r="K965" s="209" t="s">
        <v>2120</v>
      </c>
      <c r="L965" s="209" t="s">
        <v>171</v>
      </c>
      <c r="M965" s="209" t="s">
        <v>172</v>
      </c>
      <c r="N965" s="209">
        <v>50037887</v>
      </c>
      <c r="O965" s="209" t="s">
        <v>679</v>
      </c>
      <c r="P965" s="209">
        <v>5121</v>
      </c>
      <c r="Q965" s="209" t="s">
        <v>174</v>
      </c>
      <c r="R965" s="209" t="s">
        <v>175</v>
      </c>
      <c r="S965" s="209" t="s">
        <v>176</v>
      </c>
      <c r="T965" s="209" t="s">
        <v>177</v>
      </c>
      <c r="U965" s="209" t="s">
        <v>2057</v>
      </c>
      <c r="V965" s="209" t="s">
        <v>179</v>
      </c>
      <c r="W965" s="209" t="s">
        <v>179</v>
      </c>
      <c r="X965" s="209" t="s">
        <v>180</v>
      </c>
      <c r="Y965" s="209" t="s">
        <v>180</v>
      </c>
      <c r="Z965" s="209">
        <v>9521068586</v>
      </c>
      <c r="AA965" s="209" t="s">
        <v>2121</v>
      </c>
      <c r="AB965" s="209" t="s">
        <v>180</v>
      </c>
      <c r="AC965" s="209" t="s">
        <v>182</v>
      </c>
      <c r="AD965" s="209">
        <v>5</v>
      </c>
      <c r="AE965" s="209">
        <v>2025</v>
      </c>
      <c r="AF965" s="227">
        <v>45776</v>
      </c>
      <c r="AG965" s="227">
        <v>45785</v>
      </c>
      <c r="AH965" s="227">
        <v>45785</v>
      </c>
      <c r="AI965" s="228">
        <v>224928</v>
      </c>
      <c r="AJ965" s="228">
        <v>22</v>
      </c>
      <c r="AK965" s="228">
        <v>224928</v>
      </c>
      <c r="AL965" s="228">
        <v>22</v>
      </c>
      <c r="AM965" s="228">
        <v>0</v>
      </c>
      <c r="AN965" s="228">
        <v>0</v>
      </c>
      <c r="AO965" s="229">
        <v>19</v>
      </c>
      <c r="AP965" s="231">
        <v>5</v>
      </c>
      <c r="AQ965" s="231">
        <v>2025</v>
      </c>
      <c r="AR965" s="231" t="str">
        <f t="shared" si="130"/>
        <v>05/2025</v>
      </c>
      <c r="AS965" s="231">
        <f t="shared" si="131"/>
        <v>37.200000000000003</v>
      </c>
      <c r="AT965" s="239">
        <f>IF(G965="CERVECERIA Y MALTERIA",(AS965*AK965/1000000)*(1-VLOOKUP(N965,[1]FCST!D:I,6,FALSE)),0)</f>
        <v>8.3673216000000004</v>
      </c>
      <c r="AU965" s="232">
        <v>5.0000000000000001E-3</v>
      </c>
      <c r="AV965" s="239">
        <f t="shared" si="132"/>
        <v>8.4091582079999991</v>
      </c>
      <c r="AW965" s="239">
        <f>(AS965*AK965/1000000)*(VLOOKUP(N965,[1]FCST!D:I,6,FALSE))</f>
        <v>0</v>
      </c>
      <c r="AX965" s="239">
        <f t="shared" si="133"/>
        <v>0</v>
      </c>
      <c r="AY965" s="239">
        <f>IF($G965="CERVECERIA Y MALTERIA.",($AS965*$AK965/1000000)*(1-VLOOKUP($N965,[1]FCST!D:I,6,FALSE)),0)</f>
        <v>0</v>
      </c>
      <c r="AZ965" s="239">
        <f t="shared" si="134"/>
        <v>0</v>
      </c>
    </row>
    <row r="966" spans="1:52" x14ac:dyDescent="0.25">
      <c r="A966" s="209">
        <v>1115330</v>
      </c>
      <c r="B966" s="209">
        <v>10</v>
      </c>
      <c r="C966" s="209">
        <v>89456451</v>
      </c>
      <c r="D966" s="209">
        <v>10</v>
      </c>
      <c r="E966" s="209">
        <v>10000002</v>
      </c>
      <c r="F966" s="209">
        <v>20000336</v>
      </c>
      <c r="G966" s="209" t="s">
        <v>105</v>
      </c>
      <c r="H966" s="209">
        <v>20000336</v>
      </c>
      <c r="I966" s="209">
        <v>2</v>
      </c>
      <c r="J966" s="209" t="s">
        <v>169</v>
      </c>
      <c r="K966" s="209" t="s">
        <v>2120</v>
      </c>
      <c r="L966" s="209" t="s">
        <v>171</v>
      </c>
      <c r="M966" s="209" t="s">
        <v>172</v>
      </c>
      <c r="N966" s="209">
        <v>50024497</v>
      </c>
      <c r="O966" s="209" t="s">
        <v>1352</v>
      </c>
      <c r="P966" s="209">
        <v>5121</v>
      </c>
      <c r="Q966" s="209" t="s">
        <v>174</v>
      </c>
      <c r="R966" s="209" t="s">
        <v>175</v>
      </c>
      <c r="S966" s="209" t="s">
        <v>176</v>
      </c>
      <c r="T966" s="209" t="s">
        <v>177</v>
      </c>
      <c r="U966" s="209" t="s">
        <v>2057</v>
      </c>
      <c r="V966" s="209" t="s">
        <v>179</v>
      </c>
      <c r="W966" s="209" t="s">
        <v>179</v>
      </c>
      <c r="X966" s="209" t="s">
        <v>180</v>
      </c>
      <c r="Y966" s="209" t="s">
        <v>180</v>
      </c>
      <c r="Z966" s="209">
        <v>9521068586</v>
      </c>
      <c r="AA966" s="209" t="s">
        <v>2121</v>
      </c>
      <c r="AB966" s="209" t="s">
        <v>180</v>
      </c>
      <c r="AC966" s="209" t="s">
        <v>182</v>
      </c>
      <c r="AD966" s="209">
        <v>5</v>
      </c>
      <c r="AE966" s="209">
        <v>2025</v>
      </c>
      <c r="AF966" s="227">
        <v>45776</v>
      </c>
      <c r="AG966" s="227">
        <v>45785</v>
      </c>
      <c r="AH966" s="227">
        <v>45785</v>
      </c>
      <c r="AI966" s="228">
        <v>203040</v>
      </c>
      <c r="AJ966" s="228">
        <v>30</v>
      </c>
      <c r="AK966" s="228">
        <v>203040</v>
      </c>
      <c r="AL966" s="228">
        <v>30</v>
      </c>
      <c r="AM966" s="228">
        <v>0</v>
      </c>
      <c r="AN966" s="228">
        <v>0</v>
      </c>
      <c r="AO966" s="229">
        <v>19</v>
      </c>
      <c r="AP966" s="231">
        <v>5</v>
      </c>
      <c r="AQ966" s="231">
        <v>2025</v>
      </c>
      <c r="AR966" s="231" t="str">
        <f t="shared" si="130"/>
        <v>05/2025</v>
      </c>
      <c r="AS966" s="231">
        <f t="shared" si="131"/>
        <v>54.7</v>
      </c>
      <c r="AT966" s="239">
        <f>IF(G966="CERVECERIA Y MALTERIA",(AS966*AK966/1000000)*(1-VLOOKUP(N966,[1]FCST!D:I,6,FALSE)),0)</f>
        <v>11.106287999999999</v>
      </c>
      <c r="AU966" s="232">
        <v>5.0000000000000001E-3</v>
      </c>
      <c r="AV966" s="239">
        <f t="shared" si="132"/>
        <v>11.161819439999999</v>
      </c>
      <c r="AW966" s="239">
        <f>(AS966*AK966/1000000)*(VLOOKUP(N966,[1]FCST!D:I,6,FALSE))</f>
        <v>0</v>
      </c>
      <c r="AX966" s="239">
        <f t="shared" si="133"/>
        <v>0</v>
      </c>
      <c r="AY966" s="239">
        <f>IF($G966="CERVECERIA Y MALTERIA.",($AS966*$AK966/1000000)*(1-VLOOKUP($N966,[1]FCST!D:I,6,FALSE)),0)</f>
        <v>0</v>
      </c>
      <c r="AZ966" s="239">
        <f t="shared" si="134"/>
        <v>0</v>
      </c>
    </row>
    <row r="967" spans="1:52" x14ac:dyDescent="0.25">
      <c r="A967" s="209">
        <v>1116210</v>
      </c>
      <c r="B967" s="209">
        <v>40</v>
      </c>
      <c r="C967" s="209">
        <v>89456298</v>
      </c>
      <c r="D967" s="209">
        <v>10</v>
      </c>
      <c r="E967" s="209">
        <v>10000002</v>
      </c>
      <c r="F967" s="209">
        <v>20000340</v>
      </c>
      <c r="G967" s="209" t="s">
        <v>117</v>
      </c>
      <c r="H967" s="209">
        <v>20000340</v>
      </c>
      <c r="I967" s="209">
        <v>2</v>
      </c>
      <c r="J967" s="209" t="s">
        <v>169</v>
      </c>
      <c r="K967" s="209" t="s">
        <v>2122</v>
      </c>
      <c r="L967" s="209" t="s">
        <v>171</v>
      </c>
      <c r="M967" s="209" t="s">
        <v>172</v>
      </c>
      <c r="N967" s="209">
        <v>50038523</v>
      </c>
      <c r="O967" s="209" t="s">
        <v>249</v>
      </c>
      <c r="P967" s="209">
        <v>5101</v>
      </c>
      <c r="Q967" s="209" t="s">
        <v>186</v>
      </c>
      <c r="R967" s="209" t="s">
        <v>175</v>
      </c>
      <c r="S967" s="209" t="s">
        <v>176</v>
      </c>
      <c r="T967" s="209" t="s">
        <v>187</v>
      </c>
      <c r="U967" s="209" t="s">
        <v>188</v>
      </c>
      <c r="V967" s="209" t="s">
        <v>179</v>
      </c>
      <c r="W967" s="209" t="s">
        <v>179</v>
      </c>
      <c r="X967" s="209" t="s">
        <v>180</v>
      </c>
      <c r="Y967" s="209" t="s">
        <v>180</v>
      </c>
      <c r="Z967" s="209">
        <v>9511047950</v>
      </c>
      <c r="AA967" s="209" t="s">
        <v>2082</v>
      </c>
      <c r="AB967" s="209" t="s">
        <v>180</v>
      </c>
      <c r="AC967" s="209" t="s">
        <v>182</v>
      </c>
      <c r="AD967" s="209">
        <v>5</v>
      </c>
      <c r="AE967" s="209">
        <v>2025</v>
      </c>
      <c r="AF967" s="227">
        <v>45779</v>
      </c>
      <c r="AG967" s="227">
        <v>45785</v>
      </c>
      <c r="AH967" s="227">
        <v>45785</v>
      </c>
      <c r="AI967" s="228">
        <v>606528</v>
      </c>
      <c r="AJ967" s="228">
        <v>52</v>
      </c>
      <c r="AK967" s="228">
        <v>606528</v>
      </c>
      <c r="AL967" s="228">
        <v>52</v>
      </c>
      <c r="AM967" s="228">
        <v>0</v>
      </c>
      <c r="AN967" s="228">
        <v>0</v>
      </c>
      <c r="AO967" s="229">
        <v>19</v>
      </c>
      <c r="AP967" s="231">
        <v>5</v>
      </c>
      <c r="AQ967" s="231">
        <v>2025</v>
      </c>
      <c r="AR967" s="231" t="str">
        <f t="shared" si="130"/>
        <v>05/2025</v>
      </c>
      <c r="AS967" s="231">
        <f t="shared" si="131"/>
        <v>30</v>
      </c>
      <c r="AT967" s="239">
        <f>IF(G967="CERVECERIA Y MALTERIA",(AS967*AK967/1000000)*(1-VLOOKUP(N967,[1]FCST!D:I,6,FALSE)),0)</f>
        <v>0</v>
      </c>
      <c r="AU967" s="232">
        <v>5.0000000000000001E-3</v>
      </c>
      <c r="AV967" s="239">
        <f t="shared" si="132"/>
        <v>0</v>
      </c>
      <c r="AW967" s="239">
        <f>(AS967*AK967/1000000)*(VLOOKUP(N967,[1]FCST!D:I,6,FALSE))</f>
        <v>0</v>
      </c>
      <c r="AX967" s="239">
        <f t="shared" si="133"/>
        <v>0</v>
      </c>
      <c r="AY967" s="239">
        <f>IF($G967="CERVECERIA Y MALTERIA.",($AS967*$AK967/1000000)*(1-VLOOKUP($N967,[1]FCST!D:I,6,FALSE)),0)</f>
        <v>18.19584</v>
      </c>
      <c r="AZ967" s="239">
        <f t="shared" si="134"/>
        <v>18.2868192</v>
      </c>
    </row>
    <row r="968" spans="1:52" x14ac:dyDescent="0.25">
      <c r="A968" s="209">
        <v>1116730</v>
      </c>
      <c r="B968" s="209">
        <v>10</v>
      </c>
      <c r="C968" s="209">
        <v>89456280</v>
      </c>
      <c r="D968" s="209">
        <v>10</v>
      </c>
      <c r="E968" s="209">
        <v>10000002</v>
      </c>
      <c r="F968" s="209">
        <v>20000339</v>
      </c>
      <c r="G968" s="209" t="s">
        <v>105</v>
      </c>
      <c r="H968" s="209">
        <v>20000339</v>
      </c>
      <c r="I968" s="209">
        <v>2</v>
      </c>
      <c r="J968" s="209" t="s">
        <v>169</v>
      </c>
      <c r="K968" s="209" t="s">
        <v>2123</v>
      </c>
      <c r="L968" s="209" t="s">
        <v>171</v>
      </c>
      <c r="M968" s="209" t="s">
        <v>172</v>
      </c>
      <c r="N968" s="209">
        <v>50034577</v>
      </c>
      <c r="O968" s="209" t="s">
        <v>237</v>
      </c>
      <c r="P968" s="209">
        <v>5101</v>
      </c>
      <c r="Q968" s="209" t="s">
        <v>186</v>
      </c>
      <c r="R968" s="209" t="s">
        <v>175</v>
      </c>
      <c r="S968" s="209" t="s">
        <v>176</v>
      </c>
      <c r="T968" s="209" t="s">
        <v>187</v>
      </c>
      <c r="U968" s="209" t="s">
        <v>188</v>
      </c>
      <c r="V968" s="209" t="s">
        <v>179</v>
      </c>
      <c r="W968" s="209" t="s">
        <v>179</v>
      </c>
      <c r="X968" s="209" t="s">
        <v>180</v>
      </c>
      <c r="Y968" s="209" t="s">
        <v>180</v>
      </c>
      <c r="Z968" s="209">
        <v>9511047946</v>
      </c>
      <c r="AA968" s="209" t="s">
        <v>2067</v>
      </c>
      <c r="AB968" s="209" t="s">
        <v>180</v>
      </c>
      <c r="AC968" s="209" t="s">
        <v>182</v>
      </c>
      <c r="AD968" s="209">
        <v>5</v>
      </c>
      <c r="AE968" s="209">
        <v>2025</v>
      </c>
      <c r="AF968" s="227">
        <v>45784</v>
      </c>
      <c r="AG968" s="227">
        <v>45785</v>
      </c>
      <c r="AH968" s="227">
        <v>45785</v>
      </c>
      <c r="AI968" s="228">
        <v>743808</v>
      </c>
      <c r="AJ968" s="228">
        <v>52</v>
      </c>
      <c r="AK968" s="228">
        <v>743808</v>
      </c>
      <c r="AL968" s="228">
        <v>52</v>
      </c>
      <c r="AM968" s="228">
        <v>0</v>
      </c>
      <c r="AN968" s="228">
        <v>0</v>
      </c>
      <c r="AO968" s="229">
        <v>19</v>
      </c>
      <c r="AP968" s="231">
        <v>5</v>
      </c>
      <c r="AQ968" s="231">
        <v>2025</v>
      </c>
      <c r="AR968" s="231" t="str">
        <f t="shared" si="130"/>
        <v>05/2025</v>
      </c>
      <c r="AS968" s="231">
        <f t="shared" si="131"/>
        <v>25</v>
      </c>
      <c r="AT968" s="239">
        <f>IF(G968="CERVECERIA Y MALTERIA",(AS968*AK968/1000000)*(1-VLOOKUP(N968,[1]FCST!D:I,6,FALSE)),0)</f>
        <v>18.595199999999998</v>
      </c>
      <c r="AU968" s="232">
        <v>5.0000000000000001E-3</v>
      </c>
      <c r="AV968" s="239">
        <f t="shared" si="132"/>
        <v>18.688175999999995</v>
      </c>
      <c r="AW968" s="239">
        <f>(AS968*AK968/1000000)*(VLOOKUP(N968,[1]FCST!D:I,6,FALSE))</f>
        <v>0</v>
      </c>
      <c r="AX968" s="239">
        <f t="shared" si="133"/>
        <v>0</v>
      </c>
      <c r="AY968" s="239">
        <f>IF($G968="CERVECERIA Y MALTERIA.",($AS968*$AK968/1000000)*(1-VLOOKUP($N968,[1]FCST!D:I,6,FALSE)),0)</f>
        <v>0</v>
      </c>
      <c r="AZ968" s="239">
        <f t="shared" si="134"/>
        <v>0</v>
      </c>
    </row>
    <row r="969" spans="1:52" x14ac:dyDescent="0.25">
      <c r="A969" s="209">
        <v>1115256</v>
      </c>
      <c r="B969" s="209">
        <v>40</v>
      </c>
      <c r="C969" s="209">
        <v>89456054</v>
      </c>
      <c r="D969" s="209">
        <v>10</v>
      </c>
      <c r="E969" s="209">
        <v>10000002</v>
      </c>
      <c r="F969" s="209">
        <v>20000337</v>
      </c>
      <c r="G969" s="209" t="s">
        <v>105</v>
      </c>
      <c r="H969" s="209">
        <v>20000337</v>
      </c>
      <c r="I969" s="209">
        <v>2</v>
      </c>
      <c r="J969" s="209" t="s">
        <v>169</v>
      </c>
      <c r="K969" s="209" t="s">
        <v>2124</v>
      </c>
      <c r="L969" s="209" t="s">
        <v>171</v>
      </c>
      <c r="M969" s="209" t="s">
        <v>172</v>
      </c>
      <c r="N969" s="209">
        <v>50039302</v>
      </c>
      <c r="O969" s="209" t="s">
        <v>1942</v>
      </c>
      <c r="P969" s="209">
        <v>5121</v>
      </c>
      <c r="Q969" s="209" t="s">
        <v>174</v>
      </c>
      <c r="R969" s="209" t="s">
        <v>175</v>
      </c>
      <c r="S969" s="209" t="s">
        <v>176</v>
      </c>
      <c r="T969" s="209" t="s">
        <v>177</v>
      </c>
      <c r="U969" s="209" t="s">
        <v>2057</v>
      </c>
      <c r="V969" s="209" t="s">
        <v>179</v>
      </c>
      <c r="W969" s="209" t="s">
        <v>179</v>
      </c>
      <c r="X969" s="209" t="s">
        <v>180</v>
      </c>
      <c r="Y969" s="209" t="s">
        <v>180</v>
      </c>
      <c r="Z969" s="209">
        <v>9521068597</v>
      </c>
      <c r="AA969" s="209" t="s">
        <v>2079</v>
      </c>
      <c r="AB969" s="209" t="s">
        <v>180</v>
      </c>
      <c r="AC969" s="209" t="s">
        <v>182</v>
      </c>
      <c r="AD969" s="209">
        <v>4</v>
      </c>
      <c r="AE969" s="209">
        <v>2025</v>
      </c>
      <c r="AF969" s="227">
        <v>45776</v>
      </c>
      <c r="AG969" s="227">
        <v>45784</v>
      </c>
      <c r="AH969" s="227">
        <v>45784</v>
      </c>
      <c r="AI969" s="228">
        <v>399360</v>
      </c>
      <c r="AJ969" s="228">
        <v>52</v>
      </c>
      <c r="AK969" s="228">
        <v>399360</v>
      </c>
      <c r="AL969" s="228">
        <v>52</v>
      </c>
      <c r="AM969" s="228">
        <v>0</v>
      </c>
      <c r="AN969" s="228">
        <v>0</v>
      </c>
      <c r="AO969" s="229">
        <v>18</v>
      </c>
      <c r="AP969" s="231">
        <v>5</v>
      </c>
      <c r="AQ969" s="231">
        <v>2025</v>
      </c>
      <c r="AR969" s="231" t="str">
        <f t="shared" si="130"/>
        <v>05/2025</v>
      </c>
      <c r="AS969" s="231">
        <f t="shared" si="131"/>
        <v>46.6</v>
      </c>
      <c r="AT969" s="239">
        <f>IF(G969="CERVECERIA Y MALTERIA",(AS969*AK969/1000000)*(1-VLOOKUP(N969,[1]FCST!D:I,6,FALSE)),0)</f>
        <v>18.610175999999999</v>
      </c>
      <c r="AU969" s="232">
        <v>5.0000000000000001E-3</v>
      </c>
      <c r="AV969" s="239">
        <f t="shared" si="132"/>
        <v>18.703226879999995</v>
      </c>
      <c r="AW969" s="239">
        <f>(AS969*AK969/1000000)*(VLOOKUP(N969,[1]FCST!D:I,6,FALSE))</f>
        <v>0</v>
      </c>
      <c r="AX969" s="239">
        <f t="shared" si="133"/>
        <v>0</v>
      </c>
      <c r="AY969" s="239">
        <f>IF($G969="CERVECERIA Y MALTERIA.",($AS969*$AK969/1000000)*(1-VLOOKUP($N969,[1]FCST!D:I,6,FALSE)),0)</f>
        <v>0</v>
      </c>
      <c r="AZ969" s="239">
        <f t="shared" si="134"/>
        <v>0</v>
      </c>
    </row>
    <row r="970" spans="1:52" x14ac:dyDescent="0.25">
      <c r="A970" s="209">
        <v>1116209</v>
      </c>
      <c r="B970" s="209">
        <v>60</v>
      </c>
      <c r="C970" s="209">
        <v>89455954</v>
      </c>
      <c r="D970" s="209">
        <v>10</v>
      </c>
      <c r="E970" s="209">
        <v>10000002</v>
      </c>
      <c r="F970" s="209">
        <v>20000335</v>
      </c>
      <c r="G970" s="209" t="s">
        <v>105</v>
      </c>
      <c r="H970" s="209">
        <v>20000335</v>
      </c>
      <c r="I970" s="209">
        <v>2</v>
      </c>
      <c r="J970" s="209" t="s">
        <v>169</v>
      </c>
      <c r="K970" s="209" t="s">
        <v>2125</v>
      </c>
      <c r="L970" s="209" t="s">
        <v>171</v>
      </c>
      <c r="M970" s="209" t="s">
        <v>199</v>
      </c>
      <c r="N970" s="209">
        <v>50034616</v>
      </c>
      <c r="O970" s="209" t="s">
        <v>191</v>
      </c>
      <c r="P970" s="209">
        <v>5121</v>
      </c>
      <c r="Q970" s="209" t="s">
        <v>200</v>
      </c>
      <c r="R970" s="209" t="s">
        <v>201</v>
      </c>
      <c r="S970" s="209" t="s">
        <v>202</v>
      </c>
      <c r="T970" s="209" t="s">
        <v>203</v>
      </c>
      <c r="U970" s="209" t="s">
        <v>201</v>
      </c>
      <c r="V970" s="209" t="s">
        <v>179</v>
      </c>
      <c r="W970" s="209" t="s">
        <v>179</v>
      </c>
      <c r="X970" s="209" t="s">
        <v>180</v>
      </c>
      <c r="Y970" s="209" t="s">
        <v>180</v>
      </c>
      <c r="Z970" s="209">
        <v>9521068591</v>
      </c>
      <c r="AA970" s="209" t="s">
        <v>2060</v>
      </c>
      <c r="AB970" s="209" t="s">
        <v>180</v>
      </c>
      <c r="AC970" s="209" t="s">
        <v>182</v>
      </c>
      <c r="AD970" s="209">
        <v>5</v>
      </c>
      <c r="AE970" s="209">
        <v>2025</v>
      </c>
      <c r="AF970" s="227">
        <v>45779</v>
      </c>
      <c r="AG970" s="227">
        <v>45784</v>
      </c>
      <c r="AH970" s="227">
        <v>45784</v>
      </c>
      <c r="AI970" s="228">
        <v>426816</v>
      </c>
      <c r="AJ970" s="228">
        <v>52</v>
      </c>
      <c r="AK970" s="228">
        <v>426816</v>
      </c>
      <c r="AL970" s="228">
        <v>52</v>
      </c>
      <c r="AM970" s="228">
        <v>0</v>
      </c>
      <c r="AN970" s="228">
        <v>0</v>
      </c>
      <c r="AO970" s="229">
        <v>19</v>
      </c>
      <c r="AP970" s="231">
        <v>5</v>
      </c>
      <c r="AQ970" s="231">
        <v>2025</v>
      </c>
      <c r="AR970" s="231" t="str">
        <f t="shared" si="130"/>
        <v>05/2025</v>
      </c>
      <c r="AS970" s="231">
        <f t="shared" si="131"/>
        <v>46.6</v>
      </c>
      <c r="AT970" s="239">
        <f>IF(G970="CERVECERIA Y MALTERIA",(AS970*AK970/1000000)*(1-VLOOKUP(N970,[1]FCST!D:I,6,FALSE)),0)</f>
        <v>19.889625600000002</v>
      </c>
      <c r="AU970" s="232">
        <v>5.0000000000000001E-3</v>
      </c>
      <c r="AV970" s="239">
        <f t="shared" si="132"/>
        <v>19.989073728000001</v>
      </c>
      <c r="AW970" s="239">
        <f>(AS970*AK970/1000000)*(VLOOKUP(N970,[1]FCST!D:I,6,FALSE))</f>
        <v>0</v>
      </c>
      <c r="AX970" s="239">
        <f t="shared" si="133"/>
        <v>0</v>
      </c>
      <c r="AY970" s="239">
        <f>IF($G970="CERVECERIA Y MALTERIA.",($AS970*$AK970/1000000)*(1-VLOOKUP($N970,[1]FCST!D:I,6,FALSE)),0)</f>
        <v>0</v>
      </c>
      <c r="AZ970" s="239">
        <f t="shared" si="134"/>
        <v>0</v>
      </c>
    </row>
    <row r="971" spans="1:52" x14ac:dyDescent="0.25">
      <c r="A971" s="209">
        <v>1117118</v>
      </c>
      <c r="B971" s="209">
        <v>10</v>
      </c>
      <c r="C971" s="209">
        <v>89459431</v>
      </c>
      <c r="D971" s="209">
        <v>10</v>
      </c>
      <c r="E971" s="209">
        <v>10000002</v>
      </c>
      <c r="F971" s="209">
        <v>20000340</v>
      </c>
      <c r="G971" s="209" t="s">
        <v>117</v>
      </c>
      <c r="H971" s="209">
        <v>20000340</v>
      </c>
      <c r="I971" s="209">
        <v>2</v>
      </c>
      <c r="J971" s="209" t="s">
        <v>169</v>
      </c>
      <c r="K971" s="209" t="s">
        <v>2126</v>
      </c>
      <c r="L971" s="209" t="s">
        <v>171</v>
      </c>
      <c r="M971" s="209" t="s">
        <v>184</v>
      </c>
      <c r="N971" s="209">
        <v>50036718</v>
      </c>
      <c r="O971" s="209" t="s">
        <v>259</v>
      </c>
      <c r="P971" s="209">
        <v>5101</v>
      </c>
      <c r="Q971" s="209" t="s">
        <v>186</v>
      </c>
      <c r="R971" s="209" t="s">
        <v>175</v>
      </c>
      <c r="S971" s="209" t="s">
        <v>176</v>
      </c>
      <c r="T971" s="209" t="s">
        <v>187</v>
      </c>
      <c r="U971" s="209" t="s">
        <v>188</v>
      </c>
      <c r="V971" s="209" t="s">
        <v>179</v>
      </c>
      <c r="W971" s="209" t="s">
        <v>179</v>
      </c>
      <c r="X971" s="209" t="s">
        <v>180</v>
      </c>
      <c r="Y971" s="209" t="s">
        <v>180</v>
      </c>
      <c r="Z971" s="209">
        <v>9511047947</v>
      </c>
      <c r="AA971" s="209" t="s">
        <v>2127</v>
      </c>
      <c r="AB971" s="209" t="s">
        <v>180</v>
      </c>
      <c r="AC971" s="209" t="s">
        <v>182</v>
      </c>
      <c r="AD971" s="209">
        <v>5</v>
      </c>
      <c r="AE971" s="209">
        <v>2025</v>
      </c>
      <c r="AF971" s="227">
        <v>45785</v>
      </c>
      <c r="AG971" s="227">
        <v>45789</v>
      </c>
      <c r="AH971" s="227">
        <v>45789</v>
      </c>
      <c r="AI971" s="228">
        <v>59904</v>
      </c>
      <c r="AJ971" s="228">
        <v>6</v>
      </c>
      <c r="AK971" s="228">
        <v>59904</v>
      </c>
      <c r="AL971" s="228">
        <v>6</v>
      </c>
      <c r="AM971" s="228">
        <v>0</v>
      </c>
      <c r="AN971" s="228">
        <v>0</v>
      </c>
      <c r="AO971" s="229">
        <v>20</v>
      </c>
      <c r="AP971" s="231">
        <v>5</v>
      </c>
      <c r="AQ971" s="231">
        <v>2025</v>
      </c>
      <c r="AR971" s="231" t="str">
        <f t="shared" si="130"/>
        <v>05/2025</v>
      </c>
      <c r="AS971" s="231">
        <f t="shared" si="131"/>
        <v>34</v>
      </c>
      <c r="AT971" s="239">
        <f>IF(G971="CERVECERIA Y MALTERIA",(AS971*AK971/1000000)*(1-VLOOKUP(N971,[1]FCST!D:I,6,FALSE)),0)</f>
        <v>0</v>
      </c>
      <c r="AU971" s="232">
        <v>5.0000000000000001E-3</v>
      </c>
      <c r="AV971" s="239">
        <f t="shared" si="132"/>
        <v>0</v>
      </c>
      <c r="AW971" s="239">
        <f>(AS971*AK971/1000000)*(VLOOKUP(N971,[1]FCST!D:I,6,FALSE))</f>
        <v>0</v>
      </c>
      <c r="AX971" s="239">
        <f t="shared" si="133"/>
        <v>0</v>
      </c>
      <c r="AY971" s="239">
        <f>IF($G971="CERVECERIA Y MALTERIA.",($AS971*$AK971/1000000)*(1-VLOOKUP($N971,[1]FCST!D:I,6,FALSE)),0)</f>
        <v>2.0367359999999999</v>
      </c>
      <c r="AZ971" s="239">
        <f t="shared" si="134"/>
        <v>2.0469196799999998</v>
      </c>
    </row>
    <row r="972" spans="1:52" x14ac:dyDescent="0.25">
      <c r="A972" s="209">
        <v>1117117</v>
      </c>
      <c r="B972" s="209">
        <v>10</v>
      </c>
      <c r="C972" s="209">
        <v>89459430</v>
      </c>
      <c r="D972" s="209">
        <v>10</v>
      </c>
      <c r="E972" s="209">
        <v>10000002</v>
      </c>
      <c r="F972" s="209">
        <v>20000335</v>
      </c>
      <c r="G972" s="209" t="s">
        <v>105</v>
      </c>
      <c r="H972" s="209">
        <v>20000335</v>
      </c>
      <c r="I972" s="209">
        <v>2</v>
      </c>
      <c r="J972" s="209" t="s">
        <v>169</v>
      </c>
      <c r="K972" s="209" t="s">
        <v>2128</v>
      </c>
      <c r="L972" s="209" t="s">
        <v>171</v>
      </c>
      <c r="M972" s="209" t="s">
        <v>184</v>
      </c>
      <c r="N972" s="209">
        <v>50037887</v>
      </c>
      <c r="O972" s="209" t="s">
        <v>679</v>
      </c>
      <c r="P972" s="209">
        <v>5121</v>
      </c>
      <c r="Q972" s="209" t="s">
        <v>174</v>
      </c>
      <c r="R972" s="209" t="s">
        <v>175</v>
      </c>
      <c r="S972" s="209" t="s">
        <v>176</v>
      </c>
      <c r="T972" s="209" t="s">
        <v>177</v>
      </c>
      <c r="U972" s="209" t="s">
        <v>2057</v>
      </c>
      <c r="V972" s="209" t="s">
        <v>179</v>
      </c>
      <c r="W972" s="209" t="s">
        <v>179</v>
      </c>
      <c r="X972" s="209" t="s">
        <v>180</v>
      </c>
      <c r="Y972" s="209" t="s">
        <v>180</v>
      </c>
      <c r="Z972" s="209">
        <v>9521068594</v>
      </c>
      <c r="AA972" s="209" t="s">
        <v>2117</v>
      </c>
      <c r="AB972" s="209" t="s">
        <v>180</v>
      </c>
      <c r="AC972" s="209" t="s">
        <v>182</v>
      </c>
      <c r="AD972" s="209">
        <v>5</v>
      </c>
      <c r="AE972" s="209">
        <v>2025</v>
      </c>
      <c r="AF972" s="227">
        <v>45785</v>
      </c>
      <c r="AG972" s="227">
        <v>45789</v>
      </c>
      <c r="AH972" s="227">
        <v>45789</v>
      </c>
      <c r="AI972" s="228">
        <v>449856</v>
      </c>
      <c r="AJ972" s="228">
        <v>44</v>
      </c>
      <c r="AK972" s="228">
        <v>449856</v>
      </c>
      <c r="AL972" s="228">
        <v>44</v>
      </c>
      <c r="AM972" s="228">
        <v>0</v>
      </c>
      <c r="AN972" s="228">
        <v>0</v>
      </c>
      <c r="AO972" s="229">
        <v>20</v>
      </c>
      <c r="AP972" s="231">
        <v>5</v>
      </c>
      <c r="AQ972" s="231">
        <v>2025</v>
      </c>
      <c r="AR972" s="231" t="str">
        <f t="shared" si="130"/>
        <v>05/2025</v>
      </c>
      <c r="AS972" s="231">
        <f t="shared" si="131"/>
        <v>37.200000000000003</v>
      </c>
      <c r="AT972" s="239">
        <f>IF(G972="CERVECERIA Y MALTERIA",(AS972*AK972/1000000)*(1-VLOOKUP(N972,[1]FCST!D:I,6,FALSE)),0)</f>
        <v>16.734643200000001</v>
      </c>
      <c r="AU972" s="232">
        <v>5.0000000000000001E-3</v>
      </c>
      <c r="AV972" s="239">
        <f t="shared" si="132"/>
        <v>16.818316415999998</v>
      </c>
      <c r="AW972" s="239">
        <f>(AS972*AK972/1000000)*(VLOOKUP(N972,[1]FCST!D:I,6,FALSE))</f>
        <v>0</v>
      </c>
      <c r="AX972" s="239">
        <f t="shared" si="133"/>
        <v>0</v>
      </c>
      <c r="AY972" s="239">
        <f>IF($G972="CERVECERIA Y MALTERIA.",($AS972*$AK972/1000000)*(1-VLOOKUP($N972,[1]FCST!D:I,6,FALSE)),0)</f>
        <v>0</v>
      </c>
      <c r="AZ972" s="239">
        <f t="shared" si="134"/>
        <v>0</v>
      </c>
    </row>
    <row r="973" spans="1:52" x14ac:dyDescent="0.25">
      <c r="A973" s="209">
        <v>1117117</v>
      </c>
      <c r="B973" s="209">
        <v>20</v>
      </c>
      <c r="C973" s="209">
        <v>89459272</v>
      </c>
      <c r="D973" s="209">
        <v>10</v>
      </c>
      <c r="E973" s="209">
        <v>10000002</v>
      </c>
      <c r="F973" s="209">
        <v>20000335</v>
      </c>
      <c r="G973" s="209" t="s">
        <v>105</v>
      </c>
      <c r="H973" s="209">
        <v>20000335</v>
      </c>
      <c r="I973" s="209">
        <v>2</v>
      </c>
      <c r="J973" s="209" t="s">
        <v>169</v>
      </c>
      <c r="K973" s="209" t="s">
        <v>2129</v>
      </c>
      <c r="L973" s="209" t="s">
        <v>171</v>
      </c>
      <c r="M973" s="209" t="s">
        <v>184</v>
      </c>
      <c r="N973" s="209">
        <v>50037887</v>
      </c>
      <c r="O973" s="209" t="s">
        <v>679</v>
      </c>
      <c r="P973" s="209">
        <v>5121</v>
      </c>
      <c r="Q973" s="209" t="s">
        <v>174</v>
      </c>
      <c r="R973" s="209" t="s">
        <v>175</v>
      </c>
      <c r="S973" s="209" t="s">
        <v>176</v>
      </c>
      <c r="T973" s="209" t="s">
        <v>177</v>
      </c>
      <c r="U973" s="209" t="s">
        <v>2057</v>
      </c>
      <c r="V973" s="209" t="s">
        <v>179</v>
      </c>
      <c r="W973" s="209" t="s">
        <v>179</v>
      </c>
      <c r="X973" s="209" t="s">
        <v>180</v>
      </c>
      <c r="Y973" s="209" t="s">
        <v>180</v>
      </c>
      <c r="Z973" s="209">
        <v>9521068594</v>
      </c>
      <c r="AA973" s="209" t="s">
        <v>2117</v>
      </c>
      <c r="AB973" s="209" t="s">
        <v>180</v>
      </c>
      <c r="AC973" s="209" t="s">
        <v>182</v>
      </c>
      <c r="AD973" s="209">
        <v>5</v>
      </c>
      <c r="AE973" s="209">
        <v>2025</v>
      </c>
      <c r="AF973" s="227">
        <v>45785</v>
      </c>
      <c r="AG973" s="227">
        <v>45789</v>
      </c>
      <c r="AH973" s="227">
        <v>45789</v>
      </c>
      <c r="AI973" s="228">
        <v>102240</v>
      </c>
      <c r="AJ973" s="228">
        <v>10</v>
      </c>
      <c r="AK973" s="228">
        <v>102240</v>
      </c>
      <c r="AL973" s="228">
        <v>10</v>
      </c>
      <c r="AM973" s="228">
        <v>0</v>
      </c>
      <c r="AN973" s="228">
        <v>0</v>
      </c>
      <c r="AO973" s="229">
        <v>20</v>
      </c>
      <c r="AP973" s="231">
        <v>5</v>
      </c>
      <c r="AQ973" s="231">
        <v>2025</v>
      </c>
      <c r="AR973" s="231" t="str">
        <f t="shared" si="130"/>
        <v>05/2025</v>
      </c>
      <c r="AS973" s="231">
        <f t="shared" si="131"/>
        <v>37.200000000000003</v>
      </c>
      <c r="AT973" s="239">
        <f>IF(G973="CERVECERIA Y MALTERIA",(AS973*AK973/1000000)*(1-VLOOKUP(N973,[1]FCST!D:I,6,FALSE)),0)</f>
        <v>3.8033280000000005</v>
      </c>
      <c r="AU973" s="232">
        <v>5.0000000000000001E-3</v>
      </c>
      <c r="AV973" s="239">
        <f t="shared" si="132"/>
        <v>3.8223446400000003</v>
      </c>
      <c r="AW973" s="239">
        <f>(AS973*AK973/1000000)*(VLOOKUP(N973,[1]FCST!D:I,6,FALSE))</f>
        <v>0</v>
      </c>
      <c r="AX973" s="239">
        <f t="shared" si="133"/>
        <v>0</v>
      </c>
      <c r="AY973" s="239">
        <f>IF($G973="CERVECERIA Y MALTERIA.",($AS973*$AK973/1000000)*(1-VLOOKUP($N973,[1]FCST!D:I,6,FALSE)),0)</f>
        <v>0</v>
      </c>
      <c r="AZ973" s="239">
        <f t="shared" si="134"/>
        <v>0</v>
      </c>
    </row>
    <row r="974" spans="1:52" x14ac:dyDescent="0.25">
      <c r="A974" s="209">
        <v>1117118</v>
      </c>
      <c r="B974" s="209">
        <v>20</v>
      </c>
      <c r="C974" s="209">
        <v>89459271</v>
      </c>
      <c r="D974" s="209">
        <v>10</v>
      </c>
      <c r="E974" s="209">
        <v>10000002</v>
      </c>
      <c r="F974" s="209">
        <v>20000340</v>
      </c>
      <c r="G974" s="209" t="s">
        <v>117</v>
      </c>
      <c r="H974" s="209">
        <v>20000340</v>
      </c>
      <c r="I974" s="209">
        <v>2</v>
      </c>
      <c r="J974" s="209" t="s">
        <v>169</v>
      </c>
      <c r="K974" s="209" t="s">
        <v>2130</v>
      </c>
      <c r="L974" s="209" t="s">
        <v>171</v>
      </c>
      <c r="M974" s="209" t="s">
        <v>184</v>
      </c>
      <c r="N974" s="209">
        <v>50036718</v>
      </c>
      <c r="O974" s="209" t="s">
        <v>259</v>
      </c>
      <c r="P974" s="209">
        <v>5101</v>
      </c>
      <c r="Q974" s="209" t="s">
        <v>186</v>
      </c>
      <c r="R974" s="209" t="s">
        <v>175</v>
      </c>
      <c r="S974" s="209" t="s">
        <v>176</v>
      </c>
      <c r="T974" s="209" t="s">
        <v>187</v>
      </c>
      <c r="U974" s="209" t="s">
        <v>188</v>
      </c>
      <c r="V974" s="209" t="s">
        <v>179</v>
      </c>
      <c r="W974" s="209" t="s">
        <v>179</v>
      </c>
      <c r="X974" s="209" t="s">
        <v>180</v>
      </c>
      <c r="Y974" s="209" t="s">
        <v>180</v>
      </c>
      <c r="Z974" s="209">
        <v>9511047947</v>
      </c>
      <c r="AA974" s="209" t="s">
        <v>2127</v>
      </c>
      <c r="AB974" s="209" t="s">
        <v>180</v>
      </c>
      <c r="AC974" s="209" t="s">
        <v>182</v>
      </c>
      <c r="AD974" s="209">
        <v>5</v>
      </c>
      <c r="AE974" s="209">
        <v>2025</v>
      </c>
      <c r="AF974" s="227">
        <v>45785</v>
      </c>
      <c r="AG974" s="227">
        <v>45789</v>
      </c>
      <c r="AH974" s="227">
        <v>45789</v>
      </c>
      <c r="AI974" s="228">
        <v>409344</v>
      </c>
      <c r="AJ974" s="228">
        <v>41</v>
      </c>
      <c r="AK974" s="228">
        <v>409344</v>
      </c>
      <c r="AL974" s="228">
        <v>41</v>
      </c>
      <c r="AM974" s="228">
        <v>0</v>
      </c>
      <c r="AN974" s="228">
        <v>0</v>
      </c>
      <c r="AO974" s="229">
        <v>20</v>
      </c>
      <c r="AP974" s="231">
        <v>5</v>
      </c>
      <c r="AQ974" s="231">
        <v>2025</v>
      </c>
      <c r="AR974" s="231" t="str">
        <f t="shared" si="130"/>
        <v>05/2025</v>
      </c>
      <c r="AS974" s="231">
        <f t="shared" si="131"/>
        <v>34</v>
      </c>
      <c r="AT974" s="239">
        <f>IF(G974="CERVECERIA Y MALTERIA",(AS974*AK974/1000000)*(1-VLOOKUP(N974,[1]FCST!D:I,6,FALSE)),0)</f>
        <v>0</v>
      </c>
      <c r="AU974" s="232">
        <v>5.0000000000000001E-3</v>
      </c>
      <c r="AV974" s="239">
        <f t="shared" si="132"/>
        <v>0</v>
      </c>
      <c r="AW974" s="239">
        <f>(AS974*AK974/1000000)*(VLOOKUP(N974,[1]FCST!D:I,6,FALSE))</f>
        <v>0</v>
      </c>
      <c r="AX974" s="239">
        <f t="shared" si="133"/>
        <v>0</v>
      </c>
      <c r="AY974" s="239">
        <f>IF($G974="CERVECERIA Y MALTERIA.",($AS974*$AK974/1000000)*(1-VLOOKUP($N974,[1]FCST!D:I,6,FALSE)),0)</f>
        <v>13.917695999999999</v>
      </c>
      <c r="AZ974" s="239">
        <f t="shared" si="134"/>
        <v>13.987284479999998</v>
      </c>
    </row>
    <row r="975" spans="1:52" x14ac:dyDescent="0.25">
      <c r="A975" s="209">
        <v>1117117</v>
      </c>
      <c r="B975" s="209">
        <v>30</v>
      </c>
      <c r="C975" s="209">
        <v>89459233</v>
      </c>
      <c r="D975" s="209">
        <v>10</v>
      </c>
      <c r="E975" s="209">
        <v>10000002</v>
      </c>
      <c r="F975" s="209">
        <v>20000335</v>
      </c>
      <c r="G975" s="209" t="s">
        <v>105</v>
      </c>
      <c r="H975" s="209">
        <v>20000335</v>
      </c>
      <c r="I975" s="209">
        <v>2</v>
      </c>
      <c r="J975" s="209" t="s">
        <v>169</v>
      </c>
      <c r="K975" s="209" t="s">
        <v>2131</v>
      </c>
      <c r="L975" s="209" t="s">
        <v>171</v>
      </c>
      <c r="M975" s="209" t="s">
        <v>199</v>
      </c>
      <c r="N975" s="209">
        <v>50035183</v>
      </c>
      <c r="O975" s="209" t="s">
        <v>215</v>
      </c>
      <c r="P975" s="209">
        <v>5121</v>
      </c>
      <c r="Q975" s="209" t="s">
        <v>200</v>
      </c>
      <c r="R975" s="209" t="s">
        <v>201</v>
      </c>
      <c r="S975" s="209" t="s">
        <v>202</v>
      </c>
      <c r="T975" s="209" t="s">
        <v>203</v>
      </c>
      <c r="U975" s="209" t="s">
        <v>201</v>
      </c>
      <c r="V975" s="209" t="s">
        <v>179</v>
      </c>
      <c r="W975" s="209" t="s">
        <v>179</v>
      </c>
      <c r="X975" s="209" t="s">
        <v>180</v>
      </c>
      <c r="Y975" s="209" t="s">
        <v>180</v>
      </c>
      <c r="Z975" s="209">
        <v>9521068592</v>
      </c>
      <c r="AA975" s="209" t="s">
        <v>2095</v>
      </c>
      <c r="AB975" s="209" t="s">
        <v>180</v>
      </c>
      <c r="AC975" s="209" t="s">
        <v>182</v>
      </c>
      <c r="AD975" s="209">
        <v>5</v>
      </c>
      <c r="AE975" s="209">
        <v>2025</v>
      </c>
      <c r="AF975" s="227">
        <v>45785</v>
      </c>
      <c r="AG975" s="227">
        <v>45789</v>
      </c>
      <c r="AH975" s="227">
        <v>45789</v>
      </c>
      <c r="AI975" s="228">
        <v>426816</v>
      </c>
      <c r="AJ975" s="228">
        <v>52</v>
      </c>
      <c r="AK975" s="228">
        <v>426816</v>
      </c>
      <c r="AL975" s="228">
        <v>52</v>
      </c>
      <c r="AM975" s="228">
        <v>0</v>
      </c>
      <c r="AN975" s="228">
        <v>0</v>
      </c>
      <c r="AO975" s="229">
        <v>20</v>
      </c>
      <c r="AP975" s="231">
        <v>5</v>
      </c>
      <c r="AQ975" s="231">
        <v>2025</v>
      </c>
      <c r="AR975" s="231" t="str">
        <f t="shared" si="130"/>
        <v>05/2025</v>
      </c>
      <c r="AS975" s="231">
        <f t="shared" si="131"/>
        <v>46.6</v>
      </c>
      <c r="AT975" s="239">
        <f>IF(G975="CERVECERIA Y MALTERIA",(AS975*AK975/1000000)*(1-VLOOKUP(N975,[1]FCST!D:I,6,FALSE)),0)</f>
        <v>19.889625600000002</v>
      </c>
      <c r="AU975" s="232">
        <v>5.0000000000000001E-3</v>
      </c>
      <c r="AV975" s="239">
        <f t="shared" si="132"/>
        <v>19.989073728000001</v>
      </c>
      <c r="AW975" s="239">
        <f>(AS975*AK975/1000000)*(VLOOKUP(N975,[1]FCST!D:I,6,FALSE))</f>
        <v>0</v>
      </c>
      <c r="AX975" s="239">
        <f t="shared" si="133"/>
        <v>0</v>
      </c>
      <c r="AY975" s="239">
        <f>IF($G975="CERVECERIA Y MALTERIA.",($AS975*$AK975/1000000)*(1-VLOOKUP($N975,[1]FCST!D:I,6,FALSE)),0)</f>
        <v>0</v>
      </c>
      <c r="AZ975" s="239">
        <f t="shared" si="134"/>
        <v>0</v>
      </c>
    </row>
    <row r="976" spans="1:52" x14ac:dyDescent="0.25">
      <c r="A976" s="209">
        <v>1116757</v>
      </c>
      <c r="B976" s="209">
        <v>20</v>
      </c>
      <c r="C976" s="209">
        <v>89458278</v>
      </c>
      <c r="D976" s="209">
        <v>20</v>
      </c>
      <c r="E976" s="209">
        <v>10000002</v>
      </c>
      <c r="F976" s="209">
        <v>20001057</v>
      </c>
      <c r="G976" s="209" t="s">
        <v>105</v>
      </c>
      <c r="H976" s="209">
        <v>20001057</v>
      </c>
      <c r="I976" s="209">
        <v>2</v>
      </c>
      <c r="J976" s="209" t="s">
        <v>169</v>
      </c>
      <c r="K976" s="209" t="s">
        <v>2132</v>
      </c>
      <c r="L976" s="209" t="s">
        <v>171</v>
      </c>
      <c r="M976" s="209" t="s">
        <v>184</v>
      </c>
      <c r="N976" s="209">
        <v>50024497</v>
      </c>
      <c r="O976" s="209" t="s">
        <v>1352</v>
      </c>
      <c r="P976" s="209">
        <v>5121</v>
      </c>
      <c r="Q976" s="209" t="s">
        <v>174</v>
      </c>
      <c r="R976" s="209" t="s">
        <v>175</v>
      </c>
      <c r="S976" s="209" t="s">
        <v>176</v>
      </c>
      <c r="T976" s="209" t="s">
        <v>177</v>
      </c>
      <c r="U976" s="209" t="s">
        <v>2057</v>
      </c>
      <c r="V976" s="209" t="s">
        <v>179</v>
      </c>
      <c r="W976" s="209" t="s">
        <v>179</v>
      </c>
      <c r="X976" s="209" t="s">
        <v>180</v>
      </c>
      <c r="Y976" s="209" t="s">
        <v>180</v>
      </c>
      <c r="Z976" s="209">
        <v>9521068587</v>
      </c>
      <c r="AA976" s="209" t="s">
        <v>2133</v>
      </c>
      <c r="AB976" s="209" t="s">
        <v>180</v>
      </c>
      <c r="AC976" s="209" t="s">
        <v>182</v>
      </c>
      <c r="AD976" s="209">
        <v>5</v>
      </c>
      <c r="AE976" s="209">
        <v>2025</v>
      </c>
      <c r="AF976" s="227">
        <v>45784</v>
      </c>
      <c r="AG976" s="227">
        <v>45785</v>
      </c>
      <c r="AH976" s="227">
        <v>45786</v>
      </c>
      <c r="AI976" s="228">
        <v>81216</v>
      </c>
      <c r="AJ976" s="228">
        <v>12</v>
      </c>
      <c r="AK976" s="228">
        <v>81216</v>
      </c>
      <c r="AL976" s="228">
        <v>12</v>
      </c>
      <c r="AM976" s="228">
        <v>0</v>
      </c>
      <c r="AN976" s="228">
        <v>0</v>
      </c>
      <c r="AO976" s="229">
        <v>19</v>
      </c>
      <c r="AP976" s="231">
        <v>5</v>
      </c>
      <c r="AQ976" s="231">
        <v>2025</v>
      </c>
      <c r="AR976" s="231" t="str">
        <f t="shared" si="130"/>
        <v>05/2025</v>
      </c>
      <c r="AS976" s="231">
        <f t="shared" si="131"/>
        <v>54.7</v>
      </c>
      <c r="AT976" s="239">
        <f>IF(G976="CERVECERIA Y MALTERIA",(AS976*AK976/1000000)*(1-VLOOKUP(N976,[1]FCST!D:I,6,FALSE)),0)</f>
        <v>4.4425151999999999</v>
      </c>
      <c r="AU976" s="232">
        <v>5.0000000000000001E-3</v>
      </c>
      <c r="AV976" s="239">
        <f t="shared" si="132"/>
        <v>4.4647277759999993</v>
      </c>
      <c r="AW976" s="239">
        <f>(AS976*AK976/1000000)*(VLOOKUP(N976,[1]FCST!D:I,6,FALSE))</f>
        <v>0</v>
      </c>
      <c r="AX976" s="239">
        <f t="shared" si="133"/>
        <v>0</v>
      </c>
      <c r="AY976" s="239">
        <f>IF($G976="CERVECERIA Y MALTERIA.",($AS976*$AK976/1000000)*(1-VLOOKUP($N976,[1]FCST!D:I,6,FALSE)),0)</f>
        <v>0</v>
      </c>
      <c r="AZ976" s="239">
        <f t="shared" si="134"/>
        <v>0</v>
      </c>
    </row>
    <row r="977" spans="1:52" x14ac:dyDescent="0.25">
      <c r="A977" s="209">
        <v>1116757</v>
      </c>
      <c r="B977" s="209">
        <v>10</v>
      </c>
      <c r="C977" s="209">
        <v>89458278</v>
      </c>
      <c r="D977" s="209">
        <v>10</v>
      </c>
      <c r="E977" s="209">
        <v>10000002</v>
      </c>
      <c r="F977" s="209">
        <v>20001057</v>
      </c>
      <c r="G977" s="209" t="s">
        <v>105</v>
      </c>
      <c r="H977" s="209">
        <v>20001057</v>
      </c>
      <c r="I977" s="209">
        <v>2</v>
      </c>
      <c r="J977" s="209" t="s">
        <v>169</v>
      </c>
      <c r="K977" s="209" t="s">
        <v>2132</v>
      </c>
      <c r="L977" s="209" t="s">
        <v>171</v>
      </c>
      <c r="M977" s="209" t="s">
        <v>184</v>
      </c>
      <c r="N977" s="209">
        <v>50034616</v>
      </c>
      <c r="O977" s="209" t="s">
        <v>191</v>
      </c>
      <c r="P977" s="209">
        <v>5121</v>
      </c>
      <c r="Q977" s="209" t="s">
        <v>174</v>
      </c>
      <c r="R977" s="209" t="s">
        <v>175</v>
      </c>
      <c r="S977" s="209" t="s">
        <v>176</v>
      </c>
      <c r="T977" s="209" t="s">
        <v>177</v>
      </c>
      <c r="U977" s="209" t="s">
        <v>2057</v>
      </c>
      <c r="V977" s="209" t="s">
        <v>179</v>
      </c>
      <c r="W977" s="209" t="s">
        <v>179</v>
      </c>
      <c r="X977" s="209" t="s">
        <v>180</v>
      </c>
      <c r="Y977" s="209" t="s">
        <v>180</v>
      </c>
      <c r="Z977" s="209">
        <v>9521068587</v>
      </c>
      <c r="AA977" s="209" t="s">
        <v>2133</v>
      </c>
      <c r="AB977" s="209" t="s">
        <v>180</v>
      </c>
      <c r="AC977" s="209" t="s">
        <v>182</v>
      </c>
      <c r="AD977" s="209">
        <v>5</v>
      </c>
      <c r="AE977" s="209">
        <v>2025</v>
      </c>
      <c r="AF977" s="227">
        <v>45784</v>
      </c>
      <c r="AG977" s="227">
        <v>45785</v>
      </c>
      <c r="AH977" s="227">
        <v>45786</v>
      </c>
      <c r="AI977" s="228">
        <v>328320</v>
      </c>
      <c r="AJ977" s="228">
        <v>40</v>
      </c>
      <c r="AK977" s="228">
        <v>328320</v>
      </c>
      <c r="AL977" s="228">
        <v>40</v>
      </c>
      <c r="AM977" s="228">
        <v>0</v>
      </c>
      <c r="AN977" s="228">
        <v>0</v>
      </c>
      <c r="AO977" s="229">
        <v>19</v>
      </c>
      <c r="AP977" s="231">
        <v>5</v>
      </c>
      <c r="AQ977" s="231">
        <v>2025</v>
      </c>
      <c r="AR977" s="231" t="str">
        <f t="shared" si="130"/>
        <v>05/2025</v>
      </c>
      <c r="AS977" s="231">
        <f t="shared" si="131"/>
        <v>46.6</v>
      </c>
      <c r="AT977" s="239">
        <f>IF(G977="CERVECERIA Y MALTERIA",(AS977*AK977/1000000)*(1-VLOOKUP(N977,[1]FCST!D:I,6,FALSE)),0)</f>
        <v>15.299712</v>
      </c>
      <c r="AU977" s="232">
        <v>5.0000000000000001E-3</v>
      </c>
      <c r="AV977" s="239">
        <f t="shared" si="132"/>
        <v>15.376210559999999</v>
      </c>
      <c r="AW977" s="239">
        <f>(AS977*AK977/1000000)*(VLOOKUP(N977,[1]FCST!D:I,6,FALSE))</f>
        <v>0</v>
      </c>
      <c r="AX977" s="239">
        <f t="shared" si="133"/>
        <v>0</v>
      </c>
      <c r="AY977" s="239">
        <f>IF($G977="CERVECERIA Y MALTERIA.",($AS977*$AK977/1000000)*(1-VLOOKUP($N977,[1]FCST!D:I,6,FALSE)),0)</f>
        <v>0</v>
      </c>
      <c r="AZ977" s="239">
        <f t="shared" si="134"/>
        <v>0</v>
      </c>
    </row>
    <row r="978" spans="1:52" x14ac:dyDescent="0.25">
      <c r="A978" s="209">
        <v>1117089</v>
      </c>
      <c r="B978" s="209">
        <v>10</v>
      </c>
      <c r="C978" s="209">
        <v>89458184</v>
      </c>
      <c r="D978" s="209">
        <v>10</v>
      </c>
      <c r="E978" s="209">
        <v>10000002</v>
      </c>
      <c r="F978" s="209">
        <v>20000339</v>
      </c>
      <c r="G978" s="209" t="s">
        <v>105</v>
      </c>
      <c r="H978" s="209">
        <v>20000339</v>
      </c>
      <c r="I978" s="209">
        <v>2</v>
      </c>
      <c r="J978" s="209" t="s">
        <v>169</v>
      </c>
      <c r="K978" s="209" t="s">
        <v>2134</v>
      </c>
      <c r="L978" s="209" t="s">
        <v>171</v>
      </c>
      <c r="M978" s="209" t="s">
        <v>227</v>
      </c>
      <c r="N978" s="209">
        <v>50033268</v>
      </c>
      <c r="O978" s="209" t="s">
        <v>253</v>
      </c>
      <c r="P978" s="209">
        <v>5121</v>
      </c>
      <c r="Q978" s="209" t="s">
        <v>228</v>
      </c>
      <c r="R978" s="209" t="s">
        <v>229</v>
      </c>
      <c r="S978" s="209" t="s">
        <v>230</v>
      </c>
      <c r="T978" s="209" t="s">
        <v>231</v>
      </c>
      <c r="U978" s="209" t="s">
        <v>232</v>
      </c>
      <c r="V978" s="209" t="s">
        <v>179</v>
      </c>
      <c r="W978" s="209" t="s">
        <v>179</v>
      </c>
      <c r="X978" s="209" t="s">
        <v>180</v>
      </c>
      <c r="Y978" s="209" t="s">
        <v>180</v>
      </c>
      <c r="Z978" s="209">
        <v>9521068583</v>
      </c>
      <c r="AA978" s="209" t="s">
        <v>2135</v>
      </c>
      <c r="AB978" s="209" t="s">
        <v>180</v>
      </c>
      <c r="AC978" s="209" t="s">
        <v>182</v>
      </c>
      <c r="AD978" s="209">
        <v>5</v>
      </c>
      <c r="AE978" s="209">
        <v>2025</v>
      </c>
      <c r="AF978" s="227">
        <v>45785</v>
      </c>
      <c r="AG978" s="227">
        <v>45786</v>
      </c>
      <c r="AH978" s="227">
        <v>45786</v>
      </c>
      <c r="AI978" s="228">
        <v>78240</v>
      </c>
      <c r="AJ978" s="228">
        <v>10</v>
      </c>
      <c r="AK978" s="228">
        <v>78240</v>
      </c>
      <c r="AL978" s="228">
        <v>10</v>
      </c>
      <c r="AM978" s="228">
        <v>0</v>
      </c>
      <c r="AN978" s="228">
        <v>0</v>
      </c>
      <c r="AO978" s="229">
        <v>19</v>
      </c>
      <c r="AP978" s="231">
        <v>5</v>
      </c>
      <c r="AQ978" s="231">
        <v>2025</v>
      </c>
      <c r="AR978" s="231" t="str">
        <f t="shared" si="130"/>
        <v>05/2025</v>
      </c>
      <c r="AS978" s="231">
        <f t="shared" si="131"/>
        <v>44</v>
      </c>
      <c r="AT978" s="239">
        <f>IF(G978="CERVECERIA Y MALTERIA",(AS978*AK978/1000000)*(1-VLOOKUP(N978,[1]FCST!D:I,6,FALSE)),0)</f>
        <v>3.4425599999999998</v>
      </c>
      <c r="AU978" s="232">
        <v>5.0000000000000001E-3</v>
      </c>
      <c r="AV978" s="239">
        <f t="shared" si="132"/>
        <v>3.4597727999999996</v>
      </c>
      <c r="AW978" s="239">
        <f>(AS978*AK978/1000000)*(VLOOKUP(N978,[1]FCST!D:I,6,FALSE))</f>
        <v>0</v>
      </c>
      <c r="AX978" s="239">
        <f t="shared" si="133"/>
        <v>0</v>
      </c>
      <c r="AY978" s="239">
        <f>IF($G978="CERVECERIA Y MALTERIA.",($AS978*$AK978/1000000)*(1-VLOOKUP($N978,[1]FCST!D:I,6,FALSE)),0)</f>
        <v>0</v>
      </c>
      <c r="AZ978" s="239">
        <f t="shared" si="134"/>
        <v>0</v>
      </c>
    </row>
    <row r="979" spans="1:52" x14ac:dyDescent="0.25">
      <c r="A979" s="209">
        <v>1116209</v>
      </c>
      <c r="B979" s="209">
        <v>90</v>
      </c>
      <c r="C979" s="209">
        <v>89457693</v>
      </c>
      <c r="D979" s="209">
        <v>10</v>
      </c>
      <c r="E979" s="209">
        <v>10000002</v>
      </c>
      <c r="F979" s="209">
        <v>20000335</v>
      </c>
      <c r="G979" s="209" t="s">
        <v>105</v>
      </c>
      <c r="H979" s="209">
        <v>20000335</v>
      </c>
      <c r="I979" s="209">
        <v>2</v>
      </c>
      <c r="J979" s="209" t="s">
        <v>169</v>
      </c>
      <c r="K979" s="209" t="s">
        <v>2136</v>
      </c>
      <c r="L979" s="209" t="s">
        <v>171</v>
      </c>
      <c r="M979" s="209" t="s">
        <v>199</v>
      </c>
      <c r="N979" s="209">
        <v>50034616</v>
      </c>
      <c r="O979" s="209" t="s">
        <v>191</v>
      </c>
      <c r="P979" s="209">
        <v>5121</v>
      </c>
      <c r="Q979" s="209" t="s">
        <v>200</v>
      </c>
      <c r="R979" s="209" t="s">
        <v>201</v>
      </c>
      <c r="S979" s="209" t="s">
        <v>202</v>
      </c>
      <c r="T979" s="209" t="s">
        <v>203</v>
      </c>
      <c r="U979" s="209" t="s">
        <v>201</v>
      </c>
      <c r="V979" s="209" t="s">
        <v>179</v>
      </c>
      <c r="W979" s="209" t="s">
        <v>179</v>
      </c>
      <c r="X979" s="209" t="s">
        <v>180</v>
      </c>
      <c r="Y979" s="209" t="s">
        <v>180</v>
      </c>
      <c r="Z979" s="209">
        <v>9521068591</v>
      </c>
      <c r="AA979" s="209" t="s">
        <v>2060</v>
      </c>
      <c r="AB979" s="209" t="s">
        <v>180</v>
      </c>
      <c r="AC979" s="209" t="s">
        <v>182</v>
      </c>
      <c r="AD979" s="209">
        <v>5</v>
      </c>
      <c r="AE979" s="209">
        <v>2025</v>
      </c>
      <c r="AF979" s="227">
        <v>45779</v>
      </c>
      <c r="AG979" s="227">
        <v>45786</v>
      </c>
      <c r="AH979" s="227">
        <v>45786</v>
      </c>
      <c r="AI979" s="228">
        <v>426816</v>
      </c>
      <c r="AJ979" s="228">
        <v>52</v>
      </c>
      <c r="AK979" s="228">
        <v>426816</v>
      </c>
      <c r="AL979" s="228">
        <v>52</v>
      </c>
      <c r="AM979" s="228">
        <v>0</v>
      </c>
      <c r="AN979" s="228">
        <v>0</v>
      </c>
      <c r="AO979" s="229">
        <v>19</v>
      </c>
      <c r="AP979" s="231">
        <v>5</v>
      </c>
      <c r="AQ979" s="231">
        <v>2025</v>
      </c>
      <c r="AR979" s="231" t="str">
        <f t="shared" si="130"/>
        <v>05/2025</v>
      </c>
      <c r="AS979" s="231">
        <f t="shared" si="131"/>
        <v>46.6</v>
      </c>
      <c r="AT979" s="239">
        <f>IF(G979="CERVECERIA Y MALTERIA",(AS979*AK979/1000000)*(1-VLOOKUP(N979,[1]FCST!D:I,6,FALSE)),0)</f>
        <v>19.889625600000002</v>
      </c>
      <c r="AU979" s="232">
        <v>5.0000000000000001E-3</v>
      </c>
      <c r="AV979" s="239">
        <f t="shared" si="132"/>
        <v>19.989073728000001</v>
      </c>
      <c r="AW979" s="239">
        <f>(AS979*AK979/1000000)*(VLOOKUP(N979,[1]FCST!D:I,6,FALSE))</f>
        <v>0</v>
      </c>
      <c r="AX979" s="239">
        <f t="shared" si="133"/>
        <v>0</v>
      </c>
      <c r="AY979" s="239">
        <f>IF($G979="CERVECERIA Y MALTERIA.",($AS979*$AK979/1000000)*(1-VLOOKUP($N979,[1]FCST!D:I,6,FALSE)),0)</f>
        <v>0</v>
      </c>
      <c r="AZ979" s="239">
        <f t="shared" si="134"/>
        <v>0</v>
      </c>
    </row>
    <row r="980" spans="1:52" x14ac:dyDescent="0.25">
      <c r="A980" s="209">
        <v>1116209</v>
      </c>
      <c r="B980" s="209">
        <v>40</v>
      </c>
      <c r="C980" s="209">
        <v>89453735</v>
      </c>
      <c r="D980" s="209">
        <v>10</v>
      </c>
      <c r="E980" s="209">
        <v>10000002</v>
      </c>
      <c r="F980" s="209">
        <v>20000335</v>
      </c>
      <c r="G980" s="209" t="s">
        <v>105</v>
      </c>
      <c r="H980" s="209">
        <v>20000335</v>
      </c>
      <c r="I980" s="209">
        <v>2</v>
      </c>
      <c r="J980" s="209" t="s">
        <v>169</v>
      </c>
      <c r="K980" s="209" t="s">
        <v>2137</v>
      </c>
      <c r="L980" s="209" t="s">
        <v>171</v>
      </c>
      <c r="M980" s="209" t="s">
        <v>199</v>
      </c>
      <c r="N980" s="209">
        <v>50035183</v>
      </c>
      <c r="O980" s="209" t="s">
        <v>215</v>
      </c>
      <c r="P980" s="209">
        <v>5121</v>
      </c>
      <c r="Q980" s="209" t="s">
        <v>200</v>
      </c>
      <c r="R980" s="209" t="s">
        <v>201</v>
      </c>
      <c r="S980" s="209" t="s">
        <v>202</v>
      </c>
      <c r="T980" s="209" t="s">
        <v>203</v>
      </c>
      <c r="U980" s="209" t="s">
        <v>201</v>
      </c>
      <c r="V980" s="209" t="s">
        <v>179</v>
      </c>
      <c r="W980" s="209" t="s">
        <v>179</v>
      </c>
      <c r="X980" s="209" t="s">
        <v>180</v>
      </c>
      <c r="Y980" s="209" t="s">
        <v>180</v>
      </c>
      <c r="Z980" s="209">
        <v>9521068592</v>
      </c>
      <c r="AA980" s="209" t="s">
        <v>2095</v>
      </c>
      <c r="AB980" s="209" t="s">
        <v>180</v>
      </c>
      <c r="AC980" s="209" t="s">
        <v>182</v>
      </c>
      <c r="AD980" s="209">
        <v>5</v>
      </c>
      <c r="AE980" s="209">
        <v>2025</v>
      </c>
      <c r="AF980" s="227">
        <v>45779</v>
      </c>
      <c r="AG980" s="227">
        <v>45783</v>
      </c>
      <c r="AH980" s="227">
        <v>45783</v>
      </c>
      <c r="AI980" s="228">
        <v>426816</v>
      </c>
      <c r="AJ980" s="228">
        <v>52</v>
      </c>
      <c r="AK980" s="228">
        <v>426816</v>
      </c>
      <c r="AL980" s="228">
        <v>52</v>
      </c>
      <c r="AM980" s="228">
        <v>0</v>
      </c>
      <c r="AN980" s="228">
        <v>0</v>
      </c>
      <c r="AO980" s="229">
        <v>19</v>
      </c>
      <c r="AP980" s="231">
        <v>5</v>
      </c>
      <c r="AQ980" s="231">
        <v>2025</v>
      </c>
      <c r="AR980" s="231" t="str">
        <f t="shared" si="130"/>
        <v>05/2025</v>
      </c>
      <c r="AS980" s="231">
        <f t="shared" si="131"/>
        <v>46.6</v>
      </c>
      <c r="AT980" s="239">
        <f>IF(G980="CERVECERIA Y MALTERIA",(AS980*AK980/1000000)*(1-VLOOKUP(N980,[1]FCST!D:I,6,FALSE)),0)</f>
        <v>19.889625600000002</v>
      </c>
      <c r="AU980" s="232">
        <v>5.0000000000000001E-3</v>
      </c>
      <c r="AV980" s="239">
        <f t="shared" si="132"/>
        <v>19.989073728000001</v>
      </c>
      <c r="AW980" s="239">
        <f>(AS980*AK980/1000000)*(VLOOKUP(N980,[1]FCST!D:I,6,FALSE))</f>
        <v>0</v>
      </c>
      <c r="AX980" s="239">
        <f t="shared" si="133"/>
        <v>0</v>
      </c>
      <c r="AY980" s="239">
        <f>IF($G980="CERVECERIA Y MALTERIA.",($AS980*$AK980/1000000)*(1-VLOOKUP($N980,[1]FCST!D:I,6,FALSE)),0)</f>
        <v>0</v>
      </c>
      <c r="AZ980" s="239">
        <f t="shared" si="134"/>
        <v>0</v>
      </c>
    </row>
    <row r="981" spans="1:52" x14ac:dyDescent="0.25">
      <c r="A981" s="209">
        <v>1115256</v>
      </c>
      <c r="B981" s="209">
        <v>20</v>
      </c>
      <c r="C981" s="209">
        <v>89453067</v>
      </c>
      <c r="D981" s="209">
        <v>10</v>
      </c>
      <c r="E981" s="209">
        <v>10000002</v>
      </c>
      <c r="F981" s="209">
        <v>20000337</v>
      </c>
      <c r="G981" s="209" t="s">
        <v>105</v>
      </c>
      <c r="H981" s="209">
        <v>20000337</v>
      </c>
      <c r="I981" s="209">
        <v>2</v>
      </c>
      <c r="J981" s="209" t="s">
        <v>169</v>
      </c>
      <c r="K981" s="209" t="s">
        <v>2138</v>
      </c>
      <c r="L981" s="209" t="s">
        <v>171</v>
      </c>
      <c r="M981" s="209" t="s">
        <v>184</v>
      </c>
      <c r="N981" s="209">
        <v>50039302</v>
      </c>
      <c r="O981" s="209" t="s">
        <v>1942</v>
      </c>
      <c r="P981" s="209">
        <v>5121</v>
      </c>
      <c r="Q981" s="209" t="s">
        <v>174</v>
      </c>
      <c r="R981" s="209" t="s">
        <v>175</v>
      </c>
      <c r="S981" s="209" t="s">
        <v>176</v>
      </c>
      <c r="T981" s="209" t="s">
        <v>177</v>
      </c>
      <c r="U981" s="209" t="s">
        <v>2057</v>
      </c>
      <c r="V981" s="209" t="s">
        <v>179</v>
      </c>
      <c r="W981" s="209" t="s">
        <v>179</v>
      </c>
      <c r="X981" s="209" t="s">
        <v>180</v>
      </c>
      <c r="Y981" s="209" t="s">
        <v>180</v>
      </c>
      <c r="Z981" s="209">
        <v>9521068597</v>
      </c>
      <c r="AA981" s="209" t="s">
        <v>2079</v>
      </c>
      <c r="AB981" s="209" t="s">
        <v>180</v>
      </c>
      <c r="AC981" s="209" t="s">
        <v>182</v>
      </c>
      <c r="AD981" s="209">
        <v>4</v>
      </c>
      <c r="AE981" s="209">
        <v>2025</v>
      </c>
      <c r="AF981" s="227">
        <v>45776</v>
      </c>
      <c r="AG981" s="227">
        <v>45780</v>
      </c>
      <c r="AH981" s="227">
        <v>45782</v>
      </c>
      <c r="AI981" s="228">
        <v>399360</v>
      </c>
      <c r="AJ981" s="228">
        <v>52</v>
      </c>
      <c r="AK981" s="228">
        <v>399360</v>
      </c>
      <c r="AL981" s="228">
        <v>52</v>
      </c>
      <c r="AM981" s="228">
        <v>0</v>
      </c>
      <c r="AN981" s="228">
        <v>0</v>
      </c>
      <c r="AO981" s="229">
        <v>18</v>
      </c>
      <c r="AP981" s="231">
        <v>5</v>
      </c>
      <c r="AQ981" s="231">
        <v>2025</v>
      </c>
      <c r="AR981" s="231" t="str">
        <f t="shared" si="130"/>
        <v>05/2025</v>
      </c>
      <c r="AS981" s="231">
        <f t="shared" si="131"/>
        <v>46.6</v>
      </c>
      <c r="AT981" s="239">
        <f>IF(G981="CERVECERIA Y MALTERIA",(AS981*AK981/1000000)*(1-VLOOKUP(N981,[1]FCST!D:I,6,FALSE)),0)</f>
        <v>18.610175999999999</v>
      </c>
      <c r="AU981" s="232">
        <v>5.0000000000000001E-3</v>
      </c>
      <c r="AV981" s="239">
        <f t="shared" si="132"/>
        <v>18.703226879999995</v>
      </c>
      <c r="AW981" s="239">
        <f>(AS981*AK981/1000000)*(VLOOKUP(N981,[1]FCST!D:I,6,FALSE))</f>
        <v>0</v>
      </c>
      <c r="AX981" s="239">
        <f t="shared" si="133"/>
        <v>0</v>
      </c>
      <c r="AY981" s="239">
        <f>IF($G981="CERVECERIA Y MALTERIA.",($AS981*$AK981/1000000)*(1-VLOOKUP($N981,[1]FCST!D:I,6,FALSE)),0)</f>
        <v>0</v>
      </c>
      <c r="AZ981" s="239">
        <f t="shared" si="134"/>
        <v>0</v>
      </c>
    </row>
    <row r="982" spans="1:52" x14ac:dyDescent="0.25">
      <c r="A982" s="209">
        <v>1116209</v>
      </c>
      <c r="B982" s="209">
        <v>10</v>
      </c>
      <c r="C982" s="209">
        <v>89453064</v>
      </c>
      <c r="D982" s="209">
        <v>10</v>
      </c>
      <c r="E982" s="209">
        <v>10000002</v>
      </c>
      <c r="F982" s="209">
        <v>20000335</v>
      </c>
      <c r="G982" s="209" t="s">
        <v>105</v>
      </c>
      <c r="H982" s="209">
        <v>20000335</v>
      </c>
      <c r="I982" s="209">
        <v>2</v>
      </c>
      <c r="J982" s="209" t="s">
        <v>169</v>
      </c>
      <c r="K982" s="209" t="s">
        <v>2139</v>
      </c>
      <c r="L982" s="209" t="s">
        <v>171</v>
      </c>
      <c r="M982" s="209" t="s">
        <v>199</v>
      </c>
      <c r="N982" s="209">
        <v>50032573</v>
      </c>
      <c r="O982" s="209" t="s">
        <v>173</v>
      </c>
      <c r="P982" s="209">
        <v>5121</v>
      </c>
      <c r="Q982" s="209" t="s">
        <v>200</v>
      </c>
      <c r="R982" s="209" t="s">
        <v>201</v>
      </c>
      <c r="S982" s="209" t="s">
        <v>202</v>
      </c>
      <c r="T982" s="209" t="s">
        <v>203</v>
      </c>
      <c r="U982" s="209" t="s">
        <v>201</v>
      </c>
      <c r="V982" s="209" t="s">
        <v>179</v>
      </c>
      <c r="W982" s="209" t="s">
        <v>179</v>
      </c>
      <c r="X982" s="209" t="s">
        <v>180</v>
      </c>
      <c r="Y982" s="209" t="s">
        <v>180</v>
      </c>
      <c r="Z982" s="209">
        <v>9521068590</v>
      </c>
      <c r="AA982" s="209" t="s">
        <v>2119</v>
      </c>
      <c r="AB982" s="209" t="s">
        <v>180</v>
      </c>
      <c r="AC982" s="209" t="s">
        <v>182</v>
      </c>
      <c r="AD982" s="209">
        <v>5</v>
      </c>
      <c r="AE982" s="209">
        <v>2025</v>
      </c>
      <c r="AF982" s="227">
        <v>45779</v>
      </c>
      <c r="AG982" s="227">
        <v>45782</v>
      </c>
      <c r="AH982" s="227">
        <v>45782</v>
      </c>
      <c r="AI982" s="228">
        <v>531648</v>
      </c>
      <c r="AJ982" s="228">
        <v>52</v>
      </c>
      <c r="AK982" s="228">
        <v>531648</v>
      </c>
      <c r="AL982" s="228">
        <v>52</v>
      </c>
      <c r="AM982" s="228">
        <v>0</v>
      </c>
      <c r="AN982" s="228">
        <v>0</v>
      </c>
      <c r="AO982" s="229">
        <v>19</v>
      </c>
      <c r="AP982" s="231">
        <v>5</v>
      </c>
      <c r="AQ982" s="231">
        <v>2025</v>
      </c>
      <c r="AR982" s="231" t="str">
        <f t="shared" si="130"/>
        <v>05/2025</v>
      </c>
      <c r="AS982" s="231">
        <f t="shared" si="131"/>
        <v>37.200000000000003</v>
      </c>
      <c r="AT982" s="239">
        <f>IF(G982="CERVECERIA Y MALTERIA",(AS982*AK982/1000000)*(1-VLOOKUP(N982,[1]FCST!D:I,6,FALSE)),0)</f>
        <v>19.777305600000002</v>
      </c>
      <c r="AU982" s="232">
        <v>5.0000000000000001E-3</v>
      </c>
      <c r="AV982" s="239">
        <f t="shared" si="132"/>
        <v>19.876192128</v>
      </c>
      <c r="AW982" s="239">
        <f>(AS982*AK982/1000000)*(VLOOKUP(N982,[1]FCST!D:I,6,FALSE))</f>
        <v>0</v>
      </c>
      <c r="AX982" s="239">
        <f t="shared" si="133"/>
        <v>0</v>
      </c>
      <c r="AY982" s="239">
        <f>IF($G982="CERVECERIA Y MALTERIA.",($AS982*$AK982/1000000)*(1-VLOOKUP($N982,[1]FCST!D:I,6,FALSE)),0)</f>
        <v>0</v>
      </c>
      <c r="AZ982" s="239">
        <f t="shared" si="134"/>
        <v>0</v>
      </c>
    </row>
    <row r="983" spans="1:52" x14ac:dyDescent="0.25">
      <c r="A983" s="209">
        <v>1115256</v>
      </c>
      <c r="B983" s="209">
        <v>30</v>
      </c>
      <c r="C983" s="209">
        <v>89453059</v>
      </c>
      <c r="D983" s="209">
        <v>10</v>
      </c>
      <c r="E983" s="209">
        <v>10000002</v>
      </c>
      <c r="F983" s="209">
        <v>20000337</v>
      </c>
      <c r="G983" s="209" t="s">
        <v>105</v>
      </c>
      <c r="H983" s="209">
        <v>20000337</v>
      </c>
      <c r="I983" s="209">
        <v>2</v>
      </c>
      <c r="J983" s="209" t="s">
        <v>169</v>
      </c>
      <c r="K983" s="209" t="s">
        <v>2140</v>
      </c>
      <c r="L983" s="209" t="s">
        <v>171</v>
      </c>
      <c r="M983" s="209" t="s">
        <v>184</v>
      </c>
      <c r="N983" s="209">
        <v>50039302</v>
      </c>
      <c r="O983" s="209" t="s">
        <v>1942</v>
      </c>
      <c r="P983" s="209">
        <v>5121</v>
      </c>
      <c r="Q983" s="209" t="s">
        <v>174</v>
      </c>
      <c r="R983" s="209" t="s">
        <v>175</v>
      </c>
      <c r="S983" s="209" t="s">
        <v>176</v>
      </c>
      <c r="T983" s="209" t="s">
        <v>177</v>
      </c>
      <c r="U983" s="209" t="s">
        <v>2057</v>
      </c>
      <c r="V983" s="209" t="s">
        <v>179</v>
      </c>
      <c r="W983" s="209" t="s">
        <v>179</v>
      </c>
      <c r="X983" s="209" t="s">
        <v>180</v>
      </c>
      <c r="Y983" s="209" t="s">
        <v>180</v>
      </c>
      <c r="Z983" s="209">
        <v>9521068597</v>
      </c>
      <c r="AA983" s="209" t="s">
        <v>2079</v>
      </c>
      <c r="AB983" s="209" t="s">
        <v>180</v>
      </c>
      <c r="AC983" s="209" t="s">
        <v>182</v>
      </c>
      <c r="AD983" s="209">
        <v>4</v>
      </c>
      <c r="AE983" s="209">
        <v>2025</v>
      </c>
      <c r="AF983" s="227">
        <v>45776</v>
      </c>
      <c r="AG983" s="227">
        <v>45783</v>
      </c>
      <c r="AH983" s="227">
        <v>45782</v>
      </c>
      <c r="AI983" s="228">
        <v>399360</v>
      </c>
      <c r="AJ983" s="228">
        <v>52</v>
      </c>
      <c r="AK983" s="228">
        <v>399360</v>
      </c>
      <c r="AL983" s="228">
        <v>52</v>
      </c>
      <c r="AM983" s="228">
        <v>0</v>
      </c>
      <c r="AN983" s="228">
        <v>0</v>
      </c>
      <c r="AO983" s="229">
        <v>18</v>
      </c>
      <c r="AP983" s="231">
        <v>5</v>
      </c>
      <c r="AQ983" s="231">
        <v>2025</v>
      </c>
      <c r="AR983" s="231" t="str">
        <f t="shared" si="130"/>
        <v>05/2025</v>
      </c>
      <c r="AS983" s="231">
        <f t="shared" si="131"/>
        <v>46.6</v>
      </c>
      <c r="AT983" s="239">
        <f>IF(G983="CERVECERIA Y MALTERIA",(AS983*AK983/1000000)*(1-VLOOKUP(N983,[1]FCST!D:I,6,FALSE)),0)</f>
        <v>18.610175999999999</v>
      </c>
      <c r="AU983" s="232">
        <v>5.0000000000000001E-3</v>
      </c>
      <c r="AV983" s="239">
        <f t="shared" si="132"/>
        <v>18.703226879999995</v>
      </c>
      <c r="AW983" s="239">
        <f>(AS983*AK983/1000000)*(VLOOKUP(N983,[1]FCST!D:I,6,FALSE))</f>
        <v>0</v>
      </c>
      <c r="AX983" s="239">
        <f t="shared" si="133"/>
        <v>0</v>
      </c>
      <c r="AY983" s="239">
        <f>IF($G983="CERVECERIA Y MALTERIA.",($AS983*$AK983/1000000)*(1-VLOOKUP($N983,[1]FCST!D:I,6,FALSE)),0)</f>
        <v>0</v>
      </c>
      <c r="AZ983" s="239">
        <f t="shared" si="134"/>
        <v>0</v>
      </c>
    </row>
    <row r="984" spans="1:52" x14ac:dyDescent="0.25">
      <c r="A984" s="209">
        <v>1116210</v>
      </c>
      <c r="B984" s="209">
        <v>10</v>
      </c>
      <c r="C984" s="209">
        <v>89452677</v>
      </c>
      <c r="D984" s="209">
        <v>10</v>
      </c>
      <c r="E984" s="209">
        <v>10000002</v>
      </c>
      <c r="F984" s="209">
        <v>20000340</v>
      </c>
      <c r="G984" s="209" t="s">
        <v>117</v>
      </c>
      <c r="H984" s="209">
        <v>20000340</v>
      </c>
      <c r="I984" s="209">
        <v>2</v>
      </c>
      <c r="J984" s="209" t="s">
        <v>169</v>
      </c>
      <c r="K984" s="209" t="s">
        <v>2141</v>
      </c>
      <c r="L984" s="209" t="s">
        <v>171</v>
      </c>
      <c r="M984" s="209" t="s">
        <v>172</v>
      </c>
      <c r="N984" s="209">
        <v>50027468</v>
      </c>
      <c r="O984" s="209" t="s">
        <v>285</v>
      </c>
      <c r="P984" s="209">
        <v>5101</v>
      </c>
      <c r="Q984" s="209" t="s">
        <v>186</v>
      </c>
      <c r="R984" s="209" t="s">
        <v>175</v>
      </c>
      <c r="S984" s="209" t="s">
        <v>176</v>
      </c>
      <c r="T984" s="209" t="s">
        <v>187</v>
      </c>
      <c r="U984" s="209" t="s">
        <v>188</v>
      </c>
      <c r="V984" s="209" t="s">
        <v>179</v>
      </c>
      <c r="W984" s="209" t="s">
        <v>179</v>
      </c>
      <c r="X984" s="209" t="s">
        <v>180</v>
      </c>
      <c r="Y984" s="209" t="s">
        <v>180</v>
      </c>
      <c r="Z984" s="209">
        <v>9511047949</v>
      </c>
      <c r="AA984" s="209" t="s">
        <v>2142</v>
      </c>
      <c r="AB984" s="209" t="s">
        <v>180</v>
      </c>
      <c r="AC984" s="209" t="s">
        <v>182</v>
      </c>
      <c r="AD984" s="209">
        <v>5</v>
      </c>
      <c r="AE984" s="209">
        <v>2025</v>
      </c>
      <c r="AF984" s="227">
        <v>45779</v>
      </c>
      <c r="AG984" s="227">
        <v>45782</v>
      </c>
      <c r="AH984" s="227">
        <v>45782</v>
      </c>
      <c r="AI984" s="228">
        <v>399360</v>
      </c>
      <c r="AJ984" s="228">
        <v>52</v>
      </c>
      <c r="AK984" s="228">
        <v>399360</v>
      </c>
      <c r="AL984" s="228">
        <v>52</v>
      </c>
      <c r="AM984" s="228">
        <v>0</v>
      </c>
      <c r="AN984" s="228">
        <v>0</v>
      </c>
      <c r="AO984" s="229">
        <v>19</v>
      </c>
      <c r="AP984" s="231">
        <v>5</v>
      </c>
      <c r="AQ984" s="231">
        <v>2025</v>
      </c>
      <c r="AR984" s="231" t="str">
        <f t="shared" si="130"/>
        <v>05/2025</v>
      </c>
      <c r="AS984" s="231">
        <f t="shared" si="131"/>
        <v>52</v>
      </c>
      <c r="AT984" s="239">
        <f>IF(G984="CERVECERIA Y MALTERIA",(AS984*AK984/1000000)*(1-VLOOKUP(N984,[1]FCST!D:I,6,FALSE)),0)</f>
        <v>0</v>
      </c>
      <c r="AU984" s="232">
        <v>5.0000000000000001E-3</v>
      </c>
      <c r="AV984" s="239">
        <f t="shared" si="132"/>
        <v>0</v>
      </c>
      <c r="AW984" s="239">
        <f>(AS984*AK984/1000000)*(VLOOKUP(N984,[1]FCST!D:I,6,FALSE))</f>
        <v>0</v>
      </c>
      <c r="AX984" s="239">
        <f t="shared" si="133"/>
        <v>0</v>
      </c>
      <c r="AY984" s="239">
        <f>IF($G984="CERVECERIA Y MALTERIA.",($AS984*$AK984/1000000)*(1-VLOOKUP($N984,[1]FCST!D:I,6,FALSE)),0)</f>
        <v>20.766719999999999</v>
      </c>
      <c r="AZ984" s="239">
        <f t="shared" si="134"/>
        <v>20.870553599999997</v>
      </c>
    </row>
    <row r="985" spans="1:52" x14ac:dyDescent="0.25">
      <c r="A985" s="209">
        <v>1116209</v>
      </c>
      <c r="B985" s="209">
        <v>20</v>
      </c>
      <c r="C985" s="209">
        <v>89452446</v>
      </c>
      <c r="D985" s="209">
        <v>10</v>
      </c>
      <c r="E985" s="209">
        <v>10000002</v>
      </c>
      <c r="F985" s="209">
        <v>20000335</v>
      </c>
      <c r="G985" s="209" t="s">
        <v>105</v>
      </c>
      <c r="H985" s="209">
        <v>20000335</v>
      </c>
      <c r="I985" s="209">
        <v>2</v>
      </c>
      <c r="J985" s="209" t="s">
        <v>169</v>
      </c>
      <c r="K985" s="209" t="s">
        <v>2143</v>
      </c>
      <c r="L985" s="209" t="s">
        <v>171</v>
      </c>
      <c r="M985" s="209" t="s">
        <v>172</v>
      </c>
      <c r="N985" s="209">
        <v>50024497</v>
      </c>
      <c r="O985" s="209" t="s">
        <v>1352</v>
      </c>
      <c r="P985" s="209">
        <v>5121</v>
      </c>
      <c r="Q985" s="209" t="s">
        <v>174</v>
      </c>
      <c r="R985" s="209" t="s">
        <v>175</v>
      </c>
      <c r="S985" s="209" t="s">
        <v>176</v>
      </c>
      <c r="T985" s="209" t="s">
        <v>177</v>
      </c>
      <c r="U985" s="209" t="s">
        <v>2057</v>
      </c>
      <c r="V985" s="209" t="s">
        <v>179</v>
      </c>
      <c r="W985" s="209" t="s">
        <v>179</v>
      </c>
      <c r="X985" s="209" t="s">
        <v>180</v>
      </c>
      <c r="Y985" s="209" t="s">
        <v>180</v>
      </c>
      <c r="Z985" s="209">
        <v>9521068588</v>
      </c>
      <c r="AA985" s="209" t="s">
        <v>2113</v>
      </c>
      <c r="AB985" s="209" t="s">
        <v>180</v>
      </c>
      <c r="AC985" s="209" t="s">
        <v>182</v>
      </c>
      <c r="AD985" s="209">
        <v>5</v>
      </c>
      <c r="AE985" s="209">
        <v>2025</v>
      </c>
      <c r="AF985" s="227">
        <v>45779</v>
      </c>
      <c r="AG985" s="227">
        <v>45782</v>
      </c>
      <c r="AH985" s="227">
        <v>45782</v>
      </c>
      <c r="AI985" s="228">
        <v>324864</v>
      </c>
      <c r="AJ985" s="228">
        <v>48</v>
      </c>
      <c r="AK985" s="228">
        <v>324864</v>
      </c>
      <c r="AL985" s="228">
        <v>48</v>
      </c>
      <c r="AM985" s="228">
        <v>0</v>
      </c>
      <c r="AN985" s="228">
        <v>0</v>
      </c>
      <c r="AO985" s="229">
        <v>19</v>
      </c>
      <c r="AP985" s="231">
        <v>5</v>
      </c>
      <c r="AQ985" s="231">
        <v>2025</v>
      </c>
      <c r="AR985" s="231" t="str">
        <f t="shared" si="130"/>
        <v>05/2025</v>
      </c>
      <c r="AS985" s="231">
        <f t="shared" si="131"/>
        <v>54.7</v>
      </c>
      <c r="AT985" s="239">
        <f>IF(G985="CERVECERIA Y MALTERIA",(AS985*AK985/1000000)*(1-VLOOKUP(N985,[1]FCST!D:I,6,FALSE)),0)</f>
        <v>17.7700608</v>
      </c>
      <c r="AU985" s="232">
        <v>5.0000000000000001E-3</v>
      </c>
      <c r="AV985" s="239">
        <f t="shared" si="132"/>
        <v>17.858911103999997</v>
      </c>
      <c r="AW985" s="239">
        <f>(AS985*AK985/1000000)*(VLOOKUP(N985,[1]FCST!D:I,6,FALSE))</f>
        <v>0</v>
      </c>
      <c r="AX985" s="239">
        <f t="shared" si="133"/>
        <v>0</v>
      </c>
      <c r="AY985" s="239">
        <f>IF($G985="CERVECERIA Y MALTERIA.",($AS985*$AK985/1000000)*(1-VLOOKUP($N985,[1]FCST!D:I,6,FALSE)),0)</f>
        <v>0</v>
      </c>
      <c r="AZ985" s="239">
        <f t="shared" si="134"/>
        <v>0</v>
      </c>
    </row>
    <row r="986" spans="1:52" x14ac:dyDescent="0.25">
      <c r="A986" s="209">
        <v>1116210</v>
      </c>
      <c r="B986" s="209">
        <v>20</v>
      </c>
      <c r="C986" s="209">
        <v>89452445</v>
      </c>
      <c r="D986" s="209">
        <v>10</v>
      </c>
      <c r="E986" s="209">
        <v>10000002</v>
      </c>
      <c r="F986" s="209">
        <v>20000340</v>
      </c>
      <c r="G986" s="209" t="s">
        <v>117</v>
      </c>
      <c r="H986" s="209">
        <v>20000340</v>
      </c>
      <c r="I986" s="209">
        <v>2</v>
      </c>
      <c r="J986" s="209" t="s">
        <v>169</v>
      </c>
      <c r="K986" s="209" t="s">
        <v>2144</v>
      </c>
      <c r="L986" s="209" t="s">
        <v>171</v>
      </c>
      <c r="M986" s="209" t="s">
        <v>172</v>
      </c>
      <c r="N986" s="209">
        <v>50027468</v>
      </c>
      <c r="O986" s="209" t="s">
        <v>285</v>
      </c>
      <c r="P986" s="209">
        <v>5101</v>
      </c>
      <c r="Q986" s="209" t="s">
        <v>186</v>
      </c>
      <c r="R986" s="209" t="s">
        <v>175</v>
      </c>
      <c r="S986" s="209" t="s">
        <v>176</v>
      </c>
      <c r="T986" s="209" t="s">
        <v>187</v>
      </c>
      <c r="U986" s="209" t="s">
        <v>188</v>
      </c>
      <c r="V986" s="209" t="s">
        <v>179</v>
      </c>
      <c r="W986" s="209" t="s">
        <v>179</v>
      </c>
      <c r="X986" s="209" t="s">
        <v>180</v>
      </c>
      <c r="Y986" s="209" t="s">
        <v>180</v>
      </c>
      <c r="Z986" s="209">
        <v>9511047949</v>
      </c>
      <c r="AA986" s="209" t="s">
        <v>2142</v>
      </c>
      <c r="AB986" s="209" t="s">
        <v>180</v>
      </c>
      <c r="AC986" s="209" t="s">
        <v>182</v>
      </c>
      <c r="AD986" s="209">
        <v>5</v>
      </c>
      <c r="AE986" s="209">
        <v>2025</v>
      </c>
      <c r="AF986" s="227">
        <v>45779</v>
      </c>
      <c r="AG986" s="227">
        <v>45782</v>
      </c>
      <c r="AH986" s="227">
        <v>45782</v>
      </c>
      <c r="AI986" s="228">
        <v>23040</v>
      </c>
      <c r="AJ986" s="228">
        <v>3</v>
      </c>
      <c r="AK986" s="228">
        <v>23040</v>
      </c>
      <c r="AL986" s="228">
        <v>3</v>
      </c>
      <c r="AM986" s="228">
        <v>0</v>
      </c>
      <c r="AN986" s="228">
        <v>0</v>
      </c>
      <c r="AO986" s="229">
        <v>19</v>
      </c>
      <c r="AP986" s="231">
        <v>5</v>
      </c>
      <c r="AQ986" s="231">
        <v>2025</v>
      </c>
      <c r="AR986" s="231" t="str">
        <f t="shared" si="130"/>
        <v>05/2025</v>
      </c>
      <c r="AS986" s="231">
        <f t="shared" si="131"/>
        <v>52</v>
      </c>
      <c r="AT986" s="239">
        <f>IF(G986="CERVECERIA Y MALTERIA",(AS986*AK986/1000000)*(1-VLOOKUP(N986,[1]FCST!D:I,6,FALSE)),0)</f>
        <v>0</v>
      </c>
      <c r="AU986" s="232">
        <v>5.0000000000000001E-3</v>
      </c>
      <c r="AV986" s="239">
        <f t="shared" si="132"/>
        <v>0</v>
      </c>
      <c r="AW986" s="239">
        <f>(AS986*AK986/1000000)*(VLOOKUP(N986,[1]FCST!D:I,6,FALSE))</f>
        <v>0</v>
      </c>
      <c r="AX986" s="239">
        <f t="shared" si="133"/>
        <v>0</v>
      </c>
      <c r="AY986" s="239">
        <f>IF($G986="CERVECERIA Y MALTERIA.",($AS986*$AK986/1000000)*(1-VLOOKUP($N986,[1]FCST!D:I,6,FALSE)),0)</f>
        <v>1.19808</v>
      </c>
      <c r="AZ986" s="239">
        <f t="shared" si="134"/>
        <v>1.2040704</v>
      </c>
    </row>
    <row r="987" spans="1:52" x14ac:dyDescent="0.25">
      <c r="A987" s="209">
        <v>1114631</v>
      </c>
      <c r="B987" s="209">
        <v>10</v>
      </c>
      <c r="C987" s="209">
        <v>89450989</v>
      </c>
      <c r="D987" s="209">
        <v>10</v>
      </c>
      <c r="E987" s="209">
        <v>10000002</v>
      </c>
      <c r="F987" s="209">
        <v>20000340</v>
      </c>
      <c r="G987" s="209" t="s">
        <v>117</v>
      </c>
      <c r="H987" s="209">
        <v>20000340</v>
      </c>
      <c r="I987" s="209">
        <v>2</v>
      </c>
      <c r="J987" s="209" t="s">
        <v>169</v>
      </c>
      <c r="K987" s="209" t="s">
        <v>2145</v>
      </c>
      <c r="L987" s="209" t="s">
        <v>171</v>
      </c>
      <c r="M987" s="209" t="s">
        <v>184</v>
      </c>
      <c r="N987" s="209">
        <v>50027468</v>
      </c>
      <c r="O987" s="209" t="s">
        <v>285</v>
      </c>
      <c r="P987" s="209">
        <v>5101</v>
      </c>
      <c r="Q987" s="209" t="s">
        <v>186</v>
      </c>
      <c r="R987" s="209" t="s">
        <v>175</v>
      </c>
      <c r="S987" s="209" t="s">
        <v>176</v>
      </c>
      <c r="T987" s="209" t="s">
        <v>187</v>
      </c>
      <c r="U987" s="209" t="s">
        <v>188</v>
      </c>
      <c r="V987" s="209" t="s">
        <v>179</v>
      </c>
      <c r="W987" s="209" t="s">
        <v>179</v>
      </c>
      <c r="X987" s="209" t="s">
        <v>180</v>
      </c>
      <c r="Y987" s="209" t="s">
        <v>180</v>
      </c>
      <c r="Z987" s="209">
        <v>9511047949</v>
      </c>
      <c r="AA987" s="209" t="s">
        <v>2142</v>
      </c>
      <c r="AB987" s="209" t="s">
        <v>180</v>
      </c>
      <c r="AC987" s="209" t="s">
        <v>182</v>
      </c>
      <c r="AD987" s="209">
        <v>5</v>
      </c>
      <c r="AE987" s="209">
        <v>2025</v>
      </c>
      <c r="AF987" s="227">
        <v>45772</v>
      </c>
      <c r="AG987" s="227">
        <v>45779</v>
      </c>
      <c r="AH987" s="227">
        <v>45779</v>
      </c>
      <c r="AI987" s="228">
        <v>399360</v>
      </c>
      <c r="AJ987" s="228">
        <v>52</v>
      </c>
      <c r="AK987" s="228">
        <v>399360</v>
      </c>
      <c r="AL987" s="228">
        <v>52</v>
      </c>
      <c r="AM987" s="228">
        <v>0</v>
      </c>
      <c r="AN987" s="228">
        <v>0</v>
      </c>
      <c r="AO987" s="229">
        <v>18</v>
      </c>
      <c r="AP987" s="231">
        <v>5</v>
      </c>
      <c r="AQ987" s="231">
        <v>2025</v>
      </c>
      <c r="AR987" s="231" t="str">
        <f t="shared" ref="AR987:AR1007" si="135">+IF(AP987&lt;10,"0"&amp;AP987&amp; "/"&amp;AQ987,AP987&amp; "/"&amp;AQ987)</f>
        <v>05/2025</v>
      </c>
      <c r="AS987" s="231">
        <f t="shared" ref="AS987:AS1007" si="136">VALUE(MID(INDEX(_xlfn.TEXTSPLIT(O987, ","), 1, 3), 1,FIND("G", INDEX(_xlfn.TEXTSPLIT(O987, ","), 1, 3))-1))</f>
        <v>52</v>
      </c>
      <c r="AT987" s="239">
        <f>IF(G987="CERVECERIA Y MALTERIA",(AS987*AK987/1000000)*(1-VLOOKUP(N987,[1]FCST!D:I,6,FALSE)),0)</f>
        <v>0</v>
      </c>
      <c r="AU987" s="232">
        <v>5.0000000000000001E-3</v>
      </c>
      <c r="AV987" s="239">
        <f t="shared" ref="AV987:AV1007" si="137">+AT987*(1+AU987)</f>
        <v>0</v>
      </c>
      <c r="AW987" s="239">
        <f>(AS987*AK987/1000000)*(VLOOKUP(N987,[1]FCST!D:I,6,FALSE))</f>
        <v>0</v>
      </c>
      <c r="AX987" s="239">
        <f t="shared" ref="AX987:AX1007" si="138">+AW987*(1+AU987)</f>
        <v>0</v>
      </c>
      <c r="AY987" s="239">
        <f>IF($G987="CERVECERIA Y MALTERIA.",($AS987*$AK987/1000000)*(1-VLOOKUP($N987,[1]FCST!D:I,6,FALSE)),0)</f>
        <v>20.766719999999999</v>
      </c>
      <c r="AZ987" s="239">
        <f t="shared" ref="AZ987:AZ1007" si="139">+AY987*(1+AU987)</f>
        <v>20.870553599999997</v>
      </c>
    </row>
    <row r="988" spans="1:52" x14ac:dyDescent="0.25">
      <c r="A988" s="209">
        <v>1116209</v>
      </c>
      <c r="B988" s="209">
        <v>50</v>
      </c>
      <c r="C988" s="209">
        <v>89455364</v>
      </c>
      <c r="D988" s="209">
        <v>10</v>
      </c>
      <c r="E988" s="209">
        <v>10000002</v>
      </c>
      <c r="F988" s="209">
        <v>20000335</v>
      </c>
      <c r="G988" s="209" t="s">
        <v>105</v>
      </c>
      <c r="H988" s="209">
        <v>20000335</v>
      </c>
      <c r="I988" s="209">
        <v>2</v>
      </c>
      <c r="J988" s="209" t="s">
        <v>169</v>
      </c>
      <c r="K988" s="209" t="s">
        <v>2146</v>
      </c>
      <c r="L988" s="209" t="s">
        <v>171</v>
      </c>
      <c r="M988" s="209" t="s">
        <v>199</v>
      </c>
      <c r="N988" s="209">
        <v>50034616</v>
      </c>
      <c r="O988" s="209" t="s">
        <v>191</v>
      </c>
      <c r="P988" s="209">
        <v>5121</v>
      </c>
      <c r="Q988" s="209" t="s">
        <v>200</v>
      </c>
      <c r="R988" s="209" t="s">
        <v>201</v>
      </c>
      <c r="S988" s="209" t="s">
        <v>202</v>
      </c>
      <c r="T988" s="209" t="s">
        <v>203</v>
      </c>
      <c r="U988" s="209" t="s">
        <v>201</v>
      </c>
      <c r="V988" s="209" t="s">
        <v>179</v>
      </c>
      <c r="W988" s="209" t="s">
        <v>179</v>
      </c>
      <c r="X988" s="209" t="s">
        <v>180</v>
      </c>
      <c r="Y988" s="209" t="s">
        <v>180</v>
      </c>
      <c r="Z988" s="209">
        <v>9521068591</v>
      </c>
      <c r="AA988" s="209" t="s">
        <v>2060</v>
      </c>
      <c r="AB988" s="209" t="s">
        <v>180</v>
      </c>
      <c r="AC988" s="209" t="s">
        <v>182</v>
      </c>
      <c r="AD988" s="209">
        <v>5</v>
      </c>
      <c r="AE988" s="209">
        <v>2025</v>
      </c>
      <c r="AF988" s="227">
        <v>45779</v>
      </c>
      <c r="AG988" s="227">
        <v>45784</v>
      </c>
      <c r="AH988" s="227">
        <v>45784</v>
      </c>
      <c r="AI988" s="228">
        <v>426816</v>
      </c>
      <c r="AJ988" s="228">
        <v>52</v>
      </c>
      <c r="AK988" s="228">
        <v>426816</v>
      </c>
      <c r="AL988" s="228">
        <v>52</v>
      </c>
      <c r="AM988" s="228">
        <v>0</v>
      </c>
      <c r="AN988" s="228">
        <v>0</v>
      </c>
      <c r="AO988" s="229">
        <v>19</v>
      </c>
      <c r="AP988" s="231">
        <v>5</v>
      </c>
      <c r="AQ988" s="231">
        <v>2025</v>
      </c>
      <c r="AR988" s="231" t="str">
        <f t="shared" si="135"/>
        <v>05/2025</v>
      </c>
      <c r="AS988" s="231">
        <f t="shared" si="136"/>
        <v>46.6</v>
      </c>
      <c r="AT988" s="239">
        <f>IF(G988="CERVECERIA Y MALTERIA",(AS988*AK988/1000000)*(1-VLOOKUP(N988,[1]FCST!D:I,6,FALSE)),0)</f>
        <v>19.889625600000002</v>
      </c>
      <c r="AU988" s="232">
        <v>5.0000000000000001E-3</v>
      </c>
      <c r="AV988" s="239">
        <f t="shared" si="137"/>
        <v>19.989073728000001</v>
      </c>
      <c r="AW988" s="239">
        <f>(AS988*AK988/1000000)*(VLOOKUP(N988,[1]FCST!D:I,6,FALSE))</f>
        <v>0</v>
      </c>
      <c r="AX988" s="239">
        <f t="shared" si="138"/>
        <v>0</v>
      </c>
      <c r="AY988" s="239">
        <f>IF($G988="CERVECERIA Y MALTERIA.",($AS988*$AK988/1000000)*(1-VLOOKUP($N988,[1]FCST!D:I,6,FALSE)),0)</f>
        <v>0</v>
      </c>
      <c r="AZ988" s="239">
        <f t="shared" si="139"/>
        <v>0</v>
      </c>
    </row>
    <row r="989" spans="1:52" x14ac:dyDescent="0.25">
      <c r="A989" s="209">
        <v>1116209</v>
      </c>
      <c r="B989" s="209">
        <v>30</v>
      </c>
      <c r="C989" s="209">
        <v>89454017</v>
      </c>
      <c r="D989" s="209">
        <v>10</v>
      </c>
      <c r="E989" s="209">
        <v>10000002</v>
      </c>
      <c r="F989" s="209">
        <v>20000335</v>
      </c>
      <c r="G989" s="209" t="s">
        <v>105</v>
      </c>
      <c r="H989" s="209">
        <v>20000335</v>
      </c>
      <c r="I989" s="209">
        <v>2</v>
      </c>
      <c r="J989" s="209" t="s">
        <v>169</v>
      </c>
      <c r="K989" s="209" t="s">
        <v>2147</v>
      </c>
      <c r="L989" s="209" t="s">
        <v>171</v>
      </c>
      <c r="M989" s="209" t="s">
        <v>199</v>
      </c>
      <c r="N989" s="209">
        <v>50037887</v>
      </c>
      <c r="O989" s="209" t="s">
        <v>679</v>
      </c>
      <c r="P989" s="209">
        <v>5121</v>
      </c>
      <c r="Q989" s="209" t="s">
        <v>200</v>
      </c>
      <c r="R989" s="209" t="s">
        <v>201</v>
      </c>
      <c r="S989" s="209" t="s">
        <v>202</v>
      </c>
      <c r="T989" s="209" t="s">
        <v>203</v>
      </c>
      <c r="U989" s="209" t="s">
        <v>201</v>
      </c>
      <c r="V989" s="209" t="s">
        <v>179</v>
      </c>
      <c r="W989" s="209" t="s">
        <v>179</v>
      </c>
      <c r="X989" s="209" t="s">
        <v>180</v>
      </c>
      <c r="Y989" s="209" t="s">
        <v>180</v>
      </c>
      <c r="Z989" s="209">
        <v>9521068594</v>
      </c>
      <c r="AA989" s="209" t="s">
        <v>2117</v>
      </c>
      <c r="AB989" s="209" t="s">
        <v>180</v>
      </c>
      <c r="AC989" s="209" t="s">
        <v>182</v>
      </c>
      <c r="AD989" s="209">
        <v>5</v>
      </c>
      <c r="AE989" s="209">
        <v>2025</v>
      </c>
      <c r="AF989" s="227">
        <v>45779</v>
      </c>
      <c r="AG989" s="227">
        <v>45783</v>
      </c>
      <c r="AH989" s="227">
        <v>45783</v>
      </c>
      <c r="AI989" s="228">
        <v>531648</v>
      </c>
      <c r="AJ989" s="228">
        <v>52</v>
      </c>
      <c r="AK989" s="228">
        <v>531648</v>
      </c>
      <c r="AL989" s="228">
        <v>52</v>
      </c>
      <c r="AM989" s="228">
        <v>0</v>
      </c>
      <c r="AN989" s="228">
        <v>0</v>
      </c>
      <c r="AO989" s="229">
        <v>19</v>
      </c>
      <c r="AP989" s="231">
        <v>5</v>
      </c>
      <c r="AQ989" s="231">
        <v>2025</v>
      </c>
      <c r="AR989" s="231" t="str">
        <f t="shared" si="135"/>
        <v>05/2025</v>
      </c>
      <c r="AS989" s="231">
        <f t="shared" si="136"/>
        <v>37.200000000000003</v>
      </c>
      <c r="AT989" s="239">
        <f>IF(G989="CERVECERIA Y MALTERIA",(AS989*AK989/1000000)*(1-VLOOKUP(N989,[1]FCST!D:I,6,FALSE)),0)</f>
        <v>19.777305600000002</v>
      </c>
      <c r="AU989" s="232">
        <v>5.0000000000000001E-3</v>
      </c>
      <c r="AV989" s="239">
        <f t="shared" si="137"/>
        <v>19.876192128</v>
      </c>
      <c r="AW989" s="239">
        <f>(AS989*AK989/1000000)*(VLOOKUP(N989,[1]FCST!D:I,6,FALSE))</f>
        <v>0</v>
      </c>
      <c r="AX989" s="239">
        <f t="shared" si="138"/>
        <v>0</v>
      </c>
      <c r="AY989" s="239">
        <f>IF($G989="CERVECERIA Y MALTERIA.",($AS989*$AK989/1000000)*(1-VLOOKUP($N989,[1]FCST!D:I,6,FALSE)),0)</f>
        <v>0</v>
      </c>
      <c r="AZ989" s="239">
        <f t="shared" si="139"/>
        <v>0</v>
      </c>
    </row>
    <row r="990" spans="1:52" x14ac:dyDescent="0.25">
      <c r="A990" s="209">
        <v>1116210</v>
      </c>
      <c r="B990" s="209">
        <v>30</v>
      </c>
      <c r="C990" s="209">
        <v>89453963</v>
      </c>
      <c r="D990" s="209">
        <v>10</v>
      </c>
      <c r="E990" s="209">
        <v>10000002</v>
      </c>
      <c r="F990" s="209">
        <v>20000340</v>
      </c>
      <c r="G990" s="209" t="s">
        <v>117</v>
      </c>
      <c r="H990" s="209">
        <v>20000340</v>
      </c>
      <c r="I990" s="209">
        <v>2</v>
      </c>
      <c r="J990" s="209" t="s">
        <v>169</v>
      </c>
      <c r="K990" s="209" t="s">
        <v>2148</v>
      </c>
      <c r="L990" s="209" t="s">
        <v>171</v>
      </c>
      <c r="M990" s="209" t="s">
        <v>172</v>
      </c>
      <c r="N990" s="209">
        <v>50027468</v>
      </c>
      <c r="O990" s="209" t="s">
        <v>285</v>
      </c>
      <c r="P990" s="209">
        <v>5101</v>
      </c>
      <c r="Q990" s="209" t="s">
        <v>186</v>
      </c>
      <c r="R990" s="209" t="s">
        <v>175</v>
      </c>
      <c r="S990" s="209" t="s">
        <v>176</v>
      </c>
      <c r="T990" s="209" t="s">
        <v>187</v>
      </c>
      <c r="U990" s="209" t="s">
        <v>188</v>
      </c>
      <c r="V990" s="209" t="s">
        <v>179</v>
      </c>
      <c r="W990" s="209" t="s">
        <v>179</v>
      </c>
      <c r="X990" s="209" t="s">
        <v>180</v>
      </c>
      <c r="Y990" s="209" t="s">
        <v>180</v>
      </c>
      <c r="Z990" s="209">
        <v>9511047949</v>
      </c>
      <c r="AA990" s="209" t="s">
        <v>2142</v>
      </c>
      <c r="AB990" s="209" t="s">
        <v>180</v>
      </c>
      <c r="AC990" s="209" t="s">
        <v>182</v>
      </c>
      <c r="AD990" s="209">
        <v>5</v>
      </c>
      <c r="AE990" s="209">
        <v>2025</v>
      </c>
      <c r="AF990" s="227">
        <v>45779</v>
      </c>
      <c r="AG990" s="227">
        <v>45783</v>
      </c>
      <c r="AH990" s="227">
        <v>45783</v>
      </c>
      <c r="AI990" s="228">
        <v>399360</v>
      </c>
      <c r="AJ990" s="228">
        <v>52</v>
      </c>
      <c r="AK990" s="228">
        <v>399360</v>
      </c>
      <c r="AL990" s="228">
        <v>52</v>
      </c>
      <c r="AM990" s="228">
        <v>0</v>
      </c>
      <c r="AN990" s="228">
        <v>0</v>
      </c>
      <c r="AO990" s="229">
        <v>19</v>
      </c>
      <c r="AP990" s="231">
        <v>5</v>
      </c>
      <c r="AQ990" s="231">
        <v>2025</v>
      </c>
      <c r="AR990" s="231" t="str">
        <f t="shared" si="135"/>
        <v>05/2025</v>
      </c>
      <c r="AS990" s="231">
        <f t="shared" si="136"/>
        <v>52</v>
      </c>
      <c r="AT990" s="239">
        <f>IF(G990="CERVECERIA Y MALTERIA",(AS990*AK990/1000000)*(1-VLOOKUP(N990,[1]FCST!D:I,6,FALSE)),0)</f>
        <v>0</v>
      </c>
      <c r="AU990" s="232">
        <v>5.0000000000000001E-3</v>
      </c>
      <c r="AV990" s="239">
        <f t="shared" si="137"/>
        <v>0</v>
      </c>
      <c r="AW990" s="239">
        <f>(AS990*AK990/1000000)*(VLOOKUP(N990,[1]FCST!D:I,6,FALSE))</f>
        <v>0</v>
      </c>
      <c r="AX990" s="239">
        <f t="shared" si="138"/>
        <v>0</v>
      </c>
      <c r="AY990" s="239">
        <f>IF($G990="CERVECERIA Y MALTERIA.",($AS990*$AK990/1000000)*(1-VLOOKUP($N990,[1]FCST!D:I,6,FALSE)),0)</f>
        <v>20.766719999999999</v>
      </c>
      <c r="AZ990" s="239">
        <f t="shared" si="139"/>
        <v>20.870553599999997</v>
      </c>
    </row>
    <row r="991" spans="1:52" x14ac:dyDescent="0.25">
      <c r="A991" s="209">
        <v>1117117</v>
      </c>
      <c r="B991" s="209">
        <v>90</v>
      </c>
      <c r="C991" s="209">
        <v>89462996</v>
      </c>
      <c r="D991" s="209">
        <v>10</v>
      </c>
      <c r="E991" s="209">
        <v>10000002</v>
      </c>
      <c r="F991" s="209">
        <v>20000335</v>
      </c>
      <c r="G991" s="209" t="s">
        <v>105</v>
      </c>
      <c r="H991" s="209">
        <v>20000335</v>
      </c>
      <c r="I991" s="209">
        <v>2</v>
      </c>
      <c r="J991" s="209" t="s">
        <v>169</v>
      </c>
      <c r="K991" s="209" t="s">
        <v>2149</v>
      </c>
      <c r="L991" s="209" t="s">
        <v>171</v>
      </c>
      <c r="M991" s="209" t="s">
        <v>199</v>
      </c>
      <c r="N991" s="209">
        <v>50037887</v>
      </c>
      <c r="O991" s="209" t="s">
        <v>679</v>
      </c>
      <c r="P991" s="209">
        <v>5121</v>
      </c>
      <c r="Q991" s="209" t="s">
        <v>200</v>
      </c>
      <c r="R991" s="209" t="s">
        <v>201</v>
      </c>
      <c r="S991" s="209" t="s">
        <v>202</v>
      </c>
      <c r="T991" s="209" t="s">
        <v>203</v>
      </c>
      <c r="U991" s="209" t="s">
        <v>201</v>
      </c>
      <c r="V991" s="209" t="s">
        <v>179</v>
      </c>
      <c r="W991" s="209" t="s">
        <v>179</v>
      </c>
      <c r="X991" s="209" t="s">
        <v>180</v>
      </c>
      <c r="Y991" s="209" t="s">
        <v>180</v>
      </c>
      <c r="Z991" s="209">
        <v>9521068594</v>
      </c>
      <c r="AA991" s="209" t="s">
        <v>2117</v>
      </c>
      <c r="AB991" s="209" t="s">
        <v>180</v>
      </c>
      <c r="AC991" s="209" t="s">
        <v>182</v>
      </c>
      <c r="AD991" s="209">
        <v>5</v>
      </c>
      <c r="AE991" s="209">
        <v>2025</v>
      </c>
      <c r="AF991" s="227">
        <v>45785</v>
      </c>
      <c r="AG991" s="227">
        <v>45792</v>
      </c>
      <c r="AH991" s="227">
        <v>45792</v>
      </c>
      <c r="AI991" s="228">
        <v>531648</v>
      </c>
      <c r="AJ991" s="228">
        <v>52</v>
      </c>
      <c r="AK991" s="228">
        <v>531648</v>
      </c>
      <c r="AL991" s="228">
        <v>52</v>
      </c>
      <c r="AM991" s="228">
        <v>0</v>
      </c>
      <c r="AN991" s="228">
        <v>0</v>
      </c>
      <c r="AO991" s="229">
        <v>20</v>
      </c>
      <c r="AP991" s="231">
        <v>5</v>
      </c>
      <c r="AQ991" s="231">
        <v>2025</v>
      </c>
      <c r="AR991" s="231" t="str">
        <f t="shared" si="135"/>
        <v>05/2025</v>
      </c>
      <c r="AS991" s="231">
        <f t="shared" si="136"/>
        <v>37.200000000000003</v>
      </c>
      <c r="AT991" s="239">
        <f>IF(G991="CERVECERIA Y MALTERIA",(AS991*AK991/1000000)*(1-VLOOKUP(N991,[1]FCST!D:I,6,FALSE)),0)</f>
        <v>19.777305600000002</v>
      </c>
      <c r="AU991" s="232">
        <v>5.0000000000000001E-3</v>
      </c>
      <c r="AV991" s="239">
        <f t="shared" si="137"/>
        <v>19.876192128</v>
      </c>
      <c r="AW991" s="239">
        <f>(AS991*AK991/1000000)*(VLOOKUP(N991,[1]FCST!D:I,6,FALSE))</f>
        <v>0</v>
      </c>
      <c r="AX991" s="239">
        <f t="shared" si="138"/>
        <v>0</v>
      </c>
      <c r="AY991" s="239">
        <f>IF($G991="CERVECERIA Y MALTERIA.",($AS991*$AK991/1000000)*(1-VLOOKUP($N991,[1]FCST!D:I,6,FALSE)),0)</f>
        <v>0</v>
      </c>
      <c r="AZ991" s="239">
        <f t="shared" si="139"/>
        <v>0</v>
      </c>
    </row>
    <row r="992" spans="1:52" x14ac:dyDescent="0.25">
      <c r="A992" s="209">
        <v>1117117</v>
      </c>
      <c r="B992" s="209">
        <v>80</v>
      </c>
      <c r="C992" s="209">
        <v>89462707</v>
      </c>
      <c r="D992" s="209">
        <v>10</v>
      </c>
      <c r="E992" s="209">
        <v>10000002</v>
      </c>
      <c r="F992" s="209">
        <v>20000335</v>
      </c>
      <c r="G992" s="209" t="s">
        <v>105</v>
      </c>
      <c r="H992" s="209">
        <v>20000335</v>
      </c>
      <c r="I992" s="209">
        <v>2</v>
      </c>
      <c r="J992" s="209" t="s">
        <v>169</v>
      </c>
      <c r="K992" s="209" t="s">
        <v>2150</v>
      </c>
      <c r="L992" s="209" t="s">
        <v>171</v>
      </c>
      <c r="M992" s="209" t="s">
        <v>199</v>
      </c>
      <c r="N992" s="209">
        <v>50035184</v>
      </c>
      <c r="O992" s="209" t="s">
        <v>672</v>
      </c>
      <c r="P992" s="209">
        <v>5121</v>
      </c>
      <c r="Q992" s="209" t="s">
        <v>200</v>
      </c>
      <c r="R992" s="209" t="s">
        <v>201</v>
      </c>
      <c r="S992" s="209" t="s">
        <v>202</v>
      </c>
      <c r="T992" s="209" t="s">
        <v>203</v>
      </c>
      <c r="U992" s="209" t="s">
        <v>201</v>
      </c>
      <c r="V992" s="209" t="s">
        <v>179</v>
      </c>
      <c r="W992" s="209" t="s">
        <v>179</v>
      </c>
      <c r="X992" s="209" t="s">
        <v>180</v>
      </c>
      <c r="Y992" s="209" t="s">
        <v>180</v>
      </c>
      <c r="Z992" s="209">
        <v>9521068593</v>
      </c>
      <c r="AA992" s="209" t="s">
        <v>2151</v>
      </c>
      <c r="AB992" s="209" t="s">
        <v>180</v>
      </c>
      <c r="AC992" s="209" t="s">
        <v>182</v>
      </c>
      <c r="AD992" s="209">
        <v>5</v>
      </c>
      <c r="AE992" s="209">
        <v>2025</v>
      </c>
      <c r="AF992" s="227">
        <v>45785</v>
      </c>
      <c r="AG992" s="227">
        <v>45792</v>
      </c>
      <c r="AH992" s="227">
        <v>45792</v>
      </c>
      <c r="AI992" s="228">
        <v>977184</v>
      </c>
      <c r="AJ992" s="228">
        <v>52</v>
      </c>
      <c r="AK992" s="228">
        <v>977184</v>
      </c>
      <c r="AL992" s="228">
        <v>52</v>
      </c>
      <c r="AM992" s="228">
        <v>0</v>
      </c>
      <c r="AN992" s="228">
        <v>0</v>
      </c>
      <c r="AO992" s="229">
        <v>20</v>
      </c>
      <c r="AP992" s="231">
        <v>5</v>
      </c>
      <c r="AQ992" s="231">
        <v>2025</v>
      </c>
      <c r="AR992" s="231" t="str">
        <f t="shared" si="135"/>
        <v>05/2025</v>
      </c>
      <c r="AS992" s="231">
        <f t="shared" si="136"/>
        <v>19.5</v>
      </c>
      <c r="AT992" s="239">
        <f>IF(G992="CERVECERIA Y MALTERIA",(AS992*AK992/1000000)*(1-VLOOKUP(N992,[1]FCST!D:I,6,FALSE)),0)</f>
        <v>19.055088000000001</v>
      </c>
      <c r="AU992" s="232">
        <v>5.0000000000000001E-3</v>
      </c>
      <c r="AV992" s="239">
        <f t="shared" si="137"/>
        <v>19.15036344</v>
      </c>
      <c r="AW992" s="239">
        <f>(AS992*AK992/1000000)*(VLOOKUP(N992,[1]FCST!D:I,6,FALSE))</f>
        <v>0</v>
      </c>
      <c r="AX992" s="239">
        <f t="shared" si="138"/>
        <v>0</v>
      </c>
      <c r="AY992" s="239">
        <f>IF($G992="CERVECERIA Y MALTERIA.",($AS992*$AK992/1000000)*(1-VLOOKUP($N992,[1]FCST!D:I,6,FALSE)),0)</f>
        <v>0</v>
      </c>
      <c r="AZ992" s="239">
        <f t="shared" si="139"/>
        <v>0</v>
      </c>
    </row>
    <row r="993" spans="1:52" x14ac:dyDescent="0.25">
      <c r="A993" s="209">
        <v>1117278</v>
      </c>
      <c r="B993" s="209">
        <v>10</v>
      </c>
      <c r="C993" s="209">
        <v>89462681</v>
      </c>
      <c r="D993" s="209">
        <v>10</v>
      </c>
      <c r="E993" s="209">
        <v>10000002</v>
      </c>
      <c r="F993" s="209">
        <v>20000340</v>
      </c>
      <c r="G993" s="209" t="s">
        <v>117</v>
      </c>
      <c r="H993" s="209">
        <v>20000340</v>
      </c>
      <c r="I993" s="209">
        <v>2</v>
      </c>
      <c r="J993" s="209" t="s">
        <v>169</v>
      </c>
      <c r="K993" s="209" t="s">
        <v>2152</v>
      </c>
      <c r="L993" s="209" t="s">
        <v>171</v>
      </c>
      <c r="M993" s="209" t="s">
        <v>184</v>
      </c>
      <c r="N993" s="209">
        <v>50039506</v>
      </c>
      <c r="O993" s="209" t="s">
        <v>1986</v>
      </c>
      <c r="P993" s="209">
        <v>5121</v>
      </c>
      <c r="Q993" s="209" t="s">
        <v>174</v>
      </c>
      <c r="R993" s="209" t="s">
        <v>175</v>
      </c>
      <c r="S993" s="209" t="s">
        <v>176</v>
      </c>
      <c r="T993" s="209" t="s">
        <v>177</v>
      </c>
      <c r="U993" s="209" t="s">
        <v>2057</v>
      </c>
      <c r="V993" s="209" t="s">
        <v>179</v>
      </c>
      <c r="W993" s="209" t="s">
        <v>179</v>
      </c>
      <c r="X993" s="209" t="s">
        <v>180</v>
      </c>
      <c r="Y993" s="209" t="s">
        <v>180</v>
      </c>
      <c r="Z993" s="209">
        <v>9521068599</v>
      </c>
      <c r="AA993" s="209" t="s">
        <v>2153</v>
      </c>
      <c r="AB993" s="209" t="s">
        <v>180</v>
      </c>
      <c r="AC993" s="209" t="s">
        <v>182</v>
      </c>
      <c r="AD993" s="209">
        <v>5</v>
      </c>
      <c r="AE993" s="209">
        <v>2025</v>
      </c>
      <c r="AF993" s="227">
        <v>45786</v>
      </c>
      <c r="AG993" s="227">
        <v>45792</v>
      </c>
      <c r="AH993" s="227">
        <v>45792</v>
      </c>
      <c r="AI993" s="228">
        <v>591552</v>
      </c>
      <c r="AJ993" s="228">
        <v>52</v>
      </c>
      <c r="AK993" s="228">
        <v>591552</v>
      </c>
      <c r="AL993" s="228">
        <v>52</v>
      </c>
      <c r="AM993" s="228">
        <v>0</v>
      </c>
      <c r="AN993" s="228">
        <v>0</v>
      </c>
      <c r="AO993" s="229">
        <v>20</v>
      </c>
      <c r="AP993" s="231">
        <v>5</v>
      </c>
      <c r="AQ993" s="231">
        <v>2025</v>
      </c>
      <c r="AR993" s="231" t="str">
        <f t="shared" si="135"/>
        <v>05/2025</v>
      </c>
      <c r="AS993" s="231">
        <f t="shared" si="136"/>
        <v>30</v>
      </c>
      <c r="AT993" s="239">
        <f>IF(G993="CERVECERIA Y MALTERIA",(AS993*AK993/1000000)*(1-VLOOKUP(N993,[1]FCST!D:I,6,FALSE)),0)</f>
        <v>0</v>
      </c>
      <c r="AU993" s="232">
        <v>5.0000000000000001E-3</v>
      </c>
      <c r="AV993" s="239">
        <f t="shared" si="137"/>
        <v>0</v>
      </c>
      <c r="AW993" s="239">
        <f>(AS993*AK993/1000000)*(VLOOKUP(N993,[1]FCST!D:I,6,FALSE))</f>
        <v>0</v>
      </c>
      <c r="AX993" s="239">
        <f t="shared" si="138"/>
        <v>0</v>
      </c>
      <c r="AY993" s="239">
        <f>IF($G993="CERVECERIA Y MALTERIA.",($AS993*$AK993/1000000)*(1-VLOOKUP($N993,[1]FCST!D:I,6,FALSE)),0)</f>
        <v>17.746559999999999</v>
      </c>
      <c r="AZ993" s="239">
        <f t="shared" si="139"/>
        <v>17.835292799999998</v>
      </c>
    </row>
    <row r="994" spans="1:52" x14ac:dyDescent="0.25">
      <c r="A994" s="209">
        <v>1117278</v>
      </c>
      <c r="B994" s="209">
        <v>20</v>
      </c>
      <c r="C994" s="209">
        <v>89462677</v>
      </c>
      <c r="D994" s="209">
        <v>10</v>
      </c>
      <c r="E994" s="209">
        <v>10000002</v>
      </c>
      <c r="F994" s="209">
        <v>20000340</v>
      </c>
      <c r="G994" s="209" t="s">
        <v>117</v>
      </c>
      <c r="H994" s="209">
        <v>20000340</v>
      </c>
      <c r="I994" s="209">
        <v>2</v>
      </c>
      <c r="J994" s="209" t="s">
        <v>169</v>
      </c>
      <c r="K994" s="209" t="s">
        <v>2154</v>
      </c>
      <c r="L994" s="209" t="s">
        <v>171</v>
      </c>
      <c r="M994" s="209" t="s">
        <v>184</v>
      </c>
      <c r="N994" s="209">
        <v>50039506</v>
      </c>
      <c r="O994" s="209" t="s">
        <v>1986</v>
      </c>
      <c r="P994" s="209">
        <v>5121</v>
      </c>
      <c r="Q994" s="209" t="s">
        <v>174</v>
      </c>
      <c r="R994" s="209" t="s">
        <v>175</v>
      </c>
      <c r="S994" s="209" t="s">
        <v>176</v>
      </c>
      <c r="T994" s="209" t="s">
        <v>177</v>
      </c>
      <c r="U994" s="209" t="s">
        <v>2057</v>
      </c>
      <c r="V994" s="209" t="s">
        <v>179</v>
      </c>
      <c r="W994" s="209" t="s">
        <v>179</v>
      </c>
      <c r="X994" s="209" t="s">
        <v>180</v>
      </c>
      <c r="Y994" s="209" t="s">
        <v>180</v>
      </c>
      <c r="Z994" s="209">
        <v>9521068599</v>
      </c>
      <c r="AA994" s="209" t="s">
        <v>2153</v>
      </c>
      <c r="AB994" s="209" t="s">
        <v>180</v>
      </c>
      <c r="AC994" s="209" t="s">
        <v>182</v>
      </c>
      <c r="AD994" s="209">
        <v>5</v>
      </c>
      <c r="AE994" s="209">
        <v>2025</v>
      </c>
      <c r="AF994" s="227">
        <v>45786</v>
      </c>
      <c r="AG994" s="227">
        <v>45792</v>
      </c>
      <c r="AH994" s="227">
        <v>45792</v>
      </c>
      <c r="AI994" s="228">
        <v>591552</v>
      </c>
      <c r="AJ994" s="228">
        <v>52</v>
      </c>
      <c r="AK994" s="228">
        <v>591552</v>
      </c>
      <c r="AL994" s="228">
        <v>52</v>
      </c>
      <c r="AM994" s="228">
        <v>0</v>
      </c>
      <c r="AN994" s="228">
        <v>0</v>
      </c>
      <c r="AO994" s="229">
        <v>20</v>
      </c>
      <c r="AP994" s="231">
        <v>5</v>
      </c>
      <c r="AQ994" s="231">
        <v>2025</v>
      </c>
      <c r="AR994" s="231" t="str">
        <f t="shared" si="135"/>
        <v>05/2025</v>
      </c>
      <c r="AS994" s="231">
        <f t="shared" si="136"/>
        <v>30</v>
      </c>
      <c r="AT994" s="239">
        <f>IF(G994="CERVECERIA Y MALTERIA",(AS994*AK994/1000000)*(1-VLOOKUP(N994,[1]FCST!D:I,6,FALSE)),0)</f>
        <v>0</v>
      </c>
      <c r="AU994" s="232">
        <v>5.0000000000000001E-3</v>
      </c>
      <c r="AV994" s="239">
        <f t="shared" si="137"/>
        <v>0</v>
      </c>
      <c r="AW994" s="239">
        <f>(AS994*AK994/1000000)*(VLOOKUP(N994,[1]FCST!D:I,6,FALSE))</f>
        <v>0</v>
      </c>
      <c r="AX994" s="239">
        <f t="shared" si="138"/>
        <v>0</v>
      </c>
      <c r="AY994" s="239">
        <f>IF($G994="CERVECERIA Y MALTERIA.",($AS994*$AK994/1000000)*(1-VLOOKUP($N994,[1]FCST!D:I,6,FALSE)),0)</f>
        <v>17.746559999999999</v>
      </c>
      <c r="AZ994" s="239">
        <f t="shared" si="139"/>
        <v>17.835292799999998</v>
      </c>
    </row>
    <row r="995" spans="1:52" x14ac:dyDescent="0.25">
      <c r="A995" s="209">
        <v>1117117</v>
      </c>
      <c r="B995" s="209">
        <v>110</v>
      </c>
      <c r="C995" s="209">
        <v>89464301</v>
      </c>
      <c r="D995" s="209">
        <v>10</v>
      </c>
      <c r="E995" s="209">
        <v>10000002</v>
      </c>
      <c r="F995" s="209">
        <v>20000335</v>
      </c>
      <c r="G995" s="209" t="s">
        <v>105</v>
      </c>
      <c r="H995" s="209">
        <v>20000335</v>
      </c>
      <c r="I995" s="209">
        <v>2</v>
      </c>
      <c r="J995" s="209" t="s">
        <v>169</v>
      </c>
      <c r="K995" s="209" t="s">
        <v>2155</v>
      </c>
      <c r="L995" s="209" t="s">
        <v>171</v>
      </c>
      <c r="M995" s="209" t="s">
        <v>199</v>
      </c>
      <c r="N995" s="209">
        <v>50035183</v>
      </c>
      <c r="O995" s="209" t="s">
        <v>215</v>
      </c>
      <c r="P995" s="209">
        <v>5121</v>
      </c>
      <c r="Q995" s="209" t="s">
        <v>200</v>
      </c>
      <c r="R995" s="209" t="s">
        <v>201</v>
      </c>
      <c r="S995" s="209" t="s">
        <v>202</v>
      </c>
      <c r="T995" s="209" t="s">
        <v>203</v>
      </c>
      <c r="U995" s="209" t="s">
        <v>201</v>
      </c>
      <c r="V995" s="209" t="s">
        <v>179</v>
      </c>
      <c r="W995" s="209" t="s">
        <v>179</v>
      </c>
      <c r="X995" s="209" t="s">
        <v>180</v>
      </c>
      <c r="Y995" s="209" t="s">
        <v>180</v>
      </c>
      <c r="Z995" s="209">
        <v>9521068592</v>
      </c>
      <c r="AA995" s="209" t="s">
        <v>2095</v>
      </c>
      <c r="AB995" s="209" t="s">
        <v>180</v>
      </c>
      <c r="AC995" s="209" t="s">
        <v>182</v>
      </c>
      <c r="AD995" s="209">
        <v>5</v>
      </c>
      <c r="AE995" s="209">
        <v>2025</v>
      </c>
      <c r="AF995" s="227">
        <v>45785</v>
      </c>
      <c r="AG995" s="227">
        <v>45793</v>
      </c>
      <c r="AH995" s="227">
        <v>45793</v>
      </c>
      <c r="AI995" s="228">
        <v>426816</v>
      </c>
      <c r="AJ995" s="228">
        <v>52</v>
      </c>
      <c r="AK995" s="228">
        <v>426816</v>
      </c>
      <c r="AL995" s="228">
        <v>52</v>
      </c>
      <c r="AM995" s="228">
        <v>0</v>
      </c>
      <c r="AN995" s="228">
        <v>0</v>
      </c>
      <c r="AO995" s="229">
        <v>20</v>
      </c>
      <c r="AP995" s="231">
        <v>5</v>
      </c>
      <c r="AQ995" s="231">
        <v>2025</v>
      </c>
      <c r="AR995" s="231" t="str">
        <f t="shared" si="135"/>
        <v>05/2025</v>
      </c>
      <c r="AS995" s="231">
        <f t="shared" si="136"/>
        <v>46.6</v>
      </c>
      <c r="AT995" s="239">
        <f>IF(G995="CERVECERIA Y MALTERIA",(AS995*AK995/1000000)*(1-VLOOKUP(N995,[1]FCST!D:I,6,FALSE)),0)</f>
        <v>19.889625600000002</v>
      </c>
      <c r="AU995" s="232">
        <v>5.0000000000000001E-3</v>
      </c>
      <c r="AV995" s="239">
        <f t="shared" si="137"/>
        <v>19.989073728000001</v>
      </c>
      <c r="AW995" s="239">
        <f>(AS995*AK995/1000000)*(VLOOKUP(N995,[1]FCST!D:I,6,FALSE))</f>
        <v>0</v>
      </c>
      <c r="AX995" s="239">
        <f t="shared" si="138"/>
        <v>0</v>
      </c>
      <c r="AY995" s="239">
        <f>IF($G995="CERVECERIA Y MALTERIA.",($AS995*$AK995/1000000)*(1-VLOOKUP($N995,[1]FCST!D:I,6,FALSE)),0)</f>
        <v>0</v>
      </c>
      <c r="AZ995" s="239">
        <f t="shared" si="139"/>
        <v>0</v>
      </c>
    </row>
    <row r="996" spans="1:52" x14ac:dyDescent="0.25">
      <c r="A996" s="209">
        <v>1117118</v>
      </c>
      <c r="B996" s="209">
        <v>50</v>
      </c>
      <c r="C996" s="209">
        <v>89464030</v>
      </c>
      <c r="D996" s="209">
        <v>10</v>
      </c>
      <c r="E996" s="209">
        <v>10000002</v>
      </c>
      <c r="F996" s="209">
        <v>20000340</v>
      </c>
      <c r="G996" s="209" t="s">
        <v>117</v>
      </c>
      <c r="H996" s="209">
        <v>20000340</v>
      </c>
      <c r="I996" s="209">
        <v>2</v>
      </c>
      <c r="J996" s="209" t="s">
        <v>169</v>
      </c>
      <c r="K996" s="209" t="s">
        <v>2156</v>
      </c>
      <c r="L996" s="209" t="s">
        <v>171</v>
      </c>
      <c r="M996" s="209" t="s">
        <v>184</v>
      </c>
      <c r="N996" s="209">
        <v>50038523</v>
      </c>
      <c r="O996" s="209" t="s">
        <v>249</v>
      </c>
      <c r="P996" s="209">
        <v>5101</v>
      </c>
      <c r="Q996" s="209" t="s">
        <v>186</v>
      </c>
      <c r="R996" s="209" t="s">
        <v>175</v>
      </c>
      <c r="S996" s="209" t="s">
        <v>176</v>
      </c>
      <c r="T996" s="209" t="s">
        <v>187</v>
      </c>
      <c r="U996" s="209" t="s">
        <v>188</v>
      </c>
      <c r="V996" s="209" t="s">
        <v>179</v>
      </c>
      <c r="W996" s="209" t="s">
        <v>179</v>
      </c>
      <c r="X996" s="209" t="s">
        <v>180</v>
      </c>
      <c r="Y996" s="209" t="s">
        <v>180</v>
      </c>
      <c r="Z996" s="209">
        <v>9511047950</v>
      </c>
      <c r="AA996" s="209" t="s">
        <v>2082</v>
      </c>
      <c r="AB996" s="209" t="s">
        <v>180</v>
      </c>
      <c r="AC996" s="209" t="s">
        <v>182</v>
      </c>
      <c r="AD996" s="209">
        <v>5</v>
      </c>
      <c r="AE996" s="209">
        <v>2025</v>
      </c>
      <c r="AF996" s="227">
        <v>45785</v>
      </c>
      <c r="AG996" s="227">
        <v>45793</v>
      </c>
      <c r="AH996" s="227">
        <v>45793</v>
      </c>
      <c r="AI996" s="228">
        <v>606528</v>
      </c>
      <c r="AJ996" s="228">
        <v>52</v>
      </c>
      <c r="AK996" s="228">
        <v>606528</v>
      </c>
      <c r="AL996" s="228">
        <v>52</v>
      </c>
      <c r="AM996" s="228">
        <v>0</v>
      </c>
      <c r="AN996" s="228">
        <v>0</v>
      </c>
      <c r="AO996" s="229">
        <v>20</v>
      </c>
      <c r="AP996" s="231">
        <v>5</v>
      </c>
      <c r="AQ996" s="231">
        <v>2025</v>
      </c>
      <c r="AR996" s="231" t="str">
        <f t="shared" si="135"/>
        <v>05/2025</v>
      </c>
      <c r="AS996" s="231">
        <f t="shared" si="136"/>
        <v>30</v>
      </c>
      <c r="AT996" s="239">
        <f>IF(G996="CERVECERIA Y MALTERIA",(AS996*AK996/1000000)*(1-VLOOKUP(N996,[1]FCST!D:I,6,FALSE)),0)</f>
        <v>0</v>
      </c>
      <c r="AU996" s="232">
        <v>5.0000000000000001E-3</v>
      </c>
      <c r="AV996" s="239">
        <f t="shared" si="137"/>
        <v>0</v>
      </c>
      <c r="AW996" s="239">
        <f>(AS996*AK996/1000000)*(VLOOKUP(N996,[1]FCST!D:I,6,FALSE))</f>
        <v>0</v>
      </c>
      <c r="AX996" s="239">
        <f t="shared" si="138"/>
        <v>0</v>
      </c>
      <c r="AY996" s="239">
        <f>IF($G996="CERVECERIA Y MALTERIA.",($AS996*$AK996/1000000)*(1-VLOOKUP($N996,[1]FCST!D:I,6,FALSE)),0)</f>
        <v>18.19584</v>
      </c>
      <c r="AZ996" s="239">
        <f t="shared" si="139"/>
        <v>18.2868192</v>
      </c>
    </row>
    <row r="997" spans="1:52" x14ac:dyDescent="0.25">
      <c r="A997" s="209">
        <v>1117117</v>
      </c>
      <c r="B997" s="209">
        <v>100</v>
      </c>
      <c r="C997" s="209">
        <v>89463867</v>
      </c>
      <c r="D997" s="209">
        <v>10</v>
      </c>
      <c r="E997" s="209">
        <v>10000002</v>
      </c>
      <c r="F997" s="209">
        <v>20000335</v>
      </c>
      <c r="G997" s="209" t="s">
        <v>105</v>
      </c>
      <c r="H997" s="209">
        <v>20000335</v>
      </c>
      <c r="I997" s="209">
        <v>2</v>
      </c>
      <c r="J997" s="209" t="s">
        <v>169</v>
      </c>
      <c r="K997" s="209" t="s">
        <v>2157</v>
      </c>
      <c r="L997" s="209" t="s">
        <v>171</v>
      </c>
      <c r="M997" s="209" t="s">
        <v>199</v>
      </c>
      <c r="N997" s="209">
        <v>50035184</v>
      </c>
      <c r="O997" s="209" t="s">
        <v>672</v>
      </c>
      <c r="P997" s="209">
        <v>5121</v>
      </c>
      <c r="Q997" s="209" t="s">
        <v>200</v>
      </c>
      <c r="R997" s="209" t="s">
        <v>201</v>
      </c>
      <c r="S997" s="209" t="s">
        <v>202</v>
      </c>
      <c r="T997" s="209" t="s">
        <v>203</v>
      </c>
      <c r="U997" s="209" t="s">
        <v>201</v>
      </c>
      <c r="V997" s="209" t="s">
        <v>179</v>
      </c>
      <c r="W997" s="209" t="s">
        <v>179</v>
      </c>
      <c r="X997" s="209" t="s">
        <v>180</v>
      </c>
      <c r="Y997" s="209" t="s">
        <v>180</v>
      </c>
      <c r="Z997" s="209">
        <v>9521068593</v>
      </c>
      <c r="AA997" s="209" t="s">
        <v>2151</v>
      </c>
      <c r="AB997" s="209" t="s">
        <v>180</v>
      </c>
      <c r="AC997" s="209" t="s">
        <v>182</v>
      </c>
      <c r="AD997" s="209">
        <v>5</v>
      </c>
      <c r="AE997" s="209">
        <v>2025</v>
      </c>
      <c r="AF997" s="227">
        <v>45785</v>
      </c>
      <c r="AG997" s="227">
        <v>45793</v>
      </c>
      <c r="AH997" s="227">
        <v>45793</v>
      </c>
      <c r="AI997" s="228">
        <v>977184</v>
      </c>
      <c r="AJ997" s="228">
        <v>52</v>
      </c>
      <c r="AK997" s="228">
        <v>977184</v>
      </c>
      <c r="AL997" s="228">
        <v>52</v>
      </c>
      <c r="AM997" s="228">
        <v>0</v>
      </c>
      <c r="AN997" s="228">
        <v>0</v>
      </c>
      <c r="AO997" s="229">
        <v>20</v>
      </c>
      <c r="AP997" s="231">
        <v>5</v>
      </c>
      <c r="AQ997" s="231">
        <v>2025</v>
      </c>
      <c r="AR997" s="231" t="str">
        <f t="shared" si="135"/>
        <v>05/2025</v>
      </c>
      <c r="AS997" s="231">
        <f t="shared" si="136"/>
        <v>19.5</v>
      </c>
      <c r="AT997" s="239">
        <f>IF(G997="CERVECERIA Y MALTERIA",(AS997*AK997/1000000)*(1-VLOOKUP(N997,[1]FCST!D:I,6,FALSE)),0)</f>
        <v>19.055088000000001</v>
      </c>
      <c r="AU997" s="232">
        <v>5.0000000000000001E-3</v>
      </c>
      <c r="AV997" s="239">
        <f t="shared" si="137"/>
        <v>19.15036344</v>
      </c>
      <c r="AW997" s="239">
        <f>(AS997*AK997/1000000)*(VLOOKUP(N997,[1]FCST!D:I,6,FALSE))</f>
        <v>0</v>
      </c>
      <c r="AX997" s="239">
        <f t="shared" si="138"/>
        <v>0</v>
      </c>
      <c r="AY997" s="239">
        <f>IF($G997="CERVECERIA Y MALTERIA.",($AS997*$AK997/1000000)*(1-VLOOKUP($N997,[1]FCST!D:I,6,FALSE)),0)</f>
        <v>0</v>
      </c>
      <c r="AZ997" s="239">
        <f t="shared" si="139"/>
        <v>0</v>
      </c>
    </row>
    <row r="998" spans="1:52" x14ac:dyDescent="0.25">
      <c r="A998" s="209">
        <v>1117089</v>
      </c>
      <c r="B998" s="209">
        <v>20</v>
      </c>
      <c r="C998" s="209">
        <v>89460399</v>
      </c>
      <c r="D998" s="209">
        <v>10</v>
      </c>
      <c r="E998" s="209">
        <v>10000002</v>
      </c>
      <c r="F998" s="209">
        <v>20000339</v>
      </c>
      <c r="G998" s="209" t="s">
        <v>105</v>
      </c>
      <c r="H998" s="209">
        <v>20000339</v>
      </c>
      <c r="I998" s="209">
        <v>2</v>
      </c>
      <c r="J998" s="209" t="s">
        <v>169</v>
      </c>
      <c r="K998" s="209" t="s">
        <v>2158</v>
      </c>
      <c r="L998" s="209" t="s">
        <v>171</v>
      </c>
      <c r="M998" s="209" t="s">
        <v>184</v>
      </c>
      <c r="N998" s="209">
        <v>50034634</v>
      </c>
      <c r="O998" s="209" t="s">
        <v>219</v>
      </c>
      <c r="P998" s="209">
        <v>5121</v>
      </c>
      <c r="Q998" s="209" t="s">
        <v>174</v>
      </c>
      <c r="R998" s="209" t="s">
        <v>175</v>
      </c>
      <c r="S998" s="209" t="s">
        <v>176</v>
      </c>
      <c r="T998" s="209" t="s">
        <v>177</v>
      </c>
      <c r="U998" s="209" t="s">
        <v>2057</v>
      </c>
      <c r="V998" s="209" t="s">
        <v>179</v>
      </c>
      <c r="W998" s="209" t="s">
        <v>179</v>
      </c>
      <c r="X998" s="209" t="s">
        <v>180</v>
      </c>
      <c r="Y998" s="209" t="s">
        <v>180</v>
      </c>
      <c r="Z998" s="209">
        <v>9521068598</v>
      </c>
      <c r="AA998" s="209" t="s">
        <v>2071</v>
      </c>
      <c r="AB998" s="209" t="s">
        <v>180</v>
      </c>
      <c r="AC998" s="209" t="s">
        <v>182</v>
      </c>
      <c r="AD998" s="209">
        <v>5</v>
      </c>
      <c r="AE998" s="209">
        <v>2025</v>
      </c>
      <c r="AF998" s="227">
        <v>45785</v>
      </c>
      <c r="AG998" s="227">
        <v>45789</v>
      </c>
      <c r="AH998" s="227">
        <v>45790</v>
      </c>
      <c r="AI998" s="228">
        <v>126144</v>
      </c>
      <c r="AJ998" s="228">
        <v>18</v>
      </c>
      <c r="AK998" s="228">
        <v>126144</v>
      </c>
      <c r="AL998" s="228">
        <v>18</v>
      </c>
      <c r="AM998" s="228">
        <v>0</v>
      </c>
      <c r="AN998" s="228">
        <v>0</v>
      </c>
      <c r="AO998" s="229">
        <v>19</v>
      </c>
      <c r="AP998" s="231">
        <v>5</v>
      </c>
      <c r="AQ998" s="231">
        <v>2025</v>
      </c>
      <c r="AR998" s="231" t="str">
        <f t="shared" si="135"/>
        <v>05/2025</v>
      </c>
      <c r="AS998" s="231">
        <f t="shared" si="136"/>
        <v>52</v>
      </c>
      <c r="AT998" s="239">
        <f>IF(G998="CERVECERIA Y MALTERIA",(AS998*AK998/1000000)*(1-VLOOKUP(N998,[1]FCST!D:I,6,FALSE)),0)</f>
        <v>6.559488</v>
      </c>
      <c r="AU998" s="232">
        <v>5.0000000000000001E-3</v>
      </c>
      <c r="AV998" s="239">
        <f t="shared" si="137"/>
        <v>6.5922854399999995</v>
      </c>
      <c r="AW998" s="239">
        <f>(AS998*AK998/1000000)*(VLOOKUP(N998,[1]FCST!D:I,6,FALSE))</f>
        <v>0</v>
      </c>
      <c r="AX998" s="239">
        <f t="shared" si="138"/>
        <v>0</v>
      </c>
      <c r="AY998" s="239">
        <f>IF($G998="CERVECERIA Y MALTERIA.",($AS998*$AK998/1000000)*(1-VLOOKUP($N998,[1]FCST!D:I,6,FALSE)),0)</f>
        <v>0</v>
      </c>
      <c r="AZ998" s="239">
        <f t="shared" si="139"/>
        <v>0</v>
      </c>
    </row>
    <row r="999" spans="1:52" x14ac:dyDescent="0.25">
      <c r="A999" s="209">
        <v>1117117</v>
      </c>
      <c r="B999" s="209">
        <v>40</v>
      </c>
      <c r="C999" s="209">
        <v>89460396</v>
      </c>
      <c r="D999" s="209">
        <v>10</v>
      </c>
      <c r="E999" s="209">
        <v>10000002</v>
      </c>
      <c r="F999" s="209">
        <v>20000335</v>
      </c>
      <c r="G999" s="209" t="s">
        <v>105</v>
      </c>
      <c r="H999" s="209">
        <v>20000335</v>
      </c>
      <c r="I999" s="209">
        <v>2</v>
      </c>
      <c r="J999" s="209" t="s">
        <v>169</v>
      </c>
      <c r="K999" s="209" t="s">
        <v>2159</v>
      </c>
      <c r="L999" s="209" t="s">
        <v>171</v>
      </c>
      <c r="M999" s="209" t="s">
        <v>199</v>
      </c>
      <c r="N999" s="209">
        <v>50035184</v>
      </c>
      <c r="O999" s="209" t="s">
        <v>672</v>
      </c>
      <c r="P999" s="209">
        <v>5121</v>
      </c>
      <c r="Q999" s="209" t="s">
        <v>200</v>
      </c>
      <c r="R999" s="209" t="s">
        <v>201</v>
      </c>
      <c r="S999" s="209" t="s">
        <v>202</v>
      </c>
      <c r="T999" s="209" t="s">
        <v>203</v>
      </c>
      <c r="U999" s="209" t="s">
        <v>201</v>
      </c>
      <c r="V999" s="209" t="s">
        <v>179</v>
      </c>
      <c r="W999" s="209" t="s">
        <v>179</v>
      </c>
      <c r="X999" s="209" t="s">
        <v>180</v>
      </c>
      <c r="Y999" s="209" t="s">
        <v>180</v>
      </c>
      <c r="Z999" s="209">
        <v>9521068593</v>
      </c>
      <c r="AA999" s="209" t="s">
        <v>2151</v>
      </c>
      <c r="AB999" s="209" t="s">
        <v>180</v>
      </c>
      <c r="AC999" s="209" t="s">
        <v>182</v>
      </c>
      <c r="AD999" s="209">
        <v>5</v>
      </c>
      <c r="AE999" s="209">
        <v>2025</v>
      </c>
      <c r="AF999" s="227">
        <v>45785</v>
      </c>
      <c r="AG999" s="227">
        <v>45790</v>
      </c>
      <c r="AH999" s="227">
        <v>45790</v>
      </c>
      <c r="AI999" s="228">
        <v>977184</v>
      </c>
      <c r="AJ999" s="228">
        <v>52</v>
      </c>
      <c r="AK999" s="228">
        <v>977184</v>
      </c>
      <c r="AL999" s="228">
        <v>52</v>
      </c>
      <c r="AM999" s="228">
        <v>0</v>
      </c>
      <c r="AN999" s="228">
        <v>0</v>
      </c>
      <c r="AO999" s="229">
        <v>20</v>
      </c>
      <c r="AP999" s="231">
        <v>5</v>
      </c>
      <c r="AQ999" s="231">
        <v>2025</v>
      </c>
      <c r="AR999" s="231" t="str">
        <f t="shared" si="135"/>
        <v>05/2025</v>
      </c>
      <c r="AS999" s="231">
        <f t="shared" si="136"/>
        <v>19.5</v>
      </c>
      <c r="AT999" s="239">
        <f>IF(G999="CERVECERIA Y MALTERIA",(AS999*AK999/1000000)*(1-VLOOKUP(N999,[1]FCST!D:I,6,FALSE)),0)</f>
        <v>19.055088000000001</v>
      </c>
      <c r="AU999" s="232">
        <v>5.0000000000000001E-3</v>
      </c>
      <c r="AV999" s="239">
        <f t="shared" si="137"/>
        <v>19.15036344</v>
      </c>
      <c r="AW999" s="239">
        <f>(AS999*AK999/1000000)*(VLOOKUP(N999,[1]FCST!D:I,6,FALSE))</f>
        <v>0</v>
      </c>
      <c r="AX999" s="239">
        <f t="shared" si="138"/>
        <v>0</v>
      </c>
      <c r="AY999" s="239">
        <f>IF($G999="CERVECERIA Y MALTERIA.",($AS999*$AK999/1000000)*(1-VLOOKUP($N999,[1]FCST!D:I,6,FALSE)),0)</f>
        <v>0</v>
      </c>
      <c r="AZ999" s="239">
        <f t="shared" si="139"/>
        <v>0</v>
      </c>
    </row>
    <row r="1000" spans="1:52" x14ac:dyDescent="0.25">
      <c r="A1000" s="209">
        <v>1117118</v>
      </c>
      <c r="B1000" s="209">
        <v>30</v>
      </c>
      <c r="C1000" s="209">
        <v>89460182</v>
      </c>
      <c r="D1000" s="209">
        <v>10</v>
      </c>
      <c r="E1000" s="209">
        <v>10000002</v>
      </c>
      <c r="F1000" s="209">
        <v>20000340</v>
      </c>
      <c r="G1000" s="209" t="s">
        <v>117</v>
      </c>
      <c r="H1000" s="209">
        <v>20000340</v>
      </c>
      <c r="I1000" s="209">
        <v>2</v>
      </c>
      <c r="J1000" s="209" t="s">
        <v>169</v>
      </c>
      <c r="K1000" s="209" t="s">
        <v>2160</v>
      </c>
      <c r="L1000" s="209" t="s">
        <v>171</v>
      </c>
      <c r="M1000" s="209" t="s">
        <v>172</v>
      </c>
      <c r="N1000" s="209">
        <v>50038523</v>
      </c>
      <c r="O1000" s="209" t="s">
        <v>249</v>
      </c>
      <c r="P1000" s="209">
        <v>5101</v>
      </c>
      <c r="Q1000" s="209" t="s">
        <v>186</v>
      </c>
      <c r="R1000" s="209" t="s">
        <v>175</v>
      </c>
      <c r="S1000" s="209" t="s">
        <v>176</v>
      </c>
      <c r="T1000" s="209" t="s">
        <v>187</v>
      </c>
      <c r="U1000" s="209" t="s">
        <v>188</v>
      </c>
      <c r="V1000" s="209" t="s">
        <v>179</v>
      </c>
      <c r="W1000" s="209" t="s">
        <v>179</v>
      </c>
      <c r="X1000" s="209" t="s">
        <v>180</v>
      </c>
      <c r="Y1000" s="209" t="s">
        <v>180</v>
      </c>
      <c r="Z1000" s="209">
        <v>9511047950</v>
      </c>
      <c r="AA1000" s="209" t="s">
        <v>2082</v>
      </c>
      <c r="AB1000" s="209" t="s">
        <v>180</v>
      </c>
      <c r="AC1000" s="209" t="s">
        <v>182</v>
      </c>
      <c r="AD1000" s="209">
        <v>5</v>
      </c>
      <c r="AE1000" s="209">
        <v>2025</v>
      </c>
      <c r="AF1000" s="227">
        <v>45785</v>
      </c>
      <c r="AG1000" s="227">
        <v>45789</v>
      </c>
      <c r="AH1000" s="227">
        <v>45789</v>
      </c>
      <c r="AI1000" s="228">
        <v>606528</v>
      </c>
      <c r="AJ1000" s="228">
        <v>52</v>
      </c>
      <c r="AK1000" s="228">
        <v>606528</v>
      </c>
      <c r="AL1000" s="228">
        <v>52</v>
      </c>
      <c r="AM1000" s="228">
        <v>0</v>
      </c>
      <c r="AN1000" s="228">
        <v>0</v>
      </c>
      <c r="AO1000" s="229">
        <v>20</v>
      </c>
      <c r="AP1000" s="231">
        <v>5</v>
      </c>
      <c r="AQ1000" s="231">
        <v>2025</v>
      </c>
      <c r="AR1000" s="231" t="str">
        <f t="shared" si="135"/>
        <v>05/2025</v>
      </c>
      <c r="AS1000" s="231">
        <f t="shared" si="136"/>
        <v>30</v>
      </c>
      <c r="AT1000" s="239">
        <f>IF(G1000="CERVECERIA Y MALTERIA",(AS1000*AK1000/1000000)*(1-VLOOKUP(N1000,[1]FCST!D:I,6,FALSE)),0)</f>
        <v>0</v>
      </c>
      <c r="AU1000" s="232">
        <v>5.0000000000000001E-3</v>
      </c>
      <c r="AV1000" s="239">
        <f t="shared" si="137"/>
        <v>0</v>
      </c>
      <c r="AW1000" s="239">
        <f>(AS1000*AK1000/1000000)*(VLOOKUP(N1000,[1]FCST!D:I,6,FALSE))</f>
        <v>0</v>
      </c>
      <c r="AX1000" s="239">
        <f t="shared" si="138"/>
        <v>0</v>
      </c>
      <c r="AY1000" s="239">
        <f>IF($G1000="CERVECERIA Y MALTERIA.",($AS1000*$AK1000/1000000)*(1-VLOOKUP($N1000,[1]FCST!D:I,6,FALSE)),0)</f>
        <v>18.19584</v>
      </c>
      <c r="AZ1000" s="239">
        <f t="shared" si="139"/>
        <v>18.2868192</v>
      </c>
    </row>
    <row r="1001" spans="1:52" x14ac:dyDescent="0.25">
      <c r="A1001" s="209">
        <v>1117117</v>
      </c>
      <c r="B1001" s="209">
        <v>70</v>
      </c>
      <c r="C1001" s="209">
        <v>89461713</v>
      </c>
      <c r="D1001" s="209">
        <v>10</v>
      </c>
      <c r="E1001" s="209">
        <v>10000002</v>
      </c>
      <c r="F1001" s="209">
        <v>20000335</v>
      </c>
      <c r="G1001" s="209" t="s">
        <v>105</v>
      </c>
      <c r="H1001" s="209">
        <v>20000335</v>
      </c>
      <c r="I1001" s="209">
        <v>2</v>
      </c>
      <c r="J1001" s="209" t="s">
        <v>169</v>
      </c>
      <c r="K1001" s="209" t="s">
        <v>2161</v>
      </c>
      <c r="L1001" s="209" t="s">
        <v>171</v>
      </c>
      <c r="M1001" s="209" t="s">
        <v>199</v>
      </c>
      <c r="N1001" s="209">
        <v>50037887</v>
      </c>
      <c r="O1001" s="209" t="s">
        <v>679</v>
      </c>
      <c r="P1001" s="209">
        <v>5121</v>
      </c>
      <c r="Q1001" s="209" t="s">
        <v>200</v>
      </c>
      <c r="R1001" s="209" t="s">
        <v>201</v>
      </c>
      <c r="S1001" s="209" t="s">
        <v>202</v>
      </c>
      <c r="T1001" s="209" t="s">
        <v>203</v>
      </c>
      <c r="U1001" s="209" t="s">
        <v>201</v>
      </c>
      <c r="V1001" s="209" t="s">
        <v>179</v>
      </c>
      <c r="W1001" s="209" t="s">
        <v>179</v>
      </c>
      <c r="X1001" s="209" t="s">
        <v>180</v>
      </c>
      <c r="Y1001" s="209" t="s">
        <v>180</v>
      </c>
      <c r="Z1001" s="209">
        <v>9521068594</v>
      </c>
      <c r="AA1001" s="209" t="s">
        <v>2117</v>
      </c>
      <c r="AB1001" s="209" t="s">
        <v>180</v>
      </c>
      <c r="AC1001" s="209" t="s">
        <v>182</v>
      </c>
      <c r="AD1001" s="209">
        <v>5</v>
      </c>
      <c r="AE1001" s="209">
        <v>2025</v>
      </c>
      <c r="AF1001" s="227">
        <v>45785</v>
      </c>
      <c r="AG1001" s="227">
        <v>45791</v>
      </c>
      <c r="AH1001" s="227">
        <v>45791</v>
      </c>
      <c r="AI1001" s="228">
        <v>531648</v>
      </c>
      <c r="AJ1001" s="228">
        <v>52</v>
      </c>
      <c r="AK1001" s="228">
        <v>531648</v>
      </c>
      <c r="AL1001" s="228">
        <v>52</v>
      </c>
      <c r="AM1001" s="228">
        <v>0</v>
      </c>
      <c r="AN1001" s="228">
        <v>0</v>
      </c>
      <c r="AO1001" s="229">
        <v>20</v>
      </c>
      <c r="AP1001" s="231">
        <v>5</v>
      </c>
      <c r="AQ1001" s="231">
        <v>2025</v>
      </c>
      <c r="AR1001" s="231" t="str">
        <f t="shared" si="135"/>
        <v>05/2025</v>
      </c>
      <c r="AS1001" s="231">
        <f t="shared" si="136"/>
        <v>37.200000000000003</v>
      </c>
      <c r="AT1001" s="239">
        <f>IF(G1001="CERVECERIA Y MALTERIA",(AS1001*AK1001/1000000)*(1-VLOOKUP(N1001,[1]FCST!D:I,6,FALSE)),0)</f>
        <v>19.777305600000002</v>
      </c>
      <c r="AU1001" s="232">
        <v>5.0000000000000001E-3</v>
      </c>
      <c r="AV1001" s="239">
        <f t="shared" si="137"/>
        <v>19.876192128</v>
      </c>
      <c r="AW1001" s="239">
        <f>(AS1001*AK1001/1000000)*(VLOOKUP(N1001,[1]FCST!D:I,6,FALSE))</f>
        <v>0</v>
      </c>
      <c r="AX1001" s="239">
        <f t="shared" si="138"/>
        <v>0</v>
      </c>
      <c r="AY1001" s="239">
        <f>IF($G1001="CERVECERIA Y MALTERIA.",($AS1001*$AK1001/1000000)*(1-VLOOKUP($N1001,[1]FCST!D:I,6,FALSE)),0)</f>
        <v>0</v>
      </c>
      <c r="AZ1001" s="239">
        <f t="shared" si="139"/>
        <v>0</v>
      </c>
    </row>
    <row r="1002" spans="1:52" x14ac:dyDescent="0.25">
      <c r="A1002" s="209">
        <v>1115256</v>
      </c>
      <c r="B1002" s="209">
        <v>60</v>
      </c>
      <c r="C1002" s="209">
        <v>89462400</v>
      </c>
      <c r="D1002" s="209">
        <v>10</v>
      </c>
      <c r="E1002" s="209">
        <v>10000002</v>
      </c>
      <c r="F1002" s="209">
        <v>20000337</v>
      </c>
      <c r="G1002" s="209" t="s">
        <v>105</v>
      </c>
      <c r="H1002" s="209">
        <v>20000337</v>
      </c>
      <c r="I1002" s="209">
        <v>2</v>
      </c>
      <c r="J1002" s="209" t="s">
        <v>169</v>
      </c>
      <c r="K1002" s="209" t="s">
        <v>2162</v>
      </c>
      <c r="L1002" s="209" t="s">
        <v>171</v>
      </c>
      <c r="M1002" s="209" t="s">
        <v>172</v>
      </c>
      <c r="N1002" s="209">
        <v>50039302</v>
      </c>
      <c r="O1002" s="209" t="s">
        <v>1942</v>
      </c>
      <c r="P1002" s="209">
        <v>5121</v>
      </c>
      <c r="Q1002" s="209" t="s">
        <v>174</v>
      </c>
      <c r="R1002" s="209" t="s">
        <v>175</v>
      </c>
      <c r="S1002" s="209" t="s">
        <v>176</v>
      </c>
      <c r="T1002" s="209" t="s">
        <v>177</v>
      </c>
      <c r="U1002" s="209" t="s">
        <v>2057</v>
      </c>
      <c r="V1002" s="209" t="s">
        <v>179</v>
      </c>
      <c r="W1002" s="209" t="s">
        <v>179</v>
      </c>
      <c r="X1002" s="209" t="s">
        <v>180</v>
      </c>
      <c r="Y1002" s="209" t="s">
        <v>180</v>
      </c>
      <c r="Z1002" s="209">
        <v>9521068597</v>
      </c>
      <c r="AA1002" s="209" t="s">
        <v>2079</v>
      </c>
      <c r="AB1002" s="209" t="s">
        <v>180</v>
      </c>
      <c r="AC1002" s="209" t="s">
        <v>182</v>
      </c>
      <c r="AD1002" s="209">
        <v>4</v>
      </c>
      <c r="AE1002" s="209">
        <v>2025</v>
      </c>
      <c r="AF1002" s="227">
        <v>45776</v>
      </c>
      <c r="AG1002" s="227">
        <v>45791</v>
      </c>
      <c r="AH1002" s="227">
        <v>45791</v>
      </c>
      <c r="AI1002" s="228">
        <v>384000</v>
      </c>
      <c r="AJ1002" s="228">
        <v>50</v>
      </c>
      <c r="AK1002" s="228">
        <v>384000</v>
      </c>
      <c r="AL1002" s="228">
        <v>50</v>
      </c>
      <c r="AM1002" s="228">
        <v>0</v>
      </c>
      <c r="AN1002" s="228">
        <v>0</v>
      </c>
      <c r="AO1002" s="229">
        <v>18</v>
      </c>
      <c r="AP1002" s="231">
        <v>5</v>
      </c>
      <c r="AQ1002" s="231">
        <v>2025</v>
      </c>
      <c r="AR1002" s="231" t="str">
        <f t="shared" si="135"/>
        <v>05/2025</v>
      </c>
      <c r="AS1002" s="231">
        <f t="shared" si="136"/>
        <v>46.6</v>
      </c>
      <c r="AT1002" s="239">
        <f>IF(G1002="CERVECERIA Y MALTERIA",(AS1002*AK1002/1000000)*(1-VLOOKUP(N1002,[1]FCST!D:I,6,FALSE)),0)</f>
        <v>17.894400000000001</v>
      </c>
      <c r="AU1002" s="232">
        <v>5.0000000000000001E-3</v>
      </c>
      <c r="AV1002" s="239">
        <f t="shared" si="137"/>
        <v>17.983871999999998</v>
      </c>
      <c r="AW1002" s="239">
        <f>(AS1002*AK1002/1000000)*(VLOOKUP(N1002,[1]FCST!D:I,6,FALSE))</f>
        <v>0</v>
      </c>
      <c r="AX1002" s="239">
        <f t="shared" si="138"/>
        <v>0</v>
      </c>
      <c r="AY1002" s="239">
        <f>IF($G1002="CERVECERIA Y MALTERIA.",($AS1002*$AK1002/1000000)*(1-VLOOKUP($N1002,[1]FCST!D:I,6,FALSE)),0)</f>
        <v>0</v>
      </c>
      <c r="AZ1002" s="239">
        <f t="shared" si="139"/>
        <v>0</v>
      </c>
    </row>
    <row r="1003" spans="1:52" x14ac:dyDescent="0.25">
      <c r="A1003" s="209">
        <v>1117117</v>
      </c>
      <c r="B1003" s="209">
        <v>50</v>
      </c>
      <c r="C1003" s="209">
        <v>89460675</v>
      </c>
      <c r="D1003" s="209">
        <v>10</v>
      </c>
      <c r="E1003" s="209">
        <v>10000002</v>
      </c>
      <c r="F1003" s="209">
        <v>20000335</v>
      </c>
      <c r="G1003" s="209" t="s">
        <v>105</v>
      </c>
      <c r="H1003" s="209">
        <v>20000335</v>
      </c>
      <c r="I1003" s="209">
        <v>2</v>
      </c>
      <c r="J1003" s="209" t="s">
        <v>169</v>
      </c>
      <c r="K1003" s="209" t="s">
        <v>2163</v>
      </c>
      <c r="L1003" s="209" t="s">
        <v>171</v>
      </c>
      <c r="M1003" s="209" t="s">
        <v>199</v>
      </c>
      <c r="N1003" s="209">
        <v>50037887</v>
      </c>
      <c r="O1003" s="209" t="s">
        <v>679</v>
      </c>
      <c r="P1003" s="209">
        <v>5121</v>
      </c>
      <c r="Q1003" s="209" t="s">
        <v>200</v>
      </c>
      <c r="R1003" s="209" t="s">
        <v>201</v>
      </c>
      <c r="S1003" s="209" t="s">
        <v>202</v>
      </c>
      <c r="T1003" s="209" t="s">
        <v>203</v>
      </c>
      <c r="U1003" s="209" t="s">
        <v>201</v>
      </c>
      <c r="V1003" s="209" t="s">
        <v>179</v>
      </c>
      <c r="W1003" s="209" t="s">
        <v>179</v>
      </c>
      <c r="X1003" s="209" t="s">
        <v>180</v>
      </c>
      <c r="Y1003" s="209" t="s">
        <v>180</v>
      </c>
      <c r="Z1003" s="209">
        <v>9521068594</v>
      </c>
      <c r="AA1003" s="209" t="s">
        <v>2117</v>
      </c>
      <c r="AB1003" s="209" t="s">
        <v>180</v>
      </c>
      <c r="AC1003" s="209" t="s">
        <v>182</v>
      </c>
      <c r="AD1003" s="209">
        <v>5</v>
      </c>
      <c r="AE1003" s="209">
        <v>2025</v>
      </c>
      <c r="AF1003" s="227">
        <v>45785</v>
      </c>
      <c r="AG1003" s="227">
        <v>45790</v>
      </c>
      <c r="AH1003" s="227">
        <v>45790</v>
      </c>
      <c r="AI1003" s="228">
        <v>531648</v>
      </c>
      <c r="AJ1003" s="228">
        <v>52</v>
      </c>
      <c r="AK1003" s="228">
        <v>531648</v>
      </c>
      <c r="AL1003" s="228">
        <v>52</v>
      </c>
      <c r="AM1003" s="228">
        <v>0</v>
      </c>
      <c r="AN1003" s="228">
        <v>0</v>
      </c>
      <c r="AO1003" s="229">
        <v>20</v>
      </c>
      <c r="AP1003" s="231">
        <v>5</v>
      </c>
      <c r="AQ1003" s="231">
        <v>2025</v>
      </c>
      <c r="AR1003" s="231" t="str">
        <f t="shared" si="135"/>
        <v>05/2025</v>
      </c>
      <c r="AS1003" s="231">
        <f t="shared" si="136"/>
        <v>37.200000000000003</v>
      </c>
      <c r="AT1003" s="239">
        <f>IF(G1003="CERVECERIA Y MALTERIA",(AS1003*AK1003/1000000)*(1-VLOOKUP(N1003,[1]FCST!D:I,6,FALSE)),0)</f>
        <v>19.777305600000002</v>
      </c>
      <c r="AU1003" s="232">
        <v>5.0000000000000001E-3</v>
      </c>
      <c r="AV1003" s="239">
        <f t="shared" si="137"/>
        <v>19.876192128</v>
      </c>
      <c r="AW1003" s="239">
        <f>(AS1003*AK1003/1000000)*(VLOOKUP(N1003,[1]FCST!D:I,6,FALSE))</f>
        <v>0</v>
      </c>
      <c r="AX1003" s="239">
        <f t="shared" si="138"/>
        <v>0</v>
      </c>
      <c r="AY1003" s="239">
        <f>IF($G1003="CERVECERIA Y MALTERIA.",($AS1003*$AK1003/1000000)*(1-VLOOKUP($N1003,[1]FCST!D:I,6,FALSE)),0)</f>
        <v>0</v>
      </c>
      <c r="AZ1003" s="239">
        <f t="shared" si="139"/>
        <v>0</v>
      </c>
    </row>
    <row r="1004" spans="1:52" x14ac:dyDescent="0.25">
      <c r="A1004" s="209">
        <v>1115256</v>
      </c>
      <c r="B1004" s="209">
        <v>10</v>
      </c>
      <c r="C1004" s="209">
        <v>89460694</v>
      </c>
      <c r="D1004" s="209">
        <v>10</v>
      </c>
      <c r="E1004" s="209">
        <v>10000002</v>
      </c>
      <c r="F1004" s="209">
        <v>20000337</v>
      </c>
      <c r="G1004" s="209" t="s">
        <v>105</v>
      </c>
      <c r="H1004" s="209">
        <v>20000337</v>
      </c>
      <c r="I1004" s="209">
        <v>2</v>
      </c>
      <c r="J1004" s="209" t="s">
        <v>169</v>
      </c>
      <c r="K1004" s="209" t="s">
        <v>2164</v>
      </c>
      <c r="L1004" s="209" t="s">
        <v>171</v>
      </c>
      <c r="M1004" s="209" t="s">
        <v>172</v>
      </c>
      <c r="N1004" s="209">
        <v>50039302</v>
      </c>
      <c r="O1004" s="209" t="s">
        <v>1942</v>
      </c>
      <c r="P1004" s="209">
        <v>5121</v>
      </c>
      <c r="Q1004" s="209" t="s">
        <v>174</v>
      </c>
      <c r="R1004" s="209" t="s">
        <v>175</v>
      </c>
      <c r="S1004" s="209" t="s">
        <v>176</v>
      </c>
      <c r="T1004" s="209" t="s">
        <v>177</v>
      </c>
      <c r="U1004" s="209" t="s">
        <v>2057</v>
      </c>
      <c r="V1004" s="209" t="s">
        <v>179</v>
      </c>
      <c r="W1004" s="209" t="s">
        <v>179</v>
      </c>
      <c r="X1004" s="209" t="s">
        <v>180</v>
      </c>
      <c r="Y1004" s="209" t="s">
        <v>180</v>
      </c>
      <c r="Z1004" s="209">
        <v>9521068597</v>
      </c>
      <c r="AA1004" s="209" t="s">
        <v>2079</v>
      </c>
      <c r="AB1004" s="209" t="s">
        <v>180</v>
      </c>
      <c r="AC1004" s="209" t="s">
        <v>182</v>
      </c>
      <c r="AD1004" s="209">
        <v>4</v>
      </c>
      <c r="AE1004" s="209">
        <v>2025</v>
      </c>
      <c r="AF1004" s="227">
        <v>45776</v>
      </c>
      <c r="AG1004" s="227">
        <v>45790</v>
      </c>
      <c r="AH1004" s="227">
        <v>45790</v>
      </c>
      <c r="AI1004" s="228">
        <v>399360</v>
      </c>
      <c r="AJ1004" s="228">
        <v>52</v>
      </c>
      <c r="AK1004" s="228">
        <v>399360</v>
      </c>
      <c r="AL1004" s="228">
        <v>52</v>
      </c>
      <c r="AM1004" s="228">
        <v>0</v>
      </c>
      <c r="AN1004" s="228">
        <v>0</v>
      </c>
      <c r="AO1004" s="229">
        <v>18</v>
      </c>
      <c r="AP1004" s="231">
        <v>5</v>
      </c>
      <c r="AQ1004" s="231">
        <v>2025</v>
      </c>
      <c r="AR1004" s="231" t="str">
        <f t="shared" si="135"/>
        <v>05/2025</v>
      </c>
      <c r="AS1004" s="231">
        <f t="shared" si="136"/>
        <v>46.6</v>
      </c>
      <c r="AT1004" s="239">
        <f>IF(G1004="CERVECERIA Y MALTERIA",(AS1004*AK1004/1000000)*(1-VLOOKUP(N1004,[1]FCST!D:I,6,FALSE)),0)</f>
        <v>18.610175999999999</v>
      </c>
      <c r="AU1004" s="232">
        <v>5.0000000000000001E-3</v>
      </c>
      <c r="AV1004" s="239">
        <f t="shared" si="137"/>
        <v>18.703226879999995</v>
      </c>
      <c r="AW1004" s="239">
        <f>(AS1004*AK1004/1000000)*(VLOOKUP(N1004,[1]FCST!D:I,6,FALSE))</f>
        <v>0</v>
      </c>
      <c r="AX1004" s="239">
        <f t="shared" si="138"/>
        <v>0</v>
      </c>
      <c r="AY1004" s="239">
        <f>IF($G1004="CERVECERIA Y MALTERIA.",($AS1004*$AK1004/1000000)*(1-VLOOKUP($N1004,[1]FCST!D:I,6,FALSE)),0)</f>
        <v>0</v>
      </c>
      <c r="AZ1004" s="239">
        <f t="shared" si="139"/>
        <v>0</v>
      </c>
    </row>
    <row r="1005" spans="1:52" x14ac:dyDescent="0.25">
      <c r="A1005" s="209">
        <v>1115256</v>
      </c>
      <c r="B1005" s="209">
        <v>50</v>
      </c>
      <c r="C1005" s="209">
        <v>89460722</v>
      </c>
      <c r="D1005" s="209">
        <v>10</v>
      </c>
      <c r="E1005" s="209">
        <v>10000002</v>
      </c>
      <c r="F1005" s="209">
        <v>20000337</v>
      </c>
      <c r="G1005" s="209" t="s">
        <v>105</v>
      </c>
      <c r="H1005" s="209">
        <v>20000337</v>
      </c>
      <c r="I1005" s="209">
        <v>2</v>
      </c>
      <c r="J1005" s="209" t="s">
        <v>169</v>
      </c>
      <c r="K1005" s="209" t="s">
        <v>2165</v>
      </c>
      <c r="L1005" s="209" t="s">
        <v>171</v>
      </c>
      <c r="M1005" s="209" t="s">
        <v>172</v>
      </c>
      <c r="N1005" s="209">
        <v>50039302</v>
      </c>
      <c r="O1005" s="209" t="s">
        <v>1942</v>
      </c>
      <c r="P1005" s="209">
        <v>5121</v>
      </c>
      <c r="Q1005" s="209" t="s">
        <v>174</v>
      </c>
      <c r="R1005" s="209" t="s">
        <v>175</v>
      </c>
      <c r="S1005" s="209" t="s">
        <v>176</v>
      </c>
      <c r="T1005" s="209" t="s">
        <v>177</v>
      </c>
      <c r="U1005" s="209" t="s">
        <v>2057</v>
      </c>
      <c r="V1005" s="209" t="s">
        <v>179</v>
      </c>
      <c r="W1005" s="209" t="s">
        <v>179</v>
      </c>
      <c r="X1005" s="209" t="s">
        <v>180</v>
      </c>
      <c r="Y1005" s="209" t="s">
        <v>180</v>
      </c>
      <c r="Z1005" s="209">
        <v>9521068597</v>
      </c>
      <c r="AA1005" s="209" t="s">
        <v>2079</v>
      </c>
      <c r="AB1005" s="209" t="s">
        <v>180</v>
      </c>
      <c r="AC1005" s="209" t="s">
        <v>182</v>
      </c>
      <c r="AD1005" s="209">
        <v>4</v>
      </c>
      <c r="AE1005" s="209">
        <v>2025</v>
      </c>
      <c r="AF1005" s="227">
        <v>45776</v>
      </c>
      <c r="AG1005" s="227">
        <v>45791</v>
      </c>
      <c r="AH1005" s="227">
        <v>45790</v>
      </c>
      <c r="AI1005" s="228">
        <v>399360</v>
      </c>
      <c r="AJ1005" s="228">
        <v>52</v>
      </c>
      <c r="AK1005" s="228">
        <v>399360</v>
      </c>
      <c r="AL1005" s="228">
        <v>52</v>
      </c>
      <c r="AM1005" s="228">
        <v>0</v>
      </c>
      <c r="AN1005" s="228">
        <v>0</v>
      </c>
      <c r="AO1005" s="229">
        <v>18</v>
      </c>
      <c r="AP1005" s="231">
        <v>5</v>
      </c>
      <c r="AQ1005" s="231">
        <v>2025</v>
      </c>
      <c r="AR1005" s="231" t="str">
        <f t="shared" si="135"/>
        <v>05/2025</v>
      </c>
      <c r="AS1005" s="231">
        <f t="shared" si="136"/>
        <v>46.6</v>
      </c>
      <c r="AT1005" s="239">
        <f>IF(G1005="CERVECERIA Y MALTERIA",(AS1005*AK1005/1000000)*(1-VLOOKUP(N1005,[1]FCST!D:I,6,FALSE)),0)</f>
        <v>18.610175999999999</v>
      </c>
      <c r="AU1005" s="232">
        <v>5.0000000000000001E-3</v>
      </c>
      <c r="AV1005" s="239">
        <f t="shared" si="137"/>
        <v>18.703226879999995</v>
      </c>
      <c r="AW1005" s="239">
        <f>(AS1005*AK1005/1000000)*(VLOOKUP(N1005,[1]FCST!D:I,6,FALSE))</f>
        <v>0</v>
      </c>
      <c r="AX1005" s="239">
        <f t="shared" si="138"/>
        <v>0</v>
      </c>
      <c r="AY1005" s="239">
        <f>IF($G1005="CERVECERIA Y MALTERIA.",($AS1005*$AK1005/1000000)*(1-VLOOKUP($N1005,[1]FCST!D:I,6,FALSE)),0)</f>
        <v>0</v>
      </c>
      <c r="AZ1005" s="239">
        <f t="shared" si="139"/>
        <v>0</v>
      </c>
    </row>
    <row r="1006" spans="1:52" x14ac:dyDescent="0.25">
      <c r="A1006" s="209">
        <v>1117118</v>
      </c>
      <c r="B1006" s="209">
        <v>40</v>
      </c>
      <c r="C1006" s="209">
        <v>89460772</v>
      </c>
      <c r="D1006" s="209">
        <v>10</v>
      </c>
      <c r="E1006" s="209">
        <v>10000002</v>
      </c>
      <c r="F1006" s="209">
        <v>20000340</v>
      </c>
      <c r="G1006" s="209" t="s">
        <v>117</v>
      </c>
      <c r="H1006" s="209">
        <v>20000340</v>
      </c>
      <c r="I1006" s="209">
        <v>2</v>
      </c>
      <c r="J1006" s="209" t="s">
        <v>169</v>
      </c>
      <c r="K1006" s="209" t="s">
        <v>2166</v>
      </c>
      <c r="L1006" s="209" t="s">
        <v>171</v>
      </c>
      <c r="M1006" s="209" t="s">
        <v>172</v>
      </c>
      <c r="N1006" s="209">
        <v>50038523</v>
      </c>
      <c r="O1006" s="209" t="s">
        <v>249</v>
      </c>
      <c r="P1006" s="209">
        <v>5101</v>
      </c>
      <c r="Q1006" s="209" t="s">
        <v>186</v>
      </c>
      <c r="R1006" s="209" t="s">
        <v>175</v>
      </c>
      <c r="S1006" s="209" t="s">
        <v>176</v>
      </c>
      <c r="T1006" s="209" t="s">
        <v>187</v>
      </c>
      <c r="U1006" s="209" t="s">
        <v>188</v>
      </c>
      <c r="V1006" s="209" t="s">
        <v>179</v>
      </c>
      <c r="W1006" s="209" t="s">
        <v>179</v>
      </c>
      <c r="X1006" s="209" t="s">
        <v>180</v>
      </c>
      <c r="Y1006" s="209" t="s">
        <v>180</v>
      </c>
      <c r="Z1006" s="209">
        <v>9511047950</v>
      </c>
      <c r="AA1006" s="209" t="s">
        <v>2082</v>
      </c>
      <c r="AB1006" s="209" t="s">
        <v>180</v>
      </c>
      <c r="AC1006" s="209" t="s">
        <v>182</v>
      </c>
      <c r="AD1006" s="209">
        <v>5</v>
      </c>
      <c r="AE1006" s="209">
        <v>2025</v>
      </c>
      <c r="AF1006" s="227">
        <v>45785</v>
      </c>
      <c r="AG1006" s="227">
        <v>45790</v>
      </c>
      <c r="AH1006" s="227">
        <v>45790</v>
      </c>
      <c r="AI1006" s="228">
        <v>606528</v>
      </c>
      <c r="AJ1006" s="228">
        <v>52</v>
      </c>
      <c r="AK1006" s="228">
        <v>606528</v>
      </c>
      <c r="AL1006" s="228">
        <v>52</v>
      </c>
      <c r="AM1006" s="228">
        <v>0</v>
      </c>
      <c r="AN1006" s="228">
        <v>0</v>
      </c>
      <c r="AO1006" s="229">
        <v>20</v>
      </c>
      <c r="AP1006" s="231">
        <v>5</v>
      </c>
      <c r="AQ1006" s="231">
        <v>2025</v>
      </c>
      <c r="AR1006" s="231" t="str">
        <f t="shared" si="135"/>
        <v>05/2025</v>
      </c>
      <c r="AS1006" s="231">
        <f t="shared" si="136"/>
        <v>30</v>
      </c>
      <c r="AT1006" s="239">
        <f>IF(G1006="CERVECERIA Y MALTERIA",(AS1006*AK1006/1000000)*(1-VLOOKUP(N1006,[1]FCST!D:I,6,FALSE)),0)</f>
        <v>0</v>
      </c>
      <c r="AU1006" s="232">
        <v>5.0000000000000001E-3</v>
      </c>
      <c r="AV1006" s="239">
        <f t="shared" si="137"/>
        <v>0</v>
      </c>
      <c r="AW1006" s="239">
        <f>(AS1006*AK1006/1000000)*(VLOOKUP(N1006,[1]FCST!D:I,6,FALSE))</f>
        <v>0</v>
      </c>
      <c r="AX1006" s="239">
        <f t="shared" si="138"/>
        <v>0</v>
      </c>
      <c r="AY1006" s="239">
        <f>IF($G1006="CERVECERIA Y MALTERIA.",($AS1006*$AK1006/1000000)*(1-VLOOKUP($N1006,[1]FCST!D:I,6,FALSE)),0)</f>
        <v>18.19584</v>
      </c>
      <c r="AZ1006" s="239">
        <f t="shared" si="139"/>
        <v>18.2868192</v>
      </c>
    </row>
    <row r="1007" spans="1:52" x14ac:dyDescent="0.25">
      <c r="A1007" s="209">
        <v>1117117</v>
      </c>
      <c r="B1007" s="209">
        <v>60</v>
      </c>
      <c r="C1007" s="209">
        <v>89461535</v>
      </c>
      <c r="D1007" s="209">
        <v>10</v>
      </c>
      <c r="E1007" s="209">
        <v>10000002</v>
      </c>
      <c r="F1007" s="209">
        <v>20000335</v>
      </c>
      <c r="G1007" s="209" t="s">
        <v>105</v>
      </c>
      <c r="H1007" s="209">
        <v>20000335</v>
      </c>
      <c r="I1007" s="209">
        <v>2</v>
      </c>
      <c r="J1007" s="209" t="s">
        <v>169</v>
      </c>
      <c r="K1007" s="209" t="s">
        <v>2167</v>
      </c>
      <c r="L1007" s="209" t="s">
        <v>171</v>
      </c>
      <c r="M1007" s="209" t="s">
        <v>199</v>
      </c>
      <c r="N1007" s="209">
        <v>50035184</v>
      </c>
      <c r="O1007" s="209" t="s">
        <v>672</v>
      </c>
      <c r="P1007" s="209">
        <v>5121</v>
      </c>
      <c r="Q1007" s="209" t="s">
        <v>200</v>
      </c>
      <c r="R1007" s="209" t="s">
        <v>201</v>
      </c>
      <c r="S1007" s="209" t="s">
        <v>202</v>
      </c>
      <c r="T1007" s="209" t="s">
        <v>203</v>
      </c>
      <c r="U1007" s="209" t="s">
        <v>201</v>
      </c>
      <c r="V1007" s="209" t="s">
        <v>179</v>
      </c>
      <c r="W1007" s="209" t="s">
        <v>179</v>
      </c>
      <c r="X1007" s="209" t="s">
        <v>180</v>
      </c>
      <c r="Y1007" s="209" t="s">
        <v>180</v>
      </c>
      <c r="Z1007" s="209">
        <v>9521068593</v>
      </c>
      <c r="AA1007" s="209" t="s">
        <v>2151</v>
      </c>
      <c r="AB1007" s="209" t="s">
        <v>180</v>
      </c>
      <c r="AC1007" s="209" t="s">
        <v>182</v>
      </c>
      <c r="AD1007" s="209">
        <v>5</v>
      </c>
      <c r="AE1007" s="209">
        <v>2025</v>
      </c>
      <c r="AF1007" s="227">
        <v>45785</v>
      </c>
      <c r="AG1007" s="227">
        <v>45791</v>
      </c>
      <c r="AH1007" s="227">
        <v>45791</v>
      </c>
      <c r="AI1007" s="228">
        <v>977184</v>
      </c>
      <c r="AJ1007" s="228">
        <v>52</v>
      </c>
      <c r="AK1007" s="228">
        <v>977184</v>
      </c>
      <c r="AL1007" s="228">
        <v>52</v>
      </c>
      <c r="AM1007" s="228">
        <v>0</v>
      </c>
      <c r="AN1007" s="228">
        <v>0</v>
      </c>
      <c r="AO1007" s="229">
        <v>20</v>
      </c>
      <c r="AP1007" s="231">
        <v>5</v>
      </c>
      <c r="AQ1007" s="231">
        <v>2025</v>
      </c>
      <c r="AR1007" s="231" t="str">
        <f t="shared" si="135"/>
        <v>05/2025</v>
      </c>
      <c r="AS1007" s="231">
        <f t="shared" si="136"/>
        <v>19.5</v>
      </c>
      <c r="AT1007" s="239">
        <f>IF(G1007="CERVECERIA Y MALTERIA",(AS1007*AK1007/1000000)*(1-VLOOKUP(N1007,[1]FCST!D:I,6,FALSE)),0)</f>
        <v>19.055088000000001</v>
      </c>
      <c r="AU1007" s="232">
        <v>5.0000000000000001E-3</v>
      </c>
      <c r="AV1007" s="239">
        <f t="shared" si="137"/>
        <v>19.15036344</v>
      </c>
      <c r="AW1007" s="239">
        <f>(AS1007*AK1007/1000000)*(VLOOKUP(N1007,[1]FCST!D:I,6,FALSE))</f>
        <v>0</v>
      </c>
      <c r="AX1007" s="239">
        <f t="shared" si="138"/>
        <v>0</v>
      </c>
      <c r="AY1007" s="239">
        <f>IF($G1007="CERVECERIA Y MALTERIA.",($AS1007*$AK1007/1000000)*(1-VLOOKUP($N1007,[1]FCST!D:I,6,FALSE)),0)</f>
        <v>0</v>
      </c>
      <c r="AZ1007" s="239">
        <f t="shared" si="139"/>
        <v>0</v>
      </c>
    </row>
    <row r="1009" spans="1:52" x14ac:dyDescent="0.25">
      <c r="A1009" s="209">
        <v>1124828</v>
      </c>
      <c r="B1009" s="209">
        <v>50</v>
      </c>
      <c r="C1009" s="209" t="s">
        <v>2168</v>
      </c>
      <c r="D1009" s="209">
        <v>10</v>
      </c>
      <c r="E1009" s="209">
        <v>10000002</v>
      </c>
      <c r="F1009" s="209">
        <v>20000335</v>
      </c>
      <c r="G1009" s="209" t="s">
        <v>105</v>
      </c>
      <c r="H1009" s="209">
        <v>20000335</v>
      </c>
      <c r="I1009" s="209">
        <v>2</v>
      </c>
      <c r="J1009" s="209" t="s">
        <v>169</v>
      </c>
      <c r="K1009" s="209" t="s">
        <v>2169</v>
      </c>
      <c r="L1009" s="209" t="s">
        <v>171</v>
      </c>
      <c r="M1009" s="209" t="s">
        <v>172</v>
      </c>
      <c r="N1009" s="209">
        <v>50021818</v>
      </c>
      <c r="O1009" s="209" t="s">
        <v>2170</v>
      </c>
      <c r="P1009" s="209">
        <v>5121</v>
      </c>
      <c r="Q1009" s="209" t="s">
        <v>174</v>
      </c>
      <c r="R1009" s="209" t="s">
        <v>175</v>
      </c>
      <c r="S1009" s="209" t="s">
        <v>176</v>
      </c>
      <c r="T1009" s="209" t="s">
        <v>177</v>
      </c>
      <c r="U1009" s="209" t="s">
        <v>178</v>
      </c>
      <c r="V1009" s="209" t="s">
        <v>179</v>
      </c>
      <c r="W1009" s="209" t="s">
        <v>179</v>
      </c>
      <c r="X1009" s="209" t="s">
        <v>180</v>
      </c>
      <c r="Y1009" s="209" t="s">
        <v>180</v>
      </c>
      <c r="Z1009" s="209" t="s">
        <v>2171</v>
      </c>
      <c r="AA1009" s="209" t="s">
        <v>2172</v>
      </c>
      <c r="AB1009" s="209" t="s">
        <v>180</v>
      </c>
      <c r="AC1009" s="209" t="s">
        <v>182</v>
      </c>
      <c r="AD1009" s="209">
        <v>6</v>
      </c>
      <c r="AE1009" s="209">
        <v>2025</v>
      </c>
      <c r="AF1009" s="227">
        <v>45827</v>
      </c>
      <c r="AG1009" s="227">
        <v>45832</v>
      </c>
      <c r="AH1009" s="227">
        <v>45832</v>
      </c>
      <c r="AI1009" s="228">
        <v>426816</v>
      </c>
      <c r="AJ1009" s="228">
        <v>52</v>
      </c>
      <c r="AK1009" s="228">
        <v>426816</v>
      </c>
      <c r="AL1009" s="228">
        <v>52</v>
      </c>
      <c r="AM1009" s="228">
        <v>0</v>
      </c>
      <c r="AN1009" s="228">
        <v>0</v>
      </c>
      <c r="AO1009" s="229">
        <v>26</v>
      </c>
      <c r="AP1009" s="231">
        <v>6</v>
      </c>
      <c r="AQ1009" s="231">
        <v>2025</v>
      </c>
      <c r="AR1009" s="231" t="str">
        <f t="shared" ref="AR1009:AR1040" si="140">+IF(AP1009&lt;10,"0"&amp;AP1009&amp; "/"&amp;AQ1009,AP1009&amp; "/"&amp;AQ1009)</f>
        <v>06/2025</v>
      </c>
      <c r="AS1009" s="231">
        <f t="shared" ref="AS1009:AS1040" si="141">VALUE(MID(INDEX(_xlfn.TEXTSPLIT(O1009, ","), 1, 3), 1,FIND("G", INDEX(_xlfn.TEXTSPLIT(O1009, ","), 1, 3))-1))</f>
        <v>46.6</v>
      </c>
      <c r="AT1009" s="239">
        <f>IF(G1009="CERVECERIA Y MALTERIA",(AS1009*AK1009/1000000)*(1-VLOOKUP(N1009,FCST!D:I,6,FALSE)),0)</f>
        <v>19.889625600000002</v>
      </c>
      <c r="AU1009" s="232">
        <v>5.0000000000000001E-3</v>
      </c>
      <c r="AV1009" s="239">
        <f t="shared" ref="AV1009:AV1040" si="142">+AT1009*(1+AU1009)</f>
        <v>19.989073728000001</v>
      </c>
      <c r="AW1009" s="239">
        <f>(AS1009*AK1009/1000000)*(VLOOKUP(N1009,FCST!D:I,6,FALSE))</f>
        <v>0</v>
      </c>
      <c r="AX1009" s="239">
        <f t="shared" ref="AX1009:AX1040" si="143">+AW1009*(1+AU1009)</f>
        <v>0</v>
      </c>
      <c r="AY1009" s="239">
        <f>IF($G1009="CERVECERIA Y MALTERIA.",($AS1009*$AK1009/1000000)*(1-VLOOKUP($N1009,FCST!D:I,6,FALSE)),0)</f>
        <v>0</v>
      </c>
      <c r="AZ1009" s="239">
        <f t="shared" ref="AZ1009:AZ1040" si="144">+AY1009*(1+AU1009)</f>
        <v>0</v>
      </c>
    </row>
    <row r="1010" spans="1:52" x14ac:dyDescent="0.25">
      <c r="A1010" s="209">
        <v>1124398</v>
      </c>
      <c r="B1010" s="209">
        <v>10</v>
      </c>
      <c r="C1010" s="209" t="s">
        <v>2173</v>
      </c>
      <c r="D1010" s="209">
        <v>10</v>
      </c>
      <c r="E1010" s="209">
        <v>10000002</v>
      </c>
      <c r="F1010" s="209">
        <v>20000340</v>
      </c>
      <c r="G1010" s="209" t="s">
        <v>117</v>
      </c>
      <c r="H1010" s="209">
        <v>20000340</v>
      </c>
      <c r="I1010" s="209">
        <v>2</v>
      </c>
      <c r="J1010" s="209" t="s">
        <v>169</v>
      </c>
      <c r="K1010" s="209" t="s">
        <v>2174</v>
      </c>
      <c r="L1010" s="209" t="s">
        <v>171</v>
      </c>
      <c r="M1010" s="209" t="s">
        <v>172</v>
      </c>
      <c r="N1010" s="209">
        <v>50029843</v>
      </c>
      <c r="O1010" s="209" t="s">
        <v>460</v>
      </c>
      <c r="P1010" s="209">
        <v>5121</v>
      </c>
      <c r="Q1010" s="209" t="s">
        <v>174</v>
      </c>
      <c r="R1010" s="209" t="s">
        <v>175</v>
      </c>
      <c r="S1010" s="209" t="s">
        <v>176</v>
      </c>
      <c r="T1010" s="209" t="s">
        <v>177</v>
      </c>
      <c r="U1010" s="209" t="s">
        <v>178</v>
      </c>
      <c r="V1010" s="209" t="s">
        <v>179</v>
      </c>
      <c r="W1010" s="209" t="s">
        <v>179</v>
      </c>
      <c r="X1010" s="209" t="s">
        <v>180</v>
      </c>
      <c r="Y1010" s="209" t="s">
        <v>180</v>
      </c>
      <c r="Z1010" s="209" t="s">
        <v>2175</v>
      </c>
      <c r="AA1010" s="209" t="s">
        <v>2176</v>
      </c>
      <c r="AB1010" s="209" t="s">
        <v>180</v>
      </c>
      <c r="AC1010" s="209" t="s">
        <v>182</v>
      </c>
      <c r="AD1010" s="209">
        <v>6</v>
      </c>
      <c r="AE1010" s="209">
        <v>2025</v>
      </c>
      <c r="AF1010" s="227">
        <v>45826</v>
      </c>
      <c r="AG1010" s="227">
        <v>45827</v>
      </c>
      <c r="AH1010" s="227">
        <v>45827</v>
      </c>
      <c r="AI1010" s="228">
        <v>419328</v>
      </c>
      <c r="AJ1010" s="228">
        <v>52</v>
      </c>
      <c r="AK1010" s="228">
        <v>419328</v>
      </c>
      <c r="AL1010" s="228">
        <v>52</v>
      </c>
      <c r="AM1010" s="228">
        <v>0</v>
      </c>
      <c r="AN1010" s="228">
        <v>0</v>
      </c>
      <c r="AO1010" s="229">
        <v>25</v>
      </c>
      <c r="AP1010" s="231">
        <v>6</v>
      </c>
      <c r="AQ1010" s="231">
        <v>2025</v>
      </c>
      <c r="AR1010" s="231" t="str">
        <f t="shared" si="140"/>
        <v>06/2025</v>
      </c>
      <c r="AS1010" s="231">
        <f t="shared" si="141"/>
        <v>44.8</v>
      </c>
      <c r="AT1010" s="239">
        <f>IF(G1010="CERVECERIA Y MALTERIA",(AS1010*AK1010/1000000)*(1-VLOOKUP(N1010,FCST!D:I,6,FALSE)),0)</f>
        <v>0</v>
      </c>
      <c r="AU1010" s="232">
        <v>5.0000000000000001E-3</v>
      </c>
      <c r="AV1010" s="239">
        <f t="shared" si="142"/>
        <v>0</v>
      </c>
      <c r="AW1010" s="239">
        <f>(AS1010*AK1010/1000000)*(VLOOKUP(N1010,FCST!D:I,6,FALSE))</f>
        <v>0</v>
      </c>
      <c r="AX1010" s="239">
        <f t="shared" si="143"/>
        <v>0</v>
      </c>
      <c r="AY1010" s="239">
        <f>IF($G1010="CERVECERIA Y MALTERIA.",($AS1010*$AK1010/1000000)*(1-VLOOKUP($N1010,FCST!D:I,6,FALSE)),0)</f>
        <v>18.7858944</v>
      </c>
      <c r="AZ1010" s="239">
        <f t="shared" si="144"/>
        <v>18.879823871999999</v>
      </c>
    </row>
    <row r="1011" spans="1:52" x14ac:dyDescent="0.25">
      <c r="A1011" s="209">
        <v>1124126</v>
      </c>
      <c r="B1011" s="209">
        <v>20</v>
      </c>
      <c r="C1011" s="209" t="s">
        <v>2177</v>
      </c>
      <c r="D1011" s="209">
        <v>10</v>
      </c>
      <c r="E1011" s="209">
        <v>10000002</v>
      </c>
      <c r="F1011" s="209">
        <v>20000337</v>
      </c>
      <c r="G1011" s="209" t="s">
        <v>105</v>
      </c>
      <c r="H1011" s="209">
        <v>20000337</v>
      </c>
      <c r="I1011" s="209">
        <v>2</v>
      </c>
      <c r="J1011" s="209" t="s">
        <v>169</v>
      </c>
      <c r="K1011" s="209" t="s">
        <v>2178</v>
      </c>
      <c r="L1011" s="209" t="s">
        <v>246</v>
      </c>
      <c r="M1011" s="209" t="s">
        <v>172</v>
      </c>
      <c r="N1011" s="209">
        <v>50025345</v>
      </c>
      <c r="O1011" s="209" t="s">
        <v>1998</v>
      </c>
      <c r="P1011" s="209">
        <v>5121</v>
      </c>
      <c r="Q1011" s="209" t="s">
        <v>174</v>
      </c>
      <c r="R1011" s="209" t="s">
        <v>175</v>
      </c>
      <c r="S1011" s="209" t="s">
        <v>176</v>
      </c>
      <c r="T1011" s="209" t="s">
        <v>177</v>
      </c>
      <c r="U1011" s="209" t="s">
        <v>178</v>
      </c>
      <c r="V1011" s="209" t="s">
        <v>179</v>
      </c>
      <c r="W1011" s="209" t="s">
        <v>179</v>
      </c>
      <c r="X1011" s="209" t="s">
        <v>180</v>
      </c>
      <c r="Y1011" s="209" t="s">
        <v>180</v>
      </c>
      <c r="Z1011" s="209" t="s">
        <v>2179</v>
      </c>
      <c r="AA1011" s="209" t="s">
        <v>2180</v>
      </c>
      <c r="AB1011" s="209" t="s">
        <v>180</v>
      </c>
      <c r="AC1011" s="209" t="s">
        <v>182</v>
      </c>
      <c r="AD1011" s="209">
        <v>6</v>
      </c>
      <c r="AE1011" s="209">
        <v>2025</v>
      </c>
      <c r="AF1011" s="227">
        <v>45825</v>
      </c>
      <c r="AG1011" s="227">
        <v>45829</v>
      </c>
      <c r="AH1011" s="227">
        <v>45829</v>
      </c>
      <c r="AI1011" s="228">
        <v>426816</v>
      </c>
      <c r="AJ1011" s="228">
        <v>52</v>
      </c>
      <c r="AK1011" s="228">
        <v>426816</v>
      </c>
      <c r="AL1011" s="228">
        <v>52</v>
      </c>
      <c r="AM1011" s="228">
        <v>0</v>
      </c>
      <c r="AN1011" s="228">
        <v>0</v>
      </c>
      <c r="AO1011" s="229">
        <v>25</v>
      </c>
      <c r="AP1011" s="231">
        <v>6</v>
      </c>
      <c r="AQ1011" s="231">
        <v>2025</v>
      </c>
      <c r="AR1011" s="231" t="str">
        <f t="shared" si="140"/>
        <v>06/2025</v>
      </c>
      <c r="AS1011" s="231">
        <f t="shared" si="141"/>
        <v>46.6</v>
      </c>
      <c r="AT1011" s="239">
        <f>IF(G1011="CERVECERIA Y MALTERIA",(AS1011*AK1011/1000000)*(1-VLOOKUP(N1011,FCST!D:I,6,FALSE)),0)</f>
        <v>19.889625600000002</v>
      </c>
      <c r="AU1011" s="232">
        <v>5.0000000000000001E-3</v>
      </c>
      <c r="AV1011" s="239">
        <f t="shared" si="142"/>
        <v>19.989073728000001</v>
      </c>
      <c r="AW1011" s="239">
        <f>(AS1011*AK1011/1000000)*(VLOOKUP(N1011,FCST!D:I,6,FALSE))</f>
        <v>0</v>
      </c>
      <c r="AX1011" s="239">
        <f t="shared" si="143"/>
        <v>0</v>
      </c>
      <c r="AY1011" s="239">
        <f>IF($G1011="CERVECERIA Y MALTERIA.",($AS1011*$AK1011/1000000)*(1-VLOOKUP($N1011,FCST!D:I,6,FALSE)),0)</f>
        <v>0</v>
      </c>
      <c r="AZ1011" s="239">
        <f t="shared" si="144"/>
        <v>0</v>
      </c>
    </row>
    <row r="1012" spans="1:52" x14ac:dyDescent="0.25">
      <c r="A1012" s="209">
        <v>1121143</v>
      </c>
      <c r="B1012" s="209">
        <v>80</v>
      </c>
      <c r="C1012" s="209" t="s">
        <v>2181</v>
      </c>
      <c r="D1012" s="209">
        <v>10</v>
      </c>
      <c r="E1012" s="209">
        <v>10000002</v>
      </c>
      <c r="F1012" s="209">
        <v>20000336</v>
      </c>
      <c r="G1012" s="209" t="s">
        <v>105</v>
      </c>
      <c r="H1012" s="209">
        <v>20000336</v>
      </c>
      <c r="I1012" s="209">
        <v>2</v>
      </c>
      <c r="J1012" s="209" t="s">
        <v>169</v>
      </c>
      <c r="K1012" s="209" t="s">
        <v>2182</v>
      </c>
      <c r="L1012" s="209" t="s">
        <v>171</v>
      </c>
      <c r="M1012" s="209" t="s">
        <v>184</v>
      </c>
      <c r="N1012" s="209">
        <v>50035183</v>
      </c>
      <c r="O1012" s="209" t="s">
        <v>215</v>
      </c>
      <c r="P1012" s="209">
        <v>5121</v>
      </c>
      <c r="Q1012" s="209" t="s">
        <v>174</v>
      </c>
      <c r="R1012" s="209" t="s">
        <v>175</v>
      </c>
      <c r="S1012" s="209" t="s">
        <v>176</v>
      </c>
      <c r="T1012" s="209" t="s">
        <v>177</v>
      </c>
      <c r="U1012" s="209" t="s">
        <v>178</v>
      </c>
      <c r="V1012" s="209" t="s">
        <v>179</v>
      </c>
      <c r="W1012" s="209" t="s">
        <v>179</v>
      </c>
      <c r="X1012" s="209" t="s">
        <v>180</v>
      </c>
      <c r="Y1012" s="209" t="s">
        <v>180</v>
      </c>
      <c r="Z1012" s="209" t="s">
        <v>2183</v>
      </c>
      <c r="AA1012" s="209" t="s">
        <v>2184</v>
      </c>
      <c r="AB1012" s="209" t="s">
        <v>180</v>
      </c>
      <c r="AC1012" s="209" t="s">
        <v>182</v>
      </c>
      <c r="AD1012" s="209">
        <v>6</v>
      </c>
      <c r="AE1012" s="209">
        <v>2025</v>
      </c>
      <c r="AF1012" s="227">
        <v>45807</v>
      </c>
      <c r="AG1012" s="227">
        <v>45831</v>
      </c>
      <c r="AH1012" s="227">
        <v>45831</v>
      </c>
      <c r="AI1012" s="228">
        <v>180576</v>
      </c>
      <c r="AJ1012" s="228">
        <v>22</v>
      </c>
      <c r="AK1012" s="228">
        <v>180576</v>
      </c>
      <c r="AL1012" s="228">
        <v>22</v>
      </c>
      <c r="AM1012" s="228">
        <v>0</v>
      </c>
      <c r="AN1012" s="228">
        <v>0</v>
      </c>
      <c r="AO1012" s="229">
        <v>23</v>
      </c>
      <c r="AP1012" s="231">
        <v>6</v>
      </c>
      <c r="AQ1012" s="231">
        <v>2025</v>
      </c>
      <c r="AR1012" s="231" t="str">
        <f t="shared" si="140"/>
        <v>06/2025</v>
      </c>
      <c r="AS1012" s="231">
        <f t="shared" si="141"/>
        <v>46.6</v>
      </c>
      <c r="AT1012" s="239">
        <f>IF(G1012="CERVECERIA Y MALTERIA",(AS1012*AK1012/1000000)*(1-VLOOKUP(N1012,FCST!D:I,6,FALSE)),0)</f>
        <v>8.414841599999999</v>
      </c>
      <c r="AU1012" s="232">
        <v>5.0000000000000001E-3</v>
      </c>
      <c r="AV1012" s="239">
        <f t="shared" si="142"/>
        <v>8.456915807999998</v>
      </c>
      <c r="AW1012" s="239">
        <f>(AS1012*AK1012/1000000)*(VLOOKUP(N1012,FCST!D:I,6,FALSE))</f>
        <v>0</v>
      </c>
      <c r="AX1012" s="239">
        <f t="shared" si="143"/>
        <v>0</v>
      </c>
      <c r="AY1012" s="239">
        <f>IF($G1012="CERVECERIA Y MALTERIA.",($AS1012*$AK1012/1000000)*(1-VLOOKUP($N1012,FCST!D:I,6,FALSE)),0)</f>
        <v>0</v>
      </c>
      <c r="AZ1012" s="239">
        <f t="shared" si="144"/>
        <v>0</v>
      </c>
    </row>
    <row r="1013" spans="1:52" x14ac:dyDescent="0.25">
      <c r="A1013" s="209">
        <v>1123690</v>
      </c>
      <c r="B1013" s="209">
        <v>20</v>
      </c>
      <c r="C1013" s="209" t="s">
        <v>2185</v>
      </c>
      <c r="D1013" s="209">
        <v>10</v>
      </c>
      <c r="E1013" s="209">
        <v>10000002</v>
      </c>
      <c r="F1013" s="209">
        <v>20000340</v>
      </c>
      <c r="G1013" s="209" t="s">
        <v>117</v>
      </c>
      <c r="H1013" s="209">
        <v>20000340</v>
      </c>
      <c r="I1013" s="209">
        <v>2</v>
      </c>
      <c r="J1013" s="209" t="s">
        <v>169</v>
      </c>
      <c r="K1013" s="209" t="s">
        <v>2186</v>
      </c>
      <c r="L1013" s="209" t="s">
        <v>171</v>
      </c>
      <c r="M1013" s="209" t="s">
        <v>172</v>
      </c>
      <c r="N1013" s="209">
        <v>50039509</v>
      </c>
      <c r="O1013" s="209" t="s">
        <v>2054</v>
      </c>
      <c r="P1013" s="209">
        <v>5101</v>
      </c>
      <c r="Q1013" s="209" t="s">
        <v>186</v>
      </c>
      <c r="R1013" s="209" t="s">
        <v>175</v>
      </c>
      <c r="S1013" s="209" t="s">
        <v>176</v>
      </c>
      <c r="T1013" s="209" t="s">
        <v>187</v>
      </c>
      <c r="U1013" s="209" t="s">
        <v>188</v>
      </c>
      <c r="V1013" s="209" t="s">
        <v>179</v>
      </c>
      <c r="W1013" s="209" t="s">
        <v>179</v>
      </c>
      <c r="X1013" s="209" t="s">
        <v>180</v>
      </c>
      <c r="Y1013" s="209" t="s">
        <v>180</v>
      </c>
      <c r="Z1013" s="209" t="s">
        <v>2187</v>
      </c>
      <c r="AA1013" s="209" t="s">
        <v>2188</v>
      </c>
      <c r="AB1013" s="209" t="s">
        <v>180</v>
      </c>
      <c r="AC1013" s="209" t="s">
        <v>182</v>
      </c>
      <c r="AD1013" s="209">
        <v>6</v>
      </c>
      <c r="AE1013" s="209">
        <v>2025</v>
      </c>
      <c r="AF1013" s="227">
        <v>45821</v>
      </c>
      <c r="AG1013" s="227">
        <v>45826</v>
      </c>
      <c r="AH1013" s="227">
        <v>45826</v>
      </c>
      <c r="AI1013" s="228">
        <v>519168</v>
      </c>
      <c r="AJ1013" s="228">
        <v>52</v>
      </c>
      <c r="AK1013" s="228">
        <v>519168</v>
      </c>
      <c r="AL1013" s="228">
        <v>52</v>
      </c>
      <c r="AM1013" s="228">
        <v>0</v>
      </c>
      <c r="AN1013" s="228">
        <v>0</v>
      </c>
      <c r="AO1013" s="229">
        <v>25</v>
      </c>
      <c r="AP1013" s="231">
        <v>6</v>
      </c>
      <c r="AQ1013" s="231">
        <v>2025</v>
      </c>
      <c r="AR1013" s="231" t="str">
        <f t="shared" si="140"/>
        <v>06/2025</v>
      </c>
      <c r="AS1013" s="231">
        <f t="shared" si="141"/>
        <v>34</v>
      </c>
      <c r="AT1013" s="239">
        <f>IF(G1013="CERVECERIA Y MALTERIA",(AS1013*AK1013/1000000)*(1-VLOOKUP(N1013,FCST!D:I,6,FALSE)),0)</f>
        <v>0</v>
      </c>
      <c r="AU1013" s="232">
        <v>5.0000000000000001E-3</v>
      </c>
      <c r="AV1013" s="239">
        <f t="shared" si="142"/>
        <v>0</v>
      </c>
      <c r="AW1013" s="239">
        <f>(AS1013*AK1013/1000000)*(VLOOKUP(N1013,FCST!D:I,6,FALSE))</f>
        <v>0</v>
      </c>
      <c r="AX1013" s="239">
        <f t="shared" si="143"/>
        <v>0</v>
      </c>
      <c r="AY1013" s="239">
        <f>IF($G1013="CERVECERIA Y MALTERIA.",($AS1013*$AK1013/1000000)*(1-VLOOKUP($N1013,FCST!D:I,6,FALSE)),0)</f>
        <v>17.651712</v>
      </c>
      <c r="AZ1013" s="239">
        <f t="shared" si="144"/>
        <v>17.73997056</v>
      </c>
    </row>
    <row r="1014" spans="1:52" x14ac:dyDescent="0.25">
      <c r="A1014" s="209">
        <v>1124218</v>
      </c>
      <c r="B1014" s="209">
        <v>10</v>
      </c>
      <c r="C1014" s="209" t="s">
        <v>2189</v>
      </c>
      <c r="D1014" s="209">
        <v>10</v>
      </c>
      <c r="E1014" s="209">
        <v>10000002</v>
      </c>
      <c r="F1014" s="209">
        <v>20000339</v>
      </c>
      <c r="G1014" s="209" t="s">
        <v>105</v>
      </c>
      <c r="H1014" s="209">
        <v>20000339</v>
      </c>
      <c r="I1014" s="209">
        <v>2</v>
      </c>
      <c r="J1014" s="209" t="s">
        <v>169</v>
      </c>
      <c r="K1014" s="209" t="s">
        <v>2190</v>
      </c>
      <c r="L1014" s="209" t="s">
        <v>246</v>
      </c>
      <c r="M1014" s="209" t="s">
        <v>172</v>
      </c>
      <c r="N1014" s="209">
        <v>50036287</v>
      </c>
      <c r="O1014" s="209" t="s">
        <v>2191</v>
      </c>
      <c r="P1014" s="209">
        <v>5121</v>
      </c>
      <c r="Q1014" s="209" t="s">
        <v>174</v>
      </c>
      <c r="R1014" s="209" t="s">
        <v>175</v>
      </c>
      <c r="S1014" s="209" t="s">
        <v>176</v>
      </c>
      <c r="T1014" s="209" t="s">
        <v>177</v>
      </c>
      <c r="U1014" s="209" t="s">
        <v>178</v>
      </c>
      <c r="V1014" s="209" t="s">
        <v>179</v>
      </c>
      <c r="W1014" s="209" t="s">
        <v>179</v>
      </c>
      <c r="X1014" s="209" t="s">
        <v>180</v>
      </c>
      <c r="Y1014" s="209" t="s">
        <v>180</v>
      </c>
      <c r="Z1014" s="209" t="s">
        <v>2192</v>
      </c>
      <c r="AA1014" s="209" t="s">
        <v>2193</v>
      </c>
      <c r="AB1014" s="209" t="s">
        <v>180</v>
      </c>
      <c r="AC1014" s="209" t="s">
        <v>182</v>
      </c>
      <c r="AD1014" s="209">
        <v>6</v>
      </c>
      <c r="AE1014" s="209">
        <v>2025</v>
      </c>
      <c r="AF1014" s="227">
        <v>45825</v>
      </c>
      <c r="AG1014" s="227">
        <v>45826</v>
      </c>
      <c r="AH1014" s="227">
        <v>45827</v>
      </c>
      <c r="AI1014" s="228">
        <v>363168</v>
      </c>
      <c r="AJ1014" s="228">
        <v>52</v>
      </c>
      <c r="AK1014" s="228">
        <v>363168</v>
      </c>
      <c r="AL1014" s="228">
        <v>52</v>
      </c>
      <c r="AM1014" s="228">
        <v>0</v>
      </c>
      <c r="AN1014" s="228">
        <v>0</v>
      </c>
      <c r="AO1014" s="229">
        <v>25</v>
      </c>
      <c r="AP1014" s="231">
        <v>6</v>
      </c>
      <c r="AQ1014" s="231">
        <v>2025</v>
      </c>
      <c r="AR1014" s="231" t="str">
        <f t="shared" si="140"/>
        <v>06/2025</v>
      </c>
      <c r="AS1014" s="231">
        <f t="shared" si="141"/>
        <v>52</v>
      </c>
      <c r="AT1014" s="239">
        <f>IF(G1014="CERVECERIA Y MALTERIA",(AS1014*AK1014/1000000)*(1-VLOOKUP(N1014,FCST!D:I,6,FALSE)),0)</f>
        <v>18.884736</v>
      </c>
      <c r="AU1014" s="232">
        <v>5.0000000000000001E-3</v>
      </c>
      <c r="AV1014" s="239">
        <f t="shared" si="142"/>
        <v>18.979159679999999</v>
      </c>
      <c r="AW1014" s="239">
        <f>(AS1014*AK1014/1000000)*(VLOOKUP(N1014,FCST!D:I,6,FALSE))</f>
        <v>0</v>
      </c>
      <c r="AX1014" s="239">
        <f t="shared" si="143"/>
        <v>0</v>
      </c>
      <c r="AY1014" s="239">
        <f>IF($G1014="CERVECERIA Y MALTERIA.",($AS1014*$AK1014/1000000)*(1-VLOOKUP($N1014,FCST!D:I,6,FALSE)),0)</f>
        <v>0</v>
      </c>
      <c r="AZ1014" s="239">
        <f t="shared" si="144"/>
        <v>0</v>
      </c>
    </row>
    <row r="1015" spans="1:52" x14ac:dyDescent="0.25">
      <c r="A1015" s="209">
        <v>1123689</v>
      </c>
      <c r="B1015" s="209">
        <v>60</v>
      </c>
      <c r="C1015" s="209" t="s">
        <v>2194</v>
      </c>
      <c r="D1015" s="209">
        <v>10</v>
      </c>
      <c r="E1015" s="209">
        <v>10000002</v>
      </c>
      <c r="F1015" s="209">
        <v>20000335</v>
      </c>
      <c r="G1015" s="209" t="s">
        <v>105</v>
      </c>
      <c r="H1015" s="209">
        <v>20000335</v>
      </c>
      <c r="I1015" s="209">
        <v>2</v>
      </c>
      <c r="J1015" s="209" t="s">
        <v>169</v>
      </c>
      <c r="K1015" s="209" t="s">
        <v>2195</v>
      </c>
      <c r="L1015" s="209" t="s">
        <v>171</v>
      </c>
      <c r="M1015" s="209" t="s">
        <v>172</v>
      </c>
      <c r="N1015" s="209">
        <v>50021818</v>
      </c>
      <c r="O1015" s="209" t="s">
        <v>2170</v>
      </c>
      <c r="P1015" s="209">
        <v>5121</v>
      </c>
      <c r="Q1015" s="209" t="s">
        <v>174</v>
      </c>
      <c r="R1015" s="209" t="s">
        <v>175</v>
      </c>
      <c r="S1015" s="209" t="s">
        <v>176</v>
      </c>
      <c r="T1015" s="209" t="s">
        <v>177</v>
      </c>
      <c r="U1015" s="209" t="s">
        <v>178</v>
      </c>
      <c r="V1015" s="209" t="s">
        <v>179</v>
      </c>
      <c r="W1015" s="209" t="s">
        <v>179</v>
      </c>
      <c r="X1015" s="209" t="s">
        <v>180</v>
      </c>
      <c r="Y1015" s="209" t="s">
        <v>180</v>
      </c>
      <c r="Z1015" s="209" t="s">
        <v>2196</v>
      </c>
      <c r="AA1015" s="209" t="s">
        <v>2197</v>
      </c>
      <c r="AB1015" s="209" t="s">
        <v>180</v>
      </c>
      <c r="AC1015" s="209" t="s">
        <v>182</v>
      </c>
      <c r="AD1015" s="209">
        <v>6</v>
      </c>
      <c r="AE1015" s="209">
        <v>2025</v>
      </c>
      <c r="AF1015" s="227">
        <v>45821</v>
      </c>
      <c r="AG1015" s="227">
        <v>45827</v>
      </c>
      <c r="AH1015" s="227">
        <v>45827</v>
      </c>
      <c r="AI1015" s="228">
        <v>426816</v>
      </c>
      <c r="AJ1015" s="228">
        <v>52</v>
      </c>
      <c r="AK1015" s="228">
        <v>426816</v>
      </c>
      <c r="AL1015" s="228">
        <v>52</v>
      </c>
      <c r="AM1015" s="228">
        <v>0</v>
      </c>
      <c r="AN1015" s="228">
        <v>0</v>
      </c>
      <c r="AO1015" s="229">
        <v>25</v>
      </c>
      <c r="AP1015" s="231">
        <v>6</v>
      </c>
      <c r="AQ1015" s="231">
        <v>2025</v>
      </c>
      <c r="AR1015" s="231" t="str">
        <f t="shared" si="140"/>
        <v>06/2025</v>
      </c>
      <c r="AS1015" s="231">
        <f t="shared" si="141"/>
        <v>46.6</v>
      </c>
      <c r="AT1015" s="239">
        <f>IF(G1015="CERVECERIA Y MALTERIA",(AS1015*AK1015/1000000)*(1-VLOOKUP(N1015,FCST!D:I,6,FALSE)),0)</f>
        <v>19.889625600000002</v>
      </c>
      <c r="AU1015" s="232">
        <v>5.0000000000000001E-3</v>
      </c>
      <c r="AV1015" s="239">
        <f t="shared" si="142"/>
        <v>19.989073728000001</v>
      </c>
      <c r="AW1015" s="239">
        <f>(AS1015*AK1015/1000000)*(VLOOKUP(N1015,FCST!D:I,6,FALSE))</f>
        <v>0</v>
      </c>
      <c r="AX1015" s="239">
        <f t="shared" si="143"/>
        <v>0</v>
      </c>
      <c r="AY1015" s="239">
        <f>IF($G1015="CERVECERIA Y MALTERIA.",($AS1015*$AK1015/1000000)*(1-VLOOKUP($N1015,FCST!D:I,6,FALSE)),0)</f>
        <v>0</v>
      </c>
      <c r="AZ1015" s="239">
        <f t="shared" si="144"/>
        <v>0</v>
      </c>
    </row>
    <row r="1016" spans="1:52" x14ac:dyDescent="0.25">
      <c r="A1016" s="209">
        <v>1124126</v>
      </c>
      <c r="B1016" s="209">
        <v>40</v>
      </c>
      <c r="C1016" s="209" t="s">
        <v>2198</v>
      </c>
      <c r="D1016" s="209">
        <v>10</v>
      </c>
      <c r="E1016" s="209">
        <v>10000002</v>
      </c>
      <c r="F1016" s="209">
        <v>20000337</v>
      </c>
      <c r="G1016" s="209" t="s">
        <v>105</v>
      </c>
      <c r="H1016" s="209">
        <v>20000337</v>
      </c>
      <c r="I1016" s="209">
        <v>2</v>
      </c>
      <c r="J1016" s="209" t="s">
        <v>169</v>
      </c>
      <c r="K1016" s="209" t="s">
        <v>2199</v>
      </c>
      <c r="L1016" s="209" t="s">
        <v>246</v>
      </c>
      <c r="M1016" s="209" t="s">
        <v>172</v>
      </c>
      <c r="N1016" s="209">
        <v>50025345</v>
      </c>
      <c r="O1016" s="209" t="s">
        <v>1998</v>
      </c>
      <c r="P1016" s="209">
        <v>5121</v>
      </c>
      <c r="Q1016" s="209" t="s">
        <v>174</v>
      </c>
      <c r="R1016" s="209" t="s">
        <v>175</v>
      </c>
      <c r="S1016" s="209" t="s">
        <v>176</v>
      </c>
      <c r="T1016" s="209" t="s">
        <v>177</v>
      </c>
      <c r="U1016" s="209" t="s">
        <v>178</v>
      </c>
      <c r="V1016" s="209" t="s">
        <v>179</v>
      </c>
      <c r="W1016" s="209" t="s">
        <v>179</v>
      </c>
      <c r="X1016" s="209" t="s">
        <v>180</v>
      </c>
      <c r="Y1016" s="209" t="s">
        <v>180</v>
      </c>
      <c r="Z1016" s="209" t="s">
        <v>2200</v>
      </c>
      <c r="AA1016" s="209" t="s">
        <v>2201</v>
      </c>
      <c r="AB1016" s="209" t="s">
        <v>180</v>
      </c>
      <c r="AC1016" s="209" t="s">
        <v>182</v>
      </c>
      <c r="AD1016" s="209">
        <v>6</v>
      </c>
      <c r="AE1016" s="209">
        <v>2025</v>
      </c>
      <c r="AF1016" s="227">
        <v>45825</v>
      </c>
      <c r="AG1016" s="227">
        <v>45832</v>
      </c>
      <c r="AH1016" s="227">
        <v>45832</v>
      </c>
      <c r="AI1016" s="228">
        <v>426816</v>
      </c>
      <c r="AJ1016" s="228">
        <v>52</v>
      </c>
      <c r="AK1016" s="228">
        <v>426816</v>
      </c>
      <c r="AL1016" s="228">
        <v>52</v>
      </c>
      <c r="AM1016" s="228">
        <v>0</v>
      </c>
      <c r="AN1016" s="228">
        <v>0</v>
      </c>
      <c r="AO1016" s="229">
        <v>25</v>
      </c>
      <c r="AP1016" s="231">
        <v>6</v>
      </c>
      <c r="AQ1016" s="231">
        <v>2025</v>
      </c>
      <c r="AR1016" s="231" t="str">
        <f t="shared" si="140"/>
        <v>06/2025</v>
      </c>
      <c r="AS1016" s="231">
        <f t="shared" si="141"/>
        <v>46.6</v>
      </c>
      <c r="AT1016" s="239">
        <f>IF(G1016="CERVECERIA Y MALTERIA",(AS1016*AK1016/1000000)*(1-VLOOKUP(N1016,FCST!D:I,6,FALSE)),0)</f>
        <v>19.889625600000002</v>
      </c>
      <c r="AU1016" s="232">
        <v>5.0000000000000001E-3</v>
      </c>
      <c r="AV1016" s="239">
        <f t="shared" si="142"/>
        <v>19.989073728000001</v>
      </c>
      <c r="AW1016" s="239">
        <f>(AS1016*AK1016/1000000)*(VLOOKUP(N1016,FCST!D:I,6,FALSE))</f>
        <v>0</v>
      </c>
      <c r="AX1016" s="239">
        <f t="shared" si="143"/>
        <v>0</v>
      </c>
      <c r="AY1016" s="239">
        <f>IF($G1016="CERVECERIA Y MALTERIA.",($AS1016*$AK1016/1000000)*(1-VLOOKUP($N1016,FCST!D:I,6,FALSE)),0)</f>
        <v>0</v>
      </c>
      <c r="AZ1016" s="239">
        <f t="shared" si="144"/>
        <v>0</v>
      </c>
    </row>
    <row r="1017" spans="1:52" x14ac:dyDescent="0.25">
      <c r="A1017" s="209">
        <v>1124828</v>
      </c>
      <c r="B1017" s="209">
        <v>30</v>
      </c>
      <c r="C1017" s="209" t="s">
        <v>2202</v>
      </c>
      <c r="D1017" s="209">
        <v>10</v>
      </c>
      <c r="E1017" s="209">
        <v>10000002</v>
      </c>
      <c r="F1017" s="209">
        <v>20000335</v>
      </c>
      <c r="G1017" s="209" t="s">
        <v>105</v>
      </c>
      <c r="H1017" s="209">
        <v>20000335</v>
      </c>
      <c r="I1017" s="209">
        <v>2</v>
      </c>
      <c r="J1017" s="209" t="s">
        <v>169</v>
      </c>
      <c r="K1017" s="209" t="s">
        <v>2203</v>
      </c>
      <c r="L1017" s="209" t="s">
        <v>171</v>
      </c>
      <c r="M1017" s="209" t="s">
        <v>184</v>
      </c>
      <c r="N1017" s="209">
        <v>50021818</v>
      </c>
      <c r="O1017" s="209" t="s">
        <v>2170</v>
      </c>
      <c r="P1017" s="209">
        <v>5121</v>
      </c>
      <c r="Q1017" s="209" t="s">
        <v>174</v>
      </c>
      <c r="R1017" s="209" t="s">
        <v>175</v>
      </c>
      <c r="S1017" s="209" t="s">
        <v>176</v>
      </c>
      <c r="T1017" s="209" t="s">
        <v>177</v>
      </c>
      <c r="U1017" s="209" t="s">
        <v>178</v>
      </c>
      <c r="V1017" s="209" t="s">
        <v>179</v>
      </c>
      <c r="W1017" s="209" t="s">
        <v>179</v>
      </c>
      <c r="X1017" s="209" t="s">
        <v>180</v>
      </c>
      <c r="Y1017" s="209" t="s">
        <v>180</v>
      </c>
      <c r="Z1017" s="209" t="s">
        <v>2204</v>
      </c>
      <c r="AA1017" s="209" t="s">
        <v>2205</v>
      </c>
      <c r="AB1017" s="209" t="s">
        <v>180</v>
      </c>
      <c r="AC1017" s="209" t="s">
        <v>182</v>
      </c>
      <c r="AD1017" s="209">
        <v>6</v>
      </c>
      <c r="AE1017" s="209">
        <v>2025</v>
      </c>
      <c r="AF1017" s="227">
        <v>45827</v>
      </c>
      <c r="AG1017" s="227">
        <v>45831</v>
      </c>
      <c r="AH1017" s="227">
        <v>45831</v>
      </c>
      <c r="AI1017" s="228">
        <v>426816</v>
      </c>
      <c r="AJ1017" s="228">
        <v>52</v>
      </c>
      <c r="AK1017" s="228">
        <v>426816</v>
      </c>
      <c r="AL1017" s="228">
        <v>52</v>
      </c>
      <c r="AM1017" s="228">
        <v>0</v>
      </c>
      <c r="AN1017" s="228">
        <v>0</v>
      </c>
      <c r="AO1017" s="229">
        <v>26</v>
      </c>
      <c r="AP1017" s="231">
        <v>6</v>
      </c>
      <c r="AQ1017" s="231">
        <v>2025</v>
      </c>
      <c r="AR1017" s="231" t="str">
        <f t="shared" si="140"/>
        <v>06/2025</v>
      </c>
      <c r="AS1017" s="231">
        <f t="shared" si="141"/>
        <v>46.6</v>
      </c>
      <c r="AT1017" s="239">
        <f>IF(G1017="CERVECERIA Y MALTERIA",(AS1017*AK1017/1000000)*(1-VLOOKUP(N1017,FCST!D:I,6,FALSE)),0)</f>
        <v>19.889625600000002</v>
      </c>
      <c r="AU1017" s="232">
        <v>5.0000000000000001E-3</v>
      </c>
      <c r="AV1017" s="239">
        <f t="shared" si="142"/>
        <v>19.989073728000001</v>
      </c>
      <c r="AW1017" s="239">
        <f>(AS1017*AK1017/1000000)*(VLOOKUP(N1017,FCST!D:I,6,FALSE))</f>
        <v>0</v>
      </c>
      <c r="AX1017" s="239">
        <f t="shared" si="143"/>
        <v>0</v>
      </c>
      <c r="AY1017" s="239">
        <f>IF($G1017="CERVECERIA Y MALTERIA.",($AS1017*$AK1017/1000000)*(1-VLOOKUP($N1017,FCST!D:I,6,FALSE)),0)</f>
        <v>0</v>
      </c>
      <c r="AZ1017" s="239">
        <f t="shared" si="144"/>
        <v>0</v>
      </c>
    </row>
    <row r="1018" spans="1:52" x14ac:dyDescent="0.25">
      <c r="A1018" s="209">
        <v>1124126</v>
      </c>
      <c r="B1018" s="209">
        <v>30</v>
      </c>
      <c r="C1018" s="209" t="s">
        <v>2206</v>
      </c>
      <c r="D1018" s="209">
        <v>10</v>
      </c>
      <c r="E1018" s="209">
        <v>10000002</v>
      </c>
      <c r="F1018" s="209">
        <v>20000337</v>
      </c>
      <c r="G1018" s="209" t="s">
        <v>105</v>
      </c>
      <c r="H1018" s="209">
        <v>20000337</v>
      </c>
      <c r="I1018" s="209">
        <v>2</v>
      </c>
      <c r="J1018" s="209" t="s">
        <v>169</v>
      </c>
      <c r="K1018" s="209" t="s">
        <v>2207</v>
      </c>
      <c r="L1018" s="209" t="s">
        <v>246</v>
      </c>
      <c r="M1018" s="209" t="s">
        <v>184</v>
      </c>
      <c r="N1018" s="209">
        <v>50025345</v>
      </c>
      <c r="O1018" s="209" t="s">
        <v>1998</v>
      </c>
      <c r="P1018" s="209">
        <v>5121</v>
      </c>
      <c r="Q1018" s="209" t="s">
        <v>174</v>
      </c>
      <c r="R1018" s="209" t="s">
        <v>175</v>
      </c>
      <c r="S1018" s="209" t="s">
        <v>176</v>
      </c>
      <c r="T1018" s="209" t="s">
        <v>177</v>
      </c>
      <c r="U1018" s="209" t="s">
        <v>178</v>
      </c>
      <c r="V1018" s="209" t="s">
        <v>179</v>
      </c>
      <c r="W1018" s="209" t="s">
        <v>179</v>
      </c>
      <c r="X1018" s="209" t="s">
        <v>180</v>
      </c>
      <c r="Y1018" s="209" t="s">
        <v>180</v>
      </c>
      <c r="Z1018" s="209" t="s">
        <v>2208</v>
      </c>
      <c r="AA1018" s="209" t="s">
        <v>2209</v>
      </c>
      <c r="AB1018" s="209" t="s">
        <v>180</v>
      </c>
      <c r="AC1018" s="209" t="s">
        <v>182</v>
      </c>
      <c r="AD1018" s="209">
        <v>6</v>
      </c>
      <c r="AE1018" s="209">
        <v>2025</v>
      </c>
      <c r="AF1018" s="227">
        <v>45825</v>
      </c>
      <c r="AG1018" s="227">
        <v>45831</v>
      </c>
      <c r="AH1018" s="227">
        <v>45831</v>
      </c>
      <c r="AI1018" s="228">
        <v>393984</v>
      </c>
      <c r="AJ1018" s="228">
        <v>48</v>
      </c>
      <c r="AK1018" s="228">
        <v>393984</v>
      </c>
      <c r="AL1018" s="228">
        <v>48</v>
      </c>
      <c r="AM1018" s="228">
        <v>0</v>
      </c>
      <c r="AN1018" s="228">
        <v>0</v>
      </c>
      <c r="AO1018" s="229">
        <v>25</v>
      </c>
      <c r="AP1018" s="231">
        <v>6</v>
      </c>
      <c r="AQ1018" s="231">
        <v>2025</v>
      </c>
      <c r="AR1018" s="231" t="str">
        <f t="shared" si="140"/>
        <v>06/2025</v>
      </c>
      <c r="AS1018" s="231">
        <f t="shared" si="141"/>
        <v>46.6</v>
      </c>
      <c r="AT1018" s="239">
        <f>IF(G1018="CERVECERIA Y MALTERIA",(AS1018*AK1018/1000000)*(1-VLOOKUP(N1018,FCST!D:I,6,FALSE)),0)</f>
        <v>18.359654400000004</v>
      </c>
      <c r="AU1018" s="232">
        <v>5.0000000000000001E-3</v>
      </c>
      <c r="AV1018" s="239">
        <f t="shared" si="142"/>
        <v>18.451452672000002</v>
      </c>
      <c r="AW1018" s="239">
        <f>(AS1018*AK1018/1000000)*(VLOOKUP(N1018,FCST!D:I,6,FALSE))</f>
        <v>0</v>
      </c>
      <c r="AX1018" s="239">
        <f t="shared" si="143"/>
        <v>0</v>
      </c>
      <c r="AY1018" s="239">
        <f>IF($G1018="CERVECERIA Y MALTERIA.",($AS1018*$AK1018/1000000)*(1-VLOOKUP($N1018,FCST!D:I,6,FALSE)),0)</f>
        <v>0</v>
      </c>
      <c r="AZ1018" s="239">
        <f t="shared" si="144"/>
        <v>0</v>
      </c>
    </row>
    <row r="1019" spans="1:52" x14ac:dyDescent="0.25">
      <c r="A1019" s="209">
        <v>1124126</v>
      </c>
      <c r="B1019" s="209">
        <v>60</v>
      </c>
      <c r="C1019" s="209" t="s">
        <v>2210</v>
      </c>
      <c r="D1019" s="209">
        <v>10</v>
      </c>
      <c r="E1019" s="209">
        <v>10000002</v>
      </c>
      <c r="F1019" s="209">
        <v>20000337</v>
      </c>
      <c r="G1019" s="209" t="s">
        <v>105</v>
      </c>
      <c r="H1019" s="209">
        <v>20000337</v>
      </c>
      <c r="I1019" s="209">
        <v>2</v>
      </c>
      <c r="J1019" s="209" t="s">
        <v>169</v>
      </c>
      <c r="K1019" s="209" t="s">
        <v>2211</v>
      </c>
      <c r="L1019" s="209" t="s">
        <v>246</v>
      </c>
      <c r="M1019" s="209" t="s">
        <v>184</v>
      </c>
      <c r="N1019" s="209">
        <v>50025345</v>
      </c>
      <c r="O1019" s="209" t="s">
        <v>1998</v>
      </c>
      <c r="P1019" s="209">
        <v>5121</v>
      </c>
      <c r="Q1019" s="209" t="s">
        <v>174</v>
      </c>
      <c r="R1019" s="209" t="s">
        <v>175</v>
      </c>
      <c r="S1019" s="209" t="s">
        <v>176</v>
      </c>
      <c r="T1019" s="209" t="s">
        <v>177</v>
      </c>
      <c r="U1019" s="209" t="s">
        <v>178</v>
      </c>
      <c r="V1019" s="209" t="s">
        <v>179</v>
      </c>
      <c r="W1019" s="209" t="s">
        <v>179</v>
      </c>
      <c r="X1019" s="209" t="s">
        <v>180</v>
      </c>
      <c r="Y1019" s="209" t="s">
        <v>180</v>
      </c>
      <c r="Z1019" s="209" t="s">
        <v>2212</v>
      </c>
      <c r="AA1019" s="209" t="s">
        <v>2213</v>
      </c>
      <c r="AB1019" s="209" t="s">
        <v>180</v>
      </c>
      <c r="AC1019" s="209" t="s">
        <v>182</v>
      </c>
      <c r="AD1019" s="209">
        <v>6</v>
      </c>
      <c r="AE1019" s="209">
        <v>2025</v>
      </c>
      <c r="AF1019" s="227">
        <v>45825</v>
      </c>
      <c r="AG1019" s="227">
        <v>45836</v>
      </c>
      <c r="AH1019" s="227">
        <v>45836</v>
      </c>
      <c r="AI1019" s="228">
        <v>426816</v>
      </c>
      <c r="AJ1019" s="228">
        <v>52</v>
      </c>
      <c r="AK1019" s="228">
        <v>426816</v>
      </c>
      <c r="AL1019" s="228">
        <v>52</v>
      </c>
      <c r="AM1019" s="228">
        <v>0</v>
      </c>
      <c r="AN1019" s="228">
        <v>0</v>
      </c>
      <c r="AO1019" s="229">
        <v>25</v>
      </c>
      <c r="AP1019" s="231">
        <v>6</v>
      </c>
      <c r="AQ1019" s="231">
        <v>2025</v>
      </c>
      <c r="AR1019" s="231" t="str">
        <f t="shared" si="140"/>
        <v>06/2025</v>
      </c>
      <c r="AS1019" s="231">
        <f t="shared" si="141"/>
        <v>46.6</v>
      </c>
      <c r="AT1019" s="239">
        <f>IF(G1019="CERVECERIA Y MALTERIA",(AS1019*AK1019/1000000)*(1-VLOOKUP(N1019,FCST!D:I,6,FALSE)),0)</f>
        <v>19.889625600000002</v>
      </c>
      <c r="AU1019" s="232">
        <v>5.0000000000000001E-3</v>
      </c>
      <c r="AV1019" s="239">
        <f t="shared" si="142"/>
        <v>19.989073728000001</v>
      </c>
      <c r="AW1019" s="239">
        <f>(AS1019*AK1019/1000000)*(VLOOKUP(N1019,FCST!D:I,6,FALSE))</f>
        <v>0</v>
      </c>
      <c r="AX1019" s="239">
        <f t="shared" si="143"/>
        <v>0</v>
      </c>
      <c r="AY1019" s="239">
        <f>IF($G1019="CERVECERIA Y MALTERIA.",($AS1019*$AK1019/1000000)*(1-VLOOKUP($N1019,FCST!D:I,6,FALSE)),0)</f>
        <v>0</v>
      </c>
      <c r="AZ1019" s="239">
        <f t="shared" si="144"/>
        <v>0</v>
      </c>
    </row>
    <row r="1020" spans="1:52" x14ac:dyDescent="0.25">
      <c r="A1020" s="209">
        <v>1121143</v>
      </c>
      <c r="B1020" s="209">
        <v>110</v>
      </c>
      <c r="C1020" s="209" t="s">
        <v>2214</v>
      </c>
      <c r="D1020" s="209">
        <v>10</v>
      </c>
      <c r="E1020" s="209">
        <v>10000002</v>
      </c>
      <c r="F1020" s="209">
        <v>20000336</v>
      </c>
      <c r="G1020" s="209" t="s">
        <v>105</v>
      </c>
      <c r="H1020" s="209">
        <v>20000336</v>
      </c>
      <c r="I1020" s="209">
        <v>2</v>
      </c>
      <c r="J1020" s="209" t="s">
        <v>169</v>
      </c>
      <c r="K1020" s="209" t="s">
        <v>2215</v>
      </c>
      <c r="L1020" s="209" t="s">
        <v>171</v>
      </c>
      <c r="M1020" s="209" t="s">
        <v>172</v>
      </c>
      <c r="N1020" s="209">
        <v>50034616</v>
      </c>
      <c r="O1020" s="209" t="s">
        <v>191</v>
      </c>
      <c r="P1020" s="209">
        <v>5121</v>
      </c>
      <c r="Q1020" s="209" t="s">
        <v>174</v>
      </c>
      <c r="R1020" s="209" t="s">
        <v>175</v>
      </c>
      <c r="S1020" s="209" t="s">
        <v>176</v>
      </c>
      <c r="T1020" s="209" t="s">
        <v>177</v>
      </c>
      <c r="U1020" s="209" t="s">
        <v>178</v>
      </c>
      <c r="V1020" s="209" t="s">
        <v>179</v>
      </c>
      <c r="W1020" s="209" t="s">
        <v>179</v>
      </c>
      <c r="X1020" s="209" t="s">
        <v>180</v>
      </c>
      <c r="Y1020" s="209" t="s">
        <v>180</v>
      </c>
      <c r="Z1020" s="209" t="s">
        <v>2216</v>
      </c>
      <c r="AA1020" s="209" t="s">
        <v>2217</v>
      </c>
      <c r="AB1020" s="209" t="s">
        <v>180</v>
      </c>
      <c r="AC1020" s="209" t="s">
        <v>182</v>
      </c>
      <c r="AD1020" s="209">
        <v>6</v>
      </c>
      <c r="AE1020" s="209">
        <v>2025</v>
      </c>
      <c r="AF1020" s="227">
        <v>45807</v>
      </c>
      <c r="AG1020" s="227">
        <v>45838</v>
      </c>
      <c r="AH1020" s="227">
        <v>45838</v>
      </c>
      <c r="AI1020" s="228">
        <v>426816</v>
      </c>
      <c r="AJ1020" s="228">
        <v>52</v>
      </c>
      <c r="AK1020" s="228">
        <v>426816</v>
      </c>
      <c r="AL1020" s="228">
        <v>52</v>
      </c>
      <c r="AM1020" s="228">
        <v>0</v>
      </c>
      <c r="AN1020" s="228">
        <v>0</v>
      </c>
      <c r="AO1020" s="229">
        <v>23</v>
      </c>
      <c r="AP1020" s="231">
        <v>6</v>
      </c>
      <c r="AQ1020" s="231">
        <v>2025</v>
      </c>
      <c r="AR1020" s="231" t="str">
        <f t="shared" si="140"/>
        <v>06/2025</v>
      </c>
      <c r="AS1020" s="231">
        <f t="shared" si="141"/>
        <v>46.6</v>
      </c>
      <c r="AT1020" s="239">
        <f>IF(G1020="CERVECERIA Y MALTERIA",(AS1020*AK1020/1000000)*(1-VLOOKUP(N1020,FCST!D:I,6,FALSE)),0)</f>
        <v>19.889625600000002</v>
      </c>
      <c r="AU1020" s="232">
        <v>5.0000000000000001E-3</v>
      </c>
      <c r="AV1020" s="239">
        <f t="shared" si="142"/>
        <v>19.989073728000001</v>
      </c>
      <c r="AW1020" s="239">
        <f>(AS1020*AK1020/1000000)*(VLOOKUP(N1020,FCST!D:I,6,FALSE))</f>
        <v>0</v>
      </c>
      <c r="AX1020" s="239">
        <f t="shared" si="143"/>
        <v>0</v>
      </c>
      <c r="AY1020" s="239">
        <f>IF($G1020="CERVECERIA Y MALTERIA.",($AS1020*$AK1020/1000000)*(1-VLOOKUP($N1020,FCST!D:I,6,FALSE)),0)</f>
        <v>0</v>
      </c>
      <c r="AZ1020" s="239">
        <f t="shared" si="144"/>
        <v>0</v>
      </c>
    </row>
    <row r="1021" spans="1:52" x14ac:dyDescent="0.25">
      <c r="A1021" s="209">
        <v>1124126</v>
      </c>
      <c r="B1021" s="209">
        <v>70</v>
      </c>
      <c r="C1021" s="209" t="s">
        <v>2218</v>
      </c>
      <c r="D1021" s="209">
        <v>10</v>
      </c>
      <c r="E1021" s="209">
        <v>10000002</v>
      </c>
      <c r="F1021" s="209">
        <v>20000337</v>
      </c>
      <c r="G1021" s="209" t="s">
        <v>105</v>
      </c>
      <c r="H1021" s="209">
        <v>20000337</v>
      </c>
      <c r="I1021" s="209">
        <v>2</v>
      </c>
      <c r="J1021" s="209" t="s">
        <v>169</v>
      </c>
      <c r="K1021" s="209" t="s">
        <v>2219</v>
      </c>
      <c r="L1021" s="209" t="s">
        <v>246</v>
      </c>
      <c r="M1021" s="209" t="s">
        <v>172</v>
      </c>
      <c r="N1021" s="209">
        <v>50024497</v>
      </c>
      <c r="O1021" s="209" t="s">
        <v>1352</v>
      </c>
      <c r="P1021" s="209">
        <v>5121</v>
      </c>
      <c r="Q1021" s="209" t="s">
        <v>174</v>
      </c>
      <c r="R1021" s="209" t="s">
        <v>175</v>
      </c>
      <c r="S1021" s="209" t="s">
        <v>176</v>
      </c>
      <c r="T1021" s="209" t="s">
        <v>177</v>
      </c>
      <c r="U1021" s="209" t="s">
        <v>178</v>
      </c>
      <c r="V1021" s="209" t="s">
        <v>179</v>
      </c>
      <c r="W1021" s="209" t="s">
        <v>179</v>
      </c>
      <c r="X1021" s="209" t="s">
        <v>180</v>
      </c>
      <c r="Y1021" s="209" t="s">
        <v>180</v>
      </c>
      <c r="Z1021" s="209" t="s">
        <v>2220</v>
      </c>
      <c r="AA1021" s="209" t="s">
        <v>2221</v>
      </c>
      <c r="AB1021" s="209" t="s">
        <v>180</v>
      </c>
      <c r="AC1021" s="209" t="s">
        <v>182</v>
      </c>
      <c r="AD1021" s="209">
        <v>6</v>
      </c>
      <c r="AE1021" s="209">
        <v>2025</v>
      </c>
      <c r="AF1021" s="227">
        <v>45825</v>
      </c>
      <c r="AG1021" s="227">
        <v>45838</v>
      </c>
      <c r="AH1021" s="227">
        <v>45838</v>
      </c>
      <c r="AI1021" s="228">
        <v>338400</v>
      </c>
      <c r="AJ1021" s="228">
        <v>50</v>
      </c>
      <c r="AK1021" s="228">
        <v>331632</v>
      </c>
      <c r="AL1021" s="228">
        <v>49</v>
      </c>
      <c r="AM1021" s="228">
        <v>0</v>
      </c>
      <c r="AN1021" s="228">
        <v>0</v>
      </c>
      <c r="AO1021" s="229">
        <v>25</v>
      </c>
      <c r="AP1021" s="231">
        <v>6</v>
      </c>
      <c r="AQ1021" s="231">
        <v>2025</v>
      </c>
      <c r="AR1021" s="231" t="str">
        <f t="shared" si="140"/>
        <v>06/2025</v>
      </c>
      <c r="AS1021" s="231">
        <f t="shared" si="141"/>
        <v>54.7</v>
      </c>
      <c r="AT1021" s="239">
        <f>IF(G1021="CERVECERIA Y MALTERIA",(AS1021*AK1021/1000000)*(1-VLOOKUP(N1021,FCST!D:I,6,FALSE)),0)</f>
        <v>18.140270400000002</v>
      </c>
      <c r="AU1021" s="232">
        <v>5.0000000000000001E-3</v>
      </c>
      <c r="AV1021" s="239">
        <f t="shared" si="142"/>
        <v>18.230971751999999</v>
      </c>
      <c r="AW1021" s="239">
        <f>(AS1021*AK1021/1000000)*(VLOOKUP(N1021,FCST!D:I,6,FALSE))</f>
        <v>0</v>
      </c>
      <c r="AX1021" s="239">
        <f t="shared" si="143"/>
        <v>0</v>
      </c>
      <c r="AY1021" s="239">
        <f>IF($G1021="CERVECERIA Y MALTERIA.",($AS1021*$AK1021/1000000)*(1-VLOOKUP($N1021,FCST!D:I,6,FALSE)),0)</f>
        <v>0</v>
      </c>
      <c r="AZ1021" s="239">
        <f t="shared" si="144"/>
        <v>0</v>
      </c>
    </row>
    <row r="1022" spans="1:52" x14ac:dyDescent="0.25">
      <c r="A1022" s="209">
        <v>1124828</v>
      </c>
      <c r="B1022" s="209">
        <v>100</v>
      </c>
      <c r="C1022" s="209" t="s">
        <v>2222</v>
      </c>
      <c r="D1022" s="209">
        <v>10</v>
      </c>
      <c r="E1022" s="209">
        <v>10000002</v>
      </c>
      <c r="F1022" s="209">
        <v>20000335</v>
      </c>
      <c r="G1022" s="209" t="s">
        <v>105</v>
      </c>
      <c r="H1022" s="209">
        <v>20000335</v>
      </c>
      <c r="I1022" s="209">
        <v>2</v>
      </c>
      <c r="J1022" s="209" t="s">
        <v>169</v>
      </c>
      <c r="K1022" s="209" t="s">
        <v>2223</v>
      </c>
      <c r="L1022" s="209" t="s">
        <v>171</v>
      </c>
      <c r="M1022" s="209" t="s">
        <v>184</v>
      </c>
      <c r="N1022" s="209">
        <v>50035184</v>
      </c>
      <c r="O1022" s="209" t="s">
        <v>672</v>
      </c>
      <c r="P1022" s="209">
        <v>5121</v>
      </c>
      <c r="Q1022" s="209" t="s">
        <v>174</v>
      </c>
      <c r="R1022" s="209" t="s">
        <v>175</v>
      </c>
      <c r="S1022" s="209" t="s">
        <v>176</v>
      </c>
      <c r="T1022" s="209" t="s">
        <v>177</v>
      </c>
      <c r="U1022" s="209" t="s">
        <v>178</v>
      </c>
      <c r="V1022" s="209" t="s">
        <v>179</v>
      </c>
      <c r="W1022" s="209" t="s">
        <v>179</v>
      </c>
      <c r="X1022" s="209" t="s">
        <v>180</v>
      </c>
      <c r="Y1022" s="209" t="s">
        <v>180</v>
      </c>
      <c r="Z1022" s="209" t="s">
        <v>2224</v>
      </c>
      <c r="AA1022" s="209" t="s">
        <v>2225</v>
      </c>
      <c r="AB1022" s="209" t="s">
        <v>180</v>
      </c>
      <c r="AC1022" s="209" t="s">
        <v>182</v>
      </c>
      <c r="AD1022" s="209">
        <v>6</v>
      </c>
      <c r="AE1022" s="209">
        <v>2025</v>
      </c>
      <c r="AF1022" s="227">
        <v>45827</v>
      </c>
      <c r="AG1022" s="227">
        <v>45834</v>
      </c>
      <c r="AH1022" s="227">
        <v>45834</v>
      </c>
      <c r="AI1022" s="228">
        <v>977184</v>
      </c>
      <c r="AJ1022" s="228">
        <v>52</v>
      </c>
      <c r="AK1022" s="228">
        <v>977184</v>
      </c>
      <c r="AL1022" s="228">
        <v>52</v>
      </c>
      <c r="AM1022" s="228">
        <v>0</v>
      </c>
      <c r="AN1022" s="228">
        <v>0</v>
      </c>
      <c r="AO1022" s="229">
        <v>26</v>
      </c>
      <c r="AP1022" s="231">
        <v>6</v>
      </c>
      <c r="AQ1022" s="231">
        <v>2025</v>
      </c>
      <c r="AR1022" s="231" t="str">
        <f t="shared" si="140"/>
        <v>06/2025</v>
      </c>
      <c r="AS1022" s="231">
        <f t="shared" si="141"/>
        <v>19.5</v>
      </c>
      <c r="AT1022" s="239">
        <f>IF(G1022="CERVECERIA Y MALTERIA",(AS1022*AK1022/1000000)*(1-VLOOKUP(N1022,FCST!D:I,6,FALSE)),0)</f>
        <v>19.055088000000001</v>
      </c>
      <c r="AU1022" s="232">
        <v>5.0000000000000001E-3</v>
      </c>
      <c r="AV1022" s="239">
        <f t="shared" si="142"/>
        <v>19.15036344</v>
      </c>
      <c r="AW1022" s="239">
        <f>(AS1022*AK1022/1000000)*(VLOOKUP(N1022,FCST!D:I,6,FALSE))</f>
        <v>0</v>
      </c>
      <c r="AX1022" s="239">
        <f t="shared" si="143"/>
        <v>0</v>
      </c>
      <c r="AY1022" s="239">
        <f>IF($G1022="CERVECERIA Y MALTERIA.",($AS1022*$AK1022/1000000)*(1-VLOOKUP($N1022,FCST!D:I,6,FALSE)),0)</f>
        <v>0</v>
      </c>
      <c r="AZ1022" s="239">
        <f t="shared" si="144"/>
        <v>0</v>
      </c>
    </row>
    <row r="1023" spans="1:52" x14ac:dyDescent="0.25">
      <c r="A1023" s="209">
        <v>1124828</v>
      </c>
      <c r="B1023" s="209">
        <v>150</v>
      </c>
      <c r="C1023" s="209" t="s">
        <v>2226</v>
      </c>
      <c r="D1023" s="209">
        <v>10</v>
      </c>
      <c r="E1023" s="209">
        <v>10000002</v>
      </c>
      <c r="F1023" s="209">
        <v>20000335</v>
      </c>
      <c r="G1023" s="209" t="s">
        <v>105</v>
      </c>
      <c r="H1023" s="209">
        <v>20000335</v>
      </c>
      <c r="I1023" s="209">
        <v>2</v>
      </c>
      <c r="J1023" s="209" t="s">
        <v>169</v>
      </c>
      <c r="K1023" s="209" t="s">
        <v>2227</v>
      </c>
      <c r="L1023" s="209" t="s">
        <v>171</v>
      </c>
      <c r="M1023" s="209" t="s">
        <v>184</v>
      </c>
      <c r="N1023" s="209">
        <v>50035184</v>
      </c>
      <c r="O1023" s="209" t="s">
        <v>672</v>
      </c>
      <c r="P1023" s="209">
        <v>5121</v>
      </c>
      <c r="Q1023" s="209" t="s">
        <v>174</v>
      </c>
      <c r="R1023" s="209" t="s">
        <v>175</v>
      </c>
      <c r="S1023" s="209" t="s">
        <v>176</v>
      </c>
      <c r="T1023" s="209" t="s">
        <v>177</v>
      </c>
      <c r="U1023" s="209" t="s">
        <v>178</v>
      </c>
      <c r="V1023" s="209" t="s">
        <v>179</v>
      </c>
      <c r="W1023" s="209" t="s">
        <v>179</v>
      </c>
      <c r="X1023" s="209" t="s">
        <v>180</v>
      </c>
      <c r="Y1023" s="209" t="s">
        <v>180</v>
      </c>
      <c r="Z1023" s="209" t="s">
        <v>2224</v>
      </c>
      <c r="AA1023" s="209" t="s">
        <v>2225</v>
      </c>
      <c r="AB1023" s="209" t="s">
        <v>180</v>
      </c>
      <c r="AC1023" s="209" t="s">
        <v>182</v>
      </c>
      <c r="AD1023" s="209">
        <v>6</v>
      </c>
      <c r="AE1023" s="209">
        <v>2025</v>
      </c>
      <c r="AF1023" s="227">
        <v>45827</v>
      </c>
      <c r="AG1023" s="227">
        <v>45834</v>
      </c>
      <c r="AH1023" s="227">
        <v>45834</v>
      </c>
      <c r="AI1023" s="228">
        <v>977184</v>
      </c>
      <c r="AJ1023" s="228">
        <v>52</v>
      </c>
      <c r="AK1023" s="228">
        <v>977184</v>
      </c>
      <c r="AL1023" s="228">
        <v>52</v>
      </c>
      <c r="AM1023" s="228">
        <v>0</v>
      </c>
      <c r="AN1023" s="228">
        <v>0</v>
      </c>
      <c r="AO1023" s="229">
        <v>26</v>
      </c>
      <c r="AP1023" s="231">
        <v>6</v>
      </c>
      <c r="AQ1023" s="231">
        <v>2025</v>
      </c>
      <c r="AR1023" s="231" t="str">
        <f t="shared" si="140"/>
        <v>06/2025</v>
      </c>
      <c r="AS1023" s="231">
        <f t="shared" si="141"/>
        <v>19.5</v>
      </c>
      <c r="AT1023" s="239">
        <f>IF(G1023="CERVECERIA Y MALTERIA",(AS1023*AK1023/1000000)*(1-VLOOKUP(N1023,FCST!D:I,6,FALSE)),0)</f>
        <v>19.055088000000001</v>
      </c>
      <c r="AU1023" s="232">
        <v>5.0000000000000001E-3</v>
      </c>
      <c r="AV1023" s="239">
        <f t="shared" si="142"/>
        <v>19.15036344</v>
      </c>
      <c r="AW1023" s="239">
        <f>(AS1023*AK1023/1000000)*(VLOOKUP(N1023,FCST!D:I,6,FALSE))</f>
        <v>0</v>
      </c>
      <c r="AX1023" s="239">
        <f t="shared" si="143"/>
        <v>0</v>
      </c>
      <c r="AY1023" s="239">
        <f>IF($G1023="CERVECERIA Y MALTERIA.",($AS1023*$AK1023/1000000)*(1-VLOOKUP($N1023,FCST!D:I,6,FALSE)),0)</f>
        <v>0</v>
      </c>
      <c r="AZ1023" s="239">
        <f t="shared" si="144"/>
        <v>0</v>
      </c>
    </row>
    <row r="1024" spans="1:52" x14ac:dyDescent="0.25">
      <c r="A1024" s="209">
        <v>1121143</v>
      </c>
      <c r="B1024" s="209">
        <v>100</v>
      </c>
      <c r="C1024" s="209" t="s">
        <v>2228</v>
      </c>
      <c r="D1024" s="209">
        <v>10</v>
      </c>
      <c r="E1024" s="209">
        <v>10000002</v>
      </c>
      <c r="F1024" s="209">
        <v>20000336</v>
      </c>
      <c r="G1024" s="209" t="s">
        <v>105</v>
      </c>
      <c r="H1024" s="209">
        <v>20000336</v>
      </c>
      <c r="I1024" s="209">
        <v>2</v>
      </c>
      <c r="J1024" s="209" t="s">
        <v>169</v>
      </c>
      <c r="K1024" s="209" t="s">
        <v>2229</v>
      </c>
      <c r="L1024" s="209" t="s">
        <v>171</v>
      </c>
      <c r="M1024" s="209" t="s">
        <v>172</v>
      </c>
      <c r="N1024" s="209">
        <v>50037887</v>
      </c>
      <c r="O1024" s="209" t="s">
        <v>679</v>
      </c>
      <c r="P1024" s="209">
        <v>5121</v>
      </c>
      <c r="Q1024" s="209" t="s">
        <v>174</v>
      </c>
      <c r="R1024" s="209" t="s">
        <v>175</v>
      </c>
      <c r="S1024" s="209" t="s">
        <v>176</v>
      </c>
      <c r="T1024" s="209" t="s">
        <v>177</v>
      </c>
      <c r="U1024" s="209" t="s">
        <v>178</v>
      </c>
      <c r="V1024" s="209" t="s">
        <v>179</v>
      </c>
      <c r="W1024" s="209" t="s">
        <v>179</v>
      </c>
      <c r="X1024" s="209" t="s">
        <v>180</v>
      </c>
      <c r="Y1024" s="209" t="s">
        <v>180</v>
      </c>
      <c r="Z1024" s="209" t="s">
        <v>2230</v>
      </c>
      <c r="AA1024" s="209" t="s">
        <v>2231</v>
      </c>
      <c r="AB1024" s="209" t="s">
        <v>180</v>
      </c>
      <c r="AC1024" s="209" t="s">
        <v>182</v>
      </c>
      <c r="AD1024" s="209">
        <v>6</v>
      </c>
      <c r="AE1024" s="209">
        <v>2025</v>
      </c>
      <c r="AF1024" s="227">
        <v>45807</v>
      </c>
      <c r="AG1024" s="227">
        <v>45833</v>
      </c>
      <c r="AH1024" s="227">
        <v>45833</v>
      </c>
      <c r="AI1024" s="228">
        <v>531648</v>
      </c>
      <c r="AJ1024" s="228">
        <v>52</v>
      </c>
      <c r="AK1024" s="228">
        <v>531648</v>
      </c>
      <c r="AL1024" s="228">
        <v>52</v>
      </c>
      <c r="AM1024" s="228">
        <v>0</v>
      </c>
      <c r="AN1024" s="228">
        <v>0</v>
      </c>
      <c r="AO1024" s="229">
        <v>23</v>
      </c>
      <c r="AP1024" s="231">
        <v>6</v>
      </c>
      <c r="AQ1024" s="231">
        <v>2025</v>
      </c>
      <c r="AR1024" s="231" t="str">
        <f t="shared" si="140"/>
        <v>06/2025</v>
      </c>
      <c r="AS1024" s="231">
        <f t="shared" si="141"/>
        <v>37.200000000000003</v>
      </c>
      <c r="AT1024" s="239">
        <f>IF(G1024="CERVECERIA Y MALTERIA",(AS1024*AK1024/1000000)*(1-VLOOKUP(N1024,FCST!D:I,6,FALSE)),0)</f>
        <v>19.777305600000002</v>
      </c>
      <c r="AU1024" s="232">
        <v>5.0000000000000001E-3</v>
      </c>
      <c r="AV1024" s="239">
        <f t="shared" si="142"/>
        <v>19.876192128</v>
      </c>
      <c r="AW1024" s="239">
        <f>(AS1024*AK1024/1000000)*(VLOOKUP(N1024,FCST!D:I,6,FALSE))</f>
        <v>0</v>
      </c>
      <c r="AX1024" s="239">
        <f t="shared" si="143"/>
        <v>0</v>
      </c>
      <c r="AY1024" s="239">
        <f>IF($G1024="CERVECERIA Y MALTERIA.",($AS1024*$AK1024/1000000)*(1-VLOOKUP($N1024,FCST!D:I,6,FALSE)),0)</f>
        <v>0</v>
      </c>
      <c r="AZ1024" s="239">
        <f t="shared" si="144"/>
        <v>0</v>
      </c>
    </row>
    <row r="1025" spans="1:52" x14ac:dyDescent="0.25">
      <c r="A1025" s="209">
        <v>1125798</v>
      </c>
      <c r="B1025" s="209">
        <v>10</v>
      </c>
      <c r="C1025" s="209" t="s">
        <v>2232</v>
      </c>
      <c r="D1025" s="209">
        <v>10</v>
      </c>
      <c r="E1025" s="209">
        <v>10000002</v>
      </c>
      <c r="F1025" s="209">
        <v>20001057</v>
      </c>
      <c r="G1025" s="209" t="s">
        <v>105</v>
      </c>
      <c r="H1025" s="209">
        <v>20001057</v>
      </c>
      <c r="I1025" s="209">
        <v>2</v>
      </c>
      <c r="J1025" s="209" t="s">
        <v>169</v>
      </c>
      <c r="K1025" s="209" t="s">
        <v>2233</v>
      </c>
      <c r="L1025" s="209" t="s">
        <v>171</v>
      </c>
      <c r="M1025" s="209" t="s">
        <v>184</v>
      </c>
      <c r="N1025" s="209">
        <v>50035184</v>
      </c>
      <c r="O1025" s="209" t="s">
        <v>672</v>
      </c>
      <c r="P1025" s="209">
        <v>5121</v>
      </c>
      <c r="Q1025" s="209" t="s">
        <v>174</v>
      </c>
      <c r="R1025" s="209" t="s">
        <v>175</v>
      </c>
      <c r="S1025" s="209" t="s">
        <v>176</v>
      </c>
      <c r="T1025" s="209" t="s">
        <v>177</v>
      </c>
      <c r="U1025" s="209" t="s">
        <v>178</v>
      </c>
      <c r="V1025" s="209" t="s">
        <v>179</v>
      </c>
      <c r="W1025" s="209" t="s">
        <v>179</v>
      </c>
      <c r="X1025" s="209" t="s">
        <v>180</v>
      </c>
      <c r="Y1025" s="209" t="s">
        <v>180</v>
      </c>
      <c r="Z1025" s="209" t="s">
        <v>2234</v>
      </c>
      <c r="AA1025" s="209" t="s">
        <v>2235</v>
      </c>
      <c r="AB1025" s="209" t="s">
        <v>180</v>
      </c>
      <c r="AC1025" s="209" t="s">
        <v>182</v>
      </c>
      <c r="AD1025" s="209">
        <v>6</v>
      </c>
      <c r="AE1025" s="209">
        <v>2025</v>
      </c>
      <c r="AF1025" s="227">
        <v>45834</v>
      </c>
      <c r="AG1025" s="227">
        <v>45834</v>
      </c>
      <c r="AH1025" s="227">
        <v>45835</v>
      </c>
      <c r="AI1025" s="228">
        <v>977184</v>
      </c>
      <c r="AJ1025" s="228">
        <v>52</v>
      </c>
      <c r="AK1025" s="228">
        <v>977184</v>
      </c>
      <c r="AL1025" s="228">
        <v>52</v>
      </c>
      <c r="AM1025" s="228">
        <v>0</v>
      </c>
      <c r="AN1025" s="228">
        <v>0</v>
      </c>
      <c r="AO1025" s="229">
        <v>26</v>
      </c>
      <c r="AP1025" s="231">
        <v>6</v>
      </c>
      <c r="AQ1025" s="231">
        <v>2025</v>
      </c>
      <c r="AR1025" s="231" t="str">
        <f t="shared" si="140"/>
        <v>06/2025</v>
      </c>
      <c r="AS1025" s="231">
        <f t="shared" si="141"/>
        <v>19.5</v>
      </c>
      <c r="AT1025" s="239">
        <f>IF(G1025="CERVECERIA Y MALTERIA",(AS1025*AK1025/1000000)*(1-VLOOKUP(N1025,FCST!D:I,6,FALSE)),0)</f>
        <v>19.055088000000001</v>
      </c>
      <c r="AU1025" s="232">
        <v>5.0000000000000001E-3</v>
      </c>
      <c r="AV1025" s="239">
        <f t="shared" si="142"/>
        <v>19.15036344</v>
      </c>
      <c r="AW1025" s="239">
        <f>(AS1025*AK1025/1000000)*(VLOOKUP(N1025,FCST!D:I,6,FALSE))</f>
        <v>0</v>
      </c>
      <c r="AX1025" s="239">
        <f t="shared" si="143"/>
        <v>0</v>
      </c>
      <c r="AY1025" s="239">
        <f>IF($G1025="CERVECERIA Y MALTERIA.",($AS1025*$AK1025/1000000)*(1-VLOOKUP($N1025,FCST!D:I,6,FALSE)),0)</f>
        <v>0</v>
      </c>
      <c r="AZ1025" s="239">
        <f t="shared" si="144"/>
        <v>0</v>
      </c>
    </row>
    <row r="1026" spans="1:52" x14ac:dyDescent="0.25">
      <c r="A1026" s="209">
        <v>1124828</v>
      </c>
      <c r="B1026" s="209">
        <v>130</v>
      </c>
      <c r="C1026" s="209" t="s">
        <v>2236</v>
      </c>
      <c r="D1026" s="209">
        <v>10</v>
      </c>
      <c r="E1026" s="209">
        <v>10000002</v>
      </c>
      <c r="F1026" s="209">
        <v>20000335</v>
      </c>
      <c r="G1026" s="209" t="s">
        <v>105</v>
      </c>
      <c r="H1026" s="209">
        <v>20000335</v>
      </c>
      <c r="I1026" s="209">
        <v>2</v>
      </c>
      <c r="J1026" s="209" t="s">
        <v>169</v>
      </c>
      <c r="K1026" s="209" t="s">
        <v>2237</v>
      </c>
      <c r="L1026" s="209" t="s">
        <v>171</v>
      </c>
      <c r="M1026" s="209" t="s">
        <v>184</v>
      </c>
      <c r="N1026" s="209">
        <v>50035184</v>
      </c>
      <c r="O1026" s="209" t="s">
        <v>672</v>
      </c>
      <c r="P1026" s="209">
        <v>5121</v>
      </c>
      <c r="Q1026" s="209" t="s">
        <v>174</v>
      </c>
      <c r="R1026" s="209" t="s">
        <v>175</v>
      </c>
      <c r="S1026" s="209" t="s">
        <v>176</v>
      </c>
      <c r="T1026" s="209" t="s">
        <v>177</v>
      </c>
      <c r="U1026" s="209" t="s">
        <v>178</v>
      </c>
      <c r="V1026" s="209" t="s">
        <v>179</v>
      </c>
      <c r="W1026" s="209" t="s">
        <v>179</v>
      </c>
      <c r="X1026" s="209" t="s">
        <v>180</v>
      </c>
      <c r="Y1026" s="209" t="s">
        <v>180</v>
      </c>
      <c r="Z1026" s="209" t="s">
        <v>2238</v>
      </c>
      <c r="AA1026" s="209" t="s">
        <v>2239</v>
      </c>
      <c r="AB1026" s="209" t="s">
        <v>180</v>
      </c>
      <c r="AC1026" s="209" t="s">
        <v>182</v>
      </c>
      <c r="AD1026" s="209">
        <v>6</v>
      </c>
      <c r="AE1026" s="209">
        <v>2025</v>
      </c>
      <c r="AF1026" s="227">
        <v>45827</v>
      </c>
      <c r="AG1026" s="227">
        <v>45835</v>
      </c>
      <c r="AH1026" s="227">
        <v>45835</v>
      </c>
      <c r="AI1026" s="228">
        <v>977184</v>
      </c>
      <c r="AJ1026" s="228">
        <v>52</v>
      </c>
      <c r="AK1026" s="228">
        <v>977184</v>
      </c>
      <c r="AL1026" s="228">
        <v>52</v>
      </c>
      <c r="AM1026" s="228">
        <v>0</v>
      </c>
      <c r="AN1026" s="228">
        <v>0</v>
      </c>
      <c r="AO1026" s="229">
        <v>26</v>
      </c>
      <c r="AP1026" s="231">
        <v>6</v>
      </c>
      <c r="AQ1026" s="231">
        <v>2025</v>
      </c>
      <c r="AR1026" s="231" t="str">
        <f t="shared" si="140"/>
        <v>06/2025</v>
      </c>
      <c r="AS1026" s="231">
        <f t="shared" si="141"/>
        <v>19.5</v>
      </c>
      <c r="AT1026" s="239">
        <f>IF(G1026="CERVECERIA Y MALTERIA",(AS1026*AK1026/1000000)*(1-VLOOKUP(N1026,FCST!D:I,6,FALSE)),0)</f>
        <v>19.055088000000001</v>
      </c>
      <c r="AU1026" s="232">
        <v>5.0000000000000001E-3</v>
      </c>
      <c r="AV1026" s="239">
        <f t="shared" si="142"/>
        <v>19.15036344</v>
      </c>
      <c r="AW1026" s="239">
        <f>(AS1026*AK1026/1000000)*(VLOOKUP(N1026,FCST!D:I,6,FALSE))</f>
        <v>0</v>
      </c>
      <c r="AX1026" s="239">
        <f t="shared" si="143"/>
        <v>0</v>
      </c>
      <c r="AY1026" s="239">
        <f>IF($G1026="CERVECERIA Y MALTERIA.",($AS1026*$AK1026/1000000)*(1-VLOOKUP($N1026,FCST!D:I,6,FALSE)),0)</f>
        <v>0</v>
      </c>
      <c r="AZ1026" s="239">
        <f t="shared" si="144"/>
        <v>0</v>
      </c>
    </row>
    <row r="1027" spans="1:52" x14ac:dyDescent="0.25">
      <c r="A1027" s="209">
        <v>1124828</v>
      </c>
      <c r="B1027" s="209">
        <v>140</v>
      </c>
      <c r="C1027" s="209" t="s">
        <v>2240</v>
      </c>
      <c r="D1027" s="209">
        <v>10</v>
      </c>
      <c r="E1027" s="209">
        <v>10000002</v>
      </c>
      <c r="F1027" s="209">
        <v>20000335</v>
      </c>
      <c r="G1027" s="209" t="s">
        <v>105</v>
      </c>
      <c r="H1027" s="209">
        <v>20000335</v>
      </c>
      <c r="I1027" s="209">
        <v>2</v>
      </c>
      <c r="J1027" s="209" t="s">
        <v>169</v>
      </c>
      <c r="K1027" s="209" t="s">
        <v>2241</v>
      </c>
      <c r="L1027" s="209" t="s">
        <v>171</v>
      </c>
      <c r="M1027" s="209" t="s">
        <v>184</v>
      </c>
      <c r="N1027" s="209">
        <v>50021818</v>
      </c>
      <c r="O1027" s="209" t="s">
        <v>2170</v>
      </c>
      <c r="P1027" s="209">
        <v>5121</v>
      </c>
      <c r="Q1027" s="209" t="s">
        <v>174</v>
      </c>
      <c r="R1027" s="209" t="s">
        <v>175</v>
      </c>
      <c r="S1027" s="209" t="s">
        <v>176</v>
      </c>
      <c r="T1027" s="209" t="s">
        <v>177</v>
      </c>
      <c r="U1027" s="209" t="s">
        <v>178</v>
      </c>
      <c r="V1027" s="209" t="s">
        <v>179</v>
      </c>
      <c r="W1027" s="209" t="s">
        <v>179</v>
      </c>
      <c r="X1027" s="209" t="s">
        <v>180</v>
      </c>
      <c r="Y1027" s="209" t="s">
        <v>180</v>
      </c>
      <c r="Z1027" s="209" t="s">
        <v>2242</v>
      </c>
      <c r="AA1027" s="209" t="s">
        <v>2243</v>
      </c>
      <c r="AB1027" s="209" t="s">
        <v>180</v>
      </c>
      <c r="AC1027" s="209" t="s">
        <v>182</v>
      </c>
      <c r="AD1027" s="209">
        <v>6</v>
      </c>
      <c r="AE1027" s="209">
        <v>2025</v>
      </c>
      <c r="AF1027" s="227">
        <v>45827</v>
      </c>
      <c r="AG1027" s="227">
        <v>45835</v>
      </c>
      <c r="AH1027" s="227">
        <v>45835</v>
      </c>
      <c r="AI1027" s="228">
        <v>262656</v>
      </c>
      <c r="AJ1027" s="228">
        <v>32</v>
      </c>
      <c r="AK1027" s="228">
        <v>262656</v>
      </c>
      <c r="AL1027" s="228">
        <v>32</v>
      </c>
      <c r="AM1027" s="228">
        <v>0</v>
      </c>
      <c r="AN1027" s="228">
        <v>0</v>
      </c>
      <c r="AO1027" s="229">
        <v>26</v>
      </c>
      <c r="AP1027" s="231">
        <v>6</v>
      </c>
      <c r="AQ1027" s="231">
        <v>2025</v>
      </c>
      <c r="AR1027" s="231" t="str">
        <f t="shared" si="140"/>
        <v>06/2025</v>
      </c>
      <c r="AS1027" s="231">
        <f t="shared" si="141"/>
        <v>46.6</v>
      </c>
      <c r="AT1027" s="239">
        <f>IF(G1027="CERVECERIA Y MALTERIA",(AS1027*AK1027/1000000)*(1-VLOOKUP(N1027,FCST!D:I,6,FALSE)),0)</f>
        <v>12.239769599999999</v>
      </c>
      <c r="AU1027" s="232">
        <v>5.0000000000000001E-3</v>
      </c>
      <c r="AV1027" s="239">
        <f t="shared" si="142"/>
        <v>12.300968447999997</v>
      </c>
      <c r="AW1027" s="239">
        <f>(AS1027*AK1027/1000000)*(VLOOKUP(N1027,FCST!D:I,6,FALSE))</f>
        <v>0</v>
      </c>
      <c r="AX1027" s="239">
        <f t="shared" si="143"/>
        <v>0</v>
      </c>
      <c r="AY1027" s="239">
        <f>IF($G1027="CERVECERIA Y MALTERIA.",($AS1027*$AK1027/1000000)*(1-VLOOKUP($N1027,FCST!D:I,6,FALSE)),0)</f>
        <v>0</v>
      </c>
      <c r="AZ1027" s="239">
        <f t="shared" si="144"/>
        <v>0</v>
      </c>
    </row>
    <row r="1028" spans="1:52" x14ac:dyDescent="0.25">
      <c r="A1028" s="209">
        <v>1124827</v>
      </c>
      <c r="B1028" s="209">
        <v>20</v>
      </c>
      <c r="C1028" s="209" t="s">
        <v>2244</v>
      </c>
      <c r="D1028" s="209">
        <v>10</v>
      </c>
      <c r="E1028" s="209">
        <v>10000002</v>
      </c>
      <c r="F1028" s="209">
        <v>20000340</v>
      </c>
      <c r="G1028" s="209" t="s">
        <v>117</v>
      </c>
      <c r="H1028" s="209">
        <v>20000340</v>
      </c>
      <c r="I1028" s="209">
        <v>2</v>
      </c>
      <c r="J1028" s="209" t="s">
        <v>169</v>
      </c>
      <c r="K1028" s="209" t="s">
        <v>2245</v>
      </c>
      <c r="L1028" s="209" t="s">
        <v>171</v>
      </c>
      <c r="M1028" s="209" t="s">
        <v>184</v>
      </c>
      <c r="N1028" s="209">
        <v>50032514</v>
      </c>
      <c r="O1028" s="209" t="s">
        <v>2246</v>
      </c>
      <c r="P1028" s="209">
        <v>5121</v>
      </c>
      <c r="Q1028" s="209" t="s">
        <v>174</v>
      </c>
      <c r="R1028" s="209" t="s">
        <v>175</v>
      </c>
      <c r="S1028" s="209" t="s">
        <v>176</v>
      </c>
      <c r="T1028" s="209" t="s">
        <v>177</v>
      </c>
      <c r="U1028" s="209" t="s">
        <v>178</v>
      </c>
      <c r="V1028" s="209" t="s">
        <v>179</v>
      </c>
      <c r="W1028" s="209" t="s">
        <v>179</v>
      </c>
      <c r="X1028" s="209" t="s">
        <v>180</v>
      </c>
      <c r="Y1028" s="209" t="s">
        <v>180</v>
      </c>
      <c r="Z1028" s="209" t="s">
        <v>2247</v>
      </c>
      <c r="AA1028" s="209" t="s">
        <v>2248</v>
      </c>
      <c r="AB1028" s="209" t="s">
        <v>180</v>
      </c>
      <c r="AC1028" s="209" t="s">
        <v>182</v>
      </c>
      <c r="AD1028" s="209">
        <v>6</v>
      </c>
      <c r="AE1028" s="209">
        <v>2025</v>
      </c>
      <c r="AF1028" s="227">
        <v>45827</v>
      </c>
      <c r="AG1028" s="227">
        <v>45835</v>
      </c>
      <c r="AH1028" s="227">
        <v>45835</v>
      </c>
      <c r="AI1028" s="228">
        <v>161280</v>
      </c>
      <c r="AJ1028" s="228">
        <v>20</v>
      </c>
      <c r="AK1028" s="228">
        <v>161280</v>
      </c>
      <c r="AL1028" s="228">
        <v>20</v>
      </c>
      <c r="AM1028" s="228">
        <v>0</v>
      </c>
      <c r="AN1028" s="228">
        <v>0</v>
      </c>
      <c r="AO1028" s="229">
        <v>26</v>
      </c>
      <c r="AP1028" s="231">
        <v>6</v>
      </c>
      <c r="AQ1028" s="231">
        <v>2025</v>
      </c>
      <c r="AR1028" s="231" t="str">
        <f t="shared" si="140"/>
        <v>06/2025</v>
      </c>
      <c r="AS1028" s="231">
        <f t="shared" si="141"/>
        <v>44.8</v>
      </c>
      <c r="AT1028" s="239">
        <f>IF(G1028="CERVECERIA Y MALTERIA",(AS1028*AK1028/1000000)*(1-VLOOKUP(N1028,FCST!D:I,6,FALSE)),0)</f>
        <v>0</v>
      </c>
      <c r="AU1028" s="232">
        <v>5.0000000000000001E-3</v>
      </c>
      <c r="AV1028" s="239">
        <f t="shared" si="142"/>
        <v>0</v>
      </c>
      <c r="AW1028" s="239">
        <f>(AS1028*AK1028/1000000)*(VLOOKUP(N1028,FCST!D:I,6,FALSE))</f>
        <v>0</v>
      </c>
      <c r="AX1028" s="239">
        <f t="shared" si="143"/>
        <v>0</v>
      </c>
      <c r="AY1028" s="239">
        <f>IF($G1028="CERVECERIA Y MALTERIA.",($AS1028*$AK1028/1000000)*(1-VLOOKUP($N1028,FCST!D:I,6,FALSE)),0)</f>
        <v>7.2253439999999998</v>
      </c>
      <c r="AZ1028" s="239">
        <f t="shared" si="144"/>
        <v>7.2614707199999993</v>
      </c>
    </row>
    <row r="1029" spans="1:52" x14ac:dyDescent="0.25">
      <c r="A1029" s="209">
        <v>1124828</v>
      </c>
      <c r="B1029" s="209">
        <v>110</v>
      </c>
      <c r="C1029" s="209" t="s">
        <v>2249</v>
      </c>
      <c r="D1029" s="209">
        <v>10</v>
      </c>
      <c r="E1029" s="209">
        <v>10000002</v>
      </c>
      <c r="F1029" s="209">
        <v>20000335</v>
      </c>
      <c r="G1029" s="209" t="s">
        <v>105</v>
      </c>
      <c r="H1029" s="209">
        <v>20000335</v>
      </c>
      <c r="I1029" s="209">
        <v>2</v>
      </c>
      <c r="J1029" s="209" t="s">
        <v>169</v>
      </c>
      <c r="K1029" s="209" t="s">
        <v>2250</v>
      </c>
      <c r="L1029" s="209" t="s">
        <v>171</v>
      </c>
      <c r="M1029" s="209" t="s">
        <v>184</v>
      </c>
      <c r="N1029" s="209">
        <v>50021818</v>
      </c>
      <c r="O1029" s="209" t="s">
        <v>2170</v>
      </c>
      <c r="P1029" s="209">
        <v>5121</v>
      </c>
      <c r="Q1029" s="209" t="s">
        <v>174</v>
      </c>
      <c r="R1029" s="209" t="s">
        <v>175</v>
      </c>
      <c r="S1029" s="209" t="s">
        <v>176</v>
      </c>
      <c r="T1029" s="209" t="s">
        <v>177</v>
      </c>
      <c r="U1029" s="209" t="s">
        <v>178</v>
      </c>
      <c r="V1029" s="209" t="s">
        <v>179</v>
      </c>
      <c r="W1029" s="209" t="s">
        <v>179</v>
      </c>
      <c r="X1029" s="209" t="s">
        <v>180</v>
      </c>
      <c r="Y1029" s="209" t="s">
        <v>180</v>
      </c>
      <c r="Z1029" s="209" t="s">
        <v>2251</v>
      </c>
      <c r="AA1029" s="209" t="s">
        <v>2252</v>
      </c>
      <c r="AB1029" s="209" t="s">
        <v>180</v>
      </c>
      <c r="AC1029" s="209" t="s">
        <v>182</v>
      </c>
      <c r="AD1029" s="209">
        <v>6</v>
      </c>
      <c r="AE1029" s="209">
        <v>2025</v>
      </c>
      <c r="AF1029" s="227">
        <v>45827</v>
      </c>
      <c r="AG1029" s="227">
        <v>45834</v>
      </c>
      <c r="AH1029" s="227">
        <v>45834</v>
      </c>
      <c r="AI1029" s="228">
        <v>131328</v>
      </c>
      <c r="AJ1029" s="228">
        <v>16</v>
      </c>
      <c r="AK1029" s="228">
        <v>131328</v>
      </c>
      <c r="AL1029" s="228">
        <v>16</v>
      </c>
      <c r="AM1029" s="228">
        <v>0</v>
      </c>
      <c r="AN1029" s="228">
        <v>0</v>
      </c>
      <c r="AO1029" s="229">
        <v>26</v>
      </c>
      <c r="AP1029" s="231">
        <v>6</v>
      </c>
      <c r="AQ1029" s="231">
        <v>2025</v>
      </c>
      <c r="AR1029" s="231" t="str">
        <f t="shared" si="140"/>
        <v>06/2025</v>
      </c>
      <c r="AS1029" s="231">
        <f t="shared" si="141"/>
        <v>46.6</v>
      </c>
      <c r="AT1029" s="239">
        <f>IF(G1029="CERVECERIA Y MALTERIA",(AS1029*AK1029/1000000)*(1-VLOOKUP(N1029,FCST!D:I,6,FALSE)),0)</f>
        <v>6.1198847999999995</v>
      </c>
      <c r="AU1029" s="232">
        <v>5.0000000000000001E-3</v>
      </c>
      <c r="AV1029" s="239">
        <f t="shared" si="142"/>
        <v>6.1504842239999986</v>
      </c>
      <c r="AW1029" s="239">
        <f>(AS1029*AK1029/1000000)*(VLOOKUP(N1029,FCST!D:I,6,FALSE))</f>
        <v>0</v>
      </c>
      <c r="AX1029" s="239">
        <f t="shared" si="143"/>
        <v>0</v>
      </c>
      <c r="AY1029" s="239">
        <f>IF($G1029="CERVECERIA Y MALTERIA.",($AS1029*$AK1029/1000000)*(1-VLOOKUP($N1029,FCST!D:I,6,FALSE)),0)</f>
        <v>0</v>
      </c>
      <c r="AZ1029" s="239">
        <f t="shared" si="144"/>
        <v>0</v>
      </c>
    </row>
    <row r="1030" spans="1:52" x14ac:dyDescent="0.25">
      <c r="A1030" s="209">
        <v>1124827</v>
      </c>
      <c r="B1030" s="209">
        <v>10</v>
      </c>
      <c r="C1030" s="209" t="s">
        <v>2253</v>
      </c>
      <c r="D1030" s="209">
        <v>10</v>
      </c>
      <c r="E1030" s="209">
        <v>10000002</v>
      </c>
      <c r="F1030" s="209">
        <v>20000340</v>
      </c>
      <c r="G1030" s="209" t="s">
        <v>117</v>
      </c>
      <c r="H1030" s="209">
        <v>20000340</v>
      </c>
      <c r="I1030" s="209">
        <v>2</v>
      </c>
      <c r="J1030" s="209" t="s">
        <v>169</v>
      </c>
      <c r="K1030" s="209" t="s">
        <v>2254</v>
      </c>
      <c r="L1030" s="209" t="s">
        <v>171</v>
      </c>
      <c r="M1030" s="209" t="s">
        <v>184</v>
      </c>
      <c r="N1030" s="209">
        <v>50029843</v>
      </c>
      <c r="O1030" s="209" t="s">
        <v>460</v>
      </c>
      <c r="P1030" s="209">
        <v>5121</v>
      </c>
      <c r="Q1030" s="209" t="s">
        <v>174</v>
      </c>
      <c r="R1030" s="209" t="s">
        <v>175</v>
      </c>
      <c r="S1030" s="209" t="s">
        <v>176</v>
      </c>
      <c r="T1030" s="209" t="s">
        <v>177</v>
      </c>
      <c r="U1030" s="209" t="s">
        <v>178</v>
      </c>
      <c r="V1030" s="209" t="s">
        <v>179</v>
      </c>
      <c r="W1030" s="209" t="s">
        <v>179</v>
      </c>
      <c r="X1030" s="209" t="s">
        <v>180</v>
      </c>
      <c r="Y1030" s="209" t="s">
        <v>180</v>
      </c>
      <c r="Z1030" s="209" t="s">
        <v>2255</v>
      </c>
      <c r="AA1030" s="209" t="s">
        <v>2256</v>
      </c>
      <c r="AB1030" s="209" t="s">
        <v>180</v>
      </c>
      <c r="AC1030" s="209" t="s">
        <v>182</v>
      </c>
      <c r="AD1030" s="209">
        <v>6</v>
      </c>
      <c r="AE1030" s="209">
        <v>2025</v>
      </c>
      <c r="AF1030" s="227">
        <v>45827</v>
      </c>
      <c r="AG1030" s="227">
        <v>45834</v>
      </c>
      <c r="AH1030" s="227">
        <v>45834</v>
      </c>
      <c r="AI1030" s="228">
        <v>282240</v>
      </c>
      <c r="AJ1030" s="228">
        <v>35</v>
      </c>
      <c r="AK1030" s="228">
        <v>282240</v>
      </c>
      <c r="AL1030" s="228">
        <v>35</v>
      </c>
      <c r="AM1030" s="228">
        <v>0</v>
      </c>
      <c r="AN1030" s="228">
        <v>0</v>
      </c>
      <c r="AO1030" s="229">
        <v>26</v>
      </c>
      <c r="AP1030" s="231">
        <v>6</v>
      </c>
      <c r="AQ1030" s="231">
        <v>2025</v>
      </c>
      <c r="AR1030" s="231" t="str">
        <f t="shared" si="140"/>
        <v>06/2025</v>
      </c>
      <c r="AS1030" s="231">
        <f t="shared" si="141"/>
        <v>44.8</v>
      </c>
      <c r="AT1030" s="239">
        <f>IF(G1030="CERVECERIA Y MALTERIA",(AS1030*AK1030/1000000)*(1-VLOOKUP(N1030,FCST!D:I,6,FALSE)),0)</f>
        <v>0</v>
      </c>
      <c r="AU1030" s="232">
        <v>5.0000000000000001E-3</v>
      </c>
      <c r="AV1030" s="239">
        <f t="shared" si="142"/>
        <v>0</v>
      </c>
      <c r="AW1030" s="239">
        <f>(AS1030*AK1030/1000000)*(VLOOKUP(N1030,FCST!D:I,6,FALSE))</f>
        <v>0</v>
      </c>
      <c r="AX1030" s="239">
        <f t="shared" si="143"/>
        <v>0</v>
      </c>
      <c r="AY1030" s="239">
        <f>IF($G1030="CERVECERIA Y MALTERIA.",($AS1030*$AK1030/1000000)*(1-VLOOKUP($N1030,FCST!D:I,6,FALSE)),0)</f>
        <v>12.644352</v>
      </c>
      <c r="AZ1030" s="239">
        <f t="shared" si="144"/>
        <v>12.707573759999999</v>
      </c>
    </row>
    <row r="1031" spans="1:52" x14ac:dyDescent="0.25">
      <c r="A1031" s="209">
        <v>1120433</v>
      </c>
      <c r="B1031" s="209">
        <v>60</v>
      </c>
      <c r="C1031" s="209" t="s">
        <v>2257</v>
      </c>
      <c r="D1031" s="209">
        <v>10</v>
      </c>
      <c r="E1031" s="209">
        <v>10000002</v>
      </c>
      <c r="F1031" s="209">
        <v>20000335</v>
      </c>
      <c r="G1031" s="209" t="s">
        <v>105</v>
      </c>
      <c r="H1031" s="209">
        <v>20000335</v>
      </c>
      <c r="I1031" s="209">
        <v>2</v>
      </c>
      <c r="J1031" s="209" t="s">
        <v>169</v>
      </c>
      <c r="K1031" s="209" t="s">
        <v>2258</v>
      </c>
      <c r="L1031" s="209" t="s">
        <v>171</v>
      </c>
      <c r="M1031" s="209" t="s">
        <v>184</v>
      </c>
      <c r="N1031" s="209">
        <v>50025345</v>
      </c>
      <c r="O1031" s="209" t="s">
        <v>1998</v>
      </c>
      <c r="P1031" s="209">
        <v>5121</v>
      </c>
      <c r="Q1031" s="209" t="s">
        <v>174</v>
      </c>
      <c r="R1031" s="209" t="s">
        <v>175</v>
      </c>
      <c r="S1031" s="209" t="s">
        <v>176</v>
      </c>
      <c r="T1031" s="209" t="s">
        <v>177</v>
      </c>
      <c r="U1031" s="209" t="s">
        <v>178</v>
      </c>
      <c r="V1031" s="209" t="s">
        <v>179</v>
      </c>
      <c r="W1031" s="209" t="s">
        <v>179</v>
      </c>
      <c r="X1031" s="209" t="s">
        <v>180</v>
      </c>
      <c r="Y1031" s="209" t="s">
        <v>180</v>
      </c>
      <c r="Z1031" s="209" t="s">
        <v>2259</v>
      </c>
      <c r="AA1031" s="209" t="s">
        <v>2260</v>
      </c>
      <c r="AB1031" s="209" t="s">
        <v>180</v>
      </c>
      <c r="AC1031" s="209" t="s">
        <v>182</v>
      </c>
      <c r="AD1031" s="209">
        <v>6</v>
      </c>
      <c r="AE1031" s="209">
        <v>2025</v>
      </c>
      <c r="AF1031" s="227">
        <v>45805</v>
      </c>
      <c r="AG1031" s="227">
        <v>45813</v>
      </c>
      <c r="AH1031" s="227">
        <v>45813</v>
      </c>
      <c r="AI1031" s="228">
        <v>426816</v>
      </c>
      <c r="AJ1031" s="228">
        <v>52</v>
      </c>
      <c r="AK1031" s="228">
        <v>426816</v>
      </c>
      <c r="AL1031" s="228">
        <v>52</v>
      </c>
      <c r="AM1031" s="228">
        <v>0</v>
      </c>
      <c r="AN1031" s="228">
        <v>0</v>
      </c>
      <c r="AO1031" s="229">
        <v>23</v>
      </c>
      <c r="AP1031" s="231">
        <v>6</v>
      </c>
      <c r="AQ1031" s="231">
        <v>2025</v>
      </c>
      <c r="AR1031" s="231" t="str">
        <f t="shared" si="140"/>
        <v>06/2025</v>
      </c>
      <c r="AS1031" s="231">
        <f t="shared" si="141"/>
        <v>46.6</v>
      </c>
      <c r="AT1031" s="239">
        <f>IF(G1031="CERVECERIA Y MALTERIA",(AS1031*AK1031/1000000)*(1-VLOOKUP(N1031,FCST!D:I,6,FALSE)),0)</f>
        <v>19.889625600000002</v>
      </c>
      <c r="AU1031" s="232">
        <v>5.0000000000000001E-3</v>
      </c>
      <c r="AV1031" s="239">
        <f t="shared" si="142"/>
        <v>19.989073728000001</v>
      </c>
      <c r="AW1031" s="239">
        <f>(AS1031*AK1031/1000000)*(VLOOKUP(N1031,FCST!D:I,6,FALSE))</f>
        <v>0</v>
      </c>
      <c r="AX1031" s="239">
        <f t="shared" si="143"/>
        <v>0</v>
      </c>
      <c r="AY1031" s="239">
        <f>IF($G1031="CERVECERIA Y MALTERIA.",($AS1031*$AK1031/1000000)*(1-VLOOKUP($N1031,FCST!D:I,6,FALSE)),0)</f>
        <v>0</v>
      </c>
      <c r="AZ1031" s="239">
        <f t="shared" si="144"/>
        <v>0</v>
      </c>
    </row>
    <row r="1032" spans="1:52" x14ac:dyDescent="0.25">
      <c r="A1032" s="209">
        <v>1120433</v>
      </c>
      <c r="B1032" s="209">
        <v>80</v>
      </c>
      <c r="C1032" s="209" t="s">
        <v>2261</v>
      </c>
      <c r="D1032" s="209">
        <v>10</v>
      </c>
      <c r="E1032" s="209">
        <v>10000002</v>
      </c>
      <c r="F1032" s="209">
        <v>20000335</v>
      </c>
      <c r="G1032" s="209" t="s">
        <v>105</v>
      </c>
      <c r="H1032" s="209">
        <v>20000335</v>
      </c>
      <c r="I1032" s="209">
        <v>2</v>
      </c>
      <c r="J1032" s="209" t="s">
        <v>169</v>
      </c>
      <c r="K1032" s="209" t="s">
        <v>2262</v>
      </c>
      <c r="L1032" s="209" t="s">
        <v>171</v>
      </c>
      <c r="M1032" s="209" t="s">
        <v>172</v>
      </c>
      <c r="N1032" s="209">
        <v>50025345</v>
      </c>
      <c r="O1032" s="209" t="s">
        <v>1998</v>
      </c>
      <c r="P1032" s="209">
        <v>5121</v>
      </c>
      <c r="Q1032" s="209" t="s">
        <v>174</v>
      </c>
      <c r="R1032" s="209" t="s">
        <v>175</v>
      </c>
      <c r="S1032" s="209" t="s">
        <v>176</v>
      </c>
      <c r="T1032" s="209" t="s">
        <v>177</v>
      </c>
      <c r="U1032" s="209" t="s">
        <v>178</v>
      </c>
      <c r="V1032" s="209" t="s">
        <v>179</v>
      </c>
      <c r="W1032" s="209" t="s">
        <v>179</v>
      </c>
      <c r="X1032" s="209" t="s">
        <v>180</v>
      </c>
      <c r="Y1032" s="209" t="s">
        <v>180</v>
      </c>
      <c r="Z1032" s="209" t="s">
        <v>2259</v>
      </c>
      <c r="AA1032" s="209" t="s">
        <v>2260</v>
      </c>
      <c r="AB1032" s="209" t="s">
        <v>180</v>
      </c>
      <c r="AC1032" s="209" t="s">
        <v>182</v>
      </c>
      <c r="AD1032" s="209">
        <v>6</v>
      </c>
      <c r="AE1032" s="209">
        <v>2025</v>
      </c>
      <c r="AF1032" s="227">
        <v>45805</v>
      </c>
      <c r="AG1032" s="227">
        <v>45814</v>
      </c>
      <c r="AH1032" s="227">
        <v>45814</v>
      </c>
      <c r="AI1032" s="228">
        <v>426816</v>
      </c>
      <c r="AJ1032" s="228">
        <v>52</v>
      </c>
      <c r="AK1032" s="228">
        <v>426816</v>
      </c>
      <c r="AL1032" s="228">
        <v>52</v>
      </c>
      <c r="AM1032" s="228">
        <v>0</v>
      </c>
      <c r="AN1032" s="228">
        <v>0</v>
      </c>
      <c r="AO1032" s="229">
        <v>23</v>
      </c>
      <c r="AP1032" s="231">
        <v>6</v>
      </c>
      <c r="AQ1032" s="231">
        <v>2025</v>
      </c>
      <c r="AR1032" s="231" t="str">
        <f t="shared" si="140"/>
        <v>06/2025</v>
      </c>
      <c r="AS1032" s="231">
        <f t="shared" si="141"/>
        <v>46.6</v>
      </c>
      <c r="AT1032" s="239">
        <f>IF(G1032="CERVECERIA Y MALTERIA",(AS1032*AK1032/1000000)*(1-VLOOKUP(N1032,FCST!D:I,6,FALSE)),0)</f>
        <v>19.889625600000002</v>
      </c>
      <c r="AU1032" s="232">
        <v>5.0000000000000001E-3</v>
      </c>
      <c r="AV1032" s="239">
        <f t="shared" si="142"/>
        <v>19.989073728000001</v>
      </c>
      <c r="AW1032" s="239">
        <f>(AS1032*AK1032/1000000)*(VLOOKUP(N1032,FCST!D:I,6,FALSE))</f>
        <v>0</v>
      </c>
      <c r="AX1032" s="239">
        <f t="shared" si="143"/>
        <v>0</v>
      </c>
      <c r="AY1032" s="239">
        <f>IF($G1032="CERVECERIA Y MALTERIA.",($AS1032*$AK1032/1000000)*(1-VLOOKUP($N1032,FCST!D:I,6,FALSE)),0)</f>
        <v>0</v>
      </c>
      <c r="AZ1032" s="239">
        <f t="shared" si="144"/>
        <v>0</v>
      </c>
    </row>
    <row r="1033" spans="1:52" x14ac:dyDescent="0.25">
      <c r="A1033" s="209">
        <v>1120434</v>
      </c>
      <c r="B1033" s="209">
        <v>80</v>
      </c>
      <c r="C1033" s="209" t="s">
        <v>2263</v>
      </c>
      <c r="D1033" s="209">
        <v>10</v>
      </c>
      <c r="E1033" s="209">
        <v>10000002</v>
      </c>
      <c r="F1033" s="209">
        <v>20000340</v>
      </c>
      <c r="G1033" s="209" t="s">
        <v>117</v>
      </c>
      <c r="H1033" s="209">
        <v>20000340</v>
      </c>
      <c r="I1033" s="209">
        <v>2</v>
      </c>
      <c r="J1033" s="209" t="s">
        <v>169</v>
      </c>
      <c r="K1033" s="209" t="s">
        <v>2264</v>
      </c>
      <c r="L1033" s="209" t="s">
        <v>171</v>
      </c>
      <c r="M1033" s="209" t="s">
        <v>172</v>
      </c>
      <c r="N1033" s="209">
        <v>50027468</v>
      </c>
      <c r="O1033" s="209" t="s">
        <v>285</v>
      </c>
      <c r="P1033" s="209">
        <v>5101</v>
      </c>
      <c r="Q1033" s="209" t="s">
        <v>186</v>
      </c>
      <c r="R1033" s="209" t="s">
        <v>175</v>
      </c>
      <c r="S1033" s="209" t="s">
        <v>176</v>
      </c>
      <c r="T1033" s="209" t="s">
        <v>187</v>
      </c>
      <c r="U1033" s="209" t="s">
        <v>188</v>
      </c>
      <c r="V1033" s="209" t="s">
        <v>179</v>
      </c>
      <c r="W1033" s="209" t="s">
        <v>179</v>
      </c>
      <c r="X1033" s="209" t="s">
        <v>180</v>
      </c>
      <c r="Y1033" s="209" t="s">
        <v>180</v>
      </c>
      <c r="Z1033" s="209" t="s">
        <v>2265</v>
      </c>
      <c r="AA1033" s="209" t="s">
        <v>2266</v>
      </c>
      <c r="AB1033" s="209" t="s">
        <v>180</v>
      </c>
      <c r="AC1033" s="209" t="s">
        <v>182</v>
      </c>
      <c r="AD1033" s="209">
        <v>6</v>
      </c>
      <c r="AE1033" s="209">
        <v>2025</v>
      </c>
      <c r="AF1033" s="227">
        <v>45805</v>
      </c>
      <c r="AG1033" s="227">
        <v>45814</v>
      </c>
      <c r="AH1033" s="227">
        <v>45814</v>
      </c>
      <c r="AI1033" s="228">
        <v>399360</v>
      </c>
      <c r="AJ1033" s="228">
        <v>52</v>
      </c>
      <c r="AK1033" s="228">
        <v>399360</v>
      </c>
      <c r="AL1033" s="228">
        <v>52</v>
      </c>
      <c r="AM1033" s="228">
        <v>0</v>
      </c>
      <c r="AN1033" s="228">
        <v>0</v>
      </c>
      <c r="AO1033" s="229">
        <v>23</v>
      </c>
      <c r="AP1033" s="231">
        <v>6</v>
      </c>
      <c r="AQ1033" s="231">
        <v>2025</v>
      </c>
      <c r="AR1033" s="231" t="str">
        <f t="shared" si="140"/>
        <v>06/2025</v>
      </c>
      <c r="AS1033" s="231">
        <f t="shared" si="141"/>
        <v>52</v>
      </c>
      <c r="AT1033" s="239">
        <f>IF(G1033="CERVECERIA Y MALTERIA",(AS1033*AK1033/1000000)*(1-VLOOKUP(N1033,FCST!D:I,6,FALSE)),0)</f>
        <v>0</v>
      </c>
      <c r="AU1033" s="232">
        <v>5.0000000000000001E-3</v>
      </c>
      <c r="AV1033" s="239">
        <f t="shared" si="142"/>
        <v>0</v>
      </c>
      <c r="AW1033" s="239">
        <f>(AS1033*AK1033/1000000)*(VLOOKUP(N1033,FCST!D:I,6,FALSE))</f>
        <v>0</v>
      </c>
      <c r="AX1033" s="239">
        <f t="shared" si="143"/>
        <v>0</v>
      </c>
      <c r="AY1033" s="239">
        <f>IF($G1033="CERVECERIA Y MALTERIA.",($AS1033*$AK1033/1000000)*(1-VLOOKUP($N1033,FCST!D:I,6,FALSE)),0)</f>
        <v>20.766719999999999</v>
      </c>
      <c r="AZ1033" s="239">
        <f t="shared" si="144"/>
        <v>20.870553599999997</v>
      </c>
    </row>
    <row r="1034" spans="1:52" x14ac:dyDescent="0.25">
      <c r="A1034" s="209">
        <v>1120433</v>
      </c>
      <c r="B1034" s="209">
        <v>70</v>
      </c>
      <c r="C1034" s="209" t="s">
        <v>2267</v>
      </c>
      <c r="D1034" s="209">
        <v>10</v>
      </c>
      <c r="E1034" s="209">
        <v>10000002</v>
      </c>
      <c r="F1034" s="209">
        <v>20000335</v>
      </c>
      <c r="G1034" s="209" t="s">
        <v>105</v>
      </c>
      <c r="H1034" s="209">
        <v>20000335</v>
      </c>
      <c r="I1034" s="209">
        <v>2</v>
      </c>
      <c r="J1034" s="209" t="s">
        <v>169</v>
      </c>
      <c r="K1034" s="209" t="s">
        <v>2268</v>
      </c>
      <c r="L1034" s="209" t="s">
        <v>171</v>
      </c>
      <c r="M1034" s="209" t="s">
        <v>172</v>
      </c>
      <c r="N1034" s="209">
        <v>50037887</v>
      </c>
      <c r="O1034" s="209" t="s">
        <v>679</v>
      </c>
      <c r="P1034" s="209">
        <v>5121</v>
      </c>
      <c r="Q1034" s="209" t="s">
        <v>174</v>
      </c>
      <c r="R1034" s="209" t="s">
        <v>175</v>
      </c>
      <c r="S1034" s="209" t="s">
        <v>176</v>
      </c>
      <c r="T1034" s="209" t="s">
        <v>177</v>
      </c>
      <c r="U1034" s="209" t="s">
        <v>178</v>
      </c>
      <c r="V1034" s="209" t="s">
        <v>179</v>
      </c>
      <c r="W1034" s="209" t="s">
        <v>179</v>
      </c>
      <c r="X1034" s="209" t="s">
        <v>180</v>
      </c>
      <c r="Y1034" s="209" t="s">
        <v>180</v>
      </c>
      <c r="Z1034" s="209" t="s">
        <v>2269</v>
      </c>
      <c r="AA1034" s="209" t="s">
        <v>2270</v>
      </c>
      <c r="AB1034" s="209" t="s">
        <v>180</v>
      </c>
      <c r="AC1034" s="209" t="s">
        <v>182</v>
      </c>
      <c r="AD1034" s="209">
        <v>6</v>
      </c>
      <c r="AE1034" s="209">
        <v>2025</v>
      </c>
      <c r="AF1034" s="227">
        <v>45805</v>
      </c>
      <c r="AG1034" s="227">
        <v>45814</v>
      </c>
      <c r="AH1034" s="227">
        <v>45814</v>
      </c>
      <c r="AI1034" s="228">
        <v>531648</v>
      </c>
      <c r="AJ1034" s="228">
        <v>52</v>
      </c>
      <c r="AK1034" s="228">
        <v>531648</v>
      </c>
      <c r="AL1034" s="228">
        <v>52</v>
      </c>
      <c r="AM1034" s="228">
        <v>0</v>
      </c>
      <c r="AN1034" s="228">
        <v>0</v>
      </c>
      <c r="AO1034" s="229">
        <v>23</v>
      </c>
      <c r="AP1034" s="231">
        <v>6</v>
      </c>
      <c r="AQ1034" s="231">
        <v>2025</v>
      </c>
      <c r="AR1034" s="231" t="str">
        <f t="shared" si="140"/>
        <v>06/2025</v>
      </c>
      <c r="AS1034" s="231">
        <f t="shared" si="141"/>
        <v>37.200000000000003</v>
      </c>
      <c r="AT1034" s="239">
        <f>IF(G1034="CERVECERIA Y MALTERIA",(AS1034*AK1034/1000000)*(1-VLOOKUP(N1034,FCST!D:I,6,FALSE)),0)</f>
        <v>19.777305600000002</v>
      </c>
      <c r="AU1034" s="232">
        <v>5.0000000000000001E-3</v>
      </c>
      <c r="AV1034" s="239">
        <f t="shared" si="142"/>
        <v>19.876192128</v>
      </c>
      <c r="AW1034" s="239">
        <f>(AS1034*AK1034/1000000)*(VLOOKUP(N1034,FCST!D:I,6,FALSE))</f>
        <v>0</v>
      </c>
      <c r="AX1034" s="239">
        <f t="shared" si="143"/>
        <v>0</v>
      </c>
      <c r="AY1034" s="239">
        <f>IF($G1034="CERVECERIA Y MALTERIA.",($AS1034*$AK1034/1000000)*(1-VLOOKUP($N1034,FCST!D:I,6,FALSE)),0)</f>
        <v>0</v>
      </c>
      <c r="AZ1034" s="239">
        <f t="shared" si="144"/>
        <v>0</v>
      </c>
    </row>
    <row r="1035" spans="1:52" x14ac:dyDescent="0.25">
      <c r="A1035" s="209">
        <v>1122153</v>
      </c>
      <c r="B1035" s="209">
        <v>30</v>
      </c>
      <c r="C1035" s="209" t="s">
        <v>2271</v>
      </c>
      <c r="D1035" s="209">
        <v>10</v>
      </c>
      <c r="E1035" s="209">
        <v>10000002</v>
      </c>
      <c r="F1035" s="209">
        <v>20000340</v>
      </c>
      <c r="G1035" s="209" t="s">
        <v>117</v>
      </c>
      <c r="H1035" s="209">
        <v>20000340</v>
      </c>
      <c r="I1035" s="209">
        <v>2</v>
      </c>
      <c r="J1035" s="209" t="s">
        <v>169</v>
      </c>
      <c r="K1035" s="209" t="s">
        <v>2272</v>
      </c>
      <c r="L1035" s="209" t="s">
        <v>171</v>
      </c>
      <c r="M1035" s="209" t="s">
        <v>184</v>
      </c>
      <c r="N1035" s="209">
        <v>50027468</v>
      </c>
      <c r="O1035" s="209" t="s">
        <v>285</v>
      </c>
      <c r="P1035" s="209">
        <v>5101</v>
      </c>
      <c r="Q1035" s="209" t="s">
        <v>186</v>
      </c>
      <c r="R1035" s="209" t="s">
        <v>175</v>
      </c>
      <c r="S1035" s="209" t="s">
        <v>176</v>
      </c>
      <c r="T1035" s="209" t="s">
        <v>187</v>
      </c>
      <c r="U1035" s="209" t="s">
        <v>188</v>
      </c>
      <c r="V1035" s="209" t="s">
        <v>179</v>
      </c>
      <c r="W1035" s="209" t="s">
        <v>179</v>
      </c>
      <c r="X1035" s="209" t="s">
        <v>180</v>
      </c>
      <c r="Y1035" s="209" t="s">
        <v>180</v>
      </c>
      <c r="Z1035" s="209" t="s">
        <v>2265</v>
      </c>
      <c r="AA1035" s="209" t="s">
        <v>2266</v>
      </c>
      <c r="AB1035" s="209" t="s">
        <v>180</v>
      </c>
      <c r="AC1035" s="209" t="s">
        <v>182</v>
      </c>
      <c r="AD1035" s="209">
        <v>6</v>
      </c>
      <c r="AE1035" s="209">
        <v>2025</v>
      </c>
      <c r="AF1035" s="227">
        <v>45813</v>
      </c>
      <c r="AG1035" s="227">
        <v>45819</v>
      </c>
      <c r="AH1035" s="227">
        <v>45819</v>
      </c>
      <c r="AI1035" s="228">
        <v>384000</v>
      </c>
      <c r="AJ1035" s="228">
        <v>50</v>
      </c>
      <c r="AK1035" s="228">
        <v>384000</v>
      </c>
      <c r="AL1035" s="228">
        <v>50</v>
      </c>
      <c r="AM1035" s="228">
        <v>0</v>
      </c>
      <c r="AN1035" s="228">
        <v>0</v>
      </c>
      <c r="AO1035" s="229">
        <v>24</v>
      </c>
      <c r="AP1035" s="231">
        <v>6</v>
      </c>
      <c r="AQ1035" s="231">
        <v>2025</v>
      </c>
      <c r="AR1035" s="231" t="str">
        <f t="shared" si="140"/>
        <v>06/2025</v>
      </c>
      <c r="AS1035" s="231">
        <f t="shared" si="141"/>
        <v>52</v>
      </c>
      <c r="AT1035" s="239">
        <f>IF(G1035="CERVECERIA Y MALTERIA",(AS1035*AK1035/1000000)*(1-VLOOKUP(N1035,FCST!D:I,6,FALSE)),0)</f>
        <v>0</v>
      </c>
      <c r="AU1035" s="232">
        <v>5.0000000000000001E-3</v>
      </c>
      <c r="AV1035" s="239">
        <f t="shared" si="142"/>
        <v>0</v>
      </c>
      <c r="AW1035" s="239">
        <f>(AS1035*AK1035/1000000)*(VLOOKUP(N1035,FCST!D:I,6,FALSE))</f>
        <v>0</v>
      </c>
      <c r="AX1035" s="239">
        <f t="shared" si="143"/>
        <v>0</v>
      </c>
      <c r="AY1035" s="239">
        <f>IF($G1035="CERVECERIA Y MALTERIA.",($AS1035*$AK1035/1000000)*(1-VLOOKUP($N1035,FCST!D:I,6,FALSE)),0)</f>
        <v>19.968</v>
      </c>
      <c r="AZ1035" s="239">
        <f t="shared" si="144"/>
        <v>20.067839999999997</v>
      </c>
    </row>
    <row r="1036" spans="1:52" x14ac:dyDescent="0.25">
      <c r="A1036" s="209">
        <v>1122148</v>
      </c>
      <c r="B1036" s="209">
        <v>60</v>
      </c>
      <c r="C1036" s="209" t="s">
        <v>2273</v>
      </c>
      <c r="D1036" s="209">
        <v>10</v>
      </c>
      <c r="E1036" s="209">
        <v>10000002</v>
      </c>
      <c r="F1036" s="209">
        <v>20000335</v>
      </c>
      <c r="G1036" s="209" t="s">
        <v>105</v>
      </c>
      <c r="H1036" s="209">
        <v>20000335</v>
      </c>
      <c r="I1036" s="209">
        <v>2</v>
      </c>
      <c r="J1036" s="209" t="s">
        <v>169</v>
      </c>
      <c r="K1036" s="209" t="s">
        <v>2274</v>
      </c>
      <c r="L1036" s="209" t="s">
        <v>171</v>
      </c>
      <c r="M1036" s="209" t="s">
        <v>184</v>
      </c>
      <c r="N1036" s="209">
        <v>50037887</v>
      </c>
      <c r="O1036" s="209" t="s">
        <v>679</v>
      </c>
      <c r="P1036" s="209">
        <v>5121</v>
      </c>
      <c r="Q1036" s="209" t="s">
        <v>174</v>
      </c>
      <c r="R1036" s="209" t="s">
        <v>175</v>
      </c>
      <c r="S1036" s="209" t="s">
        <v>176</v>
      </c>
      <c r="T1036" s="209" t="s">
        <v>177</v>
      </c>
      <c r="U1036" s="209" t="s">
        <v>178</v>
      </c>
      <c r="V1036" s="209" t="s">
        <v>179</v>
      </c>
      <c r="W1036" s="209" t="s">
        <v>179</v>
      </c>
      <c r="X1036" s="209" t="s">
        <v>180</v>
      </c>
      <c r="Y1036" s="209" t="s">
        <v>180</v>
      </c>
      <c r="Z1036" s="209" t="s">
        <v>2269</v>
      </c>
      <c r="AA1036" s="209" t="s">
        <v>2270</v>
      </c>
      <c r="AB1036" s="209" t="s">
        <v>180</v>
      </c>
      <c r="AC1036" s="209" t="s">
        <v>182</v>
      </c>
      <c r="AD1036" s="209">
        <v>6</v>
      </c>
      <c r="AE1036" s="209">
        <v>2025</v>
      </c>
      <c r="AF1036" s="227">
        <v>45813</v>
      </c>
      <c r="AG1036" s="227">
        <v>45819</v>
      </c>
      <c r="AH1036" s="227">
        <v>45819</v>
      </c>
      <c r="AI1036" s="228">
        <v>531648</v>
      </c>
      <c r="AJ1036" s="228">
        <v>52</v>
      </c>
      <c r="AK1036" s="228">
        <v>531648</v>
      </c>
      <c r="AL1036" s="228">
        <v>52</v>
      </c>
      <c r="AM1036" s="228">
        <v>0</v>
      </c>
      <c r="AN1036" s="228">
        <v>0</v>
      </c>
      <c r="AO1036" s="229">
        <v>24</v>
      </c>
      <c r="AP1036" s="231">
        <v>6</v>
      </c>
      <c r="AQ1036" s="231">
        <v>2025</v>
      </c>
      <c r="AR1036" s="231" t="str">
        <f t="shared" si="140"/>
        <v>06/2025</v>
      </c>
      <c r="AS1036" s="231">
        <f t="shared" si="141"/>
        <v>37.200000000000003</v>
      </c>
      <c r="AT1036" s="239">
        <f>IF(G1036="CERVECERIA Y MALTERIA",(AS1036*AK1036/1000000)*(1-VLOOKUP(N1036,FCST!D:I,6,FALSE)),0)</f>
        <v>19.777305600000002</v>
      </c>
      <c r="AU1036" s="232">
        <v>5.0000000000000001E-3</v>
      </c>
      <c r="AV1036" s="239">
        <f t="shared" si="142"/>
        <v>19.876192128</v>
      </c>
      <c r="AW1036" s="239">
        <f>(AS1036*AK1036/1000000)*(VLOOKUP(N1036,FCST!D:I,6,FALSE))</f>
        <v>0</v>
      </c>
      <c r="AX1036" s="239">
        <f t="shared" si="143"/>
        <v>0</v>
      </c>
      <c r="AY1036" s="239">
        <f>IF($G1036="CERVECERIA Y MALTERIA.",($AS1036*$AK1036/1000000)*(1-VLOOKUP($N1036,FCST!D:I,6,FALSE)),0)</f>
        <v>0</v>
      </c>
      <c r="AZ1036" s="239">
        <f t="shared" si="144"/>
        <v>0</v>
      </c>
    </row>
    <row r="1037" spans="1:52" x14ac:dyDescent="0.25">
      <c r="A1037" s="209">
        <v>1122148</v>
      </c>
      <c r="B1037" s="209">
        <v>30</v>
      </c>
      <c r="C1037" s="209" t="s">
        <v>2275</v>
      </c>
      <c r="D1037" s="209">
        <v>10</v>
      </c>
      <c r="E1037" s="209">
        <v>10000002</v>
      </c>
      <c r="F1037" s="209">
        <v>20000335</v>
      </c>
      <c r="G1037" s="209" t="s">
        <v>105</v>
      </c>
      <c r="H1037" s="209">
        <v>20000335</v>
      </c>
      <c r="I1037" s="209">
        <v>2</v>
      </c>
      <c r="J1037" s="209" t="s">
        <v>169</v>
      </c>
      <c r="K1037" s="209" t="s">
        <v>2276</v>
      </c>
      <c r="L1037" s="209" t="s">
        <v>171</v>
      </c>
      <c r="M1037" s="209" t="s">
        <v>184</v>
      </c>
      <c r="N1037" s="209">
        <v>50025345</v>
      </c>
      <c r="O1037" s="209" t="s">
        <v>1998</v>
      </c>
      <c r="P1037" s="209">
        <v>5121</v>
      </c>
      <c r="Q1037" s="209" t="s">
        <v>174</v>
      </c>
      <c r="R1037" s="209" t="s">
        <v>175</v>
      </c>
      <c r="S1037" s="209" t="s">
        <v>176</v>
      </c>
      <c r="T1037" s="209" t="s">
        <v>177</v>
      </c>
      <c r="U1037" s="209" t="s">
        <v>178</v>
      </c>
      <c r="V1037" s="209" t="s">
        <v>179</v>
      </c>
      <c r="W1037" s="209" t="s">
        <v>179</v>
      </c>
      <c r="X1037" s="209" t="s">
        <v>180</v>
      </c>
      <c r="Y1037" s="209" t="s">
        <v>180</v>
      </c>
      <c r="Z1037" s="209" t="s">
        <v>2259</v>
      </c>
      <c r="AA1037" s="209" t="s">
        <v>2260</v>
      </c>
      <c r="AB1037" s="209" t="s">
        <v>180</v>
      </c>
      <c r="AC1037" s="209" t="s">
        <v>182</v>
      </c>
      <c r="AD1037" s="209">
        <v>6</v>
      </c>
      <c r="AE1037" s="209">
        <v>2025</v>
      </c>
      <c r="AF1037" s="227">
        <v>45813</v>
      </c>
      <c r="AG1037" s="227">
        <v>45817</v>
      </c>
      <c r="AH1037" s="227">
        <v>45817</v>
      </c>
      <c r="AI1037" s="228">
        <v>426816</v>
      </c>
      <c r="AJ1037" s="228">
        <v>52</v>
      </c>
      <c r="AK1037" s="228">
        <v>426816</v>
      </c>
      <c r="AL1037" s="228">
        <v>52</v>
      </c>
      <c r="AM1037" s="228">
        <v>0</v>
      </c>
      <c r="AN1037" s="228">
        <v>0</v>
      </c>
      <c r="AO1037" s="229">
        <v>24</v>
      </c>
      <c r="AP1037" s="231">
        <v>6</v>
      </c>
      <c r="AQ1037" s="231">
        <v>2025</v>
      </c>
      <c r="AR1037" s="231" t="str">
        <f t="shared" si="140"/>
        <v>06/2025</v>
      </c>
      <c r="AS1037" s="231">
        <f t="shared" si="141"/>
        <v>46.6</v>
      </c>
      <c r="AT1037" s="239">
        <f>IF(G1037="CERVECERIA Y MALTERIA",(AS1037*AK1037/1000000)*(1-VLOOKUP(N1037,FCST!D:I,6,FALSE)),0)</f>
        <v>19.889625600000002</v>
      </c>
      <c r="AU1037" s="232">
        <v>5.0000000000000001E-3</v>
      </c>
      <c r="AV1037" s="239">
        <f t="shared" si="142"/>
        <v>19.989073728000001</v>
      </c>
      <c r="AW1037" s="239">
        <f>(AS1037*AK1037/1000000)*(VLOOKUP(N1037,FCST!D:I,6,FALSE))</f>
        <v>0</v>
      </c>
      <c r="AX1037" s="239">
        <f t="shared" si="143"/>
        <v>0</v>
      </c>
      <c r="AY1037" s="239">
        <f>IF($G1037="CERVECERIA Y MALTERIA.",($AS1037*$AK1037/1000000)*(1-VLOOKUP($N1037,FCST!D:I,6,FALSE)),0)</f>
        <v>0</v>
      </c>
      <c r="AZ1037" s="239">
        <f t="shared" si="144"/>
        <v>0</v>
      </c>
    </row>
    <row r="1038" spans="1:52" x14ac:dyDescent="0.25">
      <c r="A1038" s="209">
        <v>1122153</v>
      </c>
      <c r="B1038" s="209">
        <v>10</v>
      </c>
      <c r="C1038" s="209" t="s">
        <v>2277</v>
      </c>
      <c r="D1038" s="209">
        <v>10</v>
      </c>
      <c r="E1038" s="209">
        <v>10000002</v>
      </c>
      <c r="F1038" s="209">
        <v>20000340</v>
      </c>
      <c r="G1038" s="209" t="s">
        <v>117</v>
      </c>
      <c r="H1038" s="209">
        <v>20000340</v>
      </c>
      <c r="I1038" s="209">
        <v>2</v>
      </c>
      <c r="J1038" s="209" t="s">
        <v>169</v>
      </c>
      <c r="K1038" s="209" t="s">
        <v>2278</v>
      </c>
      <c r="L1038" s="209" t="s">
        <v>171</v>
      </c>
      <c r="M1038" s="209" t="s">
        <v>184</v>
      </c>
      <c r="N1038" s="209">
        <v>50027468</v>
      </c>
      <c r="O1038" s="209" t="s">
        <v>285</v>
      </c>
      <c r="P1038" s="209">
        <v>5101</v>
      </c>
      <c r="Q1038" s="209" t="s">
        <v>186</v>
      </c>
      <c r="R1038" s="209" t="s">
        <v>175</v>
      </c>
      <c r="S1038" s="209" t="s">
        <v>176</v>
      </c>
      <c r="T1038" s="209" t="s">
        <v>187</v>
      </c>
      <c r="U1038" s="209" t="s">
        <v>188</v>
      </c>
      <c r="V1038" s="209" t="s">
        <v>179</v>
      </c>
      <c r="W1038" s="209" t="s">
        <v>179</v>
      </c>
      <c r="X1038" s="209" t="s">
        <v>180</v>
      </c>
      <c r="Y1038" s="209" t="s">
        <v>180</v>
      </c>
      <c r="Z1038" s="209" t="s">
        <v>2265</v>
      </c>
      <c r="AA1038" s="209" t="s">
        <v>2266</v>
      </c>
      <c r="AB1038" s="209" t="s">
        <v>180</v>
      </c>
      <c r="AC1038" s="209" t="s">
        <v>182</v>
      </c>
      <c r="AD1038" s="209">
        <v>6</v>
      </c>
      <c r="AE1038" s="209">
        <v>2025</v>
      </c>
      <c r="AF1038" s="227">
        <v>45813</v>
      </c>
      <c r="AG1038" s="227">
        <v>45817</v>
      </c>
      <c r="AH1038" s="227">
        <v>45817</v>
      </c>
      <c r="AI1038" s="228">
        <v>399360</v>
      </c>
      <c r="AJ1038" s="228">
        <v>52</v>
      </c>
      <c r="AK1038" s="228">
        <v>399360</v>
      </c>
      <c r="AL1038" s="228">
        <v>52</v>
      </c>
      <c r="AM1038" s="228">
        <v>0</v>
      </c>
      <c r="AN1038" s="228">
        <v>0</v>
      </c>
      <c r="AO1038" s="229">
        <v>24</v>
      </c>
      <c r="AP1038" s="231">
        <v>6</v>
      </c>
      <c r="AQ1038" s="231">
        <v>2025</v>
      </c>
      <c r="AR1038" s="231" t="str">
        <f t="shared" si="140"/>
        <v>06/2025</v>
      </c>
      <c r="AS1038" s="231">
        <f t="shared" si="141"/>
        <v>52</v>
      </c>
      <c r="AT1038" s="239">
        <f>IF(G1038="CERVECERIA Y MALTERIA",(AS1038*AK1038/1000000)*(1-VLOOKUP(N1038,FCST!D:I,6,FALSE)),0)</f>
        <v>0</v>
      </c>
      <c r="AU1038" s="232">
        <v>5.0000000000000001E-3</v>
      </c>
      <c r="AV1038" s="239">
        <f t="shared" si="142"/>
        <v>0</v>
      </c>
      <c r="AW1038" s="239">
        <f>(AS1038*AK1038/1000000)*(VLOOKUP(N1038,FCST!D:I,6,FALSE))</f>
        <v>0</v>
      </c>
      <c r="AX1038" s="239">
        <f t="shared" si="143"/>
        <v>0</v>
      </c>
      <c r="AY1038" s="239">
        <f>IF($G1038="CERVECERIA Y MALTERIA.",($AS1038*$AK1038/1000000)*(1-VLOOKUP($N1038,FCST!D:I,6,FALSE)),0)</f>
        <v>20.766719999999999</v>
      </c>
      <c r="AZ1038" s="239">
        <f t="shared" si="144"/>
        <v>20.870553599999997</v>
      </c>
    </row>
    <row r="1039" spans="1:52" x14ac:dyDescent="0.25">
      <c r="A1039" s="209">
        <v>1122153</v>
      </c>
      <c r="B1039" s="209">
        <v>20</v>
      </c>
      <c r="C1039" s="209" t="s">
        <v>2279</v>
      </c>
      <c r="D1039" s="209">
        <v>10</v>
      </c>
      <c r="E1039" s="209">
        <v>10000002</v>
      </c>
      <c r="F1039" s="209">
        <v>20000340</v>
      </c>
      <c r="G1039" s="209" t="s">
        <v>117</v>
      </c>
      <c r="H1039" s="209">
        <v>20000340</v>
      </c>
      <c r="I1039" s="209">
        <v>2</v>
      </c>
      <c r="J1039" s="209" t="s">
        <v>169</v>
      </c>
      <c r="K1039" s="209" t="s">
        <v>2280</v>
      </c>
      <c r="L1039" s="209" t="s">
        <v>171</v>
      </c>
      <c r="M1039" s="209" t="s">
        <v>184</v>
      </c>
      <c r="N1039" s="209">
        <v>50027468</v>
      </c>
      <c r="O1039" s="209" t="s">
        <v>285</v>
      </c>
      <c r="P1039" s="209">
        <v>5101</v>
      </c>
      <c r="Q1039" s="209" t="s">
        <v>186</v>
      </c>
      <c r="R1039" s="209" t="s">
        <v>175</v>
      </c>
      <c r="S1039" s="209" t="s">
        <v>176</v>
      </c>
      <c r="T1039" s="209" t="s">
        <v>187</v>
      </c>
      <c r="U1039" s="209" t="s">
        <v>188</v>
      </c>
      <c r="V1039" s="209" t="s">
        <v>179</v>
      </c>
      <c r="W1039" s="209" t="s">
        <v>179</v>
      </c>
      <c r="X1039" s="209" t="s">
        <v>180</v>
      </c>
      <c r="Y1039" s="209" t="s">
        <v>180</v>
      </c>
      <c r="Z1039" s="209" t="s">
        <v>2265</v>
      </c>
      <c r="AA1039" s="209" t="s">
        <v>2266</v>
      </c>
      <c r="AB1039" s="209" t="s">
        <v>180</v>
      </c>
      <c r="AC1039" s="209" t="s">
        <v>182</v>
      </c>
      <c r="AD1039" s="209">
        <v>6</v>
      </c>
      <c r="AE1039" s="209">
        <v>2025</v>
      </c>
      <c r="AF1039" s="227">
        <v>45813</v>
      </c>
      <c r="AG1039" s="227">
        <v>45818</v>
      </c>
      <c r="AH1039" s="227">
        <v>45818</v>
      </c>
      <c r="AI1039" s="228">
        <v>399360</v>
      </c>
      <c r="AJ1039" s="228">
        <v>52</v>
      </c>
      <c r="AK1039" s="228">
        <v>399360</v>
      </c>
      <c r="AL1039" s="228">
        <v>52</v>
      </c>
      <c r="AM1039" s="228">
        <v>0</v>
      </c>
      <c r="AN1039" s="228">
        <v>0</v>
      </c>
      <c r="AO1039" s="229">
        <v>24</v>
      </c>
      <c r="AP1039" s="231">
        <v>6</v>
      </c>
      <c r="AQ1039" s="231">
        <v>2025</v>
      </c>
      <c r="AR1039" s="231" t="str">
        <f t="shared" si="140"/>
        <v>06/2025</v>
      </c>
      <c r="AS1039" s="231">
        <f t="shared" si="141"/>
        <v>52</v>
      </c>
      <c r="AT1039" s="239">
        <f>IF(G1039="CERVECERIA Y MALTERIA",(AS1039*AK1039/1000000)*(1-VLOOKUP(N1039,FCST!D:I,6,FALSE)),0)</f>
        <v>0</v>
      </c>
      <c r="AU1039" s="232">
        <v>5.0000000000000001E-3</v>
      </c>
      <c r="AV1039" s="239">
        <f t="shared" si="142"/>
        <v>0</v>
      </c>
      <c r="AW1039" s="239">
        <f>(AS1039*AK1039/1000000)*(VLOOKUP(N1039,FCST!D:I,6,FALSE))</f>
        <v>0</v>
      </c>
      <c r="AX1039" s="239">
        <f t="shared" si="143"/>
        <v>0</v>
      </c>
      <c r="AY1039" s="239">
        <f>IF($G1039="CERVECERIA Y MALTERIA.",($AS1039*$AK1039/1000000)*(1-VLOOKUP($N1039,FCST!D:I,6,FALSE)),0)</f>
        <v>20.766719999999999</v>
      </c>
      <c r="AZ1039" s="239">
        <f t="shared" si="144"/>
        <v>20.870553599999997</v>
      </c>
    </row>
    <row r="1040" spans="1:52" x14ac:dyDescent="0.25">
      <c r="A1040" s="209">
        <v>1122148</v>
      </c>
      <c r="B1040" s="209">
        <v>50</v>
      </c>
      <c r="C1040" s="209" t="s">
        <v>2281</v>
      </c>
      <c r="D1040" s="209">
        <v>10</v>
      </c>
      <c r="E1040" s="209">
        <v>10000002</v>
      </c>
      <c r="F1040" s="209">
        <v>20000335</v>
      </c>
      <c r="G1040" s="209" t="s">
        <v>105</v>
      </c>
      <c r="H1040" s="209">
        <v>20000335</v>
      </c>
      <c r="I1040" s="209">
        <v>2</v>
      </c>
      <c r="J1040" s="209" t="s">
        <v>169</v>
      </c>
      <c r="K1040" s="209" t="s">
        <v>2282</v>
      </c>
      <c r="L1040" s="209" t="s">
        <v>171</v>
      </c>
      <c r="M1040" s="209" t="s">
        <v>184</v>
      </c>
      <c r="N1040" s="209">
        <v>50025345</v>
      </c>
      <c r="O1040" s="209" t="s">
        <v>1998</v>
      </c>
      <c r="P1040" s="209">
        <v>5121</v>
      </c>
      <c r="Q1040" s="209" t="s">
        <v>174</v>
      </c>
      <c r="R1040" s="209" t="s">
        <v>175</v>
      </c>
      <c r="S1040" s="209" t="s">
        <v>176</v>
      </c>
      <c r="T1040" s="209" t="s">
        <v>177</v>
      </c>
      <c r="U1040" s="209" t="s">
        <v>178</v>
      </c>
      <c r="V1040" s="209" t="s">
        <v>179</v>
      </c>
      <c r="W1040" s="209" t="s">
        <v>179</v>
      </c>
      <c r="X1040" s="209" t="s">
        <v>180</v>
      </c>
      <c r="Y1040" s="209" t="s">
        <v>180</v>
      </c>
      <c r="Z1040" s="209" t="s">
        <v>2259</v>
      </c>
      <c r="AA1040" s="209" t="s">
        <v>2260</v>
      </c>
      <c r="AB1040" s="209" t="s">
        <v>180</v>
      </c>
      <c r="AC1040" s="209" t="s">
        <v>182</v>
      </c>
      <c r="AD1040" s="209">
        <v>6</v>
      </c>
      <c r="AE1040" s="209">
        <v>2025</v>
      </c>
      <c r="AF1040" s="227">
        <v>45813</v>
      </c>
      <c r="AG1040" s="227">
        <v>45818</v>
      </c>
      <c r="AH1040" s="227">
        <v>45818</v>
      </c>
      <c r="AI1040" s="228">
        <v>426816</v>
      </c>
      <c r="AJ1040" s="228">
        <v>52</v>
      </c>
      <c r="AK1040" s="228">
        <v>426816</v>
      </c>
      <c r="AL1040" s="228">
        <v>52</v>
      </c>
      <c r="AM1040" s="228">
        <v>0</v>
      </c>
      <c r="AN1040" s="228">
        <v>0</v>
      </c>
      <c r="AO1040" s="229">
        <v>24</v>
      </c>
      <c r="AP1040" s="231">
        <v>6</v>
      </c>
      <c r="AQ1040" s="231">
        <v>2025</v>
      </c>
      <c r="AR1040" s="231" t="str">
        <f t="shared" si="140"/>
        <v>06/2025</v>
      </c>
      <c r="AS1040" s="231">
        <f t="shared" si="141"/>
        <v>46.6</v>
      </c>
      <c r="AT1040" s="239">
        <f>IF(G1040="CERVECERIA Y MALTERIA",(AS1040*AK1040/1000000)*(1-VLOOKUP(N1040,FCST!D:I,6,FALSE)),0)</f>
        <v>19.889625600000002</v>
      </c>
      <c r="AU1040" s="232">
        <v>5.0000000000000001E-3</v>
      </c>
      <c r="AV1040" s="239">
        <f t="shared" si="142"/>
        <v>19.989073728000001</v>
      </c>
      <c r="AW1040" s="239">
        <f>(AS1040*AK1040/1000000)*(VLOOKUP(N1040,FCST!D:I,6,FALSE))</f>
        <v>0</v>
      </c>
      <c r="AX1040" s="239">
        <f t="shared" si="143"/>
        <v>0</v>
      </c>
      <c r="AY1040" s="239">
        <f>IF($G1040="CERVECERIA Y MALTERIA.",($AS1040*$AK1040/1000000)*(1-VLOOKUP($N1040,FCST!D:I,6,FALSE)),0)</f>
        <v>0</v>
      </c>
      <c r="AZ1040" s="239">
        <f t="shared" si="144"/>
        <v>0</v>
      </c>
    </row>
    <row r="1041" spans="1:52" x14ac:dyDescent="0.25">
      <c r="A1041" s="209">
        <v>1122148</v>
      </c>
      <c r="B1041" s="209">
        <v>40</v>
      </c>
      <c r="C1041" s="209" t="s">
        <v>2283</v>
      </c>
      <c r="D1041" s="209">
        <v>10</v>
      </c>
      <c r="E1041" s="209">
        <v>10000002</v>
      </c>
      <c r="F1041" s="209">
        <v>20000335</v>
      </c>
      <c r="G1041" s="209" t="s">
        <v>105</v>
      </c>
      <c r="H1041" s="209">
        <v>20000335</v>
      </c>
      <c r="I1041" s="209">
        <v>2</v>
      </c>
      <c r="J1041" s="209" t="s">
        <v>169</v>
      </c>
      <c r="K1041" s="209" t="s">
        <v>2284</v>
      </c>
      <c r="L1041" s="209" t="s">
        <v>171</v>
      </c>
      <c r="M1041" s="209" t="s">
        <v>184</v>
      </c>
      <c r="N1041" s="209">
        <v>50037887</v>
      </c>
      <c r="O1041" s="209" t="s">
        <v>679</v>
      </c>
      <c r="P1041" s="209">
        <v>5121</v>
      </c>
      <c r="Q1041" s="209" t="s">
        <v>174</v>
      </c>
      <c r="R1041" s="209" t="s">
        <v>175</v>
      </c>
      <c r="S1041" s="209" t="s">
        <v>176</v>
      </c>
      <c r="T1041" s="209" t="s">
        <v>177</v>
      </c>
      <c r="U1041" s="209" t="s">
        <v>178</v>
      </c>
      <c r="V1041" s="209" t="s">
        <v>179</v>
      </c>
      <c r="W1041" s="209" t="s">
        <v>179</v>
      </c>
      <c r="X1041" s="209" t="s">
        <v>180</v>
      </c>
      <c r="Y1041" s="209" t="s">
        <v>180</v>
      </c>
      <c r="Z1041" s="209" t="s">
        <v>2269</v>
      </c>
      <c r="AA1041" s="209" t="s">
        <v>2270</v>
      </c>
      <c r="AB1041" s="209" t="s">
        <v>180</v>
      </c>
      <c r="AC1041" s="209" t="s">
        <v>182</v>
      </c>
      <c r="AD1041" s="209">
        <v>6</v>
      </c>
      <c r="AE1041" s="209">
        <v>2025</v>
      </c>
      <c r="AF1041" s="227">
        <v>45813</v>
      </c>
      <c r="AG1041" s="227">
        <v>45818</v>
      </c>
      <c r="AH1041" s="227">
        <v>45818</v>
      </c>
      <c r="AI1041" s="228">
        <v>511200</v>
      </c>
      <c r="AJ1041" s="228">
        <v>50</v>
      </c>
      <c r="AK1041" s="228">
        <v>511200</v>
      </c>
      <c r="AL1041" s="228">
        <v>50</v>
      </c>
      <c r="AM1041" s="228">
        <v>0</v>
      </c>
      <c r="AN1041" s="228">
        <v>0</v>
      </c>
      <c r="AO1041" s="229">
        <v>24</v>
      </c>
      <c r="AP1041" s="231">
        <v>6</v>
      </c>
      <c r="AQ1041" s="231">
        <v>2025</v>
      </c>
      <c r="AR1041" s="231" t="str">
        <f t="shared" ref="AR1041:AR1072" si="145">+IF(AP1041&lt;10,"0"&amp;AP1041&amp; "/"&amp;AQ1041,AP1041&amp; "/"&amp;AQ1041)</f>
        <v>06/2025</v>
      </c>
      <c r="AS1041" s="231">
        <f t="shared" ref="AS1041:AS1072" si="146">VALUE(MID(INDEX(_xlfn.TEXTSPLIT(O1041, ","), 1, 3), 1,FIND("G", INDEX(_xlfn.TEXTSPLIT(O1041, ","), 1, 3))-1))</f>
        <v>37.200000000000003</v>
      </c>
      <c r="AT1041" s="239">
        <f>IF(G1041="CERVECERIA Y MALTERIA",(AS1041*AK1041/1000000)*(1-VLOOKUP(N1041,FCST!D:I,6,FALSE)),0)</f>
        <v>19.016639999999999</v>
      </c>
      <c r="AU1041" s="232">
        <v>5.0000000000000001E-3</v>
      </c>
      <c r="AV1041" s="239">
        <f t="shared" ref="AV1041:AV1072" si="147">+AT1041*(1+AU1041)</f>
        <v>19.111723199999997</v>
      </c>
      <c r="AW1041" s="239">
        <f>(AS1041*AK1041/1000000)*(VLOOKUP(N1041,FCST!D:I,6,FALSE))</f>
        <v>0</v>
      </c>
      <c r="AX1041" s="239">
        <f t="shared" ref="AX1041:AX1072" si="148">+AW1041*(1+AU1041)</f>
        <v>0</v>
      </c>
      <c r="AY1041" s="239">
        <f>IF($G1041="CERVECERIA Y MALTERIA.",($AS1041*$AK1041/1000000)*(1-VLOOKUP($N1041,FCST!D:I,6,FALSE)),0)</f>
        <v>0</v>
      </c>
      <c r="AZ1041" s="239">
        <f t="shared" ref="AZ1041:AZ1072" si="149">+AY1041*(1+AU1041)</f>
        <v>0</v>
      </c>
    </row>
    <row r="1042" spans="1:52" x14ac:dyDescent="0.25">
      <c r="A1042" s="209">
        <v>1121417</v>
      </c>
      <c r="B1042" s="209">
        <v>30</v>
      </c>
      <c r="C1042" s="209" t="s">
        <v>2285</v>
      </c>
      <c r="D1042" s="209">
        <v>10</v>
      </c>
      <c r="E1042" s="209">
        <v>10000002</v>
      </c>
      <c r="F1042" s="209">
        <v>20000337</v>
      </c>
      <c r="G1042" s="209" t="s">
        <v>105</v>
      </c>
      <c r="H1042" s="209">
        <v>20000337</v>
      </c>
      <c r="I1042" s="209">
        <v>2</v>
      </c>
      <c r="J1042" s="209" t="s">
        <v>169</v>
      </c>
      <c r="K1042" s="209" t="s">
        <v>2286</v>
      </c>
      <c r="L1042" s="209" t="s">
        <v>171</v>
      </c>
      <c r="M1042" s="209" t="s">
        <v>184</v>
      </c>
      <c r="N1042" s="209">
        <v>50039302</v>
      </c>
      <c r="O1042" s="209" t="s">
        <v>1942</v>
      </c>
      <c r="P1042" s="209">
        <v>5121</v>
      </c>
      <c r="Q1042" s="209" t="s">
        <v>174</v>
      </c>
      <c r="R1042" s="209" t="s">
        <v>175</v>
      </c>
      <c r="S1042" s="209" t="s">
        <v>176</v>
      </c>
      <c r="T1042" s="209" t="s">
        <v>177</v>
      </c>
      <c r="U1042" s="209" t="s">
        <v>178</v>
      </c>
      <c r="V1042" s="209" t="s">
        <v>179</v>
      </c>
      <c r="W1042" s="209" t="s">
        <v>179</v>
      </c>
      <c r="X1042" s="209" t="s">
        <v>180</v>
      </c>
      <c r="Y1042" s="209" t="s">
        <v>180</v>
      </c>
      <c r="Z1042" s="209" t="s">
        <v>2287</v>
      </c>
      <c r="AA1042" s="209" t="s">
        <v>2288</v>
      </c>
      <c r="AB1042" s="209" t="s">
        <v>180</v>
      </c>
      <c r="AC1042" s="209" t="s">
        <v>182</v>
      </c>
      <c r="AD1042" s="209">
        <v>6</v>
      </c>
      <c r="AE1042" s="209">
        <v>2025</v>
      </c>
      <c r="AF1042" s="227">
        <v>45810</v>
      </c>
      <c r="AG1042" s="227">
        <v>45818</v>
      </c>
      <c r="AH1042" s="227">
        <v>45818</v>
      </c>
      <c r="AI1042" s="228">
        <v>399360</v>
      </c>
      <c r="AJ1042" s="228">
        <v>52</v>
      </c>
      <c r="AK1042" s="228">
        <v>399360</v>
      </c>
      <c r="AL1042" s="228">
        <v>52</v>
      </c>
      <c r="AM1042" s="228">
        <v>0</v>
      </c>
      <c r="AN1042" s="228">
        <v>0</v>
      </c>
      <c r="AO1042" s="229">
        <v>23</v>
      </c>
      <c r="AP1042" s="231">
        <v>6</v>
      </c>
      <c r="AQ1042" s="231">
        <v>2025</v>
      </c>
      <c r="AR1042" s="231" t="str">
        <f t="shared" si="145"/>
        <v>06/2025</v>
      </c>
      <c r="AS1042" s="231">
        <f t="shared" si="146"/>
        <v>46.6</v>
      </c>
      <c r="AT1042" s="239">
        <f>IF(G1042="CERVECERIA Y MALTERIA",(AS1042*AK1042/1000000)*(1-VLOOKUP(N1042,FCST!D:I,6,FALSE)),0)</f>
        <v>18.610175999999999</v>
      </c>
      <c r="AU1042" s="232">
        <v>5.0000000000000001E-3</v>
      </c>
      <c r="AV1042" s="239">
        <f t="shared" si="147"/>
        <v>18.703226879999995</v>
      </c>
      <c r="AW1042" s="239">
        <f>(AS1042*AK1042/1000000)*(VLOOKUP(N1042,FCST!D:I,6,FALSE))</f>
        <v>0</v>
      </c>
      <c r="AX1042" s="239">
        <f t="shared" si="148"/>
        <v>0</v>
      </c>
      <c r="AY1042" s="239">
        <f>IF($G1042="CERVECERIA Y MALTERIA.",($AS1042*$AK1042/1000000)*(1-VLOOKUP($N1042,FCST!D:I,6,FALSE)),0)</f>
        <v>0</v>
      </c>
      <c r="AZ1042" s="239">
        <f t="shared" si="149"/>
        <v>0</v>
      </c>
    </row>
    <row r="1043" spans="1:52" x14ac:dyDescent="0.25">
      <c r="A1043" s="209">
        <v>1121417</v>
      </c>
      <c r="B1043" s="209">
        <v>40</v>
      </c>
      <c r="C1043" s="209" t="s">
        <v>2289</v>
      </c>
      <c r="D1043" s="209">
        <v>10</v>
      </c>
      <c r="E1043" s="209">
        <v>10000002</v>
      </c>
      <c r="F1043" s="209">
        <v>20000337</v>
      </c>
      <c r="G1043" s="209" t="s">
        <v>105</v>
      </c>
      <c r="H1043" s="209">
        <v>20000337</v>
      </c>
      <c r="I1043" s="209">
        <v>2</v>
      </c>
      <c r="J1043" s="209" t="s">
        <v>169</v>
      </c>
      <c r="K1043" s="209" t="s">
        <v>2290</v>
      </c>
      <c r="L1043" s="209" t="s">
        <v>171</v>
      </c>
      <c r="M1043" s="209" t="s">
        <v>172</v>
      </c>
      <c r="N1043" s="209">
        <v>50039302</v>
      </c>
      <c r="O1043" s="209" t="s">
        <v>1942</v>
      </c>
      <c r="P1043" s="209">
        <v>5121</v>
      </c>
      <c r="Q1043" s="209" t="s">
        <v>174</v>
      </c>
      <c r="R1043" s="209" t="s">
        <v>175</v>
      </c>
      <c r="S1043" s="209" t="s">
        <v>176</v>
      </c>
      <c r="T1043" s="209" t="s">
        <v>177</v>
      </c>
      <c r="U1043" s="209" t="s">
        <v>178</v>
      </c>
      <c r="V1043" s="209" t="s">
        <v>179</v>
      </c>
      <c r="W1043" s="209" t="s">
        <v>179</v>
      </c>
      <c r="X1043" s="209" t="s">
        <v>180</v>
      </c>
      <c r="Y1043" s="209" t="s">
        <v>180</v>
      </c>
      <c r="Z1043" s="209" t="s">
        <v>2287</v>
      </c>
      <c r="AA1043" s="209" t="s">
        <v>2288</v>
      </c>
      <c r="AB1043" s="209" t="s">
        <v>180</v>
      </c>
      <c r="AC1043" s="209" t="s">
        <v>182</v>
      </c>
      <c r="AD1043" s="209">
        <v>6</v>
      </c>
      <c r="AE1043" s="209">
        <v>2025</v>
      </c>
      <c r="AF1043" s="227">
        <v>45810</v>
      </c>
      <c r="AG1043" s="227">
        <v>45818</v>
      </c>
      <c r="AH1043" s="227">
        <v>45818</v>
      </c>
      <c r="AI1043" s="228">
        <v>399360</v>
      </c>
      <c r="AJ1043" s="228">
        <v>52</v>
      </c>
      <c r="AK1043" s="228">
        <v>399360</v>
      </c>
      <c r="AL1043" s="228">
        <v>52</v>
      </c>
      <c r="AM1043" s="228">
        <v>0</v>
      </c>
      <c r="AN1043" s="228">
        <v>0</v>
      </c>
      <c r="AO1043" s="229">
        <v>23</v>
      </c>
      <c r="AP1043" s="231">
        <v>6</v>
      </c>
      <c r="AQ1043" s="231">
        <v>2025</v>
      </c>
      <c r="AR1043" s="231" t="str">
        <f t="shared" si="145"/>
        <v>06/2025</v>
      </c>
      <c r="AS1043" s="231">
        <f t="shared" si="146"/>
        <v>46.6</v>
      </c>
      <c r="AT1043" s="239">
        <f>IF(G1043="CERVECERIA Y MALTERIA",(AS1043*AK1043/1000000)*(1-VLOOKUP(N1043,FCST!D:I,6,FALSE)),0)</f>
        <v>18.610175999999999</v>
      </c>
      <c r="AU1043" s="232">
        <v>5.0000000000000001E-3</v>
      </c>
      <c r="AV1043" s="239">
        <f t="shared" si="147"/>
        <v>18.703226879999995</v>
      </c>
      <c r="AW1043" s="239">
        <f>(AS1043*AK1043/1000000)*(VLOOKUP(N1043,FCST!D:I,6,FALSE))</f>
        <v>0</v>
      </c>
      <c r="AX1043" s="239">
        <f t="shared" si="148"/>
        <v>0</v>
      </c>
      <c r="AY1043" s="239">
        <f>IF($G1043="CERVECERIA Y MALTERIA.",($AS1043*$AK1043/1000000)*(1-VLOOKUP($N1043,FCST!D:I,6,FALSE)),0)</f>
        <v>0</v>
      </c>
      <c r="AZ1043" s="239">
        <f t="shared" si="149"/>
        <v>0</v>
      </c>
    </row>
    <row r="1044" spans="1:52" x14ac:dyDescent="0.25">
      <c r="A1044" s="209">
        <v>1120434</v>
      </c>
      <c r="B1044" s="209">
        <v>40</v>
      </c>
      <c r="C1044" s="209" t="s">
        <v>2291</v>
      </c>
      <c r="D1044" s="209">
        <v>10</v>
      </c>
      <c r="E1044" s="209">
        <v>10000002</v>
      </c>
      <c r="F1044" s="209">
        <v>20000340</v>
      </c>
      <c r="G1044" s="209" t="s">
        <v>117</v>
      </c>
      <c r="H1044" s="209">
        <v>20000340</v>
      </c>
      <c r="I1044" s="209">
        <v>2</v>
      </c>
      <c r="J1044" s="209" t="s">
        <v>169</v>
      </c>
      <c r="K1044" s="209" t="s">
        <v>2292</v>
      </c>
      <c r="L1044" s="209" t="s">
        <v>171</v>
      </c>
      <c r="M1044" s="209" t="s">
        <v>172</v>
      </c>
      <c r="N1044" s="209">
        <v>50038523</v>
      </c>
      <c r="O1044" s="209" t="s">
        <v>249</v>
      </c>
      <c r="P1044" s="209">
        <v>5101</v>
      </c>
      <c r="Q1044" s="209" t="s">
        <v>186</v>
      </c>
      <c r="R1044" s="209" t="s">
        <v>175</v>
      </c>
      <c r="S1044" s="209" t="s">
        <v>176</v>
      </c>
      <c r="T1044" s="209" t="s">
        <v>187</v>
      </c>
      <c r="U1044" s="209" t="s">
        <v>188</v>
      </c>
      <c r="V1044" s="209" t="s">
        <v>179</v>
      </c>
      <c r="W1044" s="209" t="s">
        <v>179</v>
      </c>
      <c r="X1044" s="209" t="s">
        <v>180</v>
      </c>
      <c r="Y1044" s="209" t="s">
        <v>180</v>
      </c>
      <c r="Z1044" s="209" t="s">
        <v>2293</v>
      </c>
      <c r="AA1044" s="209" t="s">
        <v>2294</v>
      </c>
      <c r="AB1044" s="209" t="s">
        <v>180</v>
      </c>
      <c r="AC1044" s="209" t="s">
        <v>182</v>
      </c>
      <c r="AD1044" s="209">
        <v>6</v>
      </c>
      <c r="AE1044" s="209">
        <v>2025</v>
      </c>
      <c r="AF1044" s="227">
        <v>45805</v>
      </c>
      <c r="AG1044" s="227">
        <v>45810</v>
      </c>
      <c r="AH1044" s="227">
        <v>45810</v>
      </c>
      <c r="AI1044" s="228">
        <v>606528</v>
      </c>
      <c r="AJ1044" s="228">
        <v>52</v>
      </c>
      <c r="AK1044" s="228">
        <v>606528</v>
      </c>
      <c r="AL1044" s="228">
        <v>52</v>
      </c>
      <c r="AM1044" s="228">
        <v>0</v>
      </c>
      <c r="AN1044" s="228">
        <v>0</v>
      </c>
      <c r="AO1044" s="229">
        <v>23</v>
      </c>
      <c r="AP1044" s="231">
        <v>6</v>
      </c>
      <c r="AQ1044" s="231">
        <v>2025</v>
      </c>
      <c r="AR1044" s="231" t="str">
        <f t="shared" si="145"/>
        <v>06/2025</v>
      </c>
      <c r="AS1044" s="231">
        <f t="shared" si="146"/>
        <v>30</v>
      </c>
      <c r="AT1044" s="239">
        <f>IF(G1044="CERVECERIA Y MALTERIA",(AS1044*AK1044/1000000)*(1-VLOOKUP(N1044,FCST!D:I,6,FALSE)),0)</f>
        <v>0</v>
      </c>
      <c r="AU1044" s="232">
        <v>5.0000000000000001E-3</v>
      </c>
      <c r="AV1044" s="239">
        <f t="shared" si="147"/>
        <v>0</v>
      </c>
      <c r="AW1044" s="239">
        <f>(AS1044*AK1044/1000000)*(VLOOKUP(N1044,FCST!D:I,6,FALSE))</f>
        <v>0</v>
      </c>
      <c r="AX1044" s="239">
        <f t="shared" si="148"/>
        <v>0</v>
      </c>
      <c r="AY1044" s="239">
        <f>IF($G1044="CERVECERIA Y MALTERIA.",($AS1044*$AK1044/1000000)*(1-VLOOKUP($N1044,FCST!D:I,6,FALSE)),0)</f>
        <v>18.19584</v>
      </c>
      <c r="AZ1044" s="239">
        <f t="shared" si="149"/>
        <v>18.2868192</v>
      </c>
    </row>
    <row r="1045" spans="1:52" x14ac:dyDescent="0.25">
      <c r="A1045" s="209">
        <v>1120434</v>
      </c>
      <c r="B1045" s="209">
        <v>20</v>
      </c>
      <c r="C1045" s="209" t="s">
        <v>2295</v>
      </c>
      <c r="D1045" s="209">
        <v>10</v>
      </c>
      <c r="E1045" s="209">
        <v>10000002</v>
      </c>
      <c r="F1045" s="209">
        <v>20000340</v>
      </c>
      <c r="G1045" s="209" t="s">
        <v>117</v>
      </c>
      <c r="H1045" s="209">
        <v>20000340</v>
      </c>
      <c r="I1045" s="209">
        <v>2</v>
      </c>
      <c r="J1045" s="209" t="s">
        <v>169</v>
      </c>
      <c r="K1045" s="209" t="s">
        <v>2296</v>
      </c>
      <c r="L1045" s="209" t="s">
        <v>171</v>
      </c>
      <c r="M1045" s="209" t="s">
        <v>172</v>
      </c>
      <c r="N1045" s="209">
        <v>50038523</v>
      </c>
      <c r="O1045" s="209" t="s">
        <v>249</v>
      </c>
      <c r="P1045" s="209">
        <v>5101</v>
      </c>
      <c r="Q1045" s="209" t="s">
        <v>186</v>
      </c>
      <c r="R1045" s="209" t="s">
        <v>175</v>
      </c>
      <c r="S1045" s="209" t="s">
        <v>176</v>
      </c>
      <c r="T1045" s="209" t="s">
        <v>187</v>
      </c>
      <c r="U1045" s="209" t="s">
        <v>188</v>
      </c>
      <c r="V1045" s="209" t="s">
        <v>179</v>
      </c>
      <c r="W1045" s="209" t="s">
        <v>179</v>
      </c>
      <c r="X1045" s="209" t="s">
        <v>180</v>
      </c>
      <c r="Y1045" s="209" t="s">
        <v>180</v>
      </c>
      <c r="Z1045" s="209" t="s">
        <v>2293</v>
      </c>
      <c r="AA1045" s="209" t="s">
        <v>2294</v>
      </c>
      <c r="AB1045" s="209" t="s">
        <v>180</v>
      </c>
      <c r="AC1045" s="209" t="s">
        <v>182</v>
      </c>
      <c r="AD1045" s="209">
        <v>6</v>
      </c>
      <c r="AE1045" s="209">
        <v>2025</v>
      </c>
      <c r="AF1045" s="227">
        <v>45805</v>
      </c>
      <c r="AG1045" s="227">
        <v>45810</v>
      </c>
      <c r="AH1045" s="227">
        <v>45810</v>
      </c>
      <c r="AI1045" s="228">
        <v>606528</v>
      </c>
      <c r="AJ1045" s="228">
        <v>52</v>
      </c>
      <c r="AK1045" s="228">
        <v>606528</v>
      </c>
      <c r="AL1045" s="228">
        <v>52</v>
      </c>
      <c r="AM1045" s="228">
        <v>0</v>
      </c>
      <c r="AN1045" s="228">
        <v>0</v>
      </c>
      <c r="AO1045" s="229">
        <v>23</v>
      </c>
      <c r="AP1045" s="231">
        <v>6</v>
      </c>
      <c r="AQ1045" s="231">
        <v>2025</v>
      </c>
      <c r="AR1045" s="231" t="str">
        <f t="shared" si="145"/>
        <v>06/2025</v>
      </c>
      <c r="AS1045" s="231">
        <f t="shared" si="146"/>
        <v>30</v>
      </c>
      <c r="AT1045" s="239">
        <f>IF(G1045="CERVECERIA Y MALTERIA",(AS1045*AK1045/1000000)*(1-VLOOKUP(N1045,FCST!D:I,6,FALSE)),0)</f>
        <v>0</v>
      </c>
      <c r="AU1045" s="232">
        <v>5.0000000000000001E-3</v>
      </c>
      <c r="AV1045" s="239">
        <f t="shared" si="147"/>
        <v>0</v>
      </c>
      <c r="AW1045" s="239">
        <f>(AS1045*AK1045/1000000)*(VLOOKUP(N1045,FCST!D:I,6,FALSE))</f>
        <v>0</v>
      </c>
      <c r="AX1045" s="239">
        <f t="shared" si="148"/>
        <v>0</v>
      </c>
      <c r="AY1045" s="239">
        <f>IF($G1045="CERVECERIA Y MALTERIA.",($AS1045*$AK1045/1000000)*(1-VLOOKUP($N1045,FCST!D:I,6,FALSE)),0)</f>
        <v>18.19584</v>
      </c>
      <c r="AZ1045" s="239">
        <f t="shared" si="149"/>
        <v>18.2868192</v>
      </c>
    </row>
    <row r="1046" spans="1:52" x14ac:dyDescent="0.25">
      <c r="A1046" s="209">
        <v>1120434</v>
      </c>
      <c r="B1046" s="209">
        <v>10</v>
      </c>
      <c r="C1046" s="209" t="s">
        <v>2297</v>
      </c>
      <c r="D1046" s="209">
        <v>10</v>
      </c>
      <c r="E1046" s="209">
        <v>10000002</v>
      </c>
      <c r="F1046" s="209">
        <v>20000340</v>
      </c>
      <c r="G1046" s="209" t="s">
        <v>117</v>
      </c>
      <c r="H1046" s="209">
        <v>20000340</v>
      </c>
      <c r="I1046" s="209">
        <v>2</v>
      </c>
      <c r="J1046" s="209" t="s">
        <v>169</v>
      </c>
      <c r="K1046" s="209" t="s">
        <v>2298</v>
      </c>
      <c r="L1046" s="209" t="s">
        <v>171</v>
      </c>
      <c r="M1046" s="209" t="s">
        <v>172</v>
      </c>
      <c r="N1046" s="209">
        <v>50039509</v>
      </c>
      <c r="O1046" s="209" t="s">
        <v>2054</v>
      </c>
      <c r="P1046" s="209">
        <v>5101</v>
      </c>
      <c r="Q1046" s="209" t="s">
        <v>186</v>
      </c>
      <c r="R1046" s="209" t="s">
        <v>175</v>
      </c>
      <c r="S1046" s="209" t="s">
        <v>176</v>
      </c>
      <c r="T1046" s="209" t="s">
        <v>187</v>
      </c>
      <c r="U1046" s="209" t="s">
        <v>188</v>
      </c>
      <c r="V1046" s="209" t="s">
        <v>179</v>
      </c>
      <c r="W1046" s="209" t="s">
        <v>179</v>
      </c>
      <c r="X1046" s="209" t="s">
        <v>180</v>
      </c>
      <c r="Y1046" s="209" t="s">
        <v>180</v>
      </c>
      <c r="Z1046" s="209" t="s">
        <v>2187</v>
      </c>
      <c r="AA1046" s="209" t="s">
        <v>2188</v>
      </c>
      <c r="AB1046" s="209" t="s">
        <v>180</v>
      </c>
      <c r="AC1046" s="209" t="s">
        <v>182</v>
      </c>
      <c r="AD1046" s="209">
        <v>6</v>
      </c>
      <c r="AE1046" s="209">
        <v>2025</v>
      </c>
      <c r="AF1046" s="227">
        <v>45805</v>
      </c>
      <c r="AG1046" s="227">
        <v>45810</v>
      </c>
      <c r="AH1046" s="227">
        <v>45810</v>
      </c>
      <c r="AI1046" s="228">
        <v>519168</v>
      </c>
      <c r="AJ1046" s="228">
        <v>52</v>
      </c>
      <c r="AK1046" s="228">
        <v>519168</v>
      </c>
      <c r="AL1046" s="228">
        <v>52</v>
      </c>
      <c r="AM1046" s="228">
        <v>0</v>
      </c>
      <c r="AN1046" s="228">
        <v>0</v>
      </c>
      <c r="AO1046" s="229">
        <v>23</v>
      </c>
      <c r="AP1046" s="231">
        <v>6</v>
      </c>
      <c r="AQ1046" s="231">
        <v>2025</v>
      </c>
      <c r="AR1046" s="231" t="str">
        <f t="shared" si="145"/>
        <v>06/2025</v>
      </c>
      <c r="AS1046" s="231">
        <f t="shared" si="146"/>
        <v>34</v>
      </c>
      <c r="AT1046" s="239">
        <f>IF(G1046="CERVECERIA Y MALTERIA",(AS1046*AK1046/1000000)*(1-VLOOKUP(N1046,FCST!D:I,6,FALSE)),0)</f>
        <v>0</v>
      </c>
      <c r="AU1046" s="232">
        <v>5.0000000000000001E-3</v>
      </c>
      <c r="AV1046" s="239">
        <f t="shared" si="147"/>
        <v>0</v>
      </c>
      <c r="AW1046" s="239">
        <f>(AS1046*AK1046/1000000)*(VLOOKUP(N1046,FCST!D:I,6,FALSE))</f>
        <v>0</v>
      </c>
      <c r="AX1046" s="239">
        <f t="shared" si="148"/>
        <v>0</v>
      </c>
      <c r="AY1046" s="239">
        <f>IF($G1046="CERVECERIA Y MALTERIA.",($AS1046*$AK1046/1000000)*(1-VLOOKUP($N1046,FCST!D:I,6,FALSE)),0)</f>
        <v>17.651712</v>
      </c>
      <c r="AZ1046" s="239">
        <f t="shared" si="149"/>
        <v>17.73997056</v>
      </c>
    </row>
    <row r="1047" spans="1:52" x14ac:dyDescent="0.25">
      <c r="A1047" s="209">
        <v>1120433</v>
      </c>
      <c r="B1047" s="209">
        <v>10</v>
      </c>
      <c r="C1047" s="209" t="s">
        <v>2299</v>
      </c>
      <c r="D1047" s="209">
        <v>10</v>
      </c>
      <c r="E1047" s="209">
        <v>10000002</v>
      </c>
      <c r="F1047" s="209">
        <v>20000335</v>
      </c>
      <c r="G1047" s="209" t="s">
        <v>105</v>
      </c>
      <c r="H1047" s="209">
        <v>20000335</v>
      </c>
      <c r="I1047" s="209">
        <v>2</v>
      </c>
      <c r="J1047" s="209" t="s">
        <v>169</v>
      </c>
      <c r="K1047" s="209" t="s">
        <v>2300</v>
      </c>
      <c r="L1047" s="209" t="s">
        <v>171</v>
      </c>
      <c r="M1047" s="209" t="s">
        <v>172</v>
      </c>
      <c r="N1047" s="209">
        <v>50025345</v>
      </c>
      <c r="O1047" s="209" t="s">
        <v>1998</v>
      </c>
      <c r="P1047" s="209">
        <v>5121</v>
      </c>
      <c r="Q1047" s="209" t="s">
        <v>174</v>
      </c>
      <c r="R1047" s="209" t="s">
        <v>175</v>
      </c>
      <c r="S1047" s="209" t="s">
        <v>176</v>
      </c>
      <c r="T1047" s="209" t="s">
        <v>177</v>
      </c>
      <c r="U1047" s="209" t="s">
        <v>178</v>
      </c>
      <c r="V1047" s="209" t="s">
        <v>179</v>
      </c>
      <c r="W1047" s="209" t="s">
        <v>179</v>
      </c>
      <c r="X1047" s="209" t="s">
        <v>180</v>
      </c>
      <c r="Y1047" s="209" t="s">
        <v>180</v>
      </c>
      <c r="Z1047" s="209" t="s">
        <v>2259</v>
      </c>
      <c r="AA1047" s="209" t="s">
        <v>2260</v>
      </c>
      <c r="AB1047" s="209" t="s">
        <v>180</v>
      </c>
      <c r="AC1047" s="209" t="s">
        <v>182</v>
      </c>
      <c r="AD1047" s="209">
        <v>6</v>
      </c>
      <c r="AE1047" s="209">
        <v>2025</v>
      </c>
      <c r="AF1047" s="227">
        <v>45805</v>
      </c>
      <c r="AG1047" s="227">
        <v>45810</v>
      </c>
      <c r="AH1047" s="227">
        <v>45810</v>
      </c>
      <c r="AI1047" s="228">
        <v>393984</v>
      </c>
      <c r="AJ1047" s="228">
        <v>48</v>
      </c>
      <c r="AK1047" s="228">
        <v>393984</v>
      </c>
      <c r="AL1047" s="228">
        <v>48</v>
      </c>
      <c r="AM1047" s="228">
        <v>0</v>
      </c>
      <c r="AN1047" s="228">
        <v>0</v>
      </c>
      <c r="AO1047" s="229">
        <v>23</v>
      </c>
      <c r="AP1047" s="231">
        <v>6</v>
      </c>
      <c r="AQ1047" s="231">
        <v>2025</v>
      </c>
      <c r="AR1047" s="231" t="str">
        <f t="shared" si="145"/>
        <v>06/2025</v>
      </c>
      <c r="AS1047" s="231">
        <f t="shared" si="146"/>
        <v>46.6</v>
      </c>
      <c r="AT1047" s="239">
        <f>IF(G1047="CERVECERIA Y MALTERIA",(AS1047*AK1047/1000000)*(1-VLOOKUP(N1047,FCST!D:I,6,FALSE)),0)</f>
        <v>18.359654400000004</v>
      </c>
      <c r="AU1047" s="232">
        <v>5.0000000000000001E-3</v>
      </c>
      <c r="AV1047" s="239">
        <f t="shared" si="147"/>
        <v>18.451452672000002</v>
      </c>
      <c r="AW1047" s="239">
        <f>(AS1047*AK1047/1000000)*(VLOOKUP(N1047,FCST!D:I,6,FALSE))</f>
        <v>0</v>
      </c>
      <c r="AX1047" s="239">
        <f t="shared" si="148"/>
        <v>0</v>
      </c>
      <c r="AY1047" s="239">
        <f>IF($G1047="CERVECERIA Y MALTERIA.",($AS1047*$AK1047/1000000)*(1-VLOOKUP($N1047,FCST!D:I,6,FALSE)),0)</f>
        <v>0</v>
      </c>
      <c r="AZ1047" s="239">
        <f t="shared" si="149"/>
        <v>0</v>
      </c>
    </row>
    <row r="1048" spans="1:52" x14ac:dyDescent="0.25">
      <c r="A1048" s="209">
        <v>1120434</v>
      </c>
      <c r="B1048" s="209">
        <v>30</v>
      </c>
      <c r="C1048" s="209" t="s">
        <v>2301</v>
      </c>
      <c r="D1048" s="209">
        <v>10</v>
      </c>
      <c r="E1048" s="209">
        <v>10000002</v>
      </c>
      <c r="F1048" s="209">
        <v>20000340</v>
      </c>
      <c r="G1048" s="209" t="s">
        <v>117</v>
      </c>
      <c r="H1048" s="209">
        <v>20000340</v>
      </c>
      <c r="I1048" s="209">
        <v>2</v>
      </c>
      <c r="J1048" s="209" t="s">
        <v>169</v>
      </c>
      <c r="K1048" s="209" t="s">
        <v>2302</v>
      </c>
      <c r="L1048" s="209" t="s">
        <v>171</v>
      </c>
      <c r="M1048" s="209" t="s">
        <v>172</v>
      </c>
      <c r="N1048" s="209">
        <v>50029817</v>
      </c>
      <c r="O1048" s="209" t="s">
        <v>396</v>
      </c>
      <c r="P1048" s="209">
        <v>5101</v>
      </c>
      <c r="Q1048" s="209" t="s">
        <v>186</v>
      </c>
      <c r="R1048" s="209" t="s">
        <v>175</v>
      </c>
      <c r="S1048" s="209" t="s">
        <v>176</v>
      </c>
      <c r="T1048" s="209" t="s">
        <v>187</v>
      </c>
      <c r="U1048" s="209" t="s">
        <v>188</v>
      </c>
      <c r="V1048" s="209" t="s">
        <v>179</v>
      </c>
      <c r="W1048" s="209" t="s">
        <v>179</v>
      </c>
      <c r="X1048" s="209" t="s">
        <v>180</v>
      </c>
      <c r="Y1048" s="209" t="s">
        <v>180</v>
      </c>
      <c r="Z1048" s="209" t="s">
        <v>2303</v>
      </c>
      <c r="AA1048" s="209" t="s">
        <v>2304</v>
      </c>
      <c r="AB1048" s="209" t="s">
        <v>180</v>
      </c>
      <c r="AC1048" s="209" t="s">
        <v>182</v>
      </c>
      <c r="AD1048" s="209">
        <v>6</v>
      </c>
      <c r="AE1048" s="209">
        <v>2025</v>
      </c>
      <c r="AF1048" s="227">
        <v>45805</v>
      </c>
      <c r="AG1048" s="227">
        <v>45810</v>
      </c>
      <c r="AH1048" s="227">
        <v>45810</v>
      </c>
      <c r="AI1048" s="228">
        <v>32862</v>
      </c>
      <c r="AJ1048" s="228">
        <v>3</v>
      </c>
      <c r="AK1048" s="228">
        <v>32862</v>
      </c>
      <c r="AL1048" s="228">
        <v>3</v>
      </c>
      <c r="AM1048" s="228">
        <v>0</v>
      </c>
      <c r="AN1048" s="228">
        <v>0</v>
      </c>
      <c r="AO1048" s="229">
        <v>23</v>
      </c>
      <c r="AP1048" s="231">
        <v>6</v>
      </c>
      <c r="AQ1048" s="231">
        <v>2025</v>
      </c>
      <c r="AR1048" s="231" t="str">
        <f t="shared" si="145"/>
        <v>06/2025</v>
      </c>
      <c r="AS1048" s="231">
        <f t="shared" si="146"/>
        <v>30</v>
      </c>
      <c r="AT1048" s="239">
        <f>IF(G1048="CERVECERIA Y MALTERIA",(AS1048*AK1048/1000000)*(1-VLOOKUP(N1048,FCST!D:I,6,FALSE)),0)</f>
        <v>0</v>
      </c>
      <c r="AU1048" s="232">
        <v>5.0000000000000001E-3</v>
      </c>
      <c r="AV1048" s="239">
        <f t="shared" si="147"/>
        <v>0</v>
      </c>
      <c r="AW1048" s="239">
        <f>(AS1048*AK1048/1000000)*(VLOOKUP(N1048,FCST!D:I,6,FALSE))</f>
        <v>0.29575799999999997</v>
      </c>
      <c r="AX1048" s="239">
        <f t="shared" si="148"/>
        <v>0.29723678999999992</v>
      </c>
      <c r="AY1048" s="239">
        <f>IF($G1048="CERVECERIA Y MALTERIA.",($AS1048*$AK1048/1000000)*(1-VLOOKUP($N1048,FCST!D:I,6,FALSE)),0)</f>
        <v>0.69010199999999988</v>
      </c>
      <c r="AZ1048" s="239">
        <f t="shared" si="149"/>
        <v>0.69355250999999984</v>
      </c>
    </row>
    <row r="1049" spans="1:52" x14ac:dyDescent="0.25">
      <c r="A1049" s="209">
        <v>1120433</v>
      </c>
      <c r="B1049" s="209">
        <v>20</v>
      </c>
      <c r="C1049" s="209" t="s">
        <v>2305</v>
      </c>
      <c r="D1049" s="209">
        <v>10</v>
      </c>
      <c r="E1049" s="209">
        <v>10000002</v>
      </c>
      <c r="F1049" s="209">
        <v>20000335</v>
      </c>
      <c r="G1049" s="209" t="s">
        <v>105</v>
      </c>
      <c r="H1049" s="209">
        <v>20000335</v>
      </c>
      <c r="I1049" s="209">
        <v>2</v>
      </c>
      <c r="J1049" s="209" t="s">
        <v>169</v>
      </c>
      <c r="K1049" s="209" t="s">
        <v>2306</v>
      </c>
      <c r="L1049" s="209" t="s">
        <v>171</v>
      </c>
      <c r="M1049" s="209" t="s">
        <v>172</v>
      </c>
      <c r="N1049" s="209">
        <v>50037887</v>
      </c>
      <c r="O1049" s="209" t="s">
        <v>679</v>
      </c>
      <c r="P1049" s="209">
        <v>5121</v>
      </c>
      <c r="Q1049" s="209" t="s">
        <v>174</v>
      </c>
      <c r="R1049" s="209" t="s">
        <v>175</v>
      </c>
      <c r="S1049" s="209" t="s">
        <v>176</v>
      </c>
      <c r="T1049" s="209" t="s">
        <v>177</v>
      </c>
      <c r="U1049" s="209" t="s">
        <v>178</v>
      </c>
      <c r="V1049" s="209" t="s">
        <v>179</v>
      </c>
      <c r="W1049" s="209" t="s">
        <v>179</v>
      </c>
      <c r="X1049" s="209" t="s">
        <v>180</v>
      </c>
      <c r="Y1049" s="209" t="s">
        <v>180</v>
      </c>
      <c r="Z1049" s="209" t="s">
        <v>2269</v>
      </c>
      <c r="AA1049" s="209" t="s">
        <v>2270</v>
      </c>
      <c r="AB1049" s="209" t="s">
        <v>180</v>
      </c>
      <c r="AC1049" s="209" t="s">
        <v>182</v>
      </c>
      <c r="AD1049" s="209">
        <v>6</v>
      </c>
      <c r="AE1049" s="209">
        <v>2025</v>
      </c>
      <c r="AF1049" s="227">
        <v>45805</v>
      </c>
      <c r="AG1049" s="227">
        <v>45811</v>
      </c>
      <c r="AH1049" s="227">
        <v>45811</v>
      </c>
      <c r="AI1049" s="228">
        <v>531648</v>
      </c>
      <c r="AJ1049" s="228">
        <v>52</v>
      </c>
      <c r="AK1049" s="228">
        <v>531648</v>
      </c>
      <c r="AL1049" s="228">
        <v>52</v>
      </c>
      <c r="AM1049" s="228">
        <v>0</v>
      </c>
      <c r="AN1049" s="228">
        <v>0</v>
      </c>
      <c r="AO1049" s="229">
        <v>23</v>
      </c>
      <c r="AP1049" s="231">
        <v>6</v>
      </c>
      <c r="AQ1049" s="231">
        <v>2025</v>
      </c>
      <c r="AR1049" s="231" t="str">
        <f t="shared" si="145"/>
        <v>06/2025</v>
      </c>
      <c r="AS1049" s="231">
        <f t="shared" si="146"/>
        <v>37.200000000000003</v>
      </c>
      <c r="AT1049" s="239">
        <f>IF(G1049="CERVECERIA Y MALTERIA",(AS1049*AK1049/1000000)*(1-VLOOKUP(N1049,FCST!D:I,6,FALSE)),0)</f>
        <v>19.777305600000002</v>
      </c>
      <c r="AU1049" s="232">
        <v>5.0000000000000001E-3</v>
      </c>
      <c r="AV1049" s="239">
        <f t="shared" si="147"/>
        <v>19.876192128</v>
      </c>
      <c r="AW1049" s="239">
        <f>(AS1049*AK1049/1000000)*(VLOOKUP(N1049,FCST!D:I,6,FALSE))</f>
        <v>0</v>
      </c>
      <c r="AX1049" s="239">
        <f t="shared" si="148"/>
        <v>0</v>
      </c>
      <c r="AY1049" s="239">
        <f>IF($G1049="CERVECERIA Y MALTERIA.",($AS1049*$AK1049/1000000)*(1-VLOOKUP($N1049,FCST!D:I,6,FALSE)),0)</f>
        <v>0</v>
      </c>
      <c r="AZ1049" s="239">
        <f t="shared" si="149"/>
        <v>0</v>
      </c>
    </row>
    <row r="1050" spans="1:52" x14ac:dyDescent="0.25">
      <c r="A1050" s="209">
        <v>1120433</v>
      </c>
      <c r="B1050" s="209">
        <v>30</v>
      </c>
      <c r="C1050" s="209" t="s">
        <v>2307</v>
      </c>
      <c r="D1050" s="209">
        <v>10</v>
      </c>
      <c r="E1050" s="209">
        <v>10000002</v>
      </c>
      <c r="F1050" s="209">
        <v>20000335</v>
      </c>
      <c r="G1050" s="209" t="s">
        <v>105</v>
      </c>
      <c r="H1050" s="209">
        <v>20000335</v>
      </c>
      <c r="I1050" s="209">
        <v>2</v>
      </c>
      <c r="J1050" s="209" t="s">
        <v>169</v>
      </c>
      <c r="K1050" s="209" t="s">
        <v>2308</v>
      </c>
      <c r="L1050" s="209" t="s">
        <v>171</v>
      </c>
      <c r="M1050" s="209" t="s">
        <v>172</v>
      </c>
      <c r="N1050" s="209">
        <v>50025345</v>
      </c>
      <c r="O1050" s="209" t="s">
        <v>1998</v>
      </c>
      <c r="P1050" s="209">
        <v>5121</v>
      </c>
      <c r="Q1050" s="209" t="s">
        <v>174</v>
      </c>
      <c r="R1050" s="209" t="s">
        <v>175</v>
      </c>
      <c r="S1050" s="209" t="s">
        <v>176</v>
      </c>
      <c r="T1050" s="209" t="s">
        <v>177</v>
      </c>
      <c r="U1050" s="209" t="s">
        <v>178</v>
      </c>
      <c r="V1050" s="209" t="s">
        <v>179</v>
      </c>
      <c r="W1050" s="209" t="s">
        <v>179</v>
      </c>
      <c r="X1050" s="209" t="s">
        <v>180</v>
      </c>
      <c r="Y1050" s="209" t="s">
        <v>180</v>
      </c>
      <c r="Z1050" s="209" t="s">
        <v>2259</v>
      </c>
      <c r="AA1050" s="209" t="s">
        <v>2260</v>
      </c>
      <c r="AB1050" s="209" t="s">
        <v>180</v>
      </c>
      <c r="AC1050" s="209" t="s">
        <v>182</v>
      </c>
      <c r="AD1050" s="209">
        <v>6</v>
      </c>
      <c r="AE1050" s="209">
        <v>2025</v>
      </c>
      <c r="AF1050" s="227">
        <v>45805</v>
      </c>
      <c r="AG1050" s="227">
        <v>45811</v>
      </c>
      <c r="AH1050" s="227">
        <v>45811</v>
      </c>
      <c r="AI1050" s="228">
        <v>426816</v>
      </c>
      <c r="AJ1050" s="228">
        <v>52</v>
      </c>
      <c r="AK1050" s="228">
        <v>426816</v>
      </c>
      <c r="AL1050" s="228">
        <v>52</v>
      </c>
      <c r="AM1050" s="228">
        <v>0</v>
      </c>
      <c r="AN1050" s="228">
        <v>0</v>
      </c>
      <c r="AO1050" s="229">
        <v>23</v>
      </c>
      <c r="AP1050" s="231">
        <v>6</v>
      </c>
      <c r="AQ1050" s="231">
        <v>2025</v>
      </c>
      <c r="AR1050" s="231" t="str">
        <f t="shared" si="145"/>
        <v>06/2025</v>
      </c>
      <c r="AS1050" s="231">
        <f t="shared" si="146"/>
        <v>46.6</v>
      </c>
      <c r="AT1050" s="239">
        <f>IF(G1050="CERVECERIA Y MALTERIA",(AS1050*AK1050/1000000)*(1-VLOOKUP(N1050,FCST!D:I,6,FALSE)),0)</f>
        <v>19.889625600000002</v>
      </c>
      <c r="AU1050" s="232">
        <v>5.0000000000000001E-3</v>
      </c>
      <c r="AV1050" s="239">
        <f t="shared" si="147"/>
        <v>19.989073728000001</v>
      </c>
      <c r="AW1050" s="239">
        <f>(AS1050*AK1050/1000000)*(VLOOKUP(N1050,FCST!D:I,6,FALSE))</f>
        <v>0</v>
      </c>
      <c r="AX1050" s="239">
        <f t="shared" si="148"/>
        <v>0</v>
      </c>
      <c r="AY1050" s="239">
        <f>IF($G1050="CERVECERIA Y MALTERIA.",($AS1050*$AK1050/1000000)*(1-VLOOKUP($N1050,FCST!D:I,6,FALSE)),0)</f>
        <v>0</v>
      </c>
      <c r="AZ1050" s="239">
        <f t="shared" si="149"/>
        <v>0</v>
      </c>
    </row>
    <row r="1051" spans="1:52" x14ac:dyDescent="0.25">
      <c r="A1051" s="209">
        <v>1121143</v>
      </c>
      <c r="B1051" s="209">
        <v>10</v>
      </c>
      <c r="C1051" s="209" t="s">
        <v>2309</v>
      </c>
      <c r="D1051" s="209">
        <v>10</v>
      </c>
      <c r="E1051" s="209">
        <v>10000002</v>
      </c>
      <c r="F1051" s="209">
        <v>20000336</v>
      </c>
      <c r="G1051" s="209" t="s">
        <v>105</v>
      </c>
      <c r="H1051" s="209">
        <v>20000336</v>
      </c>
      <c r="I1051" s="209">
        <v>2</v>
      </c>
      <c r="J1051" s="209" t="s">
        <v>169</v>
      </c>
      <c r="K1051" s="209" t="s">
        <v>2310</v>
      </c>
      <c r="L1051" s="209" t="s">
        <v>171</v>
      </c>
      <c r="M1051" s="209" t="s">
        <v>172</v>
      </c>
      <c r="N1051" s="209">
        <v>50024497</v>
      </c>
      <c r="O1051" s="209" t="s">
        <v>1352</v>
      </c>
      <c r="P1051" s="209">
        <v>5121</v>
      </c>
      <c r="Q1051" s="209" t="s">
        <v>174</v>
      </c>
      <c r="R1051" s="209" t="s">
        <v>175</v>
      </c>
      <c r="S1051" s="209" t="s">
        <v>176</v>
      </c>
      <c r="T1051" s="209" t="s">
        <v>177</v>
      </c>
      <c r="U1051" s="209" t="s">
        <v>178</v>
      </c>
      <c r="V1051" s="209" t="s">
        <v>179</v>
      </c>
      <c r="W1051" s="209" t="s">
        <v>179</v>
      </c>
      <c r="X1051" s="209" t="s">
        <v>180</v>
      </c>
      <c r="Y1051" s="209" t="s">
        <v>180</v>
      </c>
      <c r="Z1051" s="209" t="s">
        <v>2311</v>
      </c>
      <c r="AA1051" s="209" t="s">
        <v>2312</v>
      </c>
      <c r="AB1051" s="209" t="s">
        <v>180</v>
      </c>
      <c r="AC1051" s="209" t="s">
        <v>182</v>
      </c>
      <c r="AD1051" s="209">
        <v>6</v>
      </c>
      <c r="AE1051" s="209">
        <v>2025</v>
      </c>
      <c r="AF1051" s="227">
        <v>45807</v>
      </c>
      <c r="AG1051" s="227">
        <v>45810</v>
      </c>
      <c r="AH1051" s="227">
        <v>45810</v>
      </c>
      <c r="AI1051" s="228">
        <v>216576</v>
      </c>
      <c r="AJ1051" s="228">
        <v>32</v>
      </c>
      <c r="AK1051" s="228">
        <v>216576</v>
      </c>
      <c r="AL1051" s="228">
        <v>32</v>
      </c>
      <c r="AM1051" s="228">
        <v>0</v>
      </c>
      <c r="AN1051" s="228">
        <v>0</v>
      </c>
      <c r="AO1051" s="229">
        <v>23</v>
      </c>
      <c r="AP1051" s="231">
        <v>6</v>
      </c>
      <c r="AQ1051" s="231">
        <v>2025</v>
      </c>
      <c r="AR1051" s="231" t="str">
        <f t="shared" si="145"/>
        <v>06/2025</v>
      </c>
      <c r="AS1051" s="231">
        <f t="shared" si="146"/>
        <v>54.7</v>
      </c>
      <c r="AT1051" s="239">
        <f>IF(G1051="CERVECERIA Y MALTERIA",(AS1051*AK1051/1000000)*(1-VLOOKUP(N1051,FCST!D:I,6,FALSE)),0)</f>
        <v>11.846707200000001</v>
      </c>
      <c r="AU1051" s="232">
        <v>5.0000000000000001E-3</v>
      </c>
      <c r="AV1051" s="239">
        <f t="shared" si="147"/>
        <v>11.905940736</v>
      </c>
      <c r="AW1051" s="239">
        <f>(AS1051*AK1051/1000000)*(VLOOKUP(N1051,FCST!D:I,6,FALSE))</f>
        <v>0</v>
      </c>
      <c r="AX1051" s="239">
        <f t="shared" si="148"/>
        <v>0</v>
      </c>
      <c r="AY1051" s="239">
        <f>IF($G1051="CERVECERIA Y MALTERIA.",($AS1051*$AK1051/1000000)*(1-VLOOKUP($N1051,FCST!D:I,6,FALSE)),0)</f>
        <v>0</v>
      </c>
      <c r="AZ1051" s="239">
        <f t="shared" si="149"/>
        <v>0</v>
      </c>
    </row>
    <row r="1052" spans="1:52" x14ac:dyDescent="0.25">
      <c r="A1052" s="209">
        <v>1120434</v>
      </c>
      <c r="B1052" s="209">
        <v>70</v>
      </c>
      <c r="C1052" s="209" t="s">
        <v>2313</v>
      </c>
      <c r="D1052" s="209">
        <v>10</v>
      </c>
      <c r="E1052" s="209">
        <v>10000002</v>
      </c>
      <c r="F1052" s="209">
        <v>20000340</v>
      </c>
      <c r="G1052" s="209" t="s">
        <v>117</v>
      </c>
      <c r="H1052" s="209">
        <v>20000340</v>
      </c>
      <c r="I1052" s="209">
        <v>2</v>
      </c>
      <c r="J1052" s="209" t="s">
        <v>169</v>
      </c>
      <c r="K1052" s="209" t="s">
        <v>2314</v>
      </c>
      <c r="L1052" s="209" t="s">
        <v>171</v>
      </c>
      <c r="M1052" s="209" t="s">
        <v>172</v>
      </c>
      <c r="N1052" s="209">
        <v>50038523</v>
      </c>
      <c r="O1052" s="209" t="s">
        <v>249</v>
      </c>
      <c r="P1052" s="209">
        <v>5101</v>
      </c>
      <c r="Q1052" s="209" t="s">
        <v>186</v>
      </c>
      <c r="R1052" s="209" t="s">
        <v>175</v>
      </c>
      <c r="S1052" s="209" t="s">
        <v>176</v>
      </c>
      <c r="T1052" s="209" t="s">
        <v>187</v>
      </c>
      <c r="U1052" s="209" t="s">
        <v>188</v>
      </c>
      <c r="V1052" s="209" t="s">
        <v>179</v>
      </c>
      <c r="W1052" s="209" t="s">
        <v>179</v>
      </c>
      <c r="X1052" s="209" t="s">
        <v>180</v>
      </c>
      <c r="Y1052" s="209" t="s">
        <v>180</v>
      </c>
      <c r="Z1052" s="209" t="s">
        <v>2293</v>
      </c>
      <c r="AA1052" s="209" t="s">
        <v>2294</v>
      </c>
      <c r="AB1052" s="209" t="s">
        <v>180</v>
      </c>
      <c r="AC1052" s="209" t="s">
        <v>182</v>
      </c>
      <c r="AD1052" s="209">
        <v>6</v>
      </c>
      <c r="AE1052" s="209">
        <v>2025</v>
      </c>
      <c r="AF1052" s="227">
        <v>45805</v>
      </c>
      <c r="AG1052" s="227">
        <v>45813</v>
      </c>
      <c r="AH1052" s="227">
        <v>45813</v>
      </c>
      <c r="AI1052" s="228">
        <v>606528</v>
      </c>
      <c r="AJ1052" s="228">
        <v>52</v>
      </c>
      <c r="AK1052" s="228">
        <v>606528</v>
      </c>
      <c r="AL1052" s="228">
        <v>52</v>
      </c>
      <c r="AM1052" s="228">
        <v>0</v>
      </c>
      <c r="AN1052" s="228">
        <v>0</v>
      </c>
      <c r="AO1052" s="229">
        <v>23</v>
      </c>
      <c r="AP1052" s="231">
        <v>6</v>
      </c>
      <c r="AQ1052" s="231">
        <v>2025</v>
      </c>
      <c r="AR1052" s="231" t="str">
        <f t="shared" si="145"/>
        <v>06/2025</v>
      </c>
      <c r="AS1052" s="231">
        <f t="shared" si="146"/>
        <v>30</v>
      </c>
      <c r="AT1052" s="239">
        <f>IF(G1052="CERVECERIA Y MALTERIA",(AS1052*AK1052/1000000)*(1-VLOOKUP(N1052,FCST!D:I,6,FALSE)),0)</f>
        <v>0</v>
      </c>
      <c r="AU1052" s="232">
        <v>5.0000000000000001E-3</v>
      </c>
      <c r="AV1052" s="239">
        <f t="shared" si="147"/>
        <v>0</v>
      </c>
      <c r="AW1052" s="239">
        <f>(AS1052*AK1052/1000000)*(VLOOKUP(N1052,FCST!D:I,6,FALSE))</f>
        <v>0</v>
      </c>
      <c r="AX1052" s="239">
        <f t="shared" si="148"/>
        <v>0</v>
      </c>
      <c r="AY1052" s="239">
        <f>IF($G1052="CERVECERIA Y MALTERIA.",($AS1052*$AK1052/1000000)*(1-VLOOKUP($N1052,FCST!D:I,6,FALSE)),0)</f>
        <v>18.19584</v>
      </c>
      <c r="AZ1052" s="239">
        <f t="shared" si="149"/>
        <v>18.2868192</v>
      </c>
    </row>
    <row r="1053" spans="1:52" x14ac:dyDescent="0.25">
      <c r="A1053" s="209">
        <v>1120433</v>
      </c>
      <c r="B1053" s="209">
        <v>50</v>
      </c>
      <c r="C1053" s="209" t="s">
        <v>2315</v>
      </c>
      <c r="D1053" s="209">
        <v>10</v>
      </c>
      <c r="E1053" s="209">
        <v>10000002</v>
      </c>
      <c r="F1053" s="209">
        <v>20000335</v>
      </c>
      <c r="G1053" s="209" t="s">
        <v>105</v>
      </c>
      <c r="H1053" s="209">
        <v>20000335</v>
      </c>
      <c r="I1053" s="209">
        <v>2</v>
      </c>
      <c r="J1053" s="209" t="s">
        <v>169</v>
      </c>
      <c r="K1053" s="209" t="s">
        <v>2316</v>
      </c>
      <c r="L1053" s="209" t="s">
        <v>171</v>
      </c>
      <c r="M1053" s="209" t="s">
        <v>172</v>
      </c>
      <c r="N1053" s="209">
        <v>50037887</v>
      </c>
      <c r="O1053" s="209" t="s">
        <v>679</v>
      </c>
      <c r="P1053" s="209">
        <v>5121</v>
      </c>
      <c r="Q1053" s="209" t="s">
        <v>174</v>
      </c>
      <c r="R1053" s="209" t="s">
        <v>175</v>
      </c>
      <c r="S1053" s="209" t="s">
        <v>176</v>
      </c>
      <c r="T1053" s="209" t="s">
        <v>177</v>
      </c>
      <c r="U1053" s="209" t="s">
        <v>178</v>
      </c>
      <c r="V1053" s="209" t="s">
        <v>179</v>
      </c>
      <c r="W1053" s="209" t="s">
        <v>179</v>
      </c>
      <c r="X1053" s="209" t="s">
        <v>180</v>
      </c>
      <c r="Y1053" s="209" t="s">
        <v>180</v>
      </c>
      <c r="Z1053" s="209" t="s">
        <v>2269</v>
      </c>
      <c r="AA1053" s="209" t="s">
        <v>2270</v>
      </c>
      <c r="AB1053" s="209" t="s">
        <v>180</v>
      </c>
      <c r="AC1053" s="209" t="s">
        <v>182</v>
      </c>
      <c r="AD1053" s="209">
        <v>6</v>
      </c>
      <c r="AE1053" s="209">
        <v>2025</v>
      </c>
      <c r="AF1053" s="227">
        <v>45805</v>
      </c>
      <c r="AG1053" s="227">
        <v>45813</v>
      </c>
      <c r="AH1053" s="227">
        <v>45813</v>
      </c>
      <c r="AI1053" s="228">
        <v>531648</v>
      </c>
      <c r="AJ1053" s="228">
        <v>52</v>
      </c>
      <c r="AK1053" s="228">
        <v>531648</v>
      </c>
      <c r="AL1053" s="228">
        <v>52</v>
      </c>
      <c r="AM1053" s="228">
        <v>0</v>
      </c>
      <c r="AN1053" s="228">
        <v>0</v>
      </c>
      <c r="AO1053" s="229">
        <v>23</v>
      </c>
      <c r="AP1053" s="231">
        <v>6</v>
      </c>
      <c r="AQ1053" s="231">
        <v>2025</v>
      </c>
      <c r="AR1053" s="231" t="str">
        <f t="shared" si="145"/>
        <v>06/2025</v>
      </c>
      <c r="AS1053" s="231">
        <f t="shared" si="146"/>
        <v>37.200000000000003</v>
      </c>
      <c r="AT1053" s="239">
        <f>IF(G1053="CERVECERIA Y MALTERIA",(AS1053*AK1053/1000000)*(1-VLOOKUP(N1053,FCST!D:I,6,FALSE)),0)</f>
        <v>19.777305600000002</v>
      </c>
      <c r="AU1053" s="232">
        <v>5.0000000000000001E-3</v>
      </c>
      <c r="AV1053" s="239">
        <f t="shared" si="147"/>
        <v>19.876192128</v>
      </c>
      <c r="AW1053" s="239">
        <f>(AS1053*AK1053/1000000)*(VLOOKUP(N1053,FCST!D:I,6,FALSE))</f>
        <v>0</v>
      </c>
      <c r="AX1053" s="239">
        <f t="shared" si="148"/>
        <v>0</v>
      </c>
      <c r="AY1053" s="239">
        <f>IF($G1053="CERVECERIA Y MALTERIA.",($AS1053*$AK1053/1000000)*(1-VLOOKUP($N1053,FCST!D:I,6,FALSE)),0)</f>
        <v>0</v>
      </c>
      <c r="AZ1053" s="239">
        <f t="shared" si="149"/>
        <v>0</v>
      </c>
    </row>
    <row r="1054" spans="1:52" x14ac:dyDescent="0.25">
      <c r="A1054" s="209">
        <v>1121143</v>
      </c>
      <c r="B1054" s="209">
        <v>30</v>
      </c>
      <c r="C1054" s="209" t="s">
        <v>2317</v>
      </c>
      <c r="D1054" s="209">
        <v>10</v>
      </c>
      <c r="E1054" s="209">
        <v>10000002</v>
      </c>
      <c r="F1054" s="209">
        <v>20000336</v>
      </c>
      <c r="G1054" s="209" t="s">
        <v>105</v>
      </c>
      <c r="H1054" s="209">
        <v>20000336</v>
      </c>
      <c r="I1054" s="209">
        <v>2</v>
      </c>
      <c r="J1054" s="209" t="s">
        <v>169</v>
      </c>
      <c r="K1054" s="209" t="s">
        <v>2318</v>
      </c>
      <c r="L1054" s="209" t="s">
        <v>171</v>
      </c>
      <c r="M1054" s="209" t="s">
        <v>172</v>
      </c>
      <c r="N1054" s="209">
        <v>50034616</v>
      </c>
      <c r="O1054" s="209" t="s">
        <v>191</v>
      </c>
      <c r="P1054" s="209">
        <v>5121</v>
      </c>
      <c r="Q1054" s="209" t="s">
        <v>174</v>
      </c>
      <c r="R1054" s="209" t="s">
        <v>175</v>
      </c>
      <c r="S1054" s="209" t="s">
        <v>176</v>
      </c>
      <c r="T1054" s="209" t="s">
        <v>177</v>
      </c>
      <c r="U1054" s="209" t="s">
        <v>178</v>
      </c>
      <c r="V1054" s="209" t="s">
        <v>179</v>
      </c>
      <c r="W1054" s="209" t="s">
        <v>179</v>
      </c>
      <c r="X1054" s="209" t="s">
        <v>180</v>
      </c>
      <c r="Y1054" s="209" t="s">
        <v>180</v>
      </c>
      <c r="Z1054" s="209" t="s">
        <v>2319</v>
      </c>
      <c r="AA1054" s="209" t="s">
        <v>2320</v>
      </c>
      <c r="AB1054" s="209" t="s">
        <v>180</v>
      </c>
      <c r="AC1054" s="209" t="s">
        <v>182</v>
      </c>
      <c r="AD1054" s="209">
        <v>6</v>
      </c>
      <c r="AE1054" s="209">
        <v>2025</v>
      </c>
      <c r="AF1054" s="227">
        <v>45807</v>
      </c>
      <c r="AG1054" s="227">
        <v>45813</v>
      </c>
      <c r="AH1054" s="227">
        <v>45813</v>
      </c>
      <c r="AI1054" s="228">
        <v>426816</v>
      </c>
      <c r="AJ1054" s="228">
        <v>52</v>
      </c>
      <c r="AK1054" s="228">
        <v>426816</v>
      </c>
      <c r="AL1054" s="228">
        <v>52</v>
      </c>
      <c r="AM1054" s="228">
        <v>0</v>
      </c>
      <c r="AN1054" s="228">
        <v>0</v>
      </c>
      <c r="AO1054" s="229">
        <v>23</v>
      </c>
      <c r="AP1054" s="231">
        <v>6</v>
      </c>
      <c r="AQ1054" s="231">
        <v>2025</v>
      </c>
      <c r="AR1054" s="231" t="str">
        <f t="shared" si="145"/>
        <v>06/2025</v>
      </c>
      <c r="AS1054" s="231">
        <f t="shared" si="146"/>
        <v>46.6</v>
      </c>
      <c r="AT1054" s="239">
        <f>IF(G1054="CERVECERIA Y MALTERIA",(AS1054*AK1054/1000000)*(1-VLOOKUP(N1054,FCST!D:I,6,FALSE)),0)</f>
        <v>19.889625600000002</v>
      </c>
      <c r="AU1054" s="232">
        <v>5.0000000000000001E-3</v>
      </c>
      <c r="AV1054" s="239">
        <f t="shared" si="147"/>
        <v>19.989073728000001</v>
      </c>
      <c r="AW1054" s="239">
        <f>(AS1054*AK1054/1000000)*(VLOOKUP(N1054,FCST!D:I,6,FALSE))</f>
        <v>0</v>
      </c>
      <c r="AX1054" s="239">
        <f t="shared" si="148"/>
        <v>0</v>
      </c>
      <c r="AY1054" s="239">
        <f>IF($G1054="CERVECERIA Y MALTERIA.",($AS1054*$AK1054/1000000)*(1-VLOOKUP($N1054,FCST!D:I,6,FALSE)),0)</f>
        <v>0</v>
      </c>
      <c r="AZ1054" s="239">
        <f t="shared" si="149"/>
        <v>0</v>
      </c>
    </row>
    <row r="1055" spans="1:52" x14ac:dyDescent="0.25">
      <c r="A1055" s="209">
        <v>1120434</v>
      </c>
      <c r="B1055" s="209">
        <v>60</v>
      </c>
      <c r="C1055" s="209" t="s">
        <v>2321</v>
      </c>
      <c r="D1055" s="209">
        <v>10</v>
      </c>
      <c r="E1055" s="209">
        <v>10000002</v>
      </c>
      <c r="F1055" s="209">
        <v>20000340</v>
      </c>
      <c r="G1055" s="209" t="s">
        <v>117</v>
      </c>
      <c r="H1055" s="209">
        <v>20000340</v>
      </c>
      <c r="I1055" s="209">
        <v>2</v>
      </c>
      <c r="J1055" s="209" t="s">
        <v>169</v>
      </c>
      <c r="K1055" s="209" t="s">
        <v>2322</v>
      </c>
      <c r="L1055" s="209" t="s">
        <v>171</v>
      </c>
      <c r="M1055" s="209" t="s">
        <v>172</v>
      </c>
      <c r="N1055" s="209">
        <v>50038523</v>
      </c>
      <c r="O1055" s="209" t="s">
        <v>249</v>
      </c>
      <c r="P1055" s="209">
        <v>5101</v>
      </c>
      <c r="Q1055" s="209" t="s">
        <v>186</v>
      </c>
      <c r="R1055" s="209" t="s">
        <v>175</v>
      </c>
      <c r="S1055" s="209" t="s">
        <v>176</v>
      </c>
      <c r="T1055" s="209" t="s">
        <v>187</v>
      </c>
      <c r="U1055" s="209" t="s">
        <v>188</v>
      </c>
      <c r="V1055" s="209" t="s">
        <v>179</v>
      </c>
      <c r="W1055" s="209" t="s">
        <v>179</v>
      </c>
      <c r="X1055" s="209" t="s">
        <v>180</v>
      </c>
      <c r="Y1055" s="209" t="s">
        <v>180</v>
      </c>
      <c r="Z1055" s="209" t="s">
        <v>2293</v>
      </c>
      <c r="AA1055" s="209" t="s">
        <v>2294</v>
      </c>
      <c r="AB1055" s="209" t="s">
        <v>180</v>
      </c>
      <c r="AC1055" s="209" t="s">
        <v>182</v>
      </c>
      <c r="AD1055" s="209">
        <v>6</v>
      </c>
      <c r="AE1055" s="209">
        <v>2025</v>
      </c>
      <c r="AF1055" s="227">
        <v>45805</v>
      </c>
      <c r="AG1055" s="227">
        <v>45812</v>
      </c>
      <c r="AH1055" s="227">
        <v>45812</v>
      </c>
      <c r="AI1055" s="228">
        <v>606528</v>
      </c>
      <c r="AJ1055" s="228">
        <v>52</v>
      </c>
      <c r="AK1055" s="228">
        <v>606528</v>
      </c>
      <c r="AL1055" s="228">
        <v>52</v>
      </c>
      <c r="AM1055" s="228">
        <v>0</v>
      </c>
      <c r="AN1055" s="228">
        <v>0</v>
      </c>
      <c r="AO1055" s="229">
        <v>23</v>
      </c>
      <c r="AP1055" s="231">
        <v>6</v>
      </c>
      <c r="AQ1055" s="231">
        <v>2025</v>
      </c>
      <c r="AR1055" s="231" t="str">
        <f t="shared" si="145"/>
        <v>06/2025</v>
      </c>
      <c r="AS1055" s="231">
        <f t="shared" si="146"/>
        <v>30</v>
      </c>
      <c r="AT1055" s="239">
        <f>IF(G1055="CERVECERIA Y MALTERIA",(AS1055*AK1055/1000000)*(1-VLOOKUP(N1055,FCST!D:I,6,FALSE)),0)</f>
        <v>0</v>
      </c>
      <c r="AU1055" s="232">
        <v>5.0000000000000001E-3</v>
      </c>
      <c r="AV1055" s="239">
        <f t="shared" si="147"/>
        <v>0</v>
      </c>
      <c r="AW1055" s="239">
        <f>(AS1055*AK1055/1000000)*(VLOOKUP(N1055,FCST!D:I,6,FALSE))</f>
        <v>0</v>
      </c>
      <c r="AX1055" s="239">
        <f t="shared" si="148"/>
        <v>0</v>
      </c>
      <c r="AY1055" s="239">
        <f>IF($G1055="CERVECERIA Y MALTERIA.",($AS1055*$AK1055/1000000)*(1-VLOOKUP($N1055,FCST!D:I,6,FALSE)),0)</f>
        <v>18.19584</v>
      </c>
      <c r="AZ1055" s="239">
        <f t="shared" si="149"/>
        <v>18.2868192</v>
      </c>
    </row>
    <row r="1056" spans="1:52" x14ac:dyDescent="0.25">
      <c r="A1056" s="209">
        <v>1120433</v>
      </c>
      <c r="B1056" s="209">
        <v>40</v>
      </c>
      <c r="C1056" s="209" t="s">
        <v>2323</v>
      </c>
      <c r="D1056" s="209">
        <v>10</v>
      </c>
      <c r="E1056" s="209">
        <v>10000002</v>
      </c>
      <c r="F1056" s="209">
        <v>20000335</v>
      </c>
      <c r="G1056" s="209" t="s">
        <v>105</v>
      </c>
      <c r="H1056" s="209">
        <v>20000335</v>
      </c>
      <c r="I1056" s="209">
        <v>2</v>
      </c>
      <c r="J1056" s="209" t="s">
        <v>169</v>
      </c>
      <c r="K1056" s="209" t="s">
        <v>2324</v>
      </c>
      <c r="L1056" s="209" t="s">
        <v>171</v>
      </c>
      <c r="M1056" s="209" t="s">
        <v>172</v>
      </c>
      <c r="N1056" s="209">
        <v>50025345</v>
      </c>
      <c r="O1056" s="209" t="s">
        <v>1998</v>
      </c>
      <c r="P1056" s="209">
        <v>5121</v>
      </c>
      <c r="Q1056" s="209" t="s">
        <v>174</v>
      </c>
      <c r="R1056" s="209" t="s">
        <v>175</v>
      </c>
      <c r="S1056" s="209" t="s">
        <v>176</v>
      </c>
      <c r="T1056" s="209" t="s">
        <v>177</v>
      </c>
      <c r="U1056" s="209" t="s">
        <v>178</v>
      </c>
      <c r="V1056" s="209" t="s">
        <v>179</v>
      </c>
      <c r="W1056" s="209" t="s">
        <v>179</v>
      </c>
      <c r="X1056" s="209" t="s">
        <v>180</v>
      </c>
      <c r="Y1056" s="209" t="s">
        <v>180</v>
      </c>
      <c r="Z1056" s="209" t="s">
        <v>2259</v>
      </c>
      <c r="AA1056" s="209" t="s">
        <v>2260</v>
      </c>
      <c r="AB1056" s="209" t="s">
        <v>180</v>
      </c>
      <c r="AC1056" s="209" t="s">
        <v>182</v>
      </c>
      <c r="AD1056" s="209">
        <v>6</v>
      </c>
      <c r="AE1056" s="209">
        <v>2025</v>
      </c>
      <c r="AF1056" s="227">
        <v>45805</v>
      </c>
      <c r="AG1056" s="227">
        <v>45812</v>
      </c>
      <c r="AH1056" s="227">
        <v>45812</v>
      </c>
      <c r="AI1056" s="228">
        <v>426816</v>
      </c>
      <c r="AJ1056" s="228">
        <v>52</v>
      </c>
      <c r="AK1056" s="228">
        <v>426816</v>
      </c>
      <c r="AL1056" s="228">
        <v>52</v>
      </c>
      <c r="AM1056" s="228">
        <v>0</v>
      </c>
      <c r="AN1056" s="228">
        <v>0</v>
      </c>
      <c r="AO1056" s="229">
        <v>23</v>
      </c>
      <c r="AP1056" s="231">
        <v>6</v>
      </c>
      <c r="AQ1056" s="231">
        <v>2025</v>
      </c>
      <c r="AR1056" s="231" t="str">
        <f t="shared" si="145"/>
        <v>06/2025</v>
      </c>
      <c r="AS1056" s="231">
        <f t="shared" si="146"/>
        <v>46.6</v>
      </c>
      <c r="AT1056" s="239">
        <f>IF(G1056="CERVECERIA Y MALTERIA",(AS1056*AK1056/1000000)*(1-VLOOKUP(N1056,FCST!D:I,6,FALSE)),0)</f>
        <v>19.889625600000002</v>
      </c>
      <c r="AU1056" s="232">
        <v>5.0000000000000001E-3</v>
      </c>
      <c r="AV1056" s="239">
        <f t="shared" si="147"/>
        <v>19.989073728000001</v>
      </c>
      <c r="AW1056" s="239">
        <f>(AS1056*AK1056/1000000)*(VLOOKUP(N1056,FCST!D:I,6,FALSE))</f>
        <v>0</v>
      </c>
      <c r="AX1056" s="239">
        <f t="shared" si="148"/>
        <v>0</v>
      </c>
      <c r="AY1056" s="239">
        <f>IF($G1056="CERVECERIA Y MALTERIA.",($AS1056*$AK1056/1000000)*(1-VLOOKUP($N1056,FCST!D:I,6,FALSE)),0)</f>
        <v>0</v>
      </c>
      <c r="AZ1056" s="239">
        <f t="shared" si="149"/>
        <v>0</v>
      </c>
    </row>
    <row r="1057" spans="1:52" x14ac:dyDescent="0.25">
      <c r="A1057" s="209">
        <v>1120434</v>
      </c>
      <c r="B1057" s="209">
        <v>50</v>
      </c>
      <c r="C1057" s="209" t="s">
        <v>2325</v>
      </c>
      <c r="D1057" s="209">
        <v>10</v>
      </c>
      <c r="E1057" s="209">
        <v>10000002</v>
      </c>
      <c r="F1057" s="209">
        <v>20000340</v>
      </c>
      <c r="G1057" s="209" t="s">
        <v>117</v>
      </c>
      <c r="H1057" s="209">
        <v>20000340</v>
      </c>
      <c r="I1057" s="209">
        <v>2</v>
      </c>
      <c r="J1057" s="209" t="s">
        <v>169</v>
      </c>
      <c r="K1057" s="209" t="s">
        <v>2326</v>
      </c>
      <c r="L1057" s="209" t="s">
        <v>171</v>
      </c>
      <c r="M1057" s="209" t="s">
        <v>172</v>
      </c>
      <c r="N1057" s="209">
        <v>50038523</v>
      </c>
      <c r="O1057" s="209" t="s">
        <v>249</v>
      </c>
      <c r="P1057" s="209">
        <v>5101</v>
      </c>
      <c r="Q1057" s="209" t="s">
        <v>186</v>
      </c>
      <c r="R1057" s="209" t="s">
        <v>175</v>
      </c>
      <c r="S1057" s="209" t="s">
        <v>176</v>
      </c>
      <c r="T1057" s="209" t="s">
        <v>187</v>
      </c>
      <c r="U1057" s="209" t="s">
        <v>188</v>
      </c>
      <c r="V1057" s="209" t="s">
        <v>179</v>
      </c>
      <c r="W1057" s="209" t="s">
        <v>179</v>
      </c>
      <c r="X1057" s="209" t="s">
        <v>180</v>
      </c>
      <c r="Y1057" s="209" t="s">
        <v>180</v>
      </c>
      <c r="Z1057" s="209" t="s">
        <v>2293</v>
      </c>
      <c r="AA1057" s="209" t="s">
        <v>2294</v>
      </c>
      <c r="AB1057" s="209" t="s">
        <v>180</v>
      </c>
      <c r="AC1057" s="209" t="s">
        <v>182</v>
      </c>
      <c r="AD1057" s="209">
        <v>6</v>
      </c>
      <c r="AE1057" s="209">
        <v>2025</v>
      </c>
      <c r="AF1057" s="227">
        <v>45805</v>
      </c>
      <c r="AG1057" s="227">
        <v>45812</v>
      </c>
      <c r="AH1057" s="227">
        <v>45812</v>
      </c>
      <c r="AI1057" s="228">
        <v>606528</v>
      </c>
      <c r="AJ1057" s="228">
        <v>52</v>
      </c>
      <c r="AK1057" s="228">
        <v>606528</v>
      </c>
      <c r="AL1057" s="228">
        <v>52</v>
      </c>
      <c r="AM1057" s="228">
        <v>0</v>
      </c>
      <c r="AN1057" s="228">
        <v>0</v>
      </c>
      <c r="AO1057" s="229">
        <v>23</v>
      </c>
      <c r="AP1057" s="231">
        <v>6</v>
      </c>
      <c r="AQ1057" s="231">
        <v>2025</v>
      </c>
      <c r="AR1057" s="231" t="str">
        <f t="shared" si="145"/>
        <v>06/2025</v>
      </c>
      <c r="AS1057" s="231">
        <f t="shared" si="146"/>
        <v>30</v>
      </c>
      <c r="AT1057" s="239">
        <f>IF(G1057="CERVECERIA Y MALTERIA",(AS1057*AK1057/1000000)*(1-VLOOKUP(N1057,FCST!D:I,6,FALSE)),0)</f>
        <v>0</v>
      </c>
      <c r="AU1057" s="232">
        <v>5.0000000000000001E-3</v>
      </c>
      <c r="AV1057" s="239">
        <f t="shared" si="147"/>
        <v>0</v>
      </c>
      <c r="AW1057" s="239">
        <f>(AS1057*AK1057/1000000)*(VLOOKUP(N1057,FCST!D:I,6,FALSE))</f>
        <v>0</v>
      </c>
      <c r="AX1057" s="239">
        <f t="shared" si="148"/>
        <v>0</v>
      </c>
      <c r="AY1057" s="239">
        <f>IF($G1057="CERVECERIA Y MALTERIA.",($AS1057*$AK1057/1000000)*(1-VLOOKUP($N1057,FCST!D:I,6,FALSE)),0)</f>
        <v>18.19584</v>
      </c>
      <c r="AZ1057" s="239">
        <f t="shared" si="149"/>
        <v>18.2868192</v>
      </c>
    </row>
    <row r="1058" spans="1:52" x14ac:dyDescent="0.25">
      <c r="A1058" s="209">
        <v>1123689</v>
      </c>
      <c r="B1058" s="209">
        <v>40</v>
      </c>
      <c r="C1058" s="209" t="s">
        <v>2327</v>
      </c>
      <c r="D1058" s="209">
        <v>10</v>
      </c>
      <c r="E1058" s="209">
        <v>10000002</v>
      </c>
      <c r="F1058" s="209">
        <v>20000335</v>
      </c>
      <c r="G1058" s="209" t="s">
        <v>105</v>
      </c>
      <c r="H1058" s="209">
        <v>20000335</v>
      </c>
      <c r="I1058" s="209">
        <v>2</v>
      </c>
      <c r="J1058" s="209" t="s">
        <v>169</v>
      </c>
      <c r="K1058" s="209" t="s">
        <v>2328</v>
      </c>
      <c r="L1058" s="209" t="s">
        <v>171</v>
      </c>
      <c r="M1058" s="209" t="s">
        <v>172</v>
      </c>
      <c r="N1058" s="209">
        <v>50021818</v>
      </c>
      <c r="O1058" s="209" t="s">
        <v>2170</v>
      </c>
      <c r="P1058" s="209">
        <v>5121</v>
      </c>
      <c r="Q1058" s="209" t="s">
        <v>174</v>
      </c>
      <c r="R1058" s="209" t="s">
        <v>175</v>
      </c>
      <c r="S1058" s="209" t="s">
        <v>176</v>
      </c>
      <c r="T1058" s="209" t="s">
        <v>177</v>
      </c>
      <c r="U1058" s="209" t="s">
        <v>178</v>
      </c>
      <c r="V1058" s="209" t="s">
        <v>179</v>
      </c>
      <c r="W1058" s="209" t="s">
        <v>179</v>
      </c>
      <c r="X1058" s="209" t="s">
        <v>180</v>
      </c>
      <c r="Y1058" s="209" t="s">
        <v>180</v>
      </c>
      <c r="Z1058" s="209" t="s">
        <v>2196</v>
      </c>
      <c r="AA1058" s="209" t="s">
        <v>2197</v>
      </c>
      <c r="AB1058" s="209" t="s">
        <v>180</v>
      </c>
      <c r="AC1058" s="209" t="s">
        <v>182</v>
      </c>
      <c r="AD1058" s="209">
        <v>6</v>
      </c>
      <c r="AE1058" s="209">
        <v>2025</v>
      </c>
      <c r="AF1058" s="227">
        <v>45821</v>
      </c>
      <c r="AG1058" s="227">
        <v>45826</v>
      </c>
      <c r="AH1058" s="227">
        <v>45826</v>
      </c>
      <c r="AI1058" s="228">
        <v>426816</v>
      </c>
      <c r="AJ1058" s="228">
        <v>52</v>
      </c>
      <c r="AK1058" s="228">
        <v>426816</v>
      </c>
      <c r="AL1058" s="228">
        <v>52</v>
      </c>
      <c r="AM1058" s="228">
        <v>0</v>
      </c>
      <c r="AN1058" s="228">
        <v>0</v>
      </c>
      <c r="AO1058" s="229">
        <v>25</v>
      </c>
      <c r="AP1058" s="231">
        <v>6</v>
      </c>
      <c r="AQ1058" s="231">
        <v>2025</v>
      </c>
      <c r="AR1058" s="231" t="str">
        <f t="shared" si="145"/>
        <v>06/2025</v>
      </c>
      <c r="AS1058" s="231">
        <f t="shared" si="146"/>
        <v>46.6</v>
      </c>
      <c r="AT1058" s="239">
        <f>IF(G1058="CERVECERIA Y MALTERIA",(AS1058*AK1058/1000000)*(1-VLOOKUP(N1058,FCST!D:I,6,FALSE)),0)</f>
        <v>19.889625600000002</v>
      </c>
      <c r="AU1058" s="232">
        <v>5.0000000000000001E-3</v>
      </c>
      <c r="AV1058" s="239">
        <f t="shared" si="147"/>
        <v>19.989073728000001</v>
      </c>
      <c r="AW1058" s="239">
        <f>(AS1058*AK1058/1000000)*(VLOOKUP(N1058,FCST!D:I,6,FALSE))</f>
        <v>0</v>
      </c>
      <c r="AX1058" s="239">
        <f t="shared" si="148"/>
        <v>0</v>
      </c>
      <c r="AY1058" s="239">
        <f>IF($G1058="CERVECERIA Y MALTERIA.",($AS1058*$AK1058/1000000)*(1-VLOOKUP($N1058,FCST!D:I,6,FALSE)),0)</f>
        <v>0</v>
      </c>
      <c r="AZ1058" s="239">
        <f t="shared" si="149"/>
        <v>0</v>
      </c>
    </row>
    <row r="1059" spans="1:52" x14ac:dyDescent="0.25">
      <c r="A1059" s="209">
        <v>1123689</v>
      </c>
      <c r="B1059" s="209">
        <v>30</v>
      </c>
      <c r="C1059" s="209" t="s">
        <v>2329</v>
      </c>
      <c r="D1059" s="209">
        <v>10</v>
      </c>
      <c r="E1059" s="209">
        <v>10000002</v>
      </c>
      <c r="F1059" s="209">
        <v>20000335</v>
      </c>
      <c r="G1059" s="209" t="s">
        <v>105</v>
      </c>
      <c r="H1059" s="209">
        <v>20000335</v>
      </c>
      <c r="I1059" s="209">
        <v>2</v>
      </c>
      <c r="J1059" s="209" t="s">
        <v>169</v>
      </c>
      <c r="K1059" s="209" t="s">
        <v>2330</v>
      </c>
      <c r="L1059" s="209" t="s">
        <v>171</v>
      </c>
      <c r="M1059" s="209" t="s">
        <v>172</v>
      </c>
      <c r="N1059" s="209">
        <v>50021818</v>
      </c>
      <c r="O1059" s="209" t="s">
        <v>2170</v>
      </c>
      <c r="P1059" s="209">
        <v>5121</v>
      </c>
      <c r="Q1059" s="209" t="s">
        <v>174</v>
      </c>
      <c r="R1059" s="209" t="s">
        <v>175</v>
      </c>
      <c r="S1059" s="209" t="s">
        <v>176</v>
      </c>
      <c r="T1059" s="209" t="s">
        <v>177</v>
      </c>
      <c r="U1059" s="209" t="s">
        <v>178</v>
      </c>
      <c r="V1059" s="209" t="s">
        <v>179</v>
      </c>
      <c r="W1059" s="209" t="s">
        <v>179</v>
      </c>
      <c r="X1059" s="209" t="s">
        <v>180</v>
      </c>
      <c r="Y1059" s="209" t="s">
        <v>180</v>
      </c>
      <c r="Z1059" s="209" t="s">
        <v>2196</v>
      </c>
      <c r="AA1059" s="209" t="s">
        <v>2197</v>
      </c>
      <c r="AB1059" s="209" t="s">
        <v>180</v>
      </c>
      <c r="AC1059" s="209" t="s">
        <v>182</v>
      </c>
      <c r="AD1059" s="209">
        <v>6</v>
      </c>
      <c r="AE1059" s="209">
        <v>2025</v>
      </c>
      <c r="AF1059" s="227">
        <v>45821</v>
      </c>
      <c r="AG1059" s="227">
        <v>45826</v>
      </c>
      <c r="AH1059" s="227">
        <v>45826</v>
      </c>
      <c r="AI1059" s="228">
        <v>426816</v>
      </c>
      <c r="AJ1059" s="228">
        <v>52</v>
      </c>
      <c r="AK1059" s="228">
        <v>426816</v>
      </c>
      <c r="AL1059" s="228">
        <v>52</v>
      </c>
      <c r="AM1059" s="228">
        <v>0</v>
      </c>
      <c r="AN1059" s="228">
        <v>0</v>
      </c>
      <c r="AO1059" s="229">
        <v>25</v>
      </c>
      <c r="AP1059" s="231">
        <v>6</v>
      </c>
      <c r="AQ1059" s="231">
        <v>2025</v>
      </c>
      <c r="AR1059" s="231" t="str">
        <f t="shared" si="145"/>
        <v>06/2025</v>
      </c>
      <c r="AS1059" s="231">
        <f t="shared" si="146"/>
        <v>46.6</v>
      </c>
      <c r="AT1059" s="239">
        <f>IF(G1059="CERVECERIA Y MALTERIA",(AS1059*AK1059/1000000)*(1-VLOOKUP(N1059,FCST!D:I,6,FALSE)),0)</f>
        <v>19.889625600000002</v>
      </c>
      <c r="AU1059" s="232">
        <v>5.0000000000000001E-3</v>
      </c>
      <c r="AV1059" s="239">
        <f t="shared" si="147"/>
        <v>19.989073728000001</v>
      </c>
      <c r="AW1059" s="239">
        <f>(AS1059*AK1059/1000000)*(VLOOKUP(N1059,FCST!D:I,6,FALSE))</f>
        <v>0</v>
      </c>
      <c r="AX1059" s="239">
        <f t="shared" si="148"/>
        <v>0</v>
      </c>
      <c r="AY1059" s="239">
        <f>IF($G1059="CERVECERIA Y MALTERIA.",($AS1059*$AK1059/1000000)*(1-VLOOKUP($N1059,FCST!D:I,6,FALSE)),0)</f>
        <v>0</v>
      </c>
      <c r="AZ1059" s="239">
        <f t="shared" si="149"/>
        <v>0</v>
      </c>
    </row>
    <row r="1060" spans="1:52" x14ac:dyDescent="0.25">
      <c r="A1060" s="209">
        <v>1121417</v>
      </c>
      <c r="B1060" s="209">
        <v>60</v>
      </c>
      <c r="C1060" s="209" t="s">
        <v>2331</v>
      </c>
      <c r="D1060" s="209">
        <v>10</v>
      </c>
      <c r="E1060" s="209">
        <v>10000002</v>
      </c>
      <c r="F1060" s="209">
        <v>20000337</v>
      </c>
      <c r="G1060" s="209" t="s">
        <v>105</v>
      </c>
      <c r="H1060" s="209">
        <v>20000337</v>
      </c>
      <c r="I1060" s="209">
        <v>2</v>
      </c>
      <c r="J1060" s="209" t="s">
        <v>169</v>
      </c>
      <c r="K1060" s="209" t="s">
        <v>2332</v>
      </c>
      <c r="L1060" s="209" t="s">
        <v>171</v>
      </c>
      <c r="M1060" s="209" t="s">
        <v>184</v>
      </c>
      <c r="N1060" s="209">
        <v>50039302</v>
      </c>
      <c r="O1060" s="209" t="s">
        <v>1942</v>
      </c>
      <c r="P1060" s="209">
        <v>5121</v>
      </c>
      <c r="Q1060" s="209" t="s">
        <v>174</v>
      </c>
      <c r="R1060" s="209" t="s">
        <v>175</v>
      </c>
      <c r="S1060" s="209" t="s">
        <v>176</v>
      </c>
      <c r="T1060" s="209" t="s">
        <v>177</v>
      </c>
      <c r="U1060" s="209" t="s">
        <v>178</v>
      </c>
      <c r="V1060" s="209" t="s">
        <v>179</v>
      </c>
      <c r="W1060" s="209" t="s">
        <v>179</v>
      </c>
      <c r="X1060" s="209" t="s">
        <v>180</v>
      </c>
      <c r="Y1060" s="209" t="s">
        <v>180</v>
      </c>
      <c r="Z1060" s="209" t="s">
        <v>2287</v>
      </c>
      <c r="AA1060" s="209" t="s">
        <v>2288</v>
      </c>
      <c r="AB1060" s="209" t="s">
        <v>180</v>
      </c>
      <c r="AC1060" s="209" t="s">
        <v>182</v>
      </c>
      <c r="AD1060" s="209">
        <v>6</v>
      </c>
      <c r="AE1060" s="209">
        <v>2025</v>
      </c>
      <c r="AF1060" s="227">
        <v>45810</v>
      </c>
      <c r="AG1060" s="227">
        <v>45822</v>
      </c>
      <c r="AH1060" s="227">
        <v>45822</v>
      </c>
      <c r="AI1060" s="228">
        <v>399360</v>
      </c>
      <c r="AJ1060" s="228">
        <v>52</v>
      </c>
      <c r="AK1060" s="228">
        <v>399360</v>
      </c>
      <c r="AL1060" s="228">
        <v>52</v>
      </c>
      <c r="AM1060" s="228">
        <v>0</v>
      </c>
      <c r="AN1060" s="228">
        <v>0</v>
      </c>
      <c r="AO1060" s="229">
        <v>23</v>
      </c>
      <c r="AP1060" s="231">
        <v>6</v>
      </c>
      <c r="AQ1060" s="231">
        <v>2025</v>
      </c>
      <c r="AR1060" s="231" t="str">
        <f t="shared" si="145"/>
        <v>06/2025</v>
      </c>
      <c r="AS1060" s="231">
        <f t="shared" si="146"/>
        <v>46.6</v>
      </c>
      <c r="AT1060" s="239">
        <f>IF(G1060="CERVECERIA Y MALTERIA",(AS1060*AK1060/1000000)*(1-VLOOKUP(N1060,FCST!D:I,6,FALSE)),0)</f>
        <v>18.610175999999999</v>
      </c>
      <c r="AU1060" s="232">
        <v>5.0000000000000001E-3</v>
      </c>
      <c r="AV1060" s="239">
        <f t="shared" si="147"/>
        <v>18.703226879999995</v>
      </c>
      <c r="AW1060" s="239">
        <f>(AS1060*AK1060/1000000)*(VLOOKUP(N1060,FCST!D:I,6,FALSE))</f>
        <v>0</v>
      </c>
      <c r="AX1060" s="239">
        <f t="shared" si="148"/>
        <v>0</v>
      </c>
      <c r="AY1060" s="239">
        <f>IF($G1060="CERVECERIA Y MALTERIA.",($AS1060*$AK1060/1000000)*(1-VLOOKUP($N1060,FCST!D:I,6,FALSE)),0)</f>
        <v>0</v>
      </c>
      <c r="AZ1060" s="239">
        <f t="shared" si="149"/>
        <v>0</v>
      </c>
    </row>
    <row r="1061" spans="1:52" x14ac:dyDescent="0.25">
      <c r="A1061" s="209">
        <v>1123689</v>
      </c>
      <c r="B1061" s="209">
        <v>10</v>
      </c>
      <c r="C1061" s="209" t="s">
        <v>2333</v>
      </c>
      <c r="D1061" s="209">
        <v>10</v>
      </c>
      <c r="E1061" s="209">
        <v>10000002</v>
      </c>
      <c r="F1061" s="209">
        <v>20000335</v>
      </c>
      <c r="G1061" s="209" t="s">
        <v>105</v>
      </c>
      <c r="H1061" s="209">
        <v>20000335</v>
      </c>
      <c r="I1061" s="209">
        <v>2</v>
      </c>
      <c r="J1061" s="209" t="s">
        <v>169</v>
      </c>
      <c r="K1061" s="209" t="s">
        <v>2334</v>
      </c>
      <c r="L1061" s="209" t="s">
        <v>171</v>
      </c>
      <c r="M1061" s="209" t="s">
        <v>172</v>
      </c>
      <c r="N1061" s="209">
        <v>50035184</v>
      </c>
      <c r="O1061" s="209" t="s">
        <v>672</v>
      </c>
      <c r="P1061" s="209">
        <v>5121</v>
      </c>
      <c r="Q1061" s="209" t="s">
        <v>174</v>
      </c>
      <c r="R1061" s="209" t="s">
        <v>175</v>
      </c>
      <c r="S1061" s="209" t="s">
        <v>176</v>
      </c>
      <c r="T1061" s="209" t="s">
        <v>177</v>
      </c>
      <c r="U1061" s="209" t="s">
        <v>178</v>
      </c>
      <c r="V1061" s="209" t="s">
        <v>179</v>
      </c>
      <c r="W1061" s="209" t="s">
        <v>179</v>
      </c>
      <c r="X1061" s="209" t="s">
        <v>180</v>
      </c>
      <c r="Y1061" s="209" t="s">
        <v>180</v>
      </c>
      <c r="Z1061" s="209" t="s">
        <v>2335</v>
      </c>
      <c r="AA1061" s="209" t="s">
        <v>2336</v>
      </c>
      <c r="AB1061" s="209" t="s">
        <v>180</v>
      </c>
      <c r="AC1061" s="209" t="s">
        <v>182</v>
      </c>
      <c r="AD1061" s="209">
        <v>6</v>
      </c>
      <c r="AE1061" s="209">
        <v>2025</v>
      </c>
      <c r="AF1061" s="227">
        <v>45821</v>
      </c>
      <c r="AG1061" s="227">
        <v>45825</v>
      </c>
      <c r="AH1061" s="227">
        <v>45825</v>
      </c>
      <c r="AI1061" s="228">
        <v>977184</v>
      </c>
      <c r="AJ1061" s="228">
        <v>52</v>
      </c>
      <c r="AK1061" s="228">
        <v>977184</v>
      </c>
      <c r="AL1061" s="228">
        <v>52</v>
      </c>
      <c r="AM1061" s="228">
        <v>0</v>
      </c>
      <c r="AN1061" s="228">
        <v>0</v>
      </c>
      <c r="AO1061" s="229">
        <v>25</v>
      </c>
      <c r="AP1061" s="231">
        <v>6</v>
      </c>
      <c r="AQ1061" s="231">
        <v>2025</v>
      </c>
      <c r="AR1061" s="231" t="str">
        <f t="shared" si="145"/>
        <v>06/2025</v>
      </c>
      <c r="AS1061" s="231">
        <f t="shared" si="146"/>
        <v>19.5</v>
      </c>
      <c r="AT1061" s="239">
        <f>IF(G1061="CERVECERIA Y MALTERIA",(AS1061*AK1061/1000000)*(1-VLOOKUP(N1061,FCST!D:I,6,FALSE)),0)</f>
        <v>19.055088000000001</v>
      </c>
      <c r="AU1061" s="232">
        <v>5.0000000000000001E-3</v>
      </c>
      <c r="AV1061" s="239">
        <f t="shared" si="147"/>
        <v>19.15036344</v>
      </c>
      <c r="AW1061" s="239">
        <f>(AS1061*AK1061/1000000)*(VLOOKUP(N1061,FCST!D:I,6,FALSE))</f>
        <v>0</v>
      </c>
      <c r="AX1061" s="239">
        <f t="shared" si="148"/>
        <v>0</v>
      </c>
      <c r="AY1061" s="239">
        <f>IF($G1061="CERVECERIA Y MALTERIA.",($AS1061*$AK1061/1000000)*(1-VLOOKUP($N1061,FCST!D:I,6,FALSE)),0)</f>
        <v>0</v>
      </c>
      <c r="AZ1061" s="239">
        <f t="shared" si="149"/>
        <v>0</v>
      </c>
    </row>
    <row r="1062" spans="1:52" x14ac:dyDescent="0.25">
      <c r="A1062" s="209">
        <v>1123690</v>
      </c>
      <c r="B1062" s="209">
        <v>10</v>
      </c>
      <c r="C1062" s="209" t="s">
        <v>2337</v>
      </c>
      <c r="D1062" s="209">
        <v>10</v>
      </c>
      <c r="E1062" s="209">
        <v>10000002</v>
      </c>
      <c r="F1062" s="209">
        <v>20000340</v>
      </c>
      <c r="G1062" s="209" t="s">
        <v>117</v>
      </c>
      <c r="H1062" s="209">
        <v>20000340</v>
      </c>
      <c r="I1062" s="209">
        <v>2</v>
      </c>
      <c r="J1062" s="209" t="s">
        <v>169</v>
      </c>
      <c r="K1062" s="209" t="s">
        <v>2338</v>
      </c>
      <c r="L1062" s="209" t="s">
        <v>171</v>
      </c>
      <c r="M1062" s="209" t="s">
        <v>172</v>
      </c>
      <c r="N1062" s="209">
        <v>50039509</v>
      </c>
      <c r="O1062" s="209" t="s">
        <v>2054</v>
      </c>
      <c r="P1062" s="209">
        <v>5101</v>
      </c>
      <c r="Q1062" s="209" t="s">
        <v>186</v>
      </c>
      <c r="R1062" s="209" t="s">
        <v>175</v>
      </c>
      <c r="S1062" s="209" t="s">
        <v>176</v>
      </c>
      <c r="T1062" s="209" t="s">
        <v>187</v>
      </c>
      <c r="U1062" s="209" t="s">
        <v>188</v>
      </c>
      <c r="V1062" s="209" t="s">
        <v>179</v>
      </c>
      <c r="W1062" s="209" t="s">
        <v>179</v>
      </c>
      <c r="X1062" s="209" t="s">
        <v>180</v>
      </c>
      <c r="Y1062" s="209" t="s">
        <v>180</v>
      </c>
      <c r="Z1062" s="209" t="s">
        <v>2187</v>
      </c>
      <c r="AA1062" s="209" t="s">
        <v>2188</v>
      </c>
      <c r="AB1062" s="209" t="s">
        <v>180</v>
      </c>
      <c r="AC1062" s="209" t="s">
        <v>182</v>
      </c>
      <c r="AD1062" s="209">
        <v>6</v>
      </c>
      <c r="AE1062" s="209">
        <v>2025</v>
      </c>
      <c r="AF1062" s="227">
        <v>45821</v>
      </c>
      <c r="AG1062" s="227">
        <v>45825</v>
      </c>
      <c r="AH1062" s="227">
        <v>45825</v>
      </c>
      <c r="AI1062" s="228">
        <v>519168</v>
      </c>
      <c r="AJ1062" s="228">
        <v>52</v>
      </c>
      <c r="AK1062" s="228">
        <v>519168</v>
      </c>
      <c r="AL1062" s="228">
        <v>52</v>
      </c>
      <c r="AM1062" s="228">
        <v>0</v>
      </c>
      <c r="AN1062" s="228">
        <v>0</v>
      </c>
      <c r="AO1062" s="229">
        <v>25</v>
      </c>
      <c r="AP1062" s="231">
        <v>6</v>
      </c>
      <c r="AQ1062" s="231">
        <v>2025</v>
      </c>
      <c r="AR1062" s="231" t="str">
        <f t="shared" si="145"/>
        <v>06/2025</v>
      </c>
      <c r="AS1062" s="231">
        <f t="shared" si="146"/>
        <v>34</v>
      </c>
      <c r="AT1062" s="239">
        <f>IF(G1062="CERVECERIA Y MALTERIA",(AS1062*AK1062/1000000)*(1-VLOOKUP(N1062,FCST!D:I,6,FALSE)),0)</f>
        <v>0</v>
      </c>
      <c r="AU1062" s="232">
        <v>5.0000000000000001E-3</v>
      </c>
      <c r="AV1062" s="239">
        <f t="shared" si="147"/>
        <v>0</v>
      </c>
      <c r="AW1062" s="239">
        <f>(AS1062*AK1062/1000000)*(VLOOKUP(N1062,FCST!D:I,6,FALSE))</f>
        <v>0</v>
      </c>
      <c r="AX1062" s="239">
        <f t="shared" si="148"/>
        <v>0</v>
      </c>
      <c r="AY1062" s="239">
        <f>IF($G1062="CERVECERIA Y MALTERIA.",($AS1062*$AK1062/1000000)*(1-VLOOKUP($N1062,FCST!D:I,6,FALSE)),0)</f>
        <v>17.651712</v>
      </c>
      <c r="AZ1062" s="239">
        <f t="shared" si="149"/>
        <v>17.73997056</v>
      </c>
    </row>
    <row r="1063" spans="1:52" x14ac:dyDescent="0.25">
      <c r="A1063" s="209">
        <v>1123689</v>
      </c>
      <c r="B1063" s="209">
        <v>20</v>
      </c>
      <c r="C1063" s="209" t="s">
        <v>2339</v>
      </c>
      <c r="D1063" s="209">
        <v>10</v>
      </c>
      <c r="E1063" s="209">
        <v>10000002</v>
      </c>
      <c r="F1063" s="209">
        <v>20000335</v>
      </c>
      <c r="G1063" s="209" t="s">
        <v>105</v>
      </c>
      <c r="H1063" s="209">
        <v>20000335</v>
      </c>
      <c r="I1063" s="209">
        <v>2</v>
      </c>
      <c r="J1063" s="209" t="s">
        <v>169</v>
      </c>
      <c r="K1063" s="209" t="s">
        <v>2340</v>
      </c>
      <c r="L1063" s="209" t="s">
        <v>171</v>
      </c>
      <c r="M1063" s="209" t="s">
        <v>172</v>
      </c>
      <c r="N1063" s="209">
        <v>50021818</v>
      </c>
      <c r="O1063" s="209" t="s">
        <v>2170</v>
      </c>
      <c r="P1063" s="209">
        <v>5121</v>
      </c>
      <c r="Q1063" s="209" t="s">
        <v>174</v>
      </c>
      <c r="R1063" s="209" t="s">
        <v>175</v>
      </c>
      <c r="S1063" s="209" t="s">
        <v>176</v>
      </c>
      <c r="T1063" s="209" t="s">
        <v>177</v>
      </c>
      <c r="U1063" s="209" t="s">
        <v>178</v>
      </c>
      <c r="V1063" s="209" t="s">
        <v>179</v>
      </c>
      <c r="W1063" s="209" t="s">
        <v>179</v>
      </c>
      <c r="X1063" s="209" t="s">
        <v>180</v>
      </c>
      <c r="Y1063" s="209" t="s">
        <v>180</v>
      </c>
      <c r="Z1063" s="209" t="s">
        <v>2196</v>
      </c>
      <c r="AA1063" s="209" t="s">
        <v>2197</v>
      </c>
      <c r="AB1063" s="209" t="s">
        <v>180</v>
      </c>
      <c r="AC1063" s="209" t="s">
        <v>182</v>
      </c>
      <c r="AD1063" s="209">
        <v>6</v>
      </c>
      <c r="AE1063" s="209">
        <v>2025</v>
      </c>
      <c r="AF1063" s="227">
        <v>45821</v>
      </c>
      <c r="AG1063" s="227">
        <v>45825</v>
      </c>
      <c r="AH1063" s="227">
        <v>45825</v>
      </c>
      <c r="AI1063" s="228">
        <v>426816</v>
      </c>
      <c r="AJ1063" s="228">
        <v>52</v>
      </c>
      <c r="AK1063" s="228">
        <v>426816</v>
      </c>
      <c r="AL1063" s="228">
        <v>52</v>
      </c>
      <c r="AM1063" s="228">
        <v>0</v>
      </c>
      <c r="AN1063" s="228">
        <v>0</v>
      </c>
      <c r="AO1063" s="229">
        <v>25</v>
      </c>
      <c r="AP1063" s="231">
        <v>6</v>
      </c>
      <c r="AQ1063" s="231">
        <v>2025</v>
      </c>
      <c r="AR1063" s="231" t="str">
        <f t="shared" si="145"/>
        <v>06/2025</v>
      </c>
      <c r="AS1063" s="231">
        <f t="shared" si="146"/>
        <v>46.6</v>
      </c>
      <c r="AT1063" s="239">
        <f>IF(G1063="CERVECERIA Y MALTERIA",(AS1063*AK1063/1000000)*(1-VLOOKUP(N1063,FCST!D:I,6,FALSE)),0)</f>
        <v>19.889625600000002</v>
      </c>
      <c r="AU1063" s="232">
        <v>5.0000000000000001E-3</v>
      </c>
      <c r="AV1063" s="239">
        <f t="shared" si="147"/>
        <v>19.989073728000001</v>
      </c>
      <c r="AW1063" s="239">
        <f>(AS1063*AK1063/1000000)*(VLOOKUP(N1063,FCST!D:I,6,FALSE))</f>
        <v>0</v>
      </c>
      <c r="AX1063" s="239">
        <f t="shared" si="148"/>
        <v>0</v>
      </c>
      <c r="AY1063" s="239">
        <f>IF($G1063="CERVECERIA Y MALTERIA.",($AS1063*$AK1063/1000000)*(1-VLOOKUP($N1063,FCST!D:I,6,FALSE)),0)</f>
        <v>0</v>
      </c>
      <c r="AZ1063" s="239">
        <f t="shared" si="149"/>
        <v>0</v>
      </c>
    </row>
    <row r="1064" spans="1:52" x14ac:dyDescent="0.25">
      <c r="A1064" s="209">
        <v>1121143</v>
      </c>
      <c r="B1064" s="209">
        <v>40</v>
      </c>
      <c r="C1064" s="209" t="s">
        <v>2341</v>
      </c>
      <c r="D1064" s="209">
        <v>10</v>
      </c>
      <c r="E1064" s="209">
        <v>10000002</v>
      </c>
      <c r="F1064" s="209">
        <v>20000336</v>
      </c>
      <c r="G1064" s="209" t="s">
        <v>105</v>
      </c>
      <c r="H1064" s="209">
        <v>20000336</v>
      </c>
      <c r="I1064" s="209">
        <v>2</v>
      </c>
      <c r="J1064" s="209" t="s">
        <v>169</v>
      </c>
      <c r="K1064" s="209" t="s">
        <v>2342</v>
      </c>
      <c r="L1064" s="209" t="s">
        <v>171</v>
      </c>
      <c r="M1064" s="209" t="s">
        <v>172</v>
      </c>
      <c r="N1064" s="209">
        <v>50035183</v>
      </c>
      <c r="O1064" s="209" t="s">
        <v>215</v>
      </c>
      <c r="P1064" s="209">
        <v>5121</v>
      </c>
      <c r="Q1064" s="209" t="s">
        <v>174</v>
      </c>
      <c r="R1064" s="209" t="s">
        <v>175</v>
      </c>
      <c r="S1064" s="209" t="s">
        <v>176</v>
      </c>
      <c r="T1064" s="209" t="s">
        <v>177</v>
      </c>
      <c r="U1064" s="209" t="s">
        <v>178</v>
      </c>
      <c r="V1064" s="209" t="s">
        <v>179</v>
      </c>
      <c r="W1064" s="209" t="s">
        <v>179</v>
      </c>
      <c r="X1064" s="209" t="s">
        <v>180</v>
      </c>
      <c r="Y1064" s="209" t="s">
        <v>180</v>
      </c>
      <c r="Z1064" s="209" t="s">
        <v>2343</v>
      </c>
      <c r="AA1064" s="209" t="s">
        <v>2344</v>
      </c>
      <c r="AB1064" s="209" t="s">
        <v>180</v>
      </c>
      <c r="AC1064" s="209" t="s">
        <v>182</v>
      </c>
      <c r="AD1064" s="209">
        <v>6</v>
      </c>
      <c r="AE1064" s="209">
        <v>2025</v>
      </c>
      <c r="AF1064" s="227">
        <v>45807</v>
      </c>
      <c r="AG1064" s="227">
        <v>45825</v>
      </c>
      <c r="AH1064" s="227">
        <v>45825</v>
      </c>
      <c r="AI1064" s="228">
        <v>377568</v>
      </c>
      <c r="AJ1064" s="228">
        <v>46</v>
      </c>
      <c r="AK1064" s="228">
        <v>377568</v>
      </c>
      <c r="AL1064" s="228">
        <v>46</v>
      </c>
      <c r="AM1064" s="228">
        <v>0</v>
      </c>
      <c r="AN1064" s="228">
        <v>0</v>
      </c>
      <c r="AO1064" s="229">
        <v>23</v>
      </c>
      <c r="AP1064" s="231">
        <v>6</v>
      </c>
      <c r="AQ1064" s="231">
        <v>2025</v>
      </c>
      <c r="AR1064" s="231" t="str">
        <f t="shared" si="145"/>
        <v>06/2025</v>
      </c>
      <c r="AS1064" s="231">
        <f t="shared" si="146"/>
        <v>46.6</v>
      </c>
      <c r="AT1064" s="239">
        <f>IF(G1064="CERVECERIA Y MALTERIA",(AS1064*AK1064/1000000)*(1-VLOOKUP(N1064,FCST!D:I,6,FALSE)),0)</f>
        <v>17.594668800000001</v>
      </c>
      <c r="AU1064" s="232">
        <v>5.0000000000000001E-3</v>
      </c>
      <c r="AV1064" s="239">
        <f t="shared" si="147"/>
        <v>17.682642143999999</v>
      </c>
      <c r="AW1064" s="239">
        <f>(AS1064*AK1064/1000000)*(VLOOKUP(N1064,FCST!D:I,6,FALSE))</f>
        <v>0</v>
      </c>
      <c r="AX1064" s="239">
        <f t="shared" si="148"/>
        <v>0</v>
      </c>
      <c r="AY1064" s="239">
        <f>IF($G1064="CERVECERIA Y MALTERIA.",($AS1064*$AK1064/1000000)*(1-VLOOKUP($N1064,FCST!D:I,6,FALSE)),0)</f>
        <v>0</v>
      </c>
      <c r="AZ1064" s="239">
        <f t="shared" si="149"/>
        <v>0</v>
      </c>
    </row>
    <row r="1065" spans="1:52" x14ac:dyDescent="0.25">
      <c r="A1065" s="209">
        <v>1124126</v>
      </c>
      <c r="B1065" s="209">
        <v>10</v>
      </c>
      <c r="C1065" s="209" t="s">
        <v>2345</v>
      </c>
      <c r="D1065" s="209">
        <v>10</v>
      </c>
      <c r="E1065" s="209">
        <v>10000002</v>
      </c>
      <c r="F1065" s="209">
        <v>20000337</v>
      </c>
      <c r="G1065" s="209" t="s">
        <v>105</v>
      </c>
      <c r="H1065" s="209">
        <v>20000337</v>
      </c>
      <c r="I1065" s="209">
        <v>2</v>
      </c>
      <c r="J1065" s="209" t="s">
        <v>169</v>
      </c>
      <c r="K1065" s="209" t="s">
        <v>2346</v>
      </c>
      <c r="L1065" s="209" t="s">
        <v>246</v>
      </c>
      <c r="M1065" s="209" t="s">
        <v>172</v>
      </c>
      <c r="N1065" s="209">
        <v>50025345</v>
      </c>
      <c r="O1065" s="209" t="s">
        <v>1998</v>
      </c>
      <c r="P1065" s="209">
        <v>5121</v>
      </c>
      <c r="Q1065" s="209" t="s">
        <v>174</v>
      </c>
      <c r="R1065" s="209" t="s">
        <v>175</v>
      </c>
      <c r="S1065" s="209" t="s">
        <v>176</v>
      </c>
      <c r="T1065" s="209" t="s">
        <v>177</v>
      </c>
      <c r="U1065" s="209" t="s">
        <v>178</v>
      </c>
      <c r="V1065" s="209" t="s">
        <v>179</v>
      </c>
      <c r="W1065" s="209" t="s">
        <v>179</v>
      </c>
      <c r="X1065" s="209" t="s">
        <v>180</v>
      </c>
      <c r="Y1065" s="209" t="s">
        <v>180</v>
      </c>
      <c r="Z1065" s="209" t="s">
        <v>2347</v>
      </c>
      <c r="AA1065" s="209" t="s">
        <v>2348</v>
      </c>
      <c r="AB1065" s="209" t="s">
        <v>180</v>
      </c>
      <c r="AC1065" s="209" t="s">
        <v>182</v>
      </c>
      <c r="AD1065" s="209">
        <v>6</v>
      </c>
      <c r="AE1065" s="209">
        <v>2025</v>
      </c>
      <c r="AF1065" s="227">
        <v>45825</v>
      </c>
      <c r="AG1065" s="227">
        <v>45825</v>
      </c>
      <c r="AH1065" s="227">
        <v>45825</v>
      </c>
      <c r="AI1065" s="228">
        <v>426816</v>
      </c>
      <c r="AJ1065" s="228">
        <v>52</v>
      </c>
      <c r="AK1065" s="228">
        <v>426816</v>
      </c>
      <c r="AL1065" s="228">
        <v>52</v>
      </c>
      <c r="AM1065" s="228">
        <v>0</v>
      </c>
      <c r="AN1065" s="228">
        <v>0</v>
      </c>
      <c r="AO1065" s="229">
        <v>25</v>
      </c>
      <c r="AP1065" s="231">
        <v>6</v>
      </c>
      <c r="AQ1065" s="231">
        <v>2025</v>
      </c>
      <c r="AR1065" s="231" t="str">
        <f t="shared" si="145"/>
        <v>06/2025</v>
      </c>
      <c r="AS1065" s="231">
        <f t="shared" si="146"/>
        <v>46.6</v>
      </c>
      <c r="AT1065" s="239">
        <f>IF(G1065="CERVECERIA Y MALTERIA",(AS1065*AK1065/1000000)*(1-VLOOKUP(N1065,FCST!D:I,6,FALSE)),0)</f>
        <v>19.889625600000002</v>
      </c>
      <c r="AU1065" s="232">
        <v>5.0000000000000001E-3</v>
      </c>
      <c r="AV1065" s="239">
        <f t="shared" si="147"/>
        <v>19.989073728000001</v>
      </c>
      <c r="AW1065" s="239">
        <f>(AS1065*AK1065/1000000)*(VLOOKUP(N1065,FCST!D:I,6,FALSE))</f>
        <v>0</v>
      </c>
      <c r="AX1065" s="239">
        <f t="shared" si="148"/>
        <v>0</v>
      </c>
      <c r="AY1065" s="239">
        <f>IF($G1065="CERVECERIA Y MALTERIA.",($AS1065*$AK1065/1000000)*(1-VLOOKUP($N1065,FCST!D:I,6,FALSE)),0)</f>
        <v>0</v>
      </c>
      <c r="AZ1065" s="239">
        <f t="shared" si="149"/>
        <v>0</v>
      </c>
    </row>
    <row r="1066" spans="1:52" x14ac:dyDescent="0.25">
      <c r="A1066" s="209">
        <v>1124131</v>
      </c>
      <c r="B1066" s="209">
        <v>10</v>
      </c>
      <c r="C1066" s="209" t="s">
        <v>2349</v>
      </c>
      <c r="D1066" s="209">
        <v>10</v>
      </c>
      <c r="E1066" s="209">
        <v>10000002</v>
      </c>
      <c r="F1066" s="209">
        <v>20001057</v>
      </c>
      <c r="G1066" s="209" t="s">
        <v>105</v>
      </c>
      <c r="H1066" s="209">
        <v>20001057</v>
      </c>
      <c r="I1066" s="209">
        <v>2</v>
      </c>
      <c r="J1066" s="209" t="s">
        <v>169</v>
      </c>
      <c r="K1066" s="209" t="s">
        <v>2350</v>
      </c>
      <c r="L1066" s="209" t="s">
        <v>246</v>
      </c>
      <c r="M1066" s="209" t="s">
        <v>172</v>
      </c>
      <c r="N1066" s="209">
        <v>50024497</v>
      </c>
      <c r="O1066" s="209" t="s">
        <v>1352</v>
      </c>
      <c r="P1066" s="209">
        <v>5121</v>
      </c>
      <c r="Q1066" s="209" t="s">
        <v>174</v>
      </c>
      <c r="R1066" s="209" t="s">
        <v>175</v>
      </c>
      <c r="S1066" s="209" t="s">
        <v>176</v>
      </c>
      <c r="T1066" s="209" t="s">
        <v>177</v>
      </c>
      <c r="U1066" s="209" t="s">
        <v>178</v>
      </c>
      <c r="V1066" s="209" t="s">
        <v>179</v>
      </c>
      <c r="W1066" s="209" t="s">
        <v>179</v>
      </c>
      <c r="X1066" s="209" t="s">
        <v>180</v>
      </c>
      <c r="Y1066" s="209" t="s">
        <v>180</v>
      </c>
      <c r="Z1066" s="209" t="s">
        <v>2351</v>
      </c>
      <c r="AA1066" s="209" t="s">
        <v>2352</v>
      </c>
      <c r="AB1066" s="209" t="s">
        <v>180</v>
      </c>
      <c r="AC1066" s="209" t="s">
        <v>182</v>
      </c>
      <c r="AD1066" s="209">
        <v>6</v>
      </c>
      <c r="AE1066" s="209">
        <v>2025</v>
      </c>
      <c r="AF1066" s="227">
        <v>45825</v>
      </c>
      <c r="AG1066" s="227">
        <v>45826</v>
      </c>
      <c r="AH1066" s="227">
        <v>45826</v>
      </c>
      <c r="AI1066" s="228">
        <v>175968</v>
      </c>
      <c r="AJ1066" s="228">
        <v>26</v>
      </c>
      <c r="AK1066" s="228">
        <v>175968</v>
      </c>
      <c r="AL1066" s="228">
        <v>26</v>
      </c>
      <c r="AM1066" s="228">
        <v>0</v>
      </c>
      <c r="AN1066" s="228">
        <v>0</v>
      </c>
      <c r="AO1066" s="229">
        <v>25</v>
      </c>
      <c r="AP1066" s="231">
        <v>6</v>
      </c>
      <c r="AQ1066" s="231">
        <v>2025</v>
      </c>
      <c r="AR1066" s="231" t="str">
        <f t="shared" si="145"/>
        <v>06/2025</v>
      </c>
      <c r="AS1066" s="231">
        <f t="shared" si="146"/>
        <v>54.7</v>
      </c>
      <c r="AT1066" s="239">
        <f>IF(G1066="CERVECERIA Y MALTERIA",(AS1066*AK1066/1000000)*(1-VLOOKUP(N1066,FCST!D:I,6,FALSE)),0)</f>
        <v>9.6254495999999996</v>
      </c>
      <c r="AU1066" s="232">
        <v>5.0000000000000001E-3</v>
      </c>
      <c r="AV1066" s="239">
        <f t="shared" si="147"/>
        <v>9.673576847999998</v>
      </c>
      <c r="AW1066" s="239">
        <f>(AS1066*AK1066/1000000)*(VLOOKUP(N1066,FCST!D:I,6,FALSE))</f>
        <v>0</v>
      </c>
      <c r="AX1066" s="239">
        <f t="shared" si="148"/>
        <v>0</v>
      </c>
      <c r="AY1066" s="239">
        <f>IF($G1066="CERVECERIA Y MALTERIA.",($AS1066*$AK1066/1000000)*(1-VLOOKUP($N1066,FCST!D:I,6,FALSE)),0)</f>
        <v>0</v>
      </c>
      <c r="AZ1066" s="239">
        <f t="shared" si="149"/>
        <v>0</v>
      </c>
    </row>
    <row r="1067" spans="1:52" x14ac:dyDescent="0.25">
      <c r="A1067" s="209">
        <v>1121417</v>
      </c>
      <c r="B1067" s="209">
        <v>50</v>
      </c>
      <c r="C1067" s="209" t="s">
        <v>2353</v>
      </c>
      <c r="D1067" s="209">
        <v>10</v>
      </c>
      <c r="E1067" s="209">
        <v>10000002</v>
      </c>
      <c r="F1067" s="209">
        <v>20000337</v>
      </c>
      <c r="G1067" s="209" t="s">
        <v>105</v>
      </c>
      <c r="H1067" s="209">
        <v>20000337</v>
      </c>
      <c r="I1067" s="209">
        <v>2</v>
      </c>
      <c r="J1067" s="209" t="s">
        <v>169</v>
      </c>
      <c r="K1067" s="209" t="s">
        <v>2354</v>
      </c>
      <c r="L1067" s="209" t="s">
        <v>171</v>
      </c>
      <c r="M1067" s="209" t="s">
        <v>172</v>
      </c>
      <c r="N1067" s="209">
        <v>50039302</v>
      </c>
      <c r="O1067" s="209" t="s">
        <v>1942</v>
      </c>
      <c r="P1067" s="209">
        <v>5121</v>
      </c>
      <c r="Q1067" s="209" t="s">
        <v>174</v>
      </c>
      <c r="R1067" s="209" t="s">
        <v>175</v>
      </c>
      <c r="S1067" s="209" t="s">
        <v>176</v>
      </c>
      <c r="T1067" s="209" t="s">
        <v>177</v>
      </c>
      <c r="U1067" s="209" t="s">
        <v>178</v>
      </c>
      <c r="V1067" s="209" t="s">
        <v>179</v>
      </c>
      <c r="W1067" s="209" t="s">
        <v>179</v>
      </c>
      <c r="X1067" s="209" t="s">
        <v>180</v>
      </c>
      <c r="Y1067" s="209" t="s">
        <v>180</v>
      </c>
      <c r="Z1067" s="209" t="s">
        <v>2287</v>
      </c>
      <c r="AA1067" s="209" t="s">
        <v>2288</v>
      </c>
      <c r="AB1067" s="209" t="s">
        <v>180</v>
      </c>
      <c r="AC1067" s="209" t="s">
        <v>182</v>
      </c>
      <c r="AD1067" s="209">
        <v>6</v>
      </c>
      <c r="AE1067" s="209">
        <v>2025</v>
      </c>
      <c r="AF1067" s="227">
        <v>45810</v>
      </c>
      <c r="AG1067" s="227">
        <v>45821</v>
      </c>
      <c r="AH1067" s="227">
        <v>45821</v>
      </c>
      <c r="AI1067" s="228">
        <v>399360</v>
      </c>
      <c r="AJ1067" s="228">
        <v>52</v>
      </c>
      <c r="AK1067" s="228">
        <v>399360</v>
      </c>
      <c r="AL1067" s="228">
        <v>52</v>
      </c>
      <c r="AM1067" s="228">
        <v>0</v>
      </c>
      <c r="AN1067" s="228">
        <v>0</v>
      </c>
      <c r="AO1067" s="229">
        <v>23</v>
      </c>
      <c r="AP1067" s="231">
        <v>6</v>
      </c>
      <c r="AQ1067" s="231">
        <v>2025</v>
      </c>
      <c r="AR1067" s="231" t="str">
        <f t="shared" si="145"/>
        <v>06/2025</v>
      </c>
      <c r="AS1067" s="231">
        <f t="shared" si="146"/>
        <v>46.6</v>
      </c>
      <c r="AT1067" s="239">
        <f>IF(G1067="CERVECERIA Y MALTERIA",(AS1067*AK1067/1000000)*(1-VLOOKUP(N1067,FCST!D:I,6,FALSE)),0)</f>
        <v>18.610175999999999</v>
      </c>
      <c r="AU1067" s="232">
        <v>5.0000000000000001E-3</v>
      </c>
      <c r="AV1067" s="239">
        <f t="shared" si="147"/>
        <v>18.703226879999995</v>
      </c>
      <c r="AW1067" s="239">
        <f>(AS1067*AK1067/1000000)*(VLOOKUP(N1067,FCST!D:I,6,FALSE))</f>
        <v>0</v>
      </c>
      <c r="AX1067" s="239">
        <f t="shared" si="148"/>
        <v>0</v>
      </c>
      <c r="AY1067" s="239">
        <f>IF($G1067="CERVECERIA Y MALTERIA.",($AS1067*$AK1067/1000000)*(1-VLOOKUP($N1067,FCST!D:I,6,FALSE)),0)</f>
        <v>0</v>
      </c>
      <c r="AZ1067" s="239">
        <f t="shared" si="149"/>
        <v>0</v>
      </c>
    </row>
    <row r="1068" spans="1:52" x14ac:dyDescent="0.25">
      <c r="A1068" s="209">
        <v>1121635</v>
      </c>
      <c r="B1068" s="209">
        <v>40</v>
      </c>
      <c r="C1068" s="209" t="s">
        <v>2355</v>
      </c>
      <c r="D1068" s="209">
        <v>10</v>
      </c>
      <c r="E1068" s="209">
        <v>10000002</v>
      </c>
      <c r="F1068" s="209">
        <v>20000339</v>
      </c>
      <c r="G1068" s="209" t="s">
        <v>105</v>
      </c>
      <c r="H1068" s="209">
        <v>20000339</v>
      </c>
      <c r="I1068" s="209">
        <v>2</v>
      </c>
      <c r="J1068" s="209" t="s">
        <v>169</v>
      </c>
      <c r="K1068" s="209" t="s">
        <v>2356</v>
      </c>
      <c r="L1068" s="209" t="s">
        <v>171</v>
      </c>
      <c r="M1068" s="209" t="s">
        <v>172</v>
      </c>
      <c r="N1068" s="209">
        <v>50036287</v>
      </c>
      <c r="O1068" s="209" t="s">
        <v>2191</v>
      </c>
      <c r="P1068" s="209">
        <v>5121</v>
      </c>
      <c r="Q1068" s="209" t="s">
        <v>174</v>
      </c>
      <c r="R1068" s="209" t="s">
        <v>175</v>
      </c>
      <c r="S1068" s="209" t="s">
        <v>176</v>
      </c>
      <c r="T1068" s="209" t="s">
        <v>177</v>
      </c>
      <c r="U1068" s="209" t="s">
        <v>178</v>
      </c>
      <c r="V1068" s="209" t="s">
        <v>179</v>
      </c>
      <c r="W1068" s="209" t="s">
        <v>179</v>
      </c>
      <c r="X1068" s="209" t="s">
        <v>180</v>
      </c>
      <c r="Y1068" s="209" t="s">
        <v>180</v>
      </c>
      <c r="Z1068" s="209" t="s">
        <v>2192</v>
      </c>
      <c r="AA1068" s="209" t="s">
        <v>2193</v>
      </c>
      <c r="AB1068" s="209" t="s">
        <v>180</v>
      </c>
      <c r="AC1068" s="209" t="s">
        <v>182</v>
      </c>
      <c r="AD1068" s="209">
        <v>6</v>
      </c>
      <c r="AE1068" s="209">
        <v>2025</v>
      </c>
      <c r="AF1068" s="227">
        <v>45810</v>
      </c>
      <c r="AG1068" s="227">
        <v>45819</v>
      </c>
      <c r="AH1068" s="227">
        <v>45819</v>
      </c>
      <c r="AI1068" s="228">
        <v>195552</v>
      </c>
      <c r="AJ1068" s="228">
        <v>28</v>
      </c>
      <c r="AK1068" s="228">
        <v>195552</v>
      </c>
      <c r="AL1068" s="228">
        <v>28</v>
      </c>
      <c r="AM1068" s="228">
        <v>0</v>
      </c>
      <c r="AN1068" s="228">
        <v>0</v>
      </c>
      <c r="AO1068" s="229">
        <v>23</v>
      </c>
      <c r="AP1068" s="231">
        <v>6</v>
      </c>
      <c r="AQ1068" s="231">
        <v>2025</v>
      </c>
      <c r="AR1068" s="231" t="str">
        <f t="shared" si="145"/>
        <v>06/2025</v>
      </c>
      <c r="AS1068" s="231">
        <f t="shared" si="146"/>
        <v>52</v>
      </c>
      <c r="AT1068" s="239">
        <f>IF(G1068="CERVECERIA Y MALTERIA",(AS1068*AK1068/1000000)*(1-VLOOKUP(N1068,FCST!D:I,6,FALSE)),0)</f>
        <v>10.168704</v>
      </c>
      <c r="AU1068" s="232">
        <v>5.0000000000000001E-3</v>
      </c>
      <c r="AV1068" s="239">
        <f t="shared" si="147"/>
        <v>10.219547519999999</v>
      </c>
      <c r="AW1068" s="239">
        <f>(AS1068*AK1068/1000000)*(VLOOKUP(N1068,FCST!D:I,6,FALSE))</f>
        <v>0</v>
      </c>
      <c r="AX1068" s="239">
        <f t="shared" si="148"/>
        <v>0</v>
      </c>
      <c r="AY1068" s="239">
        <f>IF($G1068="CERVECERIA Y MALTERIA.",($AS1068*$AK1068/1000000)*(1-VLOOKUP($N1068,FCST!D:I,6,FALSE)),0)</f>
        <v>0</v>
      </c>
      <c r="AZ1068" s="239">
        <f t="shared" si="149"/>
        <v>0</v>
      </c>
    </row>
    <row r="1069" spans="1:52" x14ac:dyDescent="0.25">
      <c r="A1069" s="209">
        <v>1122148</v>
      </c>
      <c r="B1069" s="209">
        <v>90</v>
      </c>
      <c r="C1069" s="209" t="s">
        <v>2357</v>
      </c>
      <c r="D1069" s="209">
        <v>10</v>
      </c>
      <c r="E1069" s="209">
        <v>10000002</v>
      </c>
      <c r="F1069" s="209">
        <v>20000335</v>
      </c>
      <c r="G1069" s="209" t="s">
        <v>105</v>
      </c>
      <c r="H1069" s="209">
        <v>20000335</v>
      </c>
      <c r="I1069" s="209">
        <v>2</v>
      </c>
      <c r="J1069" s="209" t="s">
        <v>169</v>
      </c>
      <c r="K1069" s="209" t="s">
        <v>2358</v>
      </c>
      <c r="L1069" s="209" t="s">
        <v>171</v>
      </c>
      <c r="M1069" s="209" t="s">
        <v>172</v>
      </c>
      <c r="N1069" s="209">
        <v>50025345</v>
      </c>
      <c r="O1069" s="209" t="s">
        <v>1998</v>
      </c>
      <c r="P1069" s="209">
        <v>5121</v>
      </c>
      <c r="Q1069" s="209" t="s">
        <v>174</v>
      </c>
      <c r="R1069" s="209" t="s">
        <v>175</v>
      </c>
      <c r="S1069" s="209" t="s">
        <v>176</v>
      </c>
      <c r="T1069" s="209" t="s">
        <v>177</v>
      </c>
      <c r="U1069" s="209" t="s">
        <v>178</v>
      </c>
      <c r="V1069" s="209" t="s">
        <v>179</v>
      </c>
      <c r="W1069" s="209" t="s">
        <v>179</v>
      </c>
      <c r="X1069" s="209" t="s">
        <v>180</v>
      </c>
      <c r="Y1069" s="209" t="s">
        <v>180</v>
      </c>
      <c r="Z1069" s="209" t="s">
        <v>2259</v>
      </c>
      <c r="AA1069" s="209" t="s">
        <v>2260</v>
      </c>
      <c r="AB1069" s="209" t="s">
        <v>180</v>
      </c>
      <c r="AC1069" s="209" t="s">
        <v>182</v>
      </c>
      <c r="AD1069" s="209">
        <v>6</v>
      </c>
      <c r="AE1069" s="209">
        <v>2025</v>
      </c>
      <c r="AF1069" s="227">
        <v>45813</v>
      </c>
      <c r="AG1069" s="227">
        <v>45820</v>
      </c>
      <c r="AH1069" s="227">
        <v>45820</v>
      </c>
      <c r="AI1069" s="228">
        <v>426816</v>
      </c>
      <c r="AJ1069" s="228">
        <v>52</v>
      </c>
      <c r="AK1069" s="228">
        <v>426816</v>
      </c>
      <c r="AL1069" s="228">
        <v>52</v>
      </c>
      <c r="AM1069" s="228">
        <v>0</v>
      </c>
      <c r="AN1069" s="228">
        <v>0</v>
      </c>
      <c r="AO1069" s="229">
        <v>24</v>
      </c>
      <c r="AP1069" s="231">
        <v>6</v>
      </c>
      <c r="AQ1069" s="231">
        <v>2025</v>
      </c>
      <c r="AR1069" s="231" t="str">
        <f t="shared" si="145"/>
        <v>06/2025</v>
      </c>
      <c r="AS1069" s="231">
        <f t="shared" si="146"/>
        <v>46.6</v>
      </c>
      <c r="AT1069" s="239">
        <f>IF(G1069="CERVECERIA Y MALTERIA",(AS1069*AK1069/1000000)*(1-VLOOKUP(N1069,FCST!D:I,6,FALSE)),0)</f>
        <v>19.889625600000002</v>
      </c>
      <c r="AU1069" s="232">
        <v>5.0000000000000001E-3</v>
      </c>
      <c r="AV1069" s="239">
        <f t="shared" si="147"/>
        <v>19.989073728000001</v>
      </c>
      <c r="AW1069" s="239">
        <f>(AS1069*AK1069/1000000)*(VLOOKUP(N1069,FCST!D:I,6,FALSE))</f>
        <v>0</v>
      </c>
      <c r="AX1069" s="239">
        <f t="shared" si="148"/>
        <v>0</v>
      </c>
      <c r="AY1069" s="239">
        <f>IF($G1069="CERVECERIA Y MALTERIA.",($AS1069*$AK1069/1000000)*(1-VLOOKUP($N1069,FCST!D:I,6,FALSE)),0)</f>
        <v>0</v>
      </c>
      <c r="AZ1069" s="239">
        <f t="shared" si="149"/>
        <v>0</v>
      </c>
    </row>
    <row r="1070" spans="1:52" x14ac:dyDescent="0.25">
      <c r="A1070" s="209">
        <v>1122153</v>
      </c>
      <c r="B1070" s="209">
        <v>40</v>
      </c>
      <c r="C1070" s="209" t="s">
        <v>2359</v>
      </c>
      <c r="D1070" s="209">
        <v>10</v>
      </c>
      <c r="E1070" s="209">
        <v>10000002</v>
      </c>
      <c r="F1070" s="209">
        <v>20000340</v>
      </c>
      <c r="G1070" s="209" t="s">
        <v>117</v>
      </c>
      <c r="H1070" s="209">
        <v>20000340</v>
      </c>
      <c r="I1070" s="209">
        <v>2</v>
      </c>
      <c r="J1070" s="209" t="s">
        <v>169</v>
      </c>
      <c r="K1070" s="209" t="s">
        <v>2360</v>
      </c>
      <c r="L1070" s="209" t="s">
        <v>171</v>
      </c>
      <c r="M1070" s="209" t="s">
        <v>172</v>
      </c>
      <c r="N1070" s="209">
        <v>50038523</v>
      </c>
      <c r="O1070" s="209" t="s">
        <v>249</v>
      </c>
      <c r="P1070" s="209">
        <v>5101</v>
      </c>
      <c r="Q1070" s="209" t="s">
        <v>186</v>
      </c>
      <c r="R1070" s="209" t="s">
        <v>175</v>
      </c>
      <c r="S1070" s="209" t="s">
        <v>176</v>
      </c>
      <c r="T1070" s="209" t="s">
        <v>187</v>
      </c>
      <c r="U1070" s="209" t="s">
        <v>188</v>
      </c>
      <c r="V1070" s="209" t="s">
        <v>179</v>
      </c>
      <c r="W1070" s="209" t="s">
        <v>179</v>
      </c>
      <c r="X1070" s="209" t="s">
        <v>180</v>
      </c>
      <c r="Y1070" s="209" t="s">
        <v>180</v>
      </c>
      <c r="Z1070" s="209" t="s">
        <v>2293</v>
      </c>
      <c r="AA1070" s="209" t="s">
        <v>2294</v>
      </c>
      <c r="AB1070" s="209" t="s">
        <v>180</v>
      </c>
      <c r="AC1070" s="209" t="s">
        <v>182</v>
      </c>
      <c r="AD1070" s="209">
        <v>6</v>
      </c>
      <c r="AE1070" s="209">
        <v>2025</v>
      </c>
      <c r="AF1070" s="227">
        <v>45813</v>
      </c>
      <c r="AG1070" s="227">
        <v>45820</v>
      </c>
      <c r="AH1070" s="227">
        <v>45820</v>
      </c>
      <c r="AI1070" s="228">
        <v>606528</v>
      </c>
      <c r="AJ1070" s="228">
        <v>52</v>
      </c>
      <c r="AK1070" s="228">
        <v>606528</v>
      </c>
      <c r="AL1070" s="228">
        <v>52</v>
      </c>
      <c r="AM1070" s="228">
        <v>0</v>
      </c>
      <c r="AN1070" s="228">
        <v>0</v>
      </c>
      <c r="AO1070" s="229">
        <v>24</v>
      </c>
      <c r="AP1070" s="231">
        <v>6</v>
      </c>
      <c r="AQ1070" s="231">
        <v>2025</v>
      </c>
      <c r="AR1070" s="231" t="str">
        <f t="shared" si="145"/>
        <v>06/2025</v>
      </c>
      <c r="AS1070" s="231">
        <f t="shared" si="146"/>
        <v>30</v>
      </c>
      <c r="AT1070" s="239">
        <f>IF(G1070="CERVECERIA Y MALTERIA",(AS1070*AK1070/1000000)*(1-VLOOKUP(N1070,FCST!D:I,6,FALSE)),0)</f>
        <v>0</v>
      </c>
      <c r="AU1070" s="232">
        <v>5.0000000000000001E-3</v>
      </c>
      <c r="AV1070" s="239">
        <f t="shared" si="147"/>
        <v>0</v>
      </c>
      <c r="AW1070" s="239">
        <f>(AS1070*AK1070/1000000)*(VLOOKUP(N1070,FCST!D:I,6,FALSE))</f>
        <v>0</v>
      </c>
      <c r="AX1070" s="239">
        <f t="shared" si="148"/>
        <v>0</v>
      </c>
      <c r="AY1070" s="239">
        <f>IF($G1070="CERVECERIA Y MALTERIA.",($AS1070*$AK1070/1000000)*(1-VLOOKUP($N1070,FCST!D:I,6,FALSE)),0)</f>
        <v>18.19584</v>
      </c>
      <c r="AZ1070" s="239">
        <f t="shared" si="149"/>
        <v>18.2868192</v>
      </c>
    </row>
    <row r="1071" spans="1:52" x14ac:dyDescent="0.25">
      <c r="A1071" s="209">
        <v>1122148</v>
      </c>
      <c r="B1071" s="209">
        <v>110</v>
      </c>
      <c r="C1071" s="209" t="s">
        <v>2361</v>
      </c>
      <c r="D1071" s="209">
        <v>10</v>
      </c>
      <c r="E1071" s="209">
        <v>10000002</v>
      </c>
      <c r="F1071" s="209">
        <v>20000335</v>
      </c>
      <c r="G1071" s="209" t="s">
        <v>105</v>
      </c>
      <c r="H1071" s="209">
        <v>20000335</v>
      </c>
      <c r="I1071" s="209">
        <v>2</v>
      </c>
      <c r="J1071" s="209" t="s">
        <v>169</v>
      </c>
      <c r="K1071" s="209" t="s">
        <v>2362</v>
      </c>
      <c r="L1071" s="209" t="s">
        <v>171</v>
      </c>
      <c r="M1071" s="209" t="s">
        <v>172</v>
      </c>
      <c r="N1071" s="209">
        <v>50025345</v>
      </c>
      <c r="O1071" s="209" t="s">
        <v>1998</v>
      </c>
      <c r="P1071" s="209">
        <v>5121</v>
      </c>
      <c r="Q1071" s="209" t="s">
        <v>174</v>
      </c>
      <c r="R1071" s="209" t="s">
        <v>175</v>
      </c>
      <c r="S1071" s="209" t="s">
        <v>176</v>
      </c>
      <c r="T1071" s="209" t="s">
        <v>177</v>
      </c>
      <c r="U1071" s="209" t="s">
        <v>178</v>
      </c>
      <c r="V1071" s="209" t="s">
        <v>179</v>
      </c>
      <c r="W1071" s="209" t="s">
        <v>179</v>
      </c>
      <c r="X1071" s="209" t="s">
        <v>180</v>
      </c>
      <c r="Y1071" s="209" t="s">
        <v>180</v>
      </c>
      <c r="Z1071" s="209" t="s">
        <v>2259</v>
      </c>
      <c r="AA1071" s="209" t="s">
        <v>2260</v>
      </c>
      <c r="AB1071" s="209" t="s">
        <v>180</v>
      </c>
      <c r="AC1071" s="209" t="s">
        <v>182</v>
      </c>
      <c r="AD1071" s="209">
        <v>6</v>
      </c>
      <c r="AE1071" s="209">
        <v>2025</v>
      </c>
      <c r="AF1071" s="227">
        <v>45813</v>
      </c>
      <c r="AG1071" s="227">
        <v>45821</v>
      </c>
      <c r="AH1071" s="227">
        <v>45821</v>
      </c>
      <c r="AI1071" s="228">
        <v>426816</v>
      </c>
      <c r="AJ1071" s="228">
        <v>52</v>
      </c>
      <c r="AK1071" s="228">
        <v>426816</v>
      </c>
      <c r="AL1071" s="228">
        <v>52</v>
      </c>
      <c r="AM1071" s="228">
        <v>0</v>
      </c>
      <c r="AN1071" s="228">
        <v>0</v>
      </c>
      <c r="AO1071" s="229">
        <v>24</v>
      </c>
      <c r="AP1071" s="231">
        <v>6</v>
      </c>
      <c r="AQ1071" s="231">
        <v>2025</v>
      </c>
      <c r="AR1071" s="231" t="str">
        <f t="shared" si="145"/>
        <v>06/2025</v>
      </c>
      <c r="AS1071" s="231">
        <f t="shared" si="146"/>
        <v>46.6</v>
      </c>
      <c r="AT1071" s="239">
        <f>IF(G1071="CERVECERIA Y MALTERIA",(AS1071*AK1071/1000000)*(1-VLOOKUP(N1071,FCST!D:I,6,FALSE)),0)</f>
        <v>19.889625600000002</v>
      </c>
      <c r="AU1071" s="232">
        <v>5.0000000000000001E-3</v>
      </c>
      <c r="AV1071" s="239">
        <f t="shared" si="147"/>
        <v>19.989073728000001</v>
      </c>
      <c r="AW1071" s="239">
        <f>(AS1071*AK1071/1000000)*(VLOOKUP(N1071,FCST!D:I,6,FALSE))</f>
        <v>0</v>
      </c>
      <c r="AX1071" s="239">
        <f t="shared" si="148"/>
        <v>0</v>
      </c>
      <c r="AY1071" s="239">
        <f>IF($G1071="CERVECERIA Y MALTERIA.",($AS1071*$AK1071/1000000)*(1-VLOOKUP($N1071,FCST!D:I,6,FALSE)),0)</f>
        <v>0</v>
      </c>
      <c r="AZ1071" s="239">
        <f t="shared" si="149"/>
        <v>0</v>
      </c>
    </row>
    <row r="1072" spans="1:52" x14ac:dyDescent="0.25">
      <c r="A1072" s="209">
        <v>1122153</v>
      </c>
      <c r="B1072" s="209">
        <v>50</v>
      </c>
      <c r="C1072" s="209" t="s">
        <v>2363</v>
      </c>
      <c r="D1072" s="209">
        <v>10</v>
      </c>
      <c r="E1072" s="209">
        <v>10000002</v>
      </c>
      <c r="F1072" s="209">
        <v>20000340</v>
      </c>
      <c r="G1072" s="209" t="s">
        <v>117</v>
      </c>
      <c r="H1072" s="209">
        <v>20000340</v>
      </c>
      <c r="I1072" s="209">
        <v>2</v>
      </c>
      <c r="J1072" s="209" t="s">
        <v>169</v>
      </c>
      <c r="K1072" s="209" t="s">
        <v>2364</v>
      </c>
      <c r="L1072" s="209" t="s">
        <v>171</v>
      </c>
      <c r="M1072" s="209" t="s">
        <v>172</v>
      </c>
      <c r="N1072" s="209">
        <v>50038523</v>
      </c>
      <c r="O1072" s="209" t="s">
        <v>249</v>
      </c>
      <c r="P1072" s="209">
        <v>5101</v>
      </c>
      <c r="Q1072" s="209" t="s">
        <v>186</v>
      </c>
      <c r="R1072" s="209" t="s">
        <v>175</v>
      </c>
      <c r="S1072" s="209" t="s">
        <v>176</v>
      </c>
      <c r="T1072" s="209" t="s">
        <v>187</v>
      </c>
      <c r="U1072" s="209" t="s">
        <v>188</v>
      </c>
      <c r="V1072" s="209" t="s">
        <v>179</v>
      </c>
      <c r="W1072" s="209" t="s">
        <v>179</v>
      </c>
      <c r="X1072" s="209" t="s">
        <v>180</v>
      </c>
      <c r="Y1072" s="209" t="s">
        <v>180</v>
      </c>
      <c r="Z1072" s="209" t="s">
        <v>2293</v>
      </c>
      <c r="AA1072" s="209" t="s">
        <v>2294</v>
      </c>
      <c r="AB1072" s="209" t="s">
        <v>180</v>
      </c>
      <c r="AC1072" s="209" t="s">
        <v>182</v>
      </c>
      <c r="AD1072" s="209">
        <v>6</v>
      </c>
      <c r="AE1072" s="209">
        <v>2025</v>
      </c>
      <c r="AF1072" s="227">
        <v>45813</v>
      </c>
      <c r="AG1072" s="227">
        <v>45821</v>
      </c>
      <c r="AH1072" s="227">
        <v>45821</v>
      </c>
      <c r="AI1072" s="228">
        <v>606528</v>
      </c>
      <c r="AJ1072" s="228">
        <v>52</v>
      </c>
      <c r="AK1072" s="228">
        <v>606528</v>
      </c>
      <c r="AL1072" s="228">
        <v>52</v>
      </c>
      <c r="AM1072" s="228">
        <v>0</v>
      </c>
      <c r="AN1072" s="228">
        <v>0</v>
      </c>
      <c r="AO1072" s="229">
        <v>24</v>
      </c>
      <c r="AP1072" s="231">
        <v>6</v>
      </c>
      <c r="AQ1072" s="231">
        <v>2025</v>
      </c>
      <c r="AR1072" s="231" t="str">
        <f t="shared" si="145"/>
        <v>06/2025</v>
      </c>
      <c r="AS1072" s="231">
        <f t="shared" si="146"/>
        <v>30</v>
      </c>
      <c r="AT1072" s="239">
        <f>IF(G1072="CERVECERIA Y MALTERIA",(AS1072*AK1072/1000000)*(1-VLOOKUP(N1072,FCST!D:I,6,FALSE)),0)</f>
        <v>0</v>
      </c>
      <c r="AU1072" s="232">
        <v>5.0000000000000001E-3</v>
      </c>
      <c r="AV1072" s="239">
        <f t="shared" si="147"/>
        <v>0</v>
      </c>
      <c r="AW1072" s="239">
        <f>(AS1072*AK1072/1000000)*(VLOOKUP(N1072,FCST!D:I,6,FALSE))</f>
        <v>0</v>
      </c>
      <c r="AX1072" s="239">
        <f t="shared" si="148"/>
        <v>0</v>
      </c>
      <c r="AY1072" s="239">
        <f>IF($G1072="CERVECERIA Y MALTERIA.",($AS1072*$AK1072/1000000)*(1-VLOOKUP($N1072,FCST!D:I,6,FALSE)),0)</f>
        <v>18.19584</v>
      </c>
      <c r="AZ1072" s="239">
        <f t="shared" si="149"/>
        <v>18.2868192</v>
      </c>
    </row>
    <row r="1073" spans="1:52" x14ac:dyDescent="0.25">
      <c r="A1073" s="209">
        <v>1122148</v>
      </c>
      <c r="B1073" s="209">
        <v>100</v>
      </c>
      <c r="C1073" s="209" t="s">
        <v>2365</v>
      </c>
      <c r="D1073" s="209">
        <v>10</v>
      </c>
      <c r="E1073" s="209">
        <v>10000002</v>
      </c>
      <c r="F1073" s="209">
        <v>20000335</v>
      </c>
      <c r="G1073" s="209" t="s">
        <v>105</v>
      </c>
      <c r="H1073" s="209">
        <v>20000335</v>
      </c>
      <c r="I1073" s="209">
        <v>2</v>
      </c>
      <c r="J1073" s="209" t="s">
        <v>169</v>
      </c>
      <c r="K1073" s="209" t="s">
        <v>2366</v>
      </c>
      <c r="L1073" s="209" t="s">
        <v>171</v>
      </c>
      <c r="M1073" s="209" t="s">
        <v>172</v>
      </c>
      <c r="N1073" s="209">
        <v>50035184</v>
      </c>
      <c r="O1073" s="209" t="s">
        <v>672</v>
      </c>
      <c r="P1073" s="209">
        <v>5121</v>
      </c>
      <c r="Q1073" s="209" t="s">
        <v>174</v>
      </c>
      <c r="R1073" s="209" t="s">
        <v>175</v>
      </c>
      <c r="S1073" s="209" t="s">
        <v>176</v>
      </c>
      <c r="T1073" s="209" t="s">
        <v>177</v>
      </c>
      <c r="U1073" s="209" t="s">
        <v>178</v>
      </c>
      <c r="V1073" s="209" t="s">
        <v>179</v>
      </c>
      <c r="W1073" s="209" t="s">
        <v>179</v>
      </c>
      <c r="X1073" s="209" t="s">
        <v>180</v>
      </c>
      <c r="Y1073" s="209" t="s">
        <v>180</v>
      </c>
      <c r="Z1073" s="209" t="s">
        <v>2335</v>
      </c>
      <c r="AA1073" s="209" t="s">
        <v>2336</v>
      </c>
      <c r="AB1073" s="209" t="s">
        <v>180</v>
      </c>
      <c r="AC1073" s="209" t="s">
        <v>182</v>
      </c>
      <c r="AD1073" s="209">
        <v>6</v>
      </c>
      <c r="AE1073" s="209">
        <v>2025</v>
      </c>
      <c r="AF1073" s="227">
        <v>45813</v>
      </c>
      <c r="AG1073" s="227">
        <v>45821</v>
      </c>
      <c r="AH1073" s="227">
        <v>45821</v>
      </c>
      <c r="AI1073" s="228">
        <v>977184</v>
      </c>
      <c r="AJ1073" s="228">
        <v>52</v>
      </c>
      <c r="AK1073" s="228">
        <v>977184</v>
      </c>
      <c r="AL1073" s="228">
        <v>52</v>
      </c>
      <c r="AM1073" s="228">
        <v>0</v>
      </c>
      <c r="AN1073" s="228">
        <v>0</v>
      </c>
      <c r="AO1073" s="229">
        <v>24</v>
      </c>
      <c r="AP1073" s="231">
        <v>6</v>
      </c>
      <c r="AQ1073" s="231">
        <v>2025</v>
      </c>
      <c r="AR1073" s="231" t="str">
        <f t="shared" ref="AR1073:AR1104" si="150">+IF(AP1073&lt;10,"0"&amp;AP1073&amp; "/"&amp;AQ1073,AP1073&amp; "/"&amp;AQ1073)</f>
        <v>06/2025</v>
      </c>
      <c r="AS1073" s="231">
        <f t="shared" ref="AS1073:AS1109" si="151">VALUE(MID(INDEX(_xlfn.TEXTSPLIT(O1073, ","), 1, 3), 1,FIND("G", INDEX(_xlfn.TEXTSPLIT(O1073, ","), 1, 3))-1))</f>
        <v>19.5</v>
      </c>
      <c r="AT1073" s="239">
        <f>IF(G1073="CERVECERIA Y MALTERIA",(AS1073*AK1073/1000000)*(1-VLOOKUP(N1073,FCST!D:I,6,FALSE)),0)</f>
        <v>19.055088000000001</v>
      </c>
      <c r="AU1073" s="232">
        <v>5.0000000000000001E-3</v>
      </c>
      <c r="AV1073" s="239">
        <f t="shared" ref="AV1073:AV1104" si="152">+AT1073*(1+AU1073)</f>
        <v>19.15036344</v>
      </c>
      <c r="AW1073" s="239">
        <f>(AS1073*AK1073/1000000)*(VLOOKUP(N1073,FCST!D:I,6,FALSE))</f>
        <v>0</v>
      </c>
      <c r="AX1073" s="239">
        <f t="shared" ref="AX1073:AX1104" si="153">+AW1073*(1+AU1073)</f>
        <v>0</v>
      </c>
      <c r="AY1073" s="239">
        <f>IF($G1073="CERVECERIA Y MALTERIA.",($AS1073*$AK1073/1000000)*(1-VLOOKUP($N1073,FCST!D:I,6,FALSE)),0)</f>
        <v>0</v>
      </c>
      <c r="AZ1073" s="239">
        <f t="shared" ref="AZ1073:AZ1104" si="154">+AY1073*(1+AU1073)</f>
        <v>0</v>
      </c>
    </row>
    <row r="1074" spans="1:52" x14ac:dyDescent="0.25">
      <c r="A1074" s="209">
        <v>1122148</v>
      </c>
      <c r="B1074" s="209">
        <v>70</v>
      </c>
      <c r="C1074" s="209" t="s">
        <v>2367</v>
      </c>
      <c r="D1074" s="209">
        <v>10</v>
      </c>
      <c r="E1074" s="209">
        <v>10000002</v>
      </c>
      <c r="F1074" s="209">
        <v>20000335</v>
      </c>
      <c r="G1074" s="209" t="s">
        <v>105</v>
      </c>
      <c r="H1074" s="209">
        <v>20000335</v>
      </c>
      <c r="I1074" s="209">
        <v>2</v>
      </c>
      <c r="J1074" s="209" t="s">
        <v>169</v>
      </c>
      <c r="K1074" s="209" t="s">
        <v>2368</v>
      </c>
      <c r="L1074" s="209" t="s">
        <v>171</v>
      </c>
      <c r="M1074" s="209" t="s">
        <v>184</v>
      </c>
      <c r="N1074" s="209">
        <v>50025345</v>
      </c>
      <c r="O1074" s="209" t="s">
        <v>1998</v>
      </c>
      <c r="P1074" s="209">
        <v>5121</v>
      </c>
      <c r="Q1074" s="209" t="s">
        <v>174</v>
      </c>
      <c r="R1074" s="209" t="s">
        <v>175</v>
      </c>
      <c r="S1074" s="209" t="s">
        <v>176</v>
      </c>
      <c r="T1074" s="209" t="s">
        <v>177</v>
      </c>
      <c r="U1074" s="209" t="s">
        <v>178</v>
      </c>
      <c r="V1074" s="209" t="s">
        <v>179</v>
      </c>
      <c r="W1074" s="209" t="s">
        <v>179</v>
      </c>
      <c r="X1074" s="209" t="s">
        <v>180</v>
      </c>
      <c r="Y1074" s="209" t="s">
        <v>180</v>
      </c>
      <c r="Z1074" s="209" t="s">
        <v>2259</v>
      </c>
      <c r="AA1074" s="209" t="s">
        <v>2260</v>
      </c>
      <c r="AB1074" s="209" t="s">
        <v>180</v>
      </c>
      <c r="AC1074" s="209" t="s">
        <v>182</v>
      </c>
      <c r="AD1074" s="209">
        <v>6</v>
      </c>
      <c r="AE1074" s="209">
        <v>2025</v>
      </c>
      <c r="AF1074" s="227">
        <v>45813</v>
      </c>
      <c r="AG1074" s="227">
        <v>45819</v>
      </c>
      <c r="AH1074" s="227">
        <v>45819</v>
      </c>
      <c r="AI1074" s="228">
        <v>426816</v>
      </c>
      <c r="AJ1074" s="228">
        <v>52</v>
      </c>
      <c r="AK1074" s="228">
        <v>426816</v>
      </c>
      <c r="AL1074" s="228">
        <v>52</v>
      </c>
      <c r="AM1074" s="228">
        <v>0</v>
      </c>
      <c r="AN1074" s="228">
        <v>0</v>
      </c>
      <c r="AO1074" s="229">
        <v>24</v>
      </c>
      <c r="AP1074" s="231">
        <v>6</v>
      </c>
      <c r="AQ1074" s="231">
        <v>2025</v>
      </c>
      <c r="AR1074" s="231" t="str">
        <f t="shared" si="150"/>
        <v>06/2025</v>
      </c>
      <c r="AS1074" s="231">
        <f t="shared" si="151"/>
        <v>46.6</v>
      </c>
      <c r="AT1074" s="239">
        <f>IF(G1074="CERVECERIA Y MALTERIA",(AS1074*AK1074/1000000)*(1-VLOOKUP(N1074,FCST!D:I,6,FALSE)),0)</f>
        <v>19.889625600000002</v>
      </c>
      <c r="AU1074" s="232">
        <v>5.0000000000000001E-3</v>
      </c>
      <c r="AV1074" s="239">
        <f t="shared" si="152"/>
        <v>19.989073728000001</v>
      </c>
      <c r="AW1074" s="239">
        <f>(AS1074*AK1074/1000000)*(VLOOKUP(N1074,FCST!D:I,6,FALSE))</f>
        <v>0</v>
      </c>
      <c r="AX1074" s="239">
        <f t="shared" si="153"/>
        <v>0</v>
      </c>
      <c r="AY1074" s="239">
        <f>IF($G1074="CERVECERIA Y MALTERIA.",($AS1074*$AK1074/1000000)*(1-VLOOKUP($N1074,FCST!D:I,6,FALSE)),0)</f>
        <v>0</v>
      </c>
      <c r="AZ1074" s="239">
        <f t="shared" si="154"/>
        <v>0</v>
      </c>
    </row>
    <row r="1075" spans="1:52" x14ac:dyDescent="0.25">
      <c r="A1075" s="209">
        <v>1122148</v>
      </c>
      <c r="B1075" s="209">
        <v>80</v>
      </c>
      <c r="C1075" s="209" t="s">
        <v>2369</v>
      </c>
      <c r="D1075" s="209">
        <v>10</v>
      </c>
      <c r="E1075" s="209">
        <v>10000002</v>
      </c>
      <c r="F1075" s="209">
        <v>20000335</v>
      </c>
      <c r="G1075" s="209" t="s">
        <v>105</v>
      </c>
      <c r="H1075" s="209">
        <v>20000335</v>
      </c>
      <c r="I1075" s="209">
        <v>2</v>
      </c>
      <c r="J1075" s="209" t="s">
        <v>169</v>
      </c>
      <c r="K1075" s="209" t="s">
        <v>2370</v>
      </c>
      <c r="L1075" s="209" t="s">
        <v>171</v>
      </c>
      <c r="M1075" s="209" t="s">
        <v>172</v>
      </c>
      <c r="N1075" s="209">
        <v>50037887</v>
      </c>
      <c r="O1075" s="209" t="s">
        <v>679</v>
      </c>
      <c r="P1075" s="209">
        <v>5121</v>
      </c>
      <c r="Q1075" s="209" t="s">
        <v>174</v>
      </c>
      <c r="R1075" s="209" t="s">
        <v>175</v>
      </c>
      <c r="S1075" s="209" t="s">
        <v>176</v>
      </c>
      <c r="T1075" s="209" t="s">
        <v>177</v>
      </c>
      <c r="U1075" s="209" t="s">
        <v>178</v>
      </c>
      <c r="V1075" s="209" t="s">
        <v>179</v>
      </c>
      <c r="W1075" s="209" t="s">
        <v>179</v>
      </c>
      <c r="X1075" s="209" t="s">
        <v>180</v>
      </c>
      <c r="Y1075" s="209" t="s">
        <v>180</v>
      </c>
      <c r="Z1075" s="209" t="s">
        <v>2269</v>
      </c>
      <c r="AA1075" s="209" t="s">
        <v>2270</v>
      </c>
      <c r="AB1075" s="209" t="s">
        <v>180</v>
      </c>
      <c r="AC1075" s="209" t="s">
        <v>182</v>
      </c>
      <c r="AD1075" s="209">
        <v>6</v>
      </c>
      <c r="AE1075" s="209">
        <v>2025</v>
      </c>
      <c r="AF1075" s="227">
        <v>45813</v>
      </c>
      <c r="AG1075" s="227">
        <v>45820</v>
      </c>
      <c r="AH1075" s="227">
        <v>45820</v>
      </c>
      <c r="AI1075" s="228">
        <v>531648</v>
      </c>
      <c r="AJ1075" s="228">
        <v>52</v>
      </c>
      <c r="AK1075" s="228">
        <v>531648</v>
      </c>
      <c r="AL1075" s="228">
        <v>52</v>
      </c>
      <c r="AM1075" s="228">
        <v>0</v>
      </c>
      <c r="AN1075" s="228">
        <v>0</v>
      </c>
      <c r="AO1075" s="229">
        <v>24</v>
      </c>
      <c r="AP1075" s="231">
        <v>6</v>
      </c>
      <c r="AQ1075" s="231">
        <v>2025</v>
      </c>
      <c r="AR1075" s="231" t="str">
        <f t="shared" si="150"/>
        <v>06/2025</v>
      </c>
      <c r="AS1075" s="231">
        <f t="shared" si="151"/>
        <v>37.200000000000003</v>
      </c>
      <c r="AT1075" s="239">
        <f>IF(G1075="CERVECERIA Y MALTERIA",(AS1075*AK1075/1000000)*(1-VLOOKUP(N1075,FCST!D:I,6,FALSE)),0)</f>
        <v>19.777305600000002</v>
      </c>
      <c r="AU1075" s="232">
        <v>5.0000000000000001E-3</v>
      </c>
      <c r="AV1075" s="239">
        <f t="shared" si="152"/>
        <v>19.876192128</v>
      </c>
      <c r="AW1075" s="239">
        <f>(AS1075*AK1075/1000000)*(VLOOKUP(N1075,FCST!D:I,6,FALSE))</f>
        <v>0</v>
      </c>
      <c r="AX1075" s="239">
        <f t="shared" si="153"/>
        <v>0</v>
      </c>
      <c r="AY1075" s="239">
        <f>IF($G1075="CERVECERIA Y MALTERIA.",($AS1075*$AK1075/1000000)*(1-VLOOKUP($N1075,FCST!D:I,6,FALSE)),0)</f>
        <v>0</v>
      </c>
      <c r="AZ1075" s="239">
        <f t="shared" si="154"/>
        <v>0</v>
      </c>
    </row>
    <row r="1076" spans="1:52" x14ac:dyDescent="0.25">
      <c r="A1076" s="209">
        <v>1123002</v>
      </c>
      <c r="B1076" s="209">
        <v>10</v>
      </c>
      <c r="C1076" s="209" t="s">
        <v>2371</v>
      </c>
      <c r="D1076" s="209">
        <v>10</v>
      </c>
      <c r="E1076" s="209">
        <v>10000002</v>
      </c>
      <c r="F1076" s="209">
        <v>20000339</v>
      </c>
      <c r="G1076" s="209" t="s">
        <v>105</v>
      </c>
      <c r="H1076" s="209">
        <v>20000339</v>
      </c>
      <c r="I1076" s="209">
        <v>2</v>
      </c>
      <c r="J1076" s="209" t="s">
        <v>169</v>
      </c>
      <c r="K1076" s="209" t="s">
        <v>2372</v>
      </c>
      <c r="L1076" s="209" t="s">
        <v>171</v>
      </c>
      <c r="M1076" s="209" t="s">
        <v>172</v>
      </c>
      <c r="N1076" s="209">
        <v>50038607</v>
      </c>
      <c r="O1076" s="209" t="s">
        <v>1992</v>
      </c>
      <c r="P1076" s="209">
        <v>5101</v>
      </c>
      <c r="Q1076" s="209" t="s">
        <v>186</v>
      </c>
      <c r="R1076" s="209" t="s">
        <v>175</v>
      </c>
      <c r="S1076" s="209" t="s">
        <v>176</v>
      </c>
      <c r="T1076" s="209" t="s">
        <v>187</v>
      </c>
      <c r="U1076" s="209" t="s">
        <v>188</v>
      </c>
      <c r="V1076" s="209" t="s">
        <v>179</v>
      </c>
      <c r="W1076" s="209" t="s">
        <v>179</v>
      </c>
      <c r="X1076" s="209" t="s">
        <v>180</v>
      </c>
      <c r="Y1076" s="209" t="s">
        <v>180</v>
      </c>
      <c r="Z1076" s="209" t="s">
        <v>2373</v>
      </c>
      <c r="AA1076" s="209" t="s">
        <v>2374</v>
      </c>
      <c r="AB1076" s="209" t="s">
        <v>180</v>
      </c>
      <c r="AC1076" s="209" t="s">
        <v>182</v>
      </c>
      <c r="AD1076" s="209">
        <v>6</v>
      </c>
      <c r="AE1076" s="209">
        <v>2025</v>
      </c>
      <c r="AF1076" s="227">
        <v>45819</v>
      </c>
      <c r="AG1076" s="227">
        <v>45819</v>
      </c>
      <c r="AH1076" s="227">
        <v>45819</v>
      </c>
      <c r="AI1076" s="228">
        <v>343296</v>
      </c>
      <c r="AJ1076" s="228">
        <v>24</v>
      </c>
      <c r="AK1076" s="228">
        <v>343296</v>
      </c>
      <c r="AL1076" s="228">
        <v>24</v>
      </c>
      <c r="AM1076" s="228">
        <v>0</v>
      </c>
      <c r="AN1076" s="228">
        <v>0</v>
      </c>
      <c r="AO1076" s="229">
        <v>24</v>
      </c>
      <c r="AP1076" s="231">
        <v>6</v>
      </c>
      <c r="AQ1076" s="231">
        <v>2025</v>
      </c>
      <c r="AR1076" s="231" t="str">
        <f t="shared" si="150"/>
        <v>06/2025</v>
      </c>
      <c r="AS1076" s="231">
        <f t="shared" si="151"/>
        <v>25</v>
      </c>
      <c r="AT1076" s="239">
        <f>IF(G1076="CERVECERIA Y MALTERIA",(AS1076*AK1076/1000000)*(1-VLOOKUP(N1076,FCST!D:I,6,FALSE)),0)</f>
        <v>8.5823999999999998</v>
      </c>
      <c r="AU1076" s="232">
        <v>5.0000000000000001E-3</v>
      </c>
      <c r="AV1076" s="239">
        <f t="shared" si="152"/>
        <v>8.6253119999999992</v>
      </c>
      <c r="AW1076" s="239">
        <f>(AS1076*AK1076/1000000)*(VLOOKUP(N1076,FCST!D:I,6,FALSE))</f>
        <v>0</v>
      </c>
      <c r="AX1076" s="239">
        <f t="shared" si="153"/>
        <v>0</v>
      </c>
      <c r="AY1076" s="239">
        <f>IF($G1076="CERVECERIA Y MALTERIA.",($AS1076*$AK1076/1000000)*(1-VLOOKUP($N1076,FCST!D:I,6,FALSE)),0)</f>
        <v>0</v>
      </c>
      <c r="AZ1076" s="239">
        <f t="shared" si="154"/>
        <v>0</v>
      </c>
    </row>
    <row r="1077" spans="1:52" x14ac:dyDescent="0.25">
      <c r="A1077" s="209">
        <v>1115256</v>
      </c>
      <c r="B1077" s="209">
        <v>100</v>
      </c>
      <c r="C1077" s="209" t="s">
        <v>2375</v>
      </c>
      <c r="D1077" s="209">
        <v>10</v>
      </c>
      <c r="E1077" s="209">
        <v>10000002</v>
      </c>
      <c r="F1077" s="209">
        <v>20000337</v>
      </c>
      <c r="G1077" s="209" t="s">
        <v>105</v>
      </c>
      <c r="H1077" s="209">
        <v>20000337</v>
      </c>
      <c r="I1077" s="209">
        <v>2</v>
      </c>
      <c r="J1077" s="209" t="s">
        <v>169</v>
      </c>
      <c r="K1077" s="209" t="s">
        <v>2376</v>
      </c>
      <c r="L1077" s="209" t="s">
        <v>171</v>
      </c>
      <c r="M1077" s="209" t="s">
        <v>172</v>
      </c>
      <c r="N1077" s="209">
        <v>50039302</v>
      </c>
      <c r="O1077" s="209" t="s">
        <v>1942</v>
      </c>
      <c r="P1077" s="209">
        <v>5121</v>
      </c>
      <c r="Q1077" s="209" t="s">
        <v>174</v>
      </c>
      <c r="R1077" s="209" t="s">
        <v>175</v>
      </c>
      <c r="S1077" s="209" t="s">
        <v>176</v>
      </c>
      <c r="T1077" s="209" t="s">
        <v>177</v>
      </c>
      <c r="U1077" s="209" t="s">
        <v>178</v>
      </c>
      <c r="V1077" s="209" t="s">
        <v>179</v>
      </c>
      <c r="W1077" s="209" t="s">
        <v>179</v>
      </c>
      <c r="X1077" s="209" t="s">
        <v>180</v>
      </c>
      <c r="Y1077" s="209" t="s">
        <v>180</v>
      </c>
      <c r="Z1077" s="209" t="s">
        <v>2287</v>
      </c>
      <c r="AA1077" s="209" t="s">
        <v>2288</v>
      </c>
      <c r="AB1077" s="209" t="s">
        <v>180</v>
      </c>
      <c r="AC1077" s="209" t="s">
        <v>182</v>
      </c>
      <c r="AD1077" s="209">
        <v>4</v>
      </c>
      <c r="AE1077" s="209">
        <v>2025</v>
      </c>
      <c r="AF1077" s="227">
        <v>45776</v>
      </c>
      <c r="AG1077" s="227">
        <v>45810</v>
      </c>
      <c r="AH1077" s="227">
        <v>45810</v>
      </c>
      <c r="AI1077" s="228">
        <v>399360</v>
      </c>
      <c r="AJ1077" s="228">
        <v>52</v>
      </c>
      <c r="AK1077" s="228">
        <v>399360</v>
      </c>
      <c r="AL1077" s="228">
        <v>52</v>
      </c>
      <c r="AM1077" s="228">
        <v>0</v>
      </c>
      <c r="AN1077" s="228">
        <v>0</v>
      </c>
      <c r="AO1077" s="229">
        <v>18</v>
      </c>
      <c r="AP1077" s="231">
        <v>6</v>
      </c>
      <c r="AQ1077" s="231">
        <v>2025</v>
      </c>
      <c r="AR1077" s="231" t="str">
        <f t="shared" si="150"/>
        <v>06/2025</v>
      </c>
      <c r="AS1077" s="231">
        <f t="shared" si="151"/>
        <v>46.6</v>
      </c>
      <c r="AT1077" s="239">
        <f>IF(G1077="CERVECERIA Y MALTERIA",(AS1077*AK1077/1000000)*(1-VLOOKUP(N1077,FCST!D:I,6,FALSE)),0)</f>
        <v>18.610175999999999</v>
      </c>
      <c r="AU1077" s="232">
        <v>5.0000000000000001E-3</v>
      </c>
      <c r="AV1077" s="239">
        <f t="shared" si="152"/>
        <v>18.703226879999995</v>
      </c>
      <c r="AW1077" s="239">
        <f>(AS1077*AK1077/1000000)*(VLOOKUP(N1077,FCST!D:I,6,FALSE))</f>
        <v>0</v>
      </c>
      <c r="AX1077" s="239">
        <f t="shared" si="153"/>
        <v>0</v>
      </c>
      <c r="AY1077" s="239">
        <f>IF($G1077="CERVECERIA Y MALTERIA.",($AS1077*$AK1077/1000000)*(1-VLOOKUP($N1077,FCST!D:I,6,FALSE)),0)</f>
        <v>0</v>
      </c>
      <c r="AZ1077" s="239">
        <f t="shared" si="154"/>
        <v>0</v>
      </c>
    </row>
    <row r="1078" spans="1:52" x14ac:dyDescent="0.25">
      <c r="A1078" s="209">
        <v>1124828</v>
      </c>
      <c r="B1078" s="209">
        <v>40</v>
      </c>
      <c r="C1078" s="209" t="s">
        <v>2377</v>
      </c>
      <c r="D1078" s="209">
        <v>10</v>
      </c>
      <c r="E1078" s="209">
        <v>10000002</v>
      </c>
      <c r="F1078" s="209">
        <v>20000335</v>
      </c>
      <c r="G1078" s="209" t="s">
        <v>105</v>
      </c>
      <c r="H1078" s="209">
        <v>20000335</v>
      </c>
      <c r="I1078" s="209">
        <v>2</v>
      </c>
      <c r="J1078" s="209" t="s">
        <v>169</v>
      </c>
      <c r="K1078" s="209" t="s">
        <v>2378</v>
      </c>
      <c r="L1078" s="209" t="s">
        <v>171</v>
      </c>
      <c r="M1078" s="209" t="s">
        <v>199</v>
      </c>
      <c r="N1078" s="209">
        <v>50037887</v>
      </c>
      <c r="O1078" s="209" t="s">
        <v>679</v>
      </c>
      <c r="P1078" s="209">
        <v>5121</v>
      </c>
      <c r="Q1078" s="209" t="s">
        <v>200</v>
      </c>
      <c r="R1078" s="209" t="s">
        <v>201</v>
      </c>
      <c r="S1078" s="209" t="s">
        <v>202</v>
      </c>
      <c r="T1078" s="209" t="s">
        <v>203</v>
      </c>
      <c r="U1078" s="209" t="s">
        <v>201</v>
      </c>
      <c r="V1078" s="209" t="s">
        <v>179</v>
      </c>
      <c r="W1078" s="209" t="s">
        <v>179</v>
      </c>
      <c r="X1078" s="209" t="s">
        <v>180</v>
      </c>
      <c r="Y1078" s="209" t="s">
        <v>180</v>
      </c>
      <c r="Z1078" s="209" t="s">
        <v>2379</v>
      </c>
      <c r="AA1078" s="209" t="s">
        <v>2380</v>
      </c>
      <c r="AB1078" s="209" t="s">
        <v>180</v>
      </c>
      <c r="AC1078" s="209" t="s">
        <v>182</v>
      </c>
      <c r="AD1078" s="209">
        <v>6</v>
      </c>
      <c r="AE1078" s="209">
        <v>2025</v>
      </c>
      <c r="AF1078" s="227">
        <v>45827</v>
      </c>
      <c r="AG1078" s="227">
        <v>45832</v>
      </c>
      <c r="AH1078" s="227">
        <v>45833</v>
      </c>
      <c r="AI1078" s="228">
        <v>531648</v>
      </c>
      <c r="AJ1078" s="228">
        <v>52</v>
      </c>
      <c r="AK1078" s="228">
        <v>531648</v>
      </c>
      <c r="AL1078" s="228">
        <v>52</v>
      </c>
      <c r="AM1078" s="228">
        <v>0</v>
      </c>
      <c r="AN1078" s="228">
        <v>0</v>
      </c>
      <c r="AO1078" s="229">
        <v>26</v>
      </c>
      <c r="AP1078" s="231">
        <v>6</v>
      </c>
      <c r="AQ1078" s="231">
        <v>2025</v>
      </c>
      <c r="AR1078" s="231" t="str">
        <f t="shared" si="150"/>
        <v>06/2025</v>
      </c>
      <c r="AS1078" s="231">
        <f t="shared" si="151"/>
        <v>37.200000000000003</v>
      </c>
      <c r="AT1078" s="239">
        <f>IF(G1078="CERVECERIA Y MALTERIA",(AS1078*AK1078/1000000)*(1-VLOOKUP(N1078,FCST!D:I,6,FALSE)),0)</f>
        <v>19.777305600000002</v>
      </c>
      <c r="AU1078" s="232">
        <v>5.0000000000000001E-3</v>
      </c>
      <c r="AV1078" s="239">
        <f t="shared" si="152"/>
        <v>19.876192128</v>
      </c>
      <c r="AW1078" s="239">
        <f>(AS1078*AK1078/1000000)*(VLOOKUP(N1078,FCST!D:I,6,FALSE))</f>
        <v>0</v>
      </c>
      <c r="AX1078" s="239">
        <f t="shared" si="153"/>
        <v>0</v>
      </c>
      <c r="AY1078" s="239">
        <f>IF($G1078="CERVECERIA Y MALTERIA.",($AS1078*$AK1078/1000000)*(1-VLOOKUP($N1078,FCST!D:I,6,FALSE)),0)</f>
        <v>0</v>
      </c>
      <c r="AZ1078" s="239">
        <f t="shared" si="154"/>
        <v>0</v>
      </c>
    </row>
    <row r="1079" spans="1:52" x14ac:dyDescent="0.25">
      <c r="A1079" s="209">
        <v>1125137</v>
      </c>
      <c r="B1079" s="209">
        <v>10</v>
      </c>
      <c r="C1079" s="209" t="s">
        <v>2381</v>
      </c>
      <c r="D1079" s="209">
        <v>10</v>
      </c>
      <c r="E1079" s="209">
        <v>10000002</v>
      </c>
      <c r="F1079" s="209">
        <v>20000339</v>
      </c>
      <c r="G1079" s="209" t="s">
        <v>105</v>
      </c>
      <c r="H1079" s="209">
        <v>20000339</v>
      </c>
      <c r="I1079" s="209">
        <v>2</v>
      </c>
      <c r="J1079" s="209" t="s">
        <v>169</v>
      </c>
      <c r="K1079" s="209" t="s">
        <v>2382</v>
      </c>
      <c r="L1079" s="209" t="s">
        <v>171</v>
      </c>
      <c r="M1079" s="209" t="s">
        <v>227</v>
      </c>
      <c r="N1079" s="209">
        <v>50036287</v>
      </c>
      <c r="O1079" s="209" t="s">
        <v>2191</v>
      </c>
      <c r="P1079" s="209">
        <v>5121</v>
      </c>
      <c r="Q1079" s="209" t="s">
        <v>228</v>
      </c>
      <c r="R1079" s="209" t="s">
        <v>229</v>
      </c>
      <c r="S1079" s="209" t="s">
        <v>230</v>
      </c>
      <c r="T1079" s="209" t="s">
        <v>231</v>
      </c>
      <c r="U1079" s="209" t="s">
        <v>232</v>
      </c>
      <c r="V1079" s="209" t="s">
        <v>179</v>
      </c>
      <c r="W1079" s="209" t="s">
        <v>179</v>
      </c>
      <c r="X1079" s="209" t="s">
        <v>180</v>
      </c>
      <c r="Y1079" s="209" t="s">
        <v>180</v>
      </c>
      <c r="Z1079" s="209" t="s">
        <v>2383</v>
      </c>
      <c r="AA1079" s="209" t="s">
        <v>2384</v>
      </c>
      <c r="AB1079" s="209" t="s">
        <v>180</v>
      </c>
      <c r="AC1079" s="209" t="s">
        <v>182</v>
      </c>
      <c r="AD1079" s="209">
        <v>6</v>
      </c>
      <c r="AE1079" s="209">
        <v>2025</v>
      </c>
      <c r="AF1079" s="227">
        <v>45831</v>
      </c>
      <c r="AG1079" s="227">
        <v>45833</v>
      </c>
      <c r="AH1079" s="227">
        <v>45833</v>
      </c>
      <c r="AI1079" s="228">
        <v>363168</v>
      </c>
      <c r="AJ1079" s="228">
        <v>52</v>
      </c>
      <c r="AK1079" s="228">
        <v>363168</v>
      </c>
      <c r="AL1079" s="228">
        <v>52</v>
      </c>
      <c r="AM1079" s="228">
        <v>0</v>
      </c>
      <c r="AN1079" s="228">
        <v>0</v>
      </c>
      <c r="AO1079" s="229">
        <v>26</v>
      </c>
      <c r="AP1079" s="231">
        <v>6</v>
      </c>
      <c r="AQ1079" s="231">
        <v>2025</v>
      </c>
      <c r="AR1079" s="231" t="str">
        <f t="shared" si="150"/>
        <v>06/2025</v>
      </c>
      <c r="AS1079" s="231">
        <f t="shared" si="151"/>
        <v>52</v>
      </c>
      <c r="AT1079" s="239">
        <f>IF(G1079="CERVECERIA Y MALTERIA",(AS1079*AK1079/1000000)*(1-VLOOKUP(N1079,FCST!D:I,6,FALSE)),0)</f>
        <v>18.884736</v>
      </c>
      <c r="AU1079" s="232">
        <v>5.0000000000000001E-3</v>
      </c>
      <c r="AV1079" s="239">
        <f t="shared" si="152"/>
        <v>18.979159679999999</v>
      </c>
      <c r="AW1079" s="239">
        <f>(AS1079*AK1079/1000000)*(VLOOKUP(N1079,FCST!D:I,6,FALSE))</f>
        <v>0</v>
      </c>
      <c r="AX1079" s="239">
        <f t="shared" si="153"/>
        <v>0</v>
      </c>
      <c r="AY1079" s="239">
        <f>IF($G1079="CERVECERIA Y MALTERIA.",($AS1079*$AK1079/1000000)*(1-VLOOKUP($N1079,FCST!D:I,6,FALSE)),0)</f>
        <v>0</v>
      </c>
      <c r="AZ1079" s="239">
        <f t="shared" si="154"/>
        <v>0</v>
      </c>
    </row>
    <row r="1080" spans="1:52" x14ac:dyDescent="0.25">
      <c r="A1080" s="209">
        <v>1123689</v>
      </c>
      <c r="B1080" s="209">
        <v>50</v>
      </c>
      <c r="C1080" s="209" t="s">
        <v>2385</v>
      </c>
      <c r="D1080" s="209">
        <v>10</v>
      </c>
      <c r="E1080" s="209">
        <v>10000002</v>
      </c>
      <c r="F1080" s="209">
        <v>20000335</v>
      </c>
      <c r="G1080" s="209" t="s">
        <v>105</v>
      </c>
      <c r="H1080" s="209">
        <v>20000335</v>
      </c>
      <c r="I1080" s="209">
        <v>2</v>
      </c>
      <c r="J1080" s="209" t="s">
        <v>169</v>
      </c>
      <c r="K1080" s="209" t="s">
        <v>2386</v>
      </c>
      <c r="L1080" s="209" t="s">
        <v>171</v>
      </c>
      <c r="M1080" s="209" t="s">
        <v>199</v>
      </c>
      <c r="N1080" s="209">
        <v>50035184</v>
      </c>
      <c r="O1080" s="209" t="s">
        <v>672</v>
      </c>
      <c r="P1080" s="209">
        <v>5121</v>
      </c>
      <c r="Q1080" s="209" t="s">
        <v>200</v>
      </c>
      <c r="R1080" s="209" t="s">
        <v>201</v>
      </c>
      <c r="S1080" s="209" t="s">
        <v>202</v>
      </c>
      <c r="T1080" s="209" t="s">
        <v>203</v>
      </c>
      <c r="U1080" s="209" t="s">
        <v>201</v>
      </c>
      <c r="V1080" s="209" t="s">
        <v>179</v>
      </c>
      <c r="W1080" s="209" t="s">
        <v>179</v>
      </c>
      <c r="X1080" s="209" t="s">
        <v>180</v>
      </c>
      <c r="Y1080" s="209" t="s">
        <v>180</v>
      </c>
      <c r="Z1080" s="209" t="s">
        <v>2335</v>
      </c>
      <c r="AA1080" s="209" t="s">
        <v>2336</v>
      </c>
      <c r="AB1080" s="209" t="s">
        <v>180</v>
      </c>
      <c r="AC1080" s="209" t="s">
        <v>182</v>
      </c>
      <c r="AD1080" s="209">
        <v>6</v>
      </c>
      <c r="AE1080" s="209">
        <v>2025</v>
      </c>
      <c r="AF1080" s="227">
        <v>45821</v>
      </c>
      <c r="AG1080" s="227">
        <v>45827</v>
      </c>
      <c r="AH1080" s="227">
        <v>45827</v>
      </c>
      <c r="AI1080" s="228">
        <v>977184</v>
      </c>
      <c r="AJ1080" s="228">
        <v>52</v>
      </c>
      <c r="AK1080" s="228">
        <v>977184</v>
      </c>
      <c r="AL1080" s="228">
        <v>52</v>
      </c>
      <c r="AM1080" s="228">
        <v>0</v>
      </c>
      <c r="AN1080" s="228">
        <v>0</v>
      </c>
      <c r="AO1080" s="229">
        <v>25</v>
      </c>
      <c r="AP1080" s="231">
        <v>6</v>
      </c>
      <c r="AQ1080" s="231">
        <v>2025</v>
      </c>
      <c r="AR1080" s="231" t="str">
        <f t="shared" si="150"/>
        <v>06/2025</v>
      </c>
      <c r="AS1080" s="231">
        <f t="shared" si="151"/>
        <v>19.5</v>
      </c>
      <c r="AT1080" s="239">
        <f>IF(G1080="CERVECERIA Y MALTERIA",(AS1080*AK1080/1000000)*(1-VLOOKUP(N1080,FCST!D:I,6,FALSE)),0)</f>
        <v>19.055088000000001</v>
      </c>
      <c r="AU1080" s="232">
        <v>5.0000000000000001E-3</v>
      </c>
      <c r="AV1080" s="239">
        <f t="shared" si="152"/>
        <v>19.15036344</v>
      </c>
      <c r="AW1080" s="239">
        <f>(AS1080*AK1080/1000000)*(VLOOKUP(N1080,FCST!D:I,6,FALSE))</f>
        <v>0</v>
      </c>
      <c r="AX1080" s="239">
        <f t="shared" si="153"/>
        <v>0</v>
      </c>
      <c r="AY1080" s="239">
        <f>IF($G1080="CERVECERIA Y MALTERIA.",($AS1080*$AK1080/1000000)*(1-VLOOKUP($N1080,FCST!D:I,6,FALSE)),0)</f>
        <v>0</v>
      </c>
      <c r="AZ1080" s="239">
        <f t="shared" si="154"/>
        <v>0</v>
      </c>
    </row>
    <row r="1081" spans="1:52" x14ac:dyDescent="0.25">
      <c r="A1081" s="209">
        <v>1124828</v>
      </c>
      <c r="B1081" s="209">
        <v>20</v>
      </c>
      <c r="C1081" s="209" t="s">
        <v>2387</v>
      </c>
      <c r="D1081" s="209">
        <v>10</v>
      </c>
      <c r="E1081" s="209">
        <v>10000002</v>
      </c>
      <c r="F1081" s="209">
        <v>20000335</v>
      </c>
      <c r="G1081" s="209" t="s">
        <v>105</v>
      </c>
      <c r="H1081" s="209">
        <v>20000335</v>
      </c>
      <c r="I1081" s="209">
        <v>2</v>
      </c>
      <c r="J1081" s="209" t="s">
        <v>169</v>
      </c>
      <c r="K1081" s="209" t="s">
        <v>2388</v>
      </c>
      <c r="L1081" s="209" t="s">
        <v>171</v>
      </c>
      <c r="M1081" s="209" t="s">
        <v>199</v>
      </c>
      <c r="N1081" s="209">
        <v>50037887</v>
      </c>
      <c r="O1081" s="209" t="s">
        <v>679</v>
      </c>
      <c r="P1081" s="209">
        <v>5121</v>
      </c>
      <c r="Q1081" s="209" t="s">
        <v>200</v>
      </c>
      <c r="R1081" s="209" t="s">
        <v>201</v>
      </c>
      <c r="S1081" s="209" t="s">
        <v>202</v>
      </c>
      <c r="T1081" s="209" t="s">
        <v>203</v>
      </c>
      <c r="U1081" s="209" t="s">
        <v>201</v>
      </c>
      <c r="V1081" s="209" t="s">
        <v>179</v>
      </c>
      <c r="W1081" s="209" t="s">
        <v>179</v>
      </c>
      <c r="X1081" s="209" t="s">
        <v>180</v>
      </c>
      <c r="Y1081" s="209" t="s">
        <v>180</v>
      </c>
      <c r="Z1081" s="209" t="s">
        <v>2389</v>
      </c>
      <c r="AA1081" s="209" t="s">
        <v>2390</v>
      </c>
      <c r="AB1081" s="209" t="s">
        <v>180</v>
      </c>
      <c r="AC1081" s="209" t="s">
        <v>182</v>
      </c>
      <c r="AD1081" s="209">
        <v>6</v>
      </c>
      <c r="AE1081" s="209">
        <v>2025</v>
      </c>
      <c r="AF1081" s="227">
        <v>45827</v>
      </c>
      <c r="AG1081" s="227">
        <v>45831</v>
      </c>
      <c r="AH1081" s="227">
        <v>45831</v>
      </c>
      <c r="AI1081" s="228">
        <v>531648</v>
      </c>
      <c r="AJ1081" s="228">
        <v>52</v>
      </c>
      <c r="AK1081" s="228">
        <v>531648</v>
      </c>
      <c r="AL1081" s="228">
        <v>52</v>
      </c>
      <c r="AM1081" s="228">
        <v>0</v>
      </c>
      <c r="AN1081" s="228">
        <v>0</v>
      </c>
      <c r="AO1081" s="229">
        <v>26</v>
      </c>
      <c r="AP1081" s="231">
        <v>6</v>
      </c>
      <c r="AQ1081" s="231">
        <v>2025</v>
      </c>
      <c r="AR1081" s="231" t="str">
        <f t="shared" si="150"/>
        <v>06/2025</v>
      </c>
      <c r="AS1081" s="231">
        <f t="shared" si="151"/>
        <v>37.200000000000003</v>
      </c>
      <c r="AT1081" s="239">
        <f>IF(G1081="CERVECERIA Y MALTERIA",(AS1081*AK1081/1000000)*(1-VLOOKUP(N1081,FCST!D:I,6,FALSE)),0)</f>
        <v>19.777305600000002</v>
      </c>
      <c r="AU1081" s="232">
        <v>5.0000000000000001E-3</v>
      </c>
      <c r="AV1081" s="239">
        <f t="shared" si="152"/>
        <v>19.876192128</v>
      </c>
      <c r="AW1081" s="239">
        <f>(AS1081*AK1081/1000000)*(VLOOKUP(N1081,FCST!D:I,6,FALSE))</f>
        <v>0</v>
      </c>
      <c r="AX1081" s="239">
        <f t="shared" si="153"/>
        <v>0</v>
      </c>
      <c r="AY1081" s="239">
        <f>IF($G1081="CERVECERIA Y MALTERIA.",($AS1081*$AK1081/1000000)*(1-VLOOKUP($N1081,FCST!D:I,6,FALSE)),0)</f>
        <v>0</v>
      </c>
      <c r="AZ1081" s="239">
        <f t="shared" si="154"/>
        <v>0</v>
      </c>
    </row>
    <row r="1082" spans="1:52" x14ac:dyDescent="0.25">
      <c r="A1082" s="209">
        <v>1124126</v>
      </c>
      <c r="B1082" s="209">
        <v>50</v>
      </c>
      <c r="C1082" s="209" t="s">
        <v>2391</v>
      </c>
      <c r="D1082" s="209">
        <v>10</v>
      </c>
      <c r="E1082" s="209">
        <v>10000002</v>
      </c>
      <c r="F1082" s="209">
        <v>20000337</v>
      </c>
      <c r="G1082" s="209" t="s">
        <v>105</v>
      </c>
      <c r="H1082" s="209">
        <v>20000337</v>
      </c>
      <c r="I1082" s="209">
        <v>2</v>
      </c>
      <c r="J1082" s="209" t="s">
        <v>169</v>
      </c>
      <c r="K1082" s="209" t="s">
        <v>2392</v>
      </c>
      <c r="L1082" s="209" t="s">
        <v>246</v>
      </c>
      <c r="M1082" s="209" t="s">
        <v>199</v>
      </c>
      <c r="N1082" s="209">
        <v>50025345</v>
      </c>
      <c r="O1082" s="209" t="s">
        <v>1998</v>
      </c>
      <c r="P1082" s="209">
        <v>5121</v>
      </c>
      <c r="Q1082" s="209" t="s">
        <v>200</v>
      </c>
      <c r="R1082" s="209" t="s">
        <v>201</v>
      </c>
      <c r="S1082" s="209" t="s">
        <v>202</v>
      </c>
      <c r="T1082" s="209" t="s">
        <v>203</v>
      </c>
      <c r="U1082" s="209" t="s">
        <v>201</v>
      </c>
      <c r="V1082" s="209" t="s">
        <v>179</v>
      </c>
      <c r="W1082" s="209" t="s">
        <v>179</v>
      </c>
      <c r="X1082" s="209" t="s">
        <v>180</v>
      </c>
      <c r="Y1082" s="209" t="s">
        <v>180</v>
      </c>
      <c r="Z1082" s="209" t="s">
        <v>2393</v>
      </c>
      <c r="AA1082" s="209" t="s">
        <v>2394</v>
      </c>
      <c r="AB1082" s="209" t="s">
        <v>180</v>
      </c>
      <c r="AC1082" s="209" t="s">
        <v>182</v>
      </c>
      <c r="AD1082" s="209">
        <v>6</v>
      </c>
      <c r="AE1082" s="209">
        <v>2025</v>
      </c>
      <c r="AF1082" s="227">
        <v>45825</v>
      </c>
      <c r="AG1082" s="227">
        <v>45833</v>
      </c>
      <c r="AH1082" s="227">
        <v>45832</v>
      </c>
      <c r="AI1082" s="228">
        <v>426816</v>
      </c>
      <c r="AJ1082" s="228">
        <v>52</v>
      </c>
      <c r="AK1082" s="228">
        <v>426816</v>
      </c>
      <c r="AL1082" s="228">
        <v>52</v>
      </c>
      <c r="AM1082" s="228">
        <v>0</v>
      </c>
      <c r="AN1082" s="228">
        <v>0</v>
      </c>
      <c r="AO1082" s="229">
        <v>25</v>
      </c>
      <c r="AP1082" s="231">
        <v>6</v>
      </c>
      <c r="AQ1082" s="231">
        <v>2025</v>
      </c>
      <c r="AR1082" s="231" t="str">
        <f t="shared" si="150"/>
        <v>06/2025</v>
      </c>
      <c r="AS1082" s="231">
        <f t="shared" si="151"/>
        <v>46.6</v>
      </c>
      <c r="AT1082" s="239">
        <f>IF(G1082="CERVECERIA Y MALTERIA",(AS1082*AK1082/1000000)*(1-VLOOKUP(N1082,FCST!D:I,6,FALSE)),0)</f>
        <v>19.889625600000002</v>
      </c>
      <c r="AU1082" s="232">
        <v>5.0000000000000001E-3</v>
      </c>
      <c r="AV1082" s="239">
        <f t="shared" si="152"/>
        <v>19.989073728000001</v>
      </c>
      <c r="AW1082" s="239">
        <f>(AS1082*AK1082/1000000)*(VLOOKUP(N1082,FCST!D:I,6,FALSE))</f>
        <v>0</v>
      </c>
      <c r="AX1082" s="239">
        <f t="shared" si="153"/>
        <v>0</v>
      </c>
      <c r="AY1082" s="239">
        <f>IF($G1082="CERVECERIA Y MALTERIA.",($AS1082*$AK1082/1000000)*(1-VLOOKUP($N1082,FCST!D:I,6,FALSE)),0)</f>
        <v>0</v>
      </c>
      <c r="AZ1082" s="239">
        <f t="shared" si="154"/>
        <v>0</v>
      </c>
    </row>
    <row r="1083" spans="1:52" x14ac:dyDescent="0.25">
      <c r="A1083" s="209">
        <v>1124828</v>
      </c>
      <c r="B1083" s="209">
        <v>60</v>
      </c>
      <c r="C1083" s="209" t="s">
        <v>2395</v>
      </c>
      <c r="D1083" s="209">
        <v>10</v>
      </c>
      <c r="E1083" s="209">
        <v>10000002</v>
      </c>
      <c r="F1083" s="209">
        <v>20000335</v>
      </c>
      <c r="G1083" s="209" t="s">
        <v>105</v>
      </c>
      <c r="H1083" s="209">
        <v>20000335</v>
      </c>
      <c r="I1083" s="209">
        <v>2</v>
      </c>
      <c r="J1083" s="209" t="s">
        <v>169</v>
      </c>
      <c r="K1083" s="209" t="s">
        <v>2396</v>
      </c>
      <c r="L1083" s="209" t="s">
        <v>171</v>
      </c>
      <c r="M1083" s="209" t="s">
        <v>199</v>
      </c>
      <c r="N1083" s="209">
        <v>50021818</v>
      </c>
      <c r="O1083" s="209" t="s">
        <v>2170</v>
      </c>
      <c r="P1083" s="209">
        <v>5121</v>
      </c>
      <c r="Q1083" s="209" t="s">
        <v>200</v>
      </c>
      <c r="R1083" s="209" t="s">
        <v>201</v>
      </c>
      <c r="S1083" s="209" t="s">
        <v>202</v>
      </c>
      <c r="T1083" s="209" t="s">
        <v>203</v>
      </c>
      <c r="U1083" s="209" t="s">
        <v>201</v>
      </c>
      <c r="V1083" s="209" t="s">
        <v>179</v>
      </c>
      <c r="W1083" s="209" t="s">
        <v>179</v>
      </c>
      <c r="X1083" s="209" t="s">
        <v>180</v>
      </c>
      <c r="Y1083" s="209" t="s">
        <v>180</v>
      </c>
      <c r="Z1083" s="209" t="s">
        <v>2397</v>
      </c>
      <c r="AA1083" s="209" t="s">
        <v>2398</v>
      </c>
      <c r="AB1083" s="209" t="s">
        <v>180</v>
      </c>
      <c r="AC1083" s="209" t="s">
        <v>182</v>
      </c>
      <c r="AD1083" s="209">
        <v>6</v>
      </c>
      <c r="AE1083" s="209">
        <v>2025</v>
      </c>
      <c r="AF1083" s="227">
        <v>45827</v>
      </c>
      <c r="AG1083" s="227">
        <v>45832</v>
      </c>
      <c r="AH1083" s="227">
        <v>45832</v>
      </c>
      <c r="AI1083" s="228">
        <v>426816</v>
      </c>
      <c r="AJ1083" s="228">
        <v>52</v>
      </c>
      <c r="AK1083" s="228">
        <v>426816</v>
      </c>
      <c r="AL1083" s="228">
        <v>52</v>
      </c>
      <c r="AM1083" s="228">
        <v>0</v>
      </c>
      <c r="AN1083" s="228">
        <v>0</v>
      </c>
      <c r="AO1083" s="229">
        <v>26</v>
      </c>
      <c r="AP1083" s="231">
        <v>6</v>
      </c>
      <c r="AQ1083" s="231">
        <v>2025</v>
      </c>
      <c r="AR1083" s="231" t="str">
        <f t="shared" si="150"/>
        <v>06/2025</v>
      </c>
      <c r="AS1083" s="231">
        <f t="shared" si="151"/>
        <v>46.6</v>
      </c>
      <c r="AT1083" s="239">
        <f>IF(G1083="CERVECERIA Y MALTERIA",(AS1083*AK1083/1000000)*(1-VLOOKUP(N1083,FCST!D:I,6,FALSE)),0)</f>
        <v>19.889625600000002</v>
      </c>
      <c r="AU1083" s="232">
        <v>5.0000000000000001E-3</v>
      </c>
      <c r="AV1083" s="239">
        <f t="shared" si="152"/>
        <v>19.989073728000001</v>
      </c>
      <c r="AW1083" s="239">
        <f>(AS1083*AK1083/1000000)*(VLOOKUP(N1083,FCST!D:I,6,FALSE))</f>
        <v>0</v>
      </c>
      <c r="AX1083" s="239">
        <f t="shared" si="153"/>
        <v>0</v>
      </c>
      <c r="AY1083" s="239">
        <f>IF($G1083="CERVECERIA Y MALTERIA.",($AS1083*$AK1083/1000000)*(1-VLOOKUP($N1083,FCST!D:I,6,FALSE)),0)</f>
        <v>0</v>
      </c>
      <c r="AZ1083" s="239">
        <f t="shared" si="154"/>
        <v>0</v>
      </c>
    </row>
    <row r="1084" spans="1:52" x14ac:dyDescent="0.25">
      <c r="A1084" s="209">
        <v>1124828</v>
      </c>
      <c r="B1084" s="209">
        <v>10</v>
      </c>
      <c r="C1084" s="209" t="s">
        <v>2399</v>
      </c>
      <c r="D1084" s="209">
        <v>10</v>
      </c>
      <c r="E1084" s="209">
        <v>10000002</v>
      </c>
      <c r="F1084" s="209">
        <v>20000335</v>
      </c>
      <c r="G1084" s="209" t="s">
        <v>105</v>
      </c>
      <c r="H1084" s="209">
        <v>20000335</v>
      </c>
      <c r="I1084" s="209">
        <v>2</v>
      </c>
      <c r="J1084" s="209" t="s">
        <v>169</v>
      </c>
      <c r="K1084" s="209" t="s">
        <v>2400</v>
      </c>
      <c r="L1084" s="209" t="s">
        <v>171</v>
      </c>
      <c r="M1084" s="209" t="s">
        <v>199</v>
      </c>
      <c r="N1084" s="209">
        <v>50037887</v>
      </c>
      <c r="O1084" s="209" t="s">
        <v>679</v>
      </c>
      <c r="P1084" s="209">
        <v>5121</v>
      </c>
      <c r="Q1084" s="209" t="s">
        <v>200</v>
      </c>
      <c r="R1084" s="209" t="s">
        <v>201</v>
      </c>
      <c r="S1084" s="209" t="s">
        <v>202</v>
      </c>
      <c r="T1084" s="209" t="s">
        <v>203</v>
      </c>
      <c r="U1084" s="209" t="s">
        <v>201</v>
      </c>
      <c r="V1084" s="209" t="s">
        <v>179</v>
      </c>
      <c r="W1084" s="209" t="s">
        <v>179</v>
      </c>
      <c r="X1084" s="209" t="s">
        <v>180</v>
      </c>
      <c r="Y1084" s="209" t="s">
        <v>180</v>
      </c>
      <c r="Z1084" s="209" t="s">
        <v>2401</v>
      </c>
      <c r="AA1084" s="209" t="s">
        <v>2402</v>
      </c>
      <c r="AB1084" s="209" t="s">
        <v>180</v>
      </c>
      <c r="AC1084" s="209" t="s">
        <v>182</v>
      </c>
      <c r="AD1084" s="209">
        <v>6</v>
      </c>
      <c r="AE1084" s="209">
        <v>2025</v>
      </c>
      <c r="AF1084" s="227">
        <v>45827</v>
      </c>
      <c r="AG1084" s="227">
        <v>45831</v>
      </c>
      <c r="AH1084" s="227">
        <v>45831</v>
      </c>
      <c r="AI1084" s="228">
        <v>531648</v>
      </c>
      <c r="AJ1084" s="228">
        <v>52</v>
      </c>
      <c r="AK1084" s="228">
        <v>531648</v>
      </c>
      <c r="AL1084" s="228">
        <v>52</v>
      </c>
      <c r="AM1084" s="228">
        <v>0</v>
      </c>
      <c r="AN1084" s="228">
        <v>0</v>
      </c>
      <c r="AO1084" s="229">
        <v>26</v>
      </c>
      <c r="AP1084" s="231">
        <v>6</v>
      </c>
      <c r="AQ1084" s="231">
        <v>2025</v>
      </c>
      <c r="AR1084" s="231" t="str">
        <f t="shared" si="150"/>
        <v>06/2025</v>
      </c>
      <c r="AS1084" s="231">
        <f t="shared" si="151"/>
        <v>37.200000000000003</v>
      </c>
      <c r="AT1084" s="239">
        <f>IF(G1084="CERVECERIA Y MALTERIA",(AS1084*AK1084/1000000)*(1-VLOOKUP(N1084,FCST!D:I,6,FALSE)),0)</f>
        <v>19.777305600000002</v>
      </c>
      <c r="AU1084" s="232">
        <v>5.0000000000000001E-3</v>
      </c>
      <c r="AV1084" s="239">
        <f t="shared" si="152"/>
        <v>19.876192128</v>
      </c>
      <c r="AW1084" s="239">
        <f>(AS1084*AK1084/1000000)*(VLOOKUP(N1084,FCST!D:I,6,FALSE))</f>
        <v>0</v>
      </c>
      <c r="AX1084" s="239">
        <f t="shared" si="153"/>
        <v>0</v>
      </c>
      <c r="AY1084" s="239">
        <f>IF($G1084="CERVECERIA Y MALTERIA.",($AS1084*$AK1084/1000000)*(1-VLOOKUP($N1084,FCST!D:I,6,FALSE)),0)</f>
        <v>0</v>
      </c>
      <c r="AZ1084" s="239">
        <f t="shared" si="154"/>
        <v>0</v>
      </c>
    </row>
    <row r="1085" spans="1:52" x14ac:dyDescent="0.25">
      <c r="A1085" s="209">
        <v>1125971</v>
      </c>
      <c r="B1085" s="209">
        <v>10</v>
      </c>
      <c r="C1085" s="209" t="s">
        <v>2403</v>
      </c>
      <c r="D1085" s="209">
        <v>10</v>
      </c>
      <c r="E1085" s="209">
        <v>10000002</v>
      </c>
      <c r="F1085" s="209">
        <v>20000335</v>
      </c>
      <c r="G1085" s="209" t="s">
        <v>105</v>
      </c>
      <c r="H1085" s="209">
        <v>20000335</v>
      </c>
      <c r="I1085" s="209">
        <v>2</v>
      </c>
      <c r="J1085" s="209" t="s">
        <v>169</v>
      </c>
      <c r="K1085" s="209" t="s">
        <v>2404</v>
      </c>
      <c r="L1085" s="209" t="s">
        <v>171</v>
      </c>
      <c r="M1085" s="209" t="s">
        <v>199</v>
      </c>
      <c r="N1085" s="209">
        <v>50037887</v>
      </c>
      <c r="O1085" s="209" t="s">
        <v>679</v>
      </c>
      <c r="P1085" s="209">
        <v>5121</v>
      </c>
      <c r="Q1085" s="209" t="s">
        <v>200</v>
      </c>
      <c r="R1085" s="209" t="s">
        <v>201</v>
      </c>
      <c r="S1085" s="209" t="s">
        <v>202</v>
      </c>
      <c r="T1085" s="209" t="s">
        <v>203</v>
      </c>
      <c r="U1085" s="209" t="s">
        <v>201</v>
      </c>
      <c r="V1085" s="209" t="s">
        <v>179</v>
      </c>
      <c r="W1085" s="209" t="s">
        <v>179</v>
      </c>
      <c r="X1085" s="209" t="s">
        <v>180</v>
      </c>
      <c r="Y1085" s="209" t="s">
        <v>180</v>
      </c>
      <c r="Z1085" s="209" t="s">
        <v>2405</v>
      </c>
      <c r="AA1085" s="209" t="s">
        <v>2406</v>
      </c>
      <c r="AB1085" s="209" t="s">
        <v>180</v>
      </c>
      <c r="AC1085" s="209" t="s">
        <v>182</v>
      </c>
      <c r="AD1085" s="209">
        <v>6</v>
      </c>
      <c r="AE1085" s="209">
        <v>2025</v>
      </c>
      <c r="AF1085" s="227">
        <v>45834</v>
      </c>
      <c r="AG1085" s="227">
        <v>45838</v>
      </c>
      <c r="AH1085" s="227">
        <v>45838</v>
      </c>
      <c r="AI1085" s="228">
        <v>531648</v>
      </c>
      <c r="AJ1085" s="228">
        <v>52</v>
      </c>
      <c r="AK1085" s="228">
        <v>531648</v>
      </c>
      <c r="AL1085" s="228">
        <v>52</v>
      </c>
      <c r="AM1085" s="228">
        <v>0</v>
      </c>
      <c r="AN1085" s="228">
        <v>0</v>
      </c>
      <c r="AO1085" s="229">
        <v>27</v>
      </c>
      <c r="AP1085" s="231">
        <v>6</v>
      </c>
      <c r="AQ1085" s="231">
        <v>2025</v>
      </c>
      <c r="AR1085" s="231" t="str">
        <f t="shared" si="150"/>
        <v>06/2025</v>
      </c>
      <c r="AS1085" s="231">
        <f t="shared" si="151"/>
        <v>37.200000000000003</v>
      </c>
      <c r="AT1085" s="239">
        <f>IF(G1085="CERVECERIA Y MALTERIA",(AS1085*AK1085/1000000)*(1-VLOOKUP(N1085,FCST!D:I,6,FALSE)),0)</f>
        <v>19.777305600000002</v>
      </c>
      <c r="AU1085" s="232">
        <v>5.0000000000000001E-3</v>
      </c>
      <c r="AV1085" s="239">
        <f t="shared" si="152"/>
        <v>19.876192128</v>
      </c>
      <c r="AW1085" s="239">
        <f>(AS1085*AK1085/1000000)*(VLOOKUP(N1085,FCST!D:I,6,FALSE))</f>
        <v>0</v>
      </c>
      <c r="AX1085" s="239">
        <f t="shared" si="153"/>
        <v>0</v>
      </c>
      <c r="AY1085" s="239">
        <f>IF($G1085="CERVECERIA Y MALTERIA.",($AS1085*$AK1085/1000000)*(1-VLOOKUP($N1085,FCST!D:I,6,FALSE)),0)</f>
        <v>0</v>
      </c>
      <c r="AZ1085" s="239">
        <f t="shared" si="154"/>
        <v>0</v>
      </c>
    </row>
    <row r="1086" spans="1:52" x14ac:dyDescent="0.25">
      <c r="A1086" s="209">
        <v>1125971</v>
      </c>
      <c r="B1086" s="209">
        <v>20</v>
      </c>
      <c r="C1086" s="209" t="s">
        <v>2407</v>
      </c>
      <c r="D1086" s="209">
        <v>10</v>
      </c>
      <c r="E1086" s="209">
        <v>10000002</v>
      </c>
      <c r="F1086" s="209">
        <v>20000335</v>
      </c>
      <c r="G1086" s="209" t="s">
        <v>105</v>
      </c>
      <c r="H1086" s="209">
        <v>20000335</v>
      </c>
      <c r="I1086" s="209">
        <v>2</v>
      </c>
      <c r="J1086" s="209" t="s">
        <v>169</v>
      </c>
      <c r="K1086" s="209" t="s">
        <v>2408</v>
      </c>
      <c r="L1086" s="209" t="s">
        <v>171</v>
      </c>
      <c r="M1086" s="209" t="s">
        <v>199</v>
      </c>
      <c r="N1086" s="209">
        <v>50037887</v>
      </c>
      <c r="O1086" s="209" t="s">
        <v>679</v>
      </c>
      <c r="P1086" s="209">
        <v>5121</v>
      </c>
      <c r="Q1086" s="209" t="s">
        <v>200</v>
      </c>
      <c r="R1086" s="209" t="s">
        <v>201</v>
      </c>
      <c r="S1086" s="209" t="s">
        <v>202</v>
      </c>
      <c r="T1086" s="209" t="s">
        <v>203</v>
      </c>
      <c r="U1086" s="209" t="s">
        <v>201</v>
      </c>
      <c r="V1086" s="209" t="s">
        <v>179</v>
      </c>
      <c r="W1086" s="209" t="s">
        <v>179</v>
      </c>
      <c r="X1086" s="209" t="s">
        <v>180</v>
      </c>
      <c r="Y1086" s="209" t="s">
        <v>180</v>
      </c>
      <c r="Z1086" s="209" t="s">
        <v>2405</v>
      </c>
      <c r="AA1086" s="209" t="s">
        <v>2406</v>
      </c>
      <c r="AB1086" s="209" t="s">
        <v>180</v>
      </c>
      <c r="AC1086" s="209" t="s">
        <v>182</v>
      </c>
      <c r="AD1086" s="209">
        <v>6</v>
      </c>
      <c r="AE1086" s="209">
        <v>2025</v>
      </c>
      <c r="AF1086" s="227">
        <v>45834</v>
      </c>
      <c r="AG1086" s="227">
        <v>45838</v>
      </c>
      <c r="AH1086" s="227">
        <v>45838</v>
      </c>
      <c r="AI1086" s="228">
        <v>531648</v>
      </c>
      <c r="AJ1086" s="228">
        <v>52</v>
      </c>
      <c r="AK1086" s="228">
        <v>531648</v>
      </c>
      <c r="AL1086" s="228">
        <v>52</v>
      </c>
      <c r="AM1086" s="228">
        <v>0</v>
      </c>
      <c r="AN1086" s="228">
        <v>0</v>
      </c>
      <c r="AO1086" s="229">
        <v>27</v>
      </c>
      <c r="AP1086" s="231">
        <v>6</v>
      </c>
      <c r="AQ1086" s="231">
        <v>2025</v>
      </c>
      <c r="AR1086" s="231" t="str">
        <f t="shared" si="150"/>
        <v>06/2025</v>
      </c>
      <c r="AS1086" s="231">
        <f t="shared" si="151"/>
        <v>37.200000000000003</v>
      </c>
      <c r="AT1086" s="239">
        <f>IF(G1086="CERVECERIA Y MALTERIA",(AS1086*AK1086/1000000)*(1-VLOOKUP(N1086,FCST!D:I,6,FALSE)),0)</f>
        <v>19.777305600000002</v>
      </c>
      <c r="AU1086" s="232">
        <v>5.0000000000000001E-3</v>
      </c>
      <c r="AV1086" s="239">
        <f t="shared" si="152"/>
        <v>19.876192128</v>
      </c>
      <c r="AW1086" s="239">
        <f>(AS1086*AK1086/1000000)*(VLOOKUP(N1086,FCST!D:I,6,FALSE))</f>
        <v>0</v>
      </c>
      <c r="AX1086" s="239">
        <f t="shared" si="153"/>
        <v>0</v>
      </c>
      <c r="AY1086" s="239">
        <f>IF($G1086="CERVECERIA Y MALTERIA.",($AS1086*$AK1086/1000000)*(1-VLOOKUP($N1086,FCST!D:I,6,FALSE)),0)</f>
        <v>0</v>
      </c>
      <c r="AZ1086" s="239">
        <f t="shared" si="154"/>
        <v>0</v>
      </c>
    </row>
    <row r="1087" spans="1:52" x14ac:dyDescent="0.25">
      <c r="A1087" s="209">
        <v>1124828</v>
      </c>
      <c r="B1087" s="209">
        <v>120</v>
      </c>
      <c r="C1087" s="209" t="s">
        <v>2409</v>
      </c>
      <c r="D1087" s="209">
        <v>10</v>
      </c>
      <c r="E1087" s="209">
        <v>10000002</v>
      </c>
      <c r="F1087" s="209">
        <v>20000335</v>
      </c>
      <c r="G1087" s="209" t="s">
        <v>105</v>
      </c>
      <c r="H1087" s="209">
        <v>20000335</v>
      </c>
      <c r="I1087" s="209">
        <v>2</v>
      </c>
      <c r="J1087" s="209" t="s">
        <v>169</v>
      </c>
      <c r="K1087" s="209" t="s">
        <v>2410</v>
      </c>
      <c r="L1087" s="209" t="s">
        <v>171</v>
      </c>
      <c r="M1087" s="209" t="s">
        <v>199</v>
      </c>
      <c r="N1087" s="209">
        <v>50021818</v>
      </c>
      <c r="O1087" s="209" t="s">
        <v>2170</v>
      </c>
      <c r="P1087" s="209">
        <v>5121</v>
      </c>
      <c r="Q1087" s="209" t="s">
        <v>200</v>
      </c>
      <c r="R1087" s="209" t="s">
        <v>201</v>
      </c>
      <c r="S1087" s="209" t="s">
        <v>202</v>
      </c>
      <c r="T1087" s="209" t="s">
        <v>203</v>
      </c>
      <c r="U1087" s="209" t="s">
        <v>201</v>
      </c>
      <c r="V1087" s="209" t="s">
        <v>179</v>
      </c>
      <c r="W1087" s="209" t="s">
        <v>179</v>
      </c>
      <c r="X1087" s="209" t="s">
        <v>180</v>
      </c>
      <c r="Y1087" s="209" t="s">
        <v>180</v>
      </c>
      <c r="Z1087" s="209" t="s">
        <v>2251</v>
      </c>
      <c r="AA1087" s="209" t="s">
        <v>2252</v>
      </c>
      <c r="AB1087" s="209" t="s">
        <v>180</v>
      </c>
      <c r="AC1087" s="209" t="s">
        <v>182</v>
      </c>
      <c r="AD1087" s="209">
        <v>6</v>
      </c>
      <c r="AE1087" s="209">
        <v>2025</v>
      </c>
      <c r="AF1087" s="227">
        <v>45827</v>
      </c>
      <c r="AG1087" s="227">
        <v>45834</v>
      </c>
      <c r="AH1087" s="227">
        <v>45834</v>
      </c>
      <c r="AI1087" s="228">
        <v>426816</v>
      </c>
      <c r="AJ1087" s="228">
        <v>52</v>
      </c>
      <c r="AK1087" s="228">
        <v>426816</v>
      </c>
      <c r="AL1087" s="228">
        <v>52</v>
      </c>
      <c r="AM1087" s="228">
        <v>0</v>
      </c>
      <c r="AN1087" s="228">
        <v>0</v>
      </c>
      <c r="AO1087" s="229">
        <v>26</v>
      </c>
      <c r="AP1087" s="231">
        <v>6</v>
      </c>
      <c r="AQ1087" s="231">
        <v>2025</v>
      </c>
      <c r="AR1087" s="231" t="str">
        <f t="shared" si="150"/>
        <v>06/2025</v>
      </c>
      <c r="AS1087" s="231">
        <f t="shared" si="151"/>
        <v>46.6</v>
      </c>
      <c r="AT1087" s="239">
        <f>IF(G1087="CERVECERIA Y MALTERIA",(AS1087*AK1087/1000000)*(1-VLOOKUP(N1087,FCST!D:I,6,FALSE)),0)</f>
        <v>19.889625600000002</v>
      </c>
      <c r="AU1087" s="232">
        <v>5.0000000000000001E-3</v>
      </c>
      <c r="AV1087" s="239">
        <f t="shared" si="152"/>
        <v>19.989073728000001</v>
      </c>
      <c r="AW1087" s="239">
        <f>(AS1087*AK1087/1000000)*(VLOOKUP(N1087,FCST!D:I,6,FALSE))</f>
        <v>0</v>
      </c>
      <c r="AX1087" s="239">
        <f t="shared" si="153"/>
        <v>0</v>
      </c>
      <c r="AY1087" s="239">
        <f>IF($G1087="CERVECERIA Y MALTERIA.",($AS1087*$AK1087/1000000)*(1-VLOOKUP($N1087,FCST!D:I,6,FALSE)),0)</f>
        <v>0</v>
      </c>
      <c r="AZ1087" s="239">
        <f t="shared" si="154"/>
        <v>0</v>
      </c>
    </row>
    <row r="1088" spans="1:52" x14ac:dyDescent="0.25">
      <c r="A1088" s="209">
        <v>1124828</v>
      </c>
      <c r="B1088" s="209">
        <v>70</v>
      </c>
      <c r="C1088" s="209" t="s">
        <v>2411</v>
      </c>
      <c r="D1088" s="209">
        <v>10</v>
      </c>
      <c r="E1088" s="209">
        <v>10000002</v>
      </c>
      <c r="F1088" s="209">
        <v>20000335</v>
      </c>
      <c r="G1088" s="209" t="s">
        <v>105</v>
      </c>
      <c r="H1088" s="209">
        <v>20000335</v>
      </c>
      <c r="I1088" s="209">
        <v>2</v>
      </c>
      <c r="J1088" s="209" t="s">
        <v>169</v>
      </c>
      <c r="K1088" s="209" t="s">
        <v>2412</v>
      </c>
      <c r="L1088" s="209" t="s">
        <v>171</v>
      </c>
      <c r="M1088" s="209" t="s">
        <v>199</v>
      </c>
      <c r="N1088" s="209">
        <v>50037887</v>
      </c>
      <c r="O1088" s="209" t="s">
        <v>679</v>
      </c>
      <c r="P1088" s="209">
        <v>5121</v>
      </c>
      <c r="Q1088" s="209" t="s">
        <v>200</v>
      </c>
      <c r="R1088" s="209" t="s">
        <v>201</v>
      </c>
      <c r="S1088" s="209" t="s">
        <v>202</v>
      </c>
      <c r="T1088" s="209" t="s">
        <v>203</v>
      </c>
      <c r="U1088" s="209" t="s">
        <v>201</v>
      </c>
      <c r="V1088" s="209" t="s">
        <v>179</v>
      </c>
      <c r="W1088" s="209" t="s">
        <v>179</v>
      </c>
      <c r="X1088" s="209" t="s">
        <v>180</v>
      </c>
      <c r="Y1088" s="209" t="s">
        <v>180</v>
      </c>
      <c r="Z1088" s="209" t="s">
        <v>2413</v>
      </c>
      <c r="AA1088" s="209" t="s">
        <v>2414</v>
      </c>
      <c r="AB1088" s="209" t="s">
        <v>180</v>
      </c>
      <c r="AC1088" s="209" t="s">
        <v>182</v>
      </c>
      <c r="AD1088" s="209">
        <v>6</v>
      </c>
      <c r="AE1088" s="209">
        <v>2025</v>
      </c>
      <c r="AF1088" s="227">
        <v>45827</v>
      </c>
      <c r="AG1088" s="227">
        <v>45833</v>
      </c>
      <c r="AH1088" s="227">
        <v>45833</v>
      </c>
      <c r="AI1088" s="228">
        <v>531648</v>
      </c>
      <c r="AJ1088" s="228">
        <v>52</v>
      </c>
      <c r="AK1088" s="228">
        <v>531648</v>
      </c>
      <c r="AL1088" s="228">
        <v>52</v>
      </c>
      <c r="AM1088" s="228">
        <v>0</v>
      </c>
      <c r="AN1088" s="228">
        <v>0</v>
      </c>
      <c r="AO1088" s="229">
        <v>26</v>
      </c>
      <c r="AP1088" s="231">
        <v>6</v>
      </c>
      <c r="AQ1088" s="231">
        <v>2025</v>
      </c>
      <c r="AR1088" s="231" t="str">
        <f t="shared" si="150"/>
        <v>06/2025</v>
      </c>
      <c r="AS1088" s="231">
        <f t="shared" si="151"/>
        <v>37.200000000000003</v>
      </c>
      <c r="AT1088" s="239">
        <f>IF(G1088="CERVECERIA Y MALTERIA",(AS1088*AK1088/1000000)*(1-VLOOKUP(N1088,FCST!D:I,6,FALSE)),0)</f>
        <v>19.777305600000002</v>
      </c>
      <c r="AU1088" s="232">
        <v>5.0000000000000001E-3</v>
      </c>
      <c r="AV1088" s="239">
        <f t="shared" si="152"/>
        <v>19.876192128</v>
      </c>
      <c r="AW1088" s="239">
        <f>(AS1088*AK1088/1000000)*(VLOOKUP(N1088,FCST!D:I,6,FALSE))</f>
        <v>0</v>
      </c>
      <c r="AX1088" s="239">
        <f t="shared" si="153"/>
        <v>0</v>
      </c>
      <c r="AY1088" s="239">
        <f>IF($G1088="CERVECERIA Y MALTERIA.",($AS1088*$AK1088/1000000)*(1-VLOOKUP($N1088,FCST!D:I,6,FALSE)),0)</f>
        <v>0</v>
      </c>
      <c r="AZ1088" s="239">
        <f t="shared" si="154"/>
        <v>0</v>
      </c>
    </row>
    <row r="1089" spans="1:52" x14ac:dyDescent="0.25">
      <c r="A1089" s="209">
        <v>1124828</v>
      </c>
      <c r="B1089" s="209">
        <v>90</v>
      </c>
      <c r="C1089" s="209" t="s">
        <v>2415</v>
      </c>
      <c r="D1089" s="209">
        <v>10</v>
      </c>
      <c r="E1089" s="209">
        <v>10000002</v>
      </c>
      <c r="F1089" s="209">
        <v>20000335</v>
      </c>
      <c r="G1089" s="209" t="s">
        <v>105</v>
      </c>
      <c r="H1089" s="209">
        <v>20000335</v>
      </c>
      <c r="I1089" s="209">
        <v>2</v>
      </c>
      <c r="J1089" s="209" t="s">
        <v>169</v>
      </c>
      <c r="K1089" s="209" t="s">
        <v>2416</v>
      </c>
      <c r="L1089" s="209" t="s">
        <v>171</v>
      </c>
      <c r="M1089" s="209" t="s">
        <v>199</v>
      </c>
      <c r="N1089" s="209">
        <v>50021818</v>
      </c>
      <c r="O1089" s="209" t="s">
        <v>2170</v>
      </c>
      <c r="P1089" s="209">
        <v>5121</v>
      </c>
      <c r="Q1089" s="209" t="s">
        <v>200</v>
      </c>
      <c r="R1089" s="209" t="s">
        <v>201</v>
      </c>
      <c r="S1089" s="209" t="s">
        <v>202</v>
      </c>
      <c r="T1089" s="209" t="s">
        <v>203</v>
      </c>
      <c r="U1089" s="209" t="s">
        <v>201</v>
      </c>
      <c r="V1089" s="209" t="s">
        <v>179</v>
      </c>
      <c r="W1089" s="209" t="s">
        <v>179</v>
      </c>
      <c r="X1089" s="209" t="s">
        <v>180</v>
      </c>
      <c r="Y1089" s="209" t="s">
        <v>180</v>
      </c>
      <c r="Z1089" s="209" t="s">
        <v>2417</v>
      </c>
      <c r="AA1089" s="209" t="s">
        <v>2418</v>
      </c>
      <c r="AB1089" s="209" t="s">
        <v>180</v>
      </c>
      <c r="AC1089" s="209" t="s">
        <v>182</v>
      </c>
      <c r="AD1089" s="209">
        <v>6</v>
      </c>
      <c r="AE1089" s="209">
        <v>2025</v>
      </c>
      <c r="AF1089" s="227">
        <v>45827</v>
      </c>
      <c r="AG1089" s="227">
        <v>45833</v>
      </c>
      <c r="AH1089" s="227">
        <v>45833</v>
      </c>
      <c r="AI1089" s="228">
        <v>426816</v>
      </c>
      <c r="AJ1089" s="228">
        <v>52</v>
      </c>
      <c r="AK1089" s="228">
        <v>426816</v>
      </c>
      <c r="AL1089" s="228">
        <v>52</v>
      </c>
      <c r="AM1089" s="228">
        <v>0</v>
      </c>
      <c r="AN1089" s="228">
        <v>0</v>
      </c>
      <c r="AO1089" s="229">
        <v>26</v>
      </c>
      <c r="AP1089" s="231">
        <v>6</v>
      </c>
      <c r="AQ1089" s="231">
        <v>2025</v>
      </c>
      <c r="AR1089" s="231" t="str">
        <f t="shared" si="150"/>
        <v>06/2025</v>
      </c>
      <c r="AS1089" s="231">
        <f t="shared" si="151"/>
        <v>46.6</v>
      </c>
      <c r="AT1089" s="239">
        <f>IF(G1089="CERVECERIA Y MALTERIA",(AS1089*AK1089/1000000)*(1-VLOOKUP(N1089,FCST!D:I,6,FALSE)),0)</f>
        <v>19.889625600000002</v>
      </c>
      <c r="AU1089" s="232">
        <v>5.0000000000000001E-3</v>
      </c>
      <c r="AV1089" s="239">
        <f t="shared" si="152"/>
        <v>19.989073728000001</v>
      </c>
      <c r="AW1089" s="239">
        <f>(AS1089*AK1089/1000000)*(VLOOKUP(N1089,FCST!D:I,6,FALSE))</f>
        <v>0</v>
      </c>
      <c r="AX1089" s="239">
        <f t="shared" si="153"/>
        <v>0</v>
      </c>
      <c r="AY1089" s="239">
        <f>IF($G1089="CERVECERIA Y MALTERIA.",($AS1089*$AK1089/1000000)*(1-VLOOKUP($N1089,FCST!D:I,6,FALSE)),0)</f>
        <v>0</v>
      </c>
      <c r="AZ1089" s="239">
        <f t="shared" si="154"/>
        <v>0</v>
      </c>
    </row>
    <row r="1090" spans="1:52" x14ac:dyDescent="0.25">
      <c r="A1090" s="209">
        <v>1124828</v>
      </c>
      <c r="B1090" s="209">
        <v>80</v>
      </c>
      <c r="C1090" s="209" t="s">
        <v>2419</v>
      </c>
      <c r="D1090" s="209">
        <v>10</v>
      </c>
      <c r="E1090" s="209">
        <v>10000002</v>
      </c>
      <c r="F1090" s="209">
        <v>20000335</v>
      </c>
      <c r="G1090" s="209" t="s">
        <v>105</v>
      </c>
      <c r="H1090" s="209">
        <v>20000335</v>
      </c>
      <c r="I1090" s="209">
        <v>2</v>
      </c>
      <c r="J1090" s="209" t="s">
        <v>169</v>
      </c>
      <c r="K1090" s="209" t="s">
        <v>2420</v>
      </c>
      <c r="L1090" s="209" t="s">
        <v>171</v>
      </c>
      <c r="M1090" s="209" t="s">
        <v>199</v>
      </c>
      <c r="N1090" s="209">
        <v>50037887</v>
      </c>
      <c r="O1090" s="209" t="s">
        <v>679</v>
      </c>
      <c r="P1090" s="209">
        <v>5121</v>
      </c>
      <c r="Q1090" s="209" t="s">
        <v>200</v>
      </c>
      <c r="R1090" s="209" t="s">
        <v>201</v>
      </c>
      <c r="S1090" s="209" t="s">
        <v>202</v>
      </c>
      <c r="T1090" s="209" t="s">
        <v>203</v>
      </c>
      <c r="U1090" s="209" t="s">
        <v>201</v>
      </c>
      <c r="V1090" s="209" t="s">
        <v>179</v>
      </c>
      <c r="W1090" s="209" t="s">
        <v>179</v>
      </c>
      <c r="X1090" s="209" t="s">
        <v>180</v>
      </c>
      <c r="Y1090" s="209" t="s">
        <v>180</v>
      </c>
      <c r="Z1090" s="209" t="s">
        <v>2421</v>
      </c>
      <c r="AA1090" s="209" t="s">
        <v>2422</v>
      </c>
      <c r="AB1090" s="209" t="s">
        <v>180</v>
      </c>
      <c r="AC1090" s="209" t="s">
        <v>182</v>
      </c>
      <c r="AD1090" s="209">
        <v>6</v>
      </c>
      <c r="AE1090" s="209">
        <v>2025</v>
      </c>
      <c r="AF1090" s="227">
        <v>45827</v>
      </c>
      <c r="AG1090" s="227">
        <v>45833</v>
      </c>
      <c r="AH1090" s="227">
        <v>45833</v>
      </c>
      <c r="AI1090" s="228">
        <v>531648</v>
      </c>
      <c r="AJ1090" s="228">
        <v>52</v>
      </c>
      <c r="AK1090" s="228">
        <v>531648</v>
      </c>
      <c r="AL1090" s="228">
        <v>52</v>
      </c>
      <c r="AM1090" s="228">
        <v>0</v>
      </c>
      <c r="AN1090" s="228">
        <v>0</v>
      </c>
      <c r="AO1090" s="229">
        <v>26</v>
      </c>
      <c r="AP1090" s="231">
        <v>6</v>
      </c>
      <c r="AQ1090" s="231">
        <v>2025</v>
      </c>
      <c r="AR1090" s="231" t="str">
        <f t="shared" si="150"/>
        <v>06/2025</v>
      </c>
      <c r="AS1090" s="231">
        <f t="shared" si="151"/>
        <v>37.200000000000003</v>
      </c>
      <c r="AT1090" s="239">
        <f>IF(G1090="CERVECERIA Y MALTERIA",(AS1090*AK1090/1000000)*(1-VLOOKUP(N1090,FCST!D:I,6,FALSE)),0)</f>
        <v>19.777305600000002</v>
      </c>
      <c r="AU1090" s="232">
        <v>5.0000000000000001E-3</v>
      </c>
      <c r="AV1090" s="239">
        <f t="shared" si="152"/>
        <v>19.876192128</v>
      </c>
      <c r="AW1090" s="239">
        <f>(AS1090*AK1090/1000000)*(VLOOKUP(N1090,FCST!D:I,6,FALSE))</f>
        <v>0</v>
      </c>
      <c r="AX1090" s="239">
        <f t="shared" si="153"/>
        <v>0</v>
      </c>
      <c r="AY1090" s="239">
        <f>IF($G1090="CERVECERIA Y MALTERIA.",($AS1090*$AK1090/1000000)*(1-VLOOKUP($N1090,FCST!D:I,6,FALSE)),0)</f>
        <v>0</v>
      </c>
      <c r="AZ1090" s="239">
        <f t="shared" si="154"/>
        <v>0</v>
      </c>
    </row>
    <row r="1091" spans="1:52" x14ac:dyDescent="0.25">
      <c r="A1091" s="209">
        <v>1125137</v>
      </c>
      <c r="B1091" s="209">
        <v>20</v>
      </c>
      <c r="C1091" s="209" t="s">
        <v>2423</v>
      </c>
      <c r="D1091" s="209">
        <v>10</v>
      </c>
      <c r="E1091" s="209">
        <v>10000002</v>
      </c>
      <c r="F1091" s="209">
        <v>20000339</v>
      </c>
      <c r="G1091" s="209" t="s">
        <v>105</v>
      </c>
      <c r="H1091" s="209">
        <v>20000339</v>
      </c>
      <c r="I1091" s="209">
        <v>2</v>
      </c>
      <c r="J1091" s="209" t="s">
        <v>169</v>
      </c>
      <c r="K1091" s="209" t="s">
        <v>2424</v>
      </c>
      <c r="L1091" s="209" t="s">
        <v>171</v>
      </c>
      <c r="M1091" s="209" t="s">
        <v>227</v>
      </c>
      <c r="N1091" s="209">
        <v>50033268</v>
      </c>
      <c r="O1091" s="209" t="s">
        <v>253</v>
      </c>
      <c r="P1091" s="209">
        <v>5121</v>
      </c>
      <c r="Q1091" s="209" t="s">
        <v>228</v>
      </c>
      <c r="R1091" s="209" t="s">
        <v>229</v>
      </c>
      <c r="S1091" s="209" t="s">
        <v>230</v>
      </c>
      <c r="T1091" s="209" t="s">
        <v>231</v>
      </c>
      <c r="U1091" s="209" t="s">
        <v>232</v>
      </c>
      <c r="V1091" s="209" t="s">
        <v>179</v>
      </c>
      <c r="W1091" s="209" t="s">
        <v>179</v>
      </c>
      <c r="X1091" s="209" t="s">
        <v>180</v>
      </c>
      <c r="Y1091" s="209" t="s">
        <v>180</v>
      </c>
      <c r="Z1091" s="209" t="s">
        <v>2425</v>
      </c>
      <c r="AA1091" s="209" t="s">
        <v>2426</v>
      </c>
      <c r="AB1091" s="209" t="s">
        <v>180</v>
      </c>
      <c r="AC1091" s="209" t="s">
        <v>182</v>
      </c>
      <c r="AD1091" s="209">
        <v>6</v>
      </c>
      <c r="AE1091" s="209">
        <v>2025</v>
      </c>
      <c r="AF1091" s="227">
        <v>45831</v>
      </c>
      <c r="AG1091" s="227">
        <v>45834</v>
      </c>
      <c r="AH1091" s="227">
        <v>45834</v>
      </c>
      <c r="AI1091" s="228">
        <v>406848</v>
      </c>
      <c r="AJ1091" s="228">
        <v>52</v>
      </c>
      <c r="AK1091" s="228">
        <v>406848</v>
      </c>
      <c r="AL1091" s="228">
        <v>52</v>
      </c>
      <c r="AM1091" s="228">
        <v>0</v>
      </c>
      <c r="AN1091" s="228">
        <v>0</v>
      </c>
      <c r="AO1091" s="229">
        <v>26</v>
      </c>
      <c r="AP1091" s="231">
        <v>6</v>
      </c>
      <c r="AQ1091" s="231">
        <v>2025</v>
      </c>
      <c r="AR1091" s="231" t="str">
        <f t="shared" si="150"/>
        <v>06/2025</v>
      </c>
      <c r="AS1091" s="231">
        <f t="shared" si="151"/>
        <v>44</v>
      </c>
      <c r="AT1091" s="239">
        <f>IF(G1091="CERVECERIA Y MALTERIA",(AS1091*AK1091/1000000)*(1-VLOOKUP(N1091,FCST!D:I,6,FALSE)),0)</f>
        <v>17.901312000000001</v>
      </c>
      <c r="AU1091" s="232">
        <v>5.0000000000000001E-3</v>
      </c>
      <c r="AV1091" s="239">
        <f t="shared" si="152"/>
        <v>17.990818559999997</v>
      </c>
      <c r="AW1091" s="239">
        <f>(AS1091*AK1091/1000000)*(VLOOKUP(N1091,FCST!D:I,6,FALSE))</f>
        <v>0</v>
      </c>
      <c r="AX1091" s="239">
        <f t="shared" si="153"/>
        <v>0</v>
      </c>
      <c r="AY1091" s="239">
        <f>IF($G1091="CERVECERIA Y MALTERIA.",($AS1091*$AK1091/1000000)*(1-VLOOKUP($N1091,FCST!D:I,6,FALSE)),0)</f>
        <v>0</v>
      </c>
      <c r="AZ1091" s="239">
        <f t="shared" si="154"/>
        <v>0</v>
      </c>
    </row>
    <row r="1092" spans="1:52" x14ac:dyDescent="0.25">
      <c r="A1092" s="209">
        <v>1125798</v>
      </c>
      <c r="B1092" s="209">
        <v>20</v>
      </c>
      <c r="C1092" s="209" t="s">
        <v>2427</v>
      </c>
      <c r="D1092" s="209">
        <v>10</v>
      </c>
      <c r="E1092" s="209">
        <v>10000002</v>
      </c>
      <c r="F1092" s="209">
        <v>20001057</v>
      </c>
      <c r="G1092" s="209" t="s">
        <v>105</v>
      </c>
      <c r="H1092" s="209">
        <v>20001057</v>
      </c>
      <c r="I1092" s="209">
        <v>2</v>
      </c>
      <c r="J1092" s="209" t="s">
        <v>169</v>
      </c>
      <c r="K1092" s="209" t="s">
        <v>2428</v>
      </c>
      <c r="L1092" s="209" t="s">
        <v>171</v>
      </c>
      <c r="M1092" s="209" t="s">
        <v>199</v>
      </c>
      <c r="N1092" s="209">
        <v>50035184</v>
      </c>
      <c r="O1092" s="209" t="s">
        <v>672</v>
      </c>
      <c r="P1092" s="209">
        <v>5121</v>
      </c>
      <c r="Q1092" s="209" t="s">
        <v>200</v>
      </c>
      <c r="R1092" s="209" t="s">
        <v>201</v>
      </c>
      <c r="S1092" s="209" t="s">
        <v>202</v>
      </c>
      <c r="T1092" s="209" t="s">
        <v>203</v>
      </c>
      <c r="U1092" s="209" t="s">
        <v>201</v>
      </c>
      <c r="V1092" s="209" t="s">
        <v>179</v>
      </c>
      <c r="W1092" s="209" t="s">
        <v>179</v>
      </c>
      <c r="X1092" s="209" t="s">
        <v>180</v>
      </c>
      <c r="Y1092" s="209" t="s">
        <v>180</v>
      </c>
      <c r="Z1092" s="209" t="s">
        <v>2429</v>
      </c>
      <c r="AA1092" s="209" t="s">
        <v>2430</v>
      </c>
      <c r="AB1092" s="209" t="s">
        <v>180</v>
      </c>
      <c r="AC1092" s="209" t="s">
        <v>182</v>
      </c>
      <c r="AD1092" s="209">
        <v>6</v>
      </c>
      <c r="AE1092" s="209">
        <v>2025</v>
      </c>
      <c r="AF1092" s="227">
        <v>45834</v>
      </c>
      <c r="AG1092" s="227">
        <v>45834</v>
      </c>
      <c r="AH1092" s="227">
        <v>45834</v>
      </c>
      <c r="AI1092" s="228">
        <v>488592</v>
      </c>
      <c r="AJ1092" s="228">
        <v>26</v>
      </c>
      <c r="AK1092" s="228">
        <v>488592</v>
      </c>
      <c r="AL1092" s="228">
        <v>26</v>
      </c>
      <c r="AM1092" s="228">
        <v>0</v>
      </c>
      <c r="AN1092" s="228">
        <v>0</v>
      </c>
      <c r="AO1092" s="229">
        <v>26</v>
      </c>
      <c r="AP1092" s="231">
        <v>6</v>
      </c>
      <c r="AQ1092" s="231">
        <v>2025</v>
      </c>
      <c r="AR1092" s="231" t="str">
        <f t="shared" si="150"/>
        <v>06/2025</v>
      </c>
      <c r="AS1092" s="231">
        <f t="shared" si="151"/>
        <v>19.5</v>
      </c>
      <c r="AT1092" s="239">
        <f>IF(G1092="CERVECERIA Y MALTERIA",(AS1092*AK1092/1000000)*(1-VLOOKUP(N1092,FCST!D:I,6,FALSE)),0)</f>
        <v>9.5275440000000007</v>
      </c>
      <c r="AU1092" s="232">
        <v>5.0000000000000001E-3</v>
      </c>
      <c r="AV1092" s="239">
        <f t="shared" si="152"/>
        <v>9.5751817199999998</v>
      </c>
      <c r="AW1092" s="239">
        <f>(AS1092*AK1092/1000000)*(VLOOKUP(N1092,FCST!D:I,6,FALSE))</f>
        <v>0</v>
      </c>
      <c r="AX1092" s="239">
        <f t="shared" si="153"/>
        <v>0</v>
      </c>
      <c r="AY1092" s="239">
        <f>IF($G1092="CERVECERIA Y MALTERIA.",($AS1092*$AK1092/1000000)*(1-VLOOKUP($N1092,FCST!D:I,6,FALSE)),0)</f>
        <v>0</v>
      </c>
      <c r="AZ1092" s="239">
        <f t="shared" si="154"/>
        <v>0</v>
      </c>
    </row>
    <row r="1093" spans="1:52" x14ac:dyDescent="0.25">
      <c r="A1093" s="209">
        <v>1122148</v>
      </c>
      <c r="B1093" s="209">
        <v>20</v>
      </c>
      <c r="C1093" s="209" t="s">
        <v>2431</v>
      </c>
      <c r="D1093" s="209">
        <v>10</v>
      </c>
      <c r="E1093" s="209">
        <v>10000002</v>
      </c>
      <c r="F1093" s="209">
        <v>20000335</v>
      </c>
      <c r="G1093" s="209" t="s">
        <v>105</v>
      </c>
      <c r="H1093" s="209">
        <v>20000335</v>
      </c>
      <c r="I1093" s="209">
        <v>2</v>
      </c>
      <c r="J1093" s="209" t="s">
        <v>169</v>
      </c>
      <c r="K1093" s="209" t="s">
        <v>2432</v>
      </c>
      <c r="L1093" s="209" t="s">
        <v>171</v>
      </c>
      <c r="M1093" s="209" t="s">
        <v>199</v>
      </c>
      <c r="N1093" s="209">
        <v>50025345</v>
      </c>
      <c r="O1093" s="209" t="s">
        <v>1998</v>
      </c>
      <c r="P1093" s="209">
        <v>5121</v>
      </c>
      <c r="Q1093" s="209" t="s">
        <v>200</v>
      </c>
      <c r="R1093" s="209" t="s">
        <v>201</v>
      </c>
      <c r="S1093" s="209" t="s">
        <v>202</v>
      </c>
      <c r="T1093" s="209" t="s">
        <v>203</v>
      </c>
      <c r="U1093" s="209" t="s">
        <v>201</v>
      </c>
      <c r="V1093" s="209" t="s">
        <v>179</v>
      </c>
      <c r="W1093" s="209" t="s">
        <v>179</v>
      </c>
      <c r="X1093" s="209" t="s">
        <v>180</v>
      </c>
      <c r="Y1093" s="209" t="s">
        <v>180</v>
      </c>
      <c r="Z1093" s="209" t="s">
        <v>2259</v>
      </c>
      <c r="AA1093" s="209" t="s">
        <v>2260</v>
      </c>
      <c r="AB1093" s="209" t="s">
        <v>180</v>
      </c>
      <c r="AC1093" s="209" t="s">
        <v>182</v>
      </c>
      <c r="AD1093" s="209">
        <v>6</v>
      </c>
      <c r="AE1093" s="209">
        <v>2025</v>
      </c>
      <c r="AF1093" s="227">
        <v>45813</v>
      </c>
      <c r="AG1093" s="227">
        <v>45817</v>
      </c>
      <c r="AH1093" s="227">
        <v>45817</v>
      </c>
      <c r="AI1093" s="228">
        <v>426816</v>
      </c>
      <c r="AJ1093" s="228">
        <v>52</v>
      </c>
      <c r="AK1093" s="228">
        <v>426816</v>
      </c>
      <c r="AL1093" s="228">
        <v>52</v>
      </c>
      <c r="AM1093" s="228">
        <v>0</v>
      </c>
      <c r="AN1093" s="228">
        <v>0</v>
      </c>
      <c r="AO1093" s="229">
        <v>24</v>
      </c>
      <c r="AP1093" s="231">
        <v>6</v>
      </c>
      <c r="AQ1093" s="231">
        <v>2025</v>
      </c>
      <c r="AR1093" s="231" t="str">
        <f t="shared" si="150"/>
        <v>06/2025</v>
      </c>
      <c r="AS1093" s="231">
        <f t="shared" si="151"/>
        <v>46.6</v>
      </c>
      <c r="AT1093" s="239">
        <f>IF(G1093="CERVECERIA Y MALTERIA",(AS1093*AK1093/1000000)*(1-VLOOKUP(N1093,FCST!D:I,6,FALSE)),0)</f>
        <v>19.889625600000002</v>
      </c>
      <c r="AU1093" s="232">
        <v>5.0000000000000001E-3</v>
      </c>
      <c r="AV1093" s="239">
        <f t="shared" si="152"/>
        <v>19.989073728000001</v>
      </c>
      <c r="AW1093" s="239">
        <f>(AS1093*AK1093/1000000)*(VLOOKUP(N1093,FCST!D:I,6,FALSE))</f>
        <v>0</v>
      </c>
      <c r="AX1093" s="239">
        <f t="shared" si="153"/>
        <v>0</v>
      </c>
      <c r="AY1093" s="239">
        <f>IF($G1093="CERVECERIA Y MALTERIA.",($AS1093*$AK1093/1000000)*(1-VLOOKUP($N1093,FCST!D:I,6,FALSE)),0)</f>
        <v>0</v>
      </c>
      <c r="AZ1093" s="239">
        <f t="shared" si="154"/>
        <v>0</v>
      </c>
    </row>
    <row r="1094" spans="1:52" x14ac:dyDescent="0.25">
      <c r="A1094" s="209">
        <v>1122148</v>
      </c>
      <c r="B1094" s="209">
        <v>10</v>
      </c>
      <c r="C1094" s="209" t="s">
        <v>2433</v>
      </c>
      <c r="D1094" s="209">
        <v>10</v>
      </c>
      <c r="E1094" s="209">
        <v>10000002</v>
      </c>
      <c r="F1094" s="209">
        <v>20000335</v>
      </c>
      <c r="G1094" s="209" t="s">
        <v>105</v>
      </c>
      <c r="H1094" s="209">
        <v>20000335</v>
      </c>
      <c r="I1094" s="209">
        <v>2</v>
      </c>
      <c r="J1094" s="209" t="s">
        <v>169</v>
      </c>
      <c r="K1094" s="209" t="s">
        <v>2434</v>
      </c>
      <c r="L1094" s="209" t="s">
        <v>171</v>
      </c>
      <c r="M1094" s="209" t="s">
        <v>199</v>
      </c>
      <c r="N1094" s="209">
        <v>50034574</v>
      </c>
      <c r="O1094" s="209" t="s">
        <v>196</v>
      </c>
      <c r="P1094" s="209">
        <v>5121</v>
      </c>
      <c r="Q1094" s="209" t="s">
        <v>200</v>
      </c>
      <c r="R1094" s="209" t="s">
        <v>201</v>
      </c>
      <c r="S1094" s="209" t="s">
        <v>202</v>
      </c>
      <c r="T1094" s="209" t="s">
        <v>203</v>
      </c>
      <c r="U1094" s="209" t="s">
        <v>201</v>
      </c>
      <c r="V1094" s="209" t="s">
        <v>179</v>
      </c>
      <c r="W1094" s="209" t="s">
        <v>179</v>
      </c>
      <c r="X1094" s="209" t="s">
        <v>180</v>
      </c>
      <c r="Y1094" s="209" t="s">
        <v>180</v>
      </c>
      <c r="Z1094" s="209" t="s">
        <v>2435</v>
      </c>
      <c r="AA1094" s="209" t="s">
        <v>2436</v>
      </c>
      <c r="AB1094" s="209" t="s">
        <v>180</v>
      </c>
      <c r="AC1094" s="209" t="s">
        <v>182</v>
      </c>
      <c r="AD1094" s="209">
        <v>6</v>
      </c>
      <c r="AE1094" s="209">
        <v>2025</v>
      </c>
      <c r="AF1094" s="227">
        <v>45813</v>
      </c>
      <c r="AG1094" s="227">
        <v>45817</v>
      </c>
      <c r="AH1094" s="227">
        <v>45817</v>
      </c>
      <c r="AI1094" s="228">
        <v>977184</v>
      </c>
      <c r="AJ1094" s="228">
        <v>52</v>
      </c>
      <c r="AK1094" s="228">
        <v>977184</v>
      </c>
      <c r="AL1094" s="228">
        <v>52</v>
      </c>
      <c r="AM1094" s="228">
        <v>0</v>
      </c>
      <c r="AN1094" s="228">
        <v>0</v>
      </c>
      <c r="AO1094" s="229">
        <v>24</v>
      </c>
      <c r="AP1094" s="231">
        <v>6</v>
      </c>
      <c r="AQ1094" s="231">
        <v>2025</v>
      </c>
      <c r="AR1094" s="231" t="str">
        <f t="shared" si="150"/>
        <v>06/2025</v>
      </c>
      <c r="AS1094" s="231">
        <f t="shared" si="151"/>
        <v>19.5</v>
      </c>
      <c r="AT1094" s="239">
        <f>IF(G1094="CERVECERIA Y MALTERIA",(AS1094*AK1094/1000000)*(1-VLOOKUP(N1094,FCST!D:I,6,FALSE)),0)</f>
        <v>19.055088000000001</v>
      </c>
      <c r="AU1094" s="232">
        <v>5.0000000000000001E-3</v>
      </c>
      <c r="AV1094" s="239">
        <f t="shared" si="152"/>
        <v>19.15036344</v>
      </c>
      <c r="AW1094" s="239">
        <f>(AS1094*AK1094/1000000)*(VLOOKUP(N1094,FCST!D:I,6,FALSE))</f>
        <v>0</v>
      </c>
      <c r="AX1094" s="239">
        <f t="shared" si="153"/>
        <v>0</v>
      </c>
      <c r="AY1094" s="239">
        <f>IF($G1094="CERVECERIA Y MALTERIA.",($AS1094*$AK1094/1000000)*(1-VLOOKUP($N1094,FCST!D:I,6,FALSE)),0)</f>
        <v>0</v>
      </c>
      <c r="AZ1094" s="239">
        <f t="shared" si="154"/>
        <v>0</v>
      </c>
    </row>
    <row r="1095" spans="1:52" x14ac:dyDescent="0.25">
      <c r="A1095" s="209">
        <v>1121417</v>
      </c>
      <c r="B1095" s="209">
        <v>10</v>
      </c>
      <c r="C1095" s="209" t="s">
        <v>2437</v>
      </c>
      <c r="D1095" s="209">
        <v>10</v>
      </c>
      <c r="E1095" s="209">
        <v>10000002</v>
      </c>
      <c r="F1095" s="209">
        <v>20000337</v>
      </c>
      <c r="G1095" s="209" t="s">
        <v>105</v>
      </c>
      <c r="H1095" s="209">
        <v>20000337</v>
      </c>
      <c r="I1095" s="209">
        <v>2</v>
      </c>
      <c r="J1095" s="209" t="s">
        <v>169</v>
      </c>
      <c r="K1095" s="209" t="s">
        <v>2438</v>
      </c>
      <c r="L1095" s="209" t="s">
        <v>171</v>
      </c>
      <c r="M1095" s="209" t="s">
        <v>199</v>
      </c>
      <c r="N1095" s="209">
        <v>50039302</v>
      </c>
      <c r="O1095" s="209" t="s">
        <v>1942</v>
      </c>
      <c r="P1095" s="209">
        <v>5121</v>
      </c>
      <c r="Q1095" s="209" t="s">
        <v>200</v>
      </c>
      <c r="R1095" s="209" t="s">
        <v>201</v>
      </c>
      <c r="S1095" s="209" t="s">
        <v>202</v>
      </c>
      <c r="T1095" s="209" t="s">
        <v>203</v>
      </c>
      <c r="U1095" s="209" t="s">
        <v>201</v>
      </c>
      <c r="V1095" s="209" t="s">
        <v>179</v>
      </c>
      <c r="W1095" s="209" t="s">
        <v>179</v>
      </c>
      <c r="X1095" s="209" t="s">
        <v>180</v>
      </c>
      <c r="Y1095" s="209" t="s">
        <v>180</v>
      </c>
      <c r="Z1095" s="209" t="s">
        <v>2287</v>
      </c>
      <c r="AA1095" s="209" t="s">
        <v>2288</v>
      </c>
      <c r="AB1095" s="209" t="s">
        <v>180</v>
      </c>
      <c r="AC1095" s="209" t="s">
        <v>182</v>
      </c>
      <c r="AD1095" s="209">
        <v>6</v>
      </c>
      <c r="AE1095" s="209">
        <v>2025</v>
      </c>
      <c r="AF1095" s="227">
        <v>45810</v>
      </c>
      <c r="AG1095" s="227">
        <v>45810</v>
      </c>
      <c r="AH1095" s="227">
        <v>45810</v>
      </c>
      <c r="AI1095" s="228">
        <v>399360</v>
      </c>
      <c r="AJ1095" s="228">
        <v>52</v>
      </c>
      <c r="AK1095" s="228">
        <v>399360</v>
      </c>
      <c r="AL1095" s="228">
        <v>52</v>
      </c>
      <c r="AM1095" s="228">
        <v>0</v>
      </c>
      <c r="AN1095" s="228">
        <v>0</v>
      </c>
      <c r="AO1095" s="229">
        <v>23</v>
      </c>
      <c r="AP1095" s="231">
        <v>6</v>
      </c>
      <c r="AQ1095" s="231">
        <v>2025</v>
      </c>
      <c r="AR1095" s="231" t="str">
        <f t="shared" si="150"/>
        <v>06/2025</v>
      </c>
      <c r="AS1095" s="231">
        <f t="shared" si="151"/>
        <v>46.6</v>
      </c>
      <c r="AT1095" s="239">
        <f>IF(G1095="CERVECERIA Y MALTERIA",(AS1095*AK1095/1000000)*(1-VLOOKUP(N1095,FCST!D:I,6,FALSE)),0)</f>
        <v>18.610175999999999</v>
      </c>
      <c r="AU1095" s="232">
        <v>5.0000000000000001E-3</v>
      </c>
      <c r="AV1095" s="239">
        <f t="shared" si="152"/>
        <v>18.703226879999995</v>
      </c>
      <c r="AW1095" s="239">
        <f>(AS1095*AK1095/1000000)*(VLOOKUP(N1095,FCST!D:I,6,FALSE))</f>
        <v>0</v>
      </c>
      <c r="AX1095" s="239">
        <f t="shared" si="153"/>
        <v>0</v>
      </c>
      <c r="AY1095" s="239">
        <f>IF($G1095="CERVECERIA Y MALTERIA.",($AS1095*$AK1095/1000000)*(1-VLOOKUP($N1095,FCST!D:I,6,FALSE)),0)</f>
        <v>0</v>
      </c>
      <c r="AZ1095" s="239">
        <f t="shared" si="154"/>
        <v>0</v>
      </c>
    </row>
    <row r="1096" spans="1:52" x14ac:dyDescent="0.25">
      <c r="A1096" s="209">
        <v>1121145</v>
      </c>
      <c r="B1096" s="209">
        <v>10</v>
      </c>
      <c r="C1096" s="209" t="s">
        <v>2439</v>
      </c>
      <c r="D1096" s="209">
        <v>10</v>
      </c>
      <c r="E1096" s="209">
        <v>10000002</v>
      </c>
      <c r="F1096" s="209">
        <v>20001057</v>
      </c>
      <c r="G1096" s="209" t="s">
        <v>105</v>
      </c>
      <c r="H1096" s="209">
        <v>20001057</v>
      </c>
      <c r="I1096" s="209">
        <v>2</v>
      </c>
      <c r="J1096" s="209" t="s">
        <v>169</v>
      </c>
      <c r="K1096" s="209" t="s">
        <v>2440</v>
      </c>
      <c r="L1096" s="209" t="s">
        <v>171</v>
      </c>
      <c r="M1096" s="209" t="s">
        <v>199</v>
      </c>
      <c r="N1096" s="209">
        <v>50034616</v>
      </c>
      <c r="O1096" s="209" t="s">
        <v>191</v>
      </c>
      <c r="P1096" s="209">
        <v>5121</v>
      </c>
      <c r="Q1096" s="209" t="s">
        <v>200</v>
      </c>
      <c r="R1096" s="209" t="s">
        <v>201</v>
      </c>
      <c r="S1096" s="209" t="s">
        <v>202</v>
      </c>
      <c r="T1096" s="209" t="s">
        <v>203</v>
      </c>
      <c r="U1096" s="209" t="s">
        <v>201</v>
      </c>
      <c r="V1096" s="209" t="s">
        <v>179</v>
      </c>
      <c r="W1096" s="209" t="s">
        <v>179</v>
      </c>
      <c r="X1096" s="209" t="s">
        <v>180</v>
      </c>
      <c r="Y1096" s="209" t="s">
        <v>180</v>
      </c>
      <c r="Z1096" s="209" t="s">
        <v>2441</v>
      </c>
      <c r="AA1096" s="209" t="s">
        <v>2442</v>
      </c>
      <c r="AB1096" s="209" t="s">
        <v>180</v>
      </c>
      <c r="AC1096" s="209" t="s">
        <v>182</v>
      </c>
      <c r="AD1096" s="209">
        <v>6</v>
      </c>
      <c r="AE1096" s="209">
        <v>2025</v>
      </c>
      <c r="AF1096" s="227">
        <v>45807</v>
      </c>
      <c r="AG1096" s="227">
        <v>45810</v>
      </c>
      <c r="AH1096" s="227">
        <v>45810</v>
      </c>
      <c r="AI1096" s="228">
        <v>426816</v>
      </c>
      <c r="AJ1096" s="228">
        <v>52</v>
      </c>
      <c r="AK1096" s="228">
        <v>426816</v>
      </c>
      <c r="AL1096" s="228">
        <v>52</v>
      </c>
      <c r="AM1096" s="228">
        <v>0</v>
      </c>
      <c r="AN1096" s="228">
        <v>0</v>
      </c>
      <c r="AO1096" s="229">
        <v>23</v>
      </c>
      <c r="AP1096" s="231">
        <v>6</v>
      </c>
      <c r="AQ1096" s="231">
        <v>2025</v>
      </c>
      <c r="AR1096" s="231" t="str">
        <f t="shared" si="150"/>
        <v>06/2025</v>
      </c>
      <c r="AS1096" s="231">
        <f t="shared" si="151"/>
        <v>46.6</v>
      </c>
      <c r="AT1096" s="239">
        <f>IF(G1096="CERVECERIA Y MALTERIA",(AS1096*AK1096/1000000)*(1-VLOOKUP(N1096,FCST!D:I,6,FALSE)),0)</f>
        <v>19.889625600000002</v>
      </c>
      <c r="AU1096" s="232">
        <v>5.0000000000000001E-3</v>
      </c>
      <c r="AV1096" s="239">
        <f t="shared" si="152"/>
        <v>19.989073728000001</v>
      </c>
      <c r="AW1096" s="239">
        <f>(AS1096*AK1096/1000000)*(VLOOKUP(N1096,FCST!D:I,6,FALSE))</f>
        <v>0</v>
      </c>
      <c r="AX1096" s="239">
        <f t="shared" si="153"/>
        <v>0</v>
      </c>
      <c r="AY1096" s="239">
        <f>IF($G1096="CERVECERIA Y MALTERIA.",($AS1096*$AK1096/1000000)*(1-VLOOKUP($N1096,FCST!D:I,6,FALSE)),0)</f>
        <v>0</v>
      </c>
      <c r="AZ1096" s="239">
        <f t="shared" si="154"/>
        <v>0</v>
      </c>
    </row>
    <row r="1097" spans="1:52" x14ac:dyDescent="0.25">
      <c r="A1097" s="209">
        <v>1121635</v>
      </c>
      <c r="B1097" s="209">
        <v>10</v>
      </c>
      <c r="C1097" s="209" t="s">
        <v>2443</v>
      </c>
      <c r="D1097" s="209">
        <v>10</v>
      </c>
      <c r="E1097" s="209">
        <v>10000002</v>
      </c>
      <c r="F1097" s="209">
        <v>20000339</v>
      </c>
      <c r="G1097" s="209" t="s">
        <v>105</v>
      </c>
      <c r="H1097" s="209">
        <v>20000339</v>
      </c>
      <c r="I1097" s="209">
        <v>2</v>
      </c>
      <c r="J1097" s="209" t="s">
        <v>169</v>
      </c>
      <c r="K1097" s="209" t="s">
        <v>2444</v>
      </c>
      <c r="L1097" s="209" t="s">
        <v>171</v>
      </c>
      <c r="M1097" s="209" t="s">
        <v>227</v>
      </c>
      <c r="N1097" s="209">
        <v>50034634</v>
      </c>
      <c r="O1097" s="209" t="s">
        <v>219</v>
      </c>
      <c r="P1097" s="209">
        <v>5121</v>
      </c>
      <c r="Q1097" s="209" t="s">
        <v>228</v>
      </c>
      <c r="R1097" s="209" t="s">
        <v>229</v>
      </c>
      <c r="S1097" s="209" t="s">
        <v>230</v>
      </c>
      <c r="T1097" s="209" t="s">
        <v>231</v>
      </c>
      <c r="U1097" s="209" t="s">
        <v>232</v>
      </c>
      <c r="V1097" s="209" t="s">
        <v>179</v>
      </c>
      <c r="W1097" s="209" t="s">
        <v>179</v>
      </c>
      <c r="X1097" s="209" t="s">
        <v>180</v>
      </c>
      <c r="Y1097" s="209" t="s">
        <v>180</v>
      </c>
      <c r="Z1097" s="209" t="s">
        <v>2445</v>
      </c>
      <c r="AA1097" s="209" t="s">
        <v>2446</v>
      </c>
      <c r="AB1097" s="209" t="s">
        <v>180</v>
      </c>
      <c r="AC1097" s="209" t="s">
        <v>182</v>
      </c>
      <c r="AD1097" s="209">
        <v>6</v>
      </c>
      <c r="AE1097" s="209">
        <v>2025</v>
      </c>
      <c r="AF1097" s="227">
        <v>45810</v>
      </c>
      <c r="AG1097" s="227">
        <v>45811</v>
      </c>
      <c r="AH1097" s="227">
        <v>45811</v>
      </c>
      <c r="AI1097" s="228">
        <v>364416</v>
      </c>
      <c r="AJ1097" s="228">
        <v>52</v>
      </c>
      <c r="AK1097" s="228">
        <v>364416</v>
      </c>
      <c r="AL1097" s="228">
        <v>52</v>
      </c>
      <c r="AM1097" s="228">
        <v>0</v>
      </c>
      <c r="AN1097" s="228">
        <v>0</v>
      </c>
      <c r="AO1097" s="229">
        <v>23</v>
      </c>
      <c r="AP1097" s="231">
        <v>6</v>
      </c>
      <c r="AQ1097" s="231">
        <v>2025</v>
      </c>
      <c r="AR1097" s="231" t="str">
        <f t="shared" si="150"/>
        <v>06/2025</v>
      </c>
      <c r="AS1097" s="231">
        <f t="shared" si="151"/>
        <v>52</v>
      </c>
      <c r="AT1097" s="239">
        <f>IF(G1097="CERVECERIA Y MALTERIA",(AS1097*AK1097/1000000)*(1-VLOOKUP(N1097,FCST!D:I,6,FALSE)),0)</f>
        <v>18.949632000000001</v>
      </c>
      <c r="AU1097" s="232">
        <v>5.0000000000000001E-3</v>
      </c>
      <c r="AV1097" s="239">
        <f t="shared" si="152"/>
        <v>19.044380159999999</v>
      </c>
      <c r="AW1097" s="239">
        <f>(AS1097*AK1097/1000000)*(VLOOKUP(N1097,FCST!D:I,6,FALSE))</f>
        <v>0</v>
      </c>
      <c r="AX1097" s="239">
        <f t="shared" si="153"/>
        <v>0</v>
      </c>
      <c r="AY1097" s="239">
        <f>IF($G1097="CERVECERIA Y MALTERIA.",($AS1097*$AK1097/1000000)*(1-VLOOKUP($N1097,FCST!D:I,6,FALSE)),0)</f>
        <v>0</v>
      </c>
      <c r="AZ1097" s="239">
        <f t="shared" si="154"/>
        <v>0</v>
      </c>
    </row>
    <row r="1098" spans="1:52" x14ac:dyDescent="0.25">
      <c r="A1098" s="209">
        <v>1121417</v>
      </c>
      <c r="B1098" s="209">
        <v>20</v>
      </c>
      <c r="C1098" s="209" t="s">
        <v>2447</v>
      </c>
      <c r="D1098" s="209">
        <v>10</v>
      </c>
      <c r="E1098" s="209">
        <v>10000002</v>
      </c>
      <c r="F1098" s="209">
        <v>20000337</v>
      </c>
      <c r="G1098" s="209" t="s">
        <v>105</v>
      </c>
      <c r="H1098" s="209">
        <v>20000337</v>
      </c>
      <c r="I1098" s="209">
        <v>2</v>
      </c>
      <c r="J1098" s="209" t="s">
        <v>169</v>
      </c>
      <c r="K1098" s="209" t="s">
        <v>2448</v>
      </c>
      <c r="L1098" s="209" t="s">
        <v>171</v>
      </c>
      <c r="M1098" s="209" t="s">
        <v>199</v>
      </c>
      <c r="N1098" s="209">
        <v>50039302</v>
      </c>
      <c r="O1098" s="209" t="s">
        <v>1942</v>
      </c>
      <c r="P1098" s="209">
        <v>5121</v>
      </c>
      <c r="Q1098" s="209" t="s">
        <v>200</v>
      </c>
      <c r="R1098" s="209" t="s">
        <v>201</v>
      </c>
      <c r="S1098" s="209" t="s">
        <v>202</v>
      </c>
      <c r="T1098" s="209" t="s">
        <v>203</v>
      </c>
      <c r="U1098" s="209" t="s">
        <v>201</v>
      </c>
      <c r="V1098" s="209" t="s">
        <v>179</v>
      </c>
      <c r="W1098" s="209" t="s">
        <v>179</v>
      </c>
      <c r="X1098" s="209" t="s">
        <v>180</v>
      </c>
      <c r="Y1098" s="209" t="s">
        <v>180</v>
      </c>
      <c r="Z1098" s="209" t="s">
        <v>2287</v>
      </c>
      <c r="AA1098" s="209" t="s">
        <v>2288</v>
      </c>
      <c r="AB1098" s="209" t="s">
        <v>180</v>
      </c>
      <c r="AC1098" s="209" t="s">
        <v>182</v>
      </c>
      <c r="AD1098" s="209">
        <v>6</v>
      </c>
      <c r="AE1098" s="209">
        <v>2025</v>
      </c>
      <c r="AF1098" s="227">
        <v>45810</v>
      </c>
      <c r="AG1098" s="227">
        <v>45813</v>
      </c>
      <c r="AH1098" s="227">
        <v>45813</v>
      </c>
      <c r="AI1098" s="228">
        <v>399360</v>
      </c>
      <c r="AJ1098" s="228">
        <v>52</v>
      </c>
      <c r="AK1098" s="228">
        <v>399360</v>
      </c>
      <c r="AL1098" s="228">
        <v>52</v>
      </c>
      <c r="AM1098" s="228">
        <v>0</v>
      </c>
      <c r="AN1098" s="228">
        <v>0</v>
      </c>
      <c r="AO1098" s="229">
        <v>23</v>
      </c>
      <c r="AP1098" s="231">
        <v>6</v>
      </c>
      <c r="AQ1098" s="231">
        <v>2025</v>
      </c>
      <c r="AR1098" s="231" t="str">
        <f t="shared" si="150"/>
        <v>06/2025</v>
      </c>
      <c r="AS1098" s="231">
        <f t="shared" si="151"/>
        <v>46.6</v>
      </c>
      <c r="AT1098" s="239">
        <f>IF(G1098="CERVECERIA Y MALTERIA",(AS1098*AK1098/1000000)*(1-VLOOKUP(N1098,FCST!D:I,6,FALSE)),0)</f>
        <v>18.610175999999999</v>
      </c>
      <c r="AU1098" s="232">
        <v>5.0000000000000001E-3</v>
      </c>
      <c r="AV1098" s="239">
        <f t="shared" si="152"/>
        <v>18.703226879999995</v>
      </c>
      <c r="AW1098" s="239">
        <f>(AS1098*AK1098/1000000)*(VLOOKUP(N1098,FCST!D:I,6,FALSE))</f>
        <v>0</v>
      </c>
      <c r="AX1098" s="239">
        <f t="shared" si="153"/>
        <v>0</v>
      </c>
      <c r="AY1098" s="239">
        <f>IF($G1098="CERVECERIA Y MALTERIA.",($AS1098*$AK1098/1000000)*(1-VLOOKUP($N1098,FCST!D:I,6,FALSE)),0)</f>
        <v>0</v>
      </c>
      <c r="AZ1098" s="239">
        <f t="shared" si="154"/>
        <v>0</v>
      </c>
    </row>
    <row r="1099" spans="1:52" x14ac:dyDescent="0.25">
      <c r="A1099" s="209">
        <v>1121635</v>
      </c>
      <c r="B1099" s="209">
        <v>20</v>
      </c>
      <c r="C1099" s="209" t="s">
        <v>2449</v>
      </c>
      <c r="D1099" s="209">
        <v>10</v>
      </c>
      <c r="E1099" s="209">
        <v>10000002</v>
      </c>
      <c r="F1099" s="209">
        <v>20000339</v>
      </c>
      <c r="G1099" s="209" t="s">
        <v>105</v>
      </c>
      <c r="H1099" s="209">
        <v>20000339</v>
      </c>
      <c r="I1099" s="209">
        <v>2</v>
      </c>
      <c r="J1099" s="209" t="s">
        <v>169</v>
      </c>
      <c r="K1099" s="209" t="s">
        <v>2450</v>
      </c>
      <c r="L1099" s="209" t="s">
        <v>171</v>
      </c>
      <c r="M1099" s="209" t="s">
        <v>227</v>
      </c>
      <c r="N1099" s="209">
        <v>50034634</v>
      </c>
      <c r="O1099" s="209" t="s">
        <v>219</v>
      </c>
      <c r="P1099" s="209">
        <v>5121</v>
      </c>
      <c r="Q1099" s="209" t="s">
        <v>228</v>
      </c>
      <c r="R1099" s="209" t="s">
        <v>229</v>
      </c>
      <c r="S1099" s="209" t="s">
        <v>230</v>
      </c>
      <c r="T1099" s="209" t="s">
        <v>231</v>
      </c>
      <c r="U1099" s="209" t="s">
        <v>232</v>
      </c>
      <c r="V1099" s="209" t="s">
        <v>179</v>
      </c>
      <c r="W1099" s="209" t="s">
        <v>179</v>
      </c>
      <c r="X1099" s="209" t="s">
        <v>180</v>
      </c>
      <c r="Y1099" s="209" t="s">
        <v>180</v>
      </c>
      <c r="Z1099" s="209" t="s">
        <v>2451</v>
      </c>
      <c r="AA1099" s="209" t="s">
        <v>2452</v>
      </c>
      <c r="AB1099" s="209" t="s">
        <v>180</v>
      </c>
      <c r="AC1099" s="209" t="s">
        <v>182</v>
      </c>
      <c r="AD1099" s="209">
        <v>6</v>
      </c>
      <c r="AE1099" s="209">
        <v>2025</v>
      </c>
      <c r="AF1099" s="227">
        <v>45810</v>
      </c>
      <c r="AG1099" s="227">
        <v>45811</v>
      </c>
      <c r="AH1099" s="227">
        <v>45811</v>
      </c>
      <c r="AI1099" s="228">
        <v>70080</v>
      </c>
      <c r="AJ1099" s="228">
        <v>10</v>
      </c>
      <c r="AK1099" s="228">
        <v>70080</v>
      </c>
      <c r="AL1099" s="228">
        <v>10</v>
      </c>
      <c r="AM1099" s="228">
        <v>0</v>
      </c>
      <c r="AN1099" s="228">
        <v>0</v>
      </c>
      <c r="AO1099" s="229">
        <v>23</v>
      </c>
      <c r="AP1099" s="231">
        <v>6</v>
      </c>
      <c r="AQ1099" s="231">
        <v>2025</v>
      </c>
      <c r="AR1099" s="231" t="str">
        <f t="shared" si="150"/>
        <v>06/2025</v>
      </c>
      <c r="AS1099" s="231">
        <f t="shared" si="151"/>
        <v>52</v>
      </c>
      <c r="AT1099" s="239">
        <f>IF(G1099="CERVECERIA Y MALTERIA",(AS1099*AK1099/1000000)*(1-VLOOKUP(N1099,FCST!D:I,6,FALSE)),0)</f>
        <v>3.6441599999999998</v>
      </c>
      <c r="AU1099" s="232">
        <v>5.0000000000000001E-3</v>
      </c>
      <c r="AV1099" s="239">
        <f t="shared" si="152"/>
        <v>3.6623807999999993</v>
      </c>
      <c r="AW1099" s="239">
        <f>(AS1099*AK1099/1000000)*(VLOOKUP(N1099,FCST!D:I,6,FALSE))</f>
        <v>0</v>
      </c>
      <c r="AX1099" s="239">
        <f t="shared" si="153"/>
        <v>0</v>
      </c>
      <c r="AY1099" s="239">
        <f>IF($G1099="CERVECERIA Y MALTERIA.",($AS1099*$AK1099/1000000)*(1-VLOOKUP($N1099,FCST!D:I,6,FALSE)),0)</f>
        <v>0</v>
      </c>
      <c r="AZ1099" s="239">
        <f t="shared" si="154"/>
        <v>0</v>
      </c>
    </row>
    <row r="1100" spans="1:52" x14ac:dyDescent="0.25">
      <c r="A1100" s="209">
        <v>1121143</v>
      </c>
      <c r="B1100" s="209">
        <v>90</v>
      </c>
      <c r="C1100" s="209" t="s">
        <v>2181</v>
      </c>
      <c r="D1100" s="209">
        <v>20</v>
      </c>
      <c r="E1100" s="209">
        <v>10000002</v>
      </c>
      <c r="F1100" s="209">
        <v>20000336</v>
      </c>
      <c r="G1100" s="209" t="s">
        <v>105</v>
      </c>
      <c r="H1100" s="209">
        <v>20000336</v>
      </c>
      <c r="I1100" s="209">
        <v>2</v>
      </c>
      <c r="J1100" s="209" t="s">
        <v>169</v>
      </c>
      <c r="K1100" s="209" t="s">
        <v>2182</v>
      </c>
      <c r="L1100" s="209" t="s">
        <v>171</v>
      </c>
      <c r="M1100" s="209" t="s">
        <v>184</v>
      </c>
      <c r="N1100" s="209">
        <v>50037887</v>
      </c>
      <c r="O1100" s="209" t="s">
        <v>679</v>
      </c>
      <c r="P1100" s="209">
        <v>5121</v>
      </c>
      <c r="Q1100" s="209" t="s">
        <v>174</v>
      </c>
      <c r="R1100" s="209" t="s">
        <v>175</v>
      </c>
      <c r="S1100" s="209" t="s">
        <v>176</v>
      </c>
      <c r="T1100" s="209" t="s">
        <v>177</v>
      </c>
      <c r="U1100" s="209" t="s">
        <v>178</v>
      </c>
      <c r="V1100" s="209" t="s">
        <v>179</v>
      </c>
      <c r="W1100" s="209" t="s">
        <v>179</v>
      </c>
      <c r="X1100" s="209" t="s">
        <v>180</v>
      </c>
      <c r="Y1100" s="209" t="s">
        <v>180</v>
      </c>
      <c r="Z1100" s="209" t="s">
        <v>2183</v>
      </c>
      <c r="AA1100" s="209" t="s">
        <v>2184</v>
      </c>
      <c r="AB1100" s="209" t="s">
        <v>180</v>
      </c>
      <c r="AC1100" s="209" t="s">
        <v>182</v>
      </c>
      <c r="AD1100" s="209">
        <v>6</v>
      </c>
      <c r="AE1100" s="209">
        <v>2025</v>
      </c>
      <c r="AF1100" s="227">
        <v>45807</v>
      </c>
      <c r="AG1100" s="227">
        <v>45831</v>
      </c>
      <c r="AH1100" s="227">
        <v>45831</v>
      </c>
      <c r="AI1100" s="228">
        <v>306720</v>
      </c>
      <c r="AJ1100" s="228">
        <v>30</v>
      </c>
      <c r="AK1100" s="228">
        <v>306720</v>
      </c>
      <c r="AL1100" s="228">
        <v>30</v>
      </c>
      <c r="AM1100" s="228">
        <v>0</v>
      </c>
      <c r="AN1100" s="228">
        <v>0</v>
      </c>
      <c r="AO1100" s="229">
        <v>23</v>
      </c>
      <c r="AP1100" s="231">
        <v>6</v>
      </c>
      <c r="AQ1100" s="231">
        <v>2025</v>
      </c>
      <c r="AR1100" s="231" t="str">
        <f t="shared" si="150"/>
        <v>06/2025</v>
      </c>
      <c r="AS1100" s="231">
        <f t="shared" si="151"/>
        <v>37.200000000000003</v>
      </c>
      <c r="AT1100" s="239">
        <f>IF(G1100="CERVECERIA Y MALTERIA",(AS1100*AK1100/1000000)*(1-VLOOKUP(N1100,FCST!D:I,6,FALSE)),0)</f>
        <v>11.409984</v>
      </c>
      <c r="AU1100" s="232">
        <v>5.0000000000000001E-3</v>
      </c>
      <c r="AV1100" s="239">
        <f t="shared" si="152"/>
        <v>11.467033919999999</v>
      </c>
      <c r="AW1100" s="239">
        <f>(AS1100*AK1100/1000000)*(VLOOKUP(N1100,FCST!D:I,6,FALSE))</f>
        <v>0</v>
      </c>
      <c r="AX1100" s="239">
        <f t="shared" si="153"/>
        <v>0</v>
      </c>
      <c r="AY1100" s="239">
        <f>IF($G1100="CERVECERIA Y MALTERIA.",($AS1100*$AK1100/1000000)*(1-VLOOKUP($N1100,FCST!D:I,6,FALSE)),0)</f>
        <v>0</v>
      </c>
      <c r="AZ1100" s="239">
        <f t="shared" si="154"/>
        <v>0</v>
      </c>
    </row>
    <row r="1101" spans="1:52" x14ac:dyDescent="0.25">
      <c r="A1101" s="209">
        <v>1125798</v>
      </c>
      <c r="B1101" s="209">
        <v>30</v>
      </c>
      <c r="C1101" s="209" t="s">
        <v>2427</v>
      </c>
      <c r="D1101" s="209">
        <v>20</v>
      </c>
      <c r="E1101" s="209">
        <v>10000002</v>
      </c>
      <c r="F1101" s="209">
        <v>20001057</v>
      </c>
      <c r="G1101" s="209" t="s">
        <v>105</v>
      </c>
      <c r="H1101" s="209">
        <v>20001057</v>
      </c>
      <c r="I1101" s="209">
        <v>2</v>
      </c>
      <c r="J1101" s="209" t="s">
        <v>169</v>
      </c>
      <c r="K1101" s="209" t="s">
        <v>2428</v>
      </c>
      <c r="L1101" s="209" t="s">
        <v>171</v>
      </c>
      <c r="M1101" s="209" t="s">
        <v>199</v>
      </c>
      <c r="N1101" s="209">
        <v>50032573</v>
      </c>
      <c r="O1101" s="209" t="s">
        <v>173</v>
      </c>
      <c r="P1101" s="209">
        <v>5121</v>
      </c>
      <c r="Q1101" s="209" t="s">
        <v>200</v>
      </c>
      <c r="R1101" s="209" t="s">
        <v>201</v>
      </c>
      <c r="S1101" s="209" t="s">
        <v>202</v>
      </c>
      <c r="T1101" s="209" t="s">
        <v>203</v>
      </c>
      <c r="U1101" s="209" t="s">
        <v>201</v>
      </c>
      <c r="V1101" s="209" t="s">
        <v>179</v>
      </c>
      <c r="W1101" s="209" t="s">
        <v>179</v>
      </c>
      <c r="X1101" s="209" t="s">
        <v>180</v>
      </c>
      <c r="Y1101" s="209" t="s">
        <v>180</v>
      </c>
      <c r="Z1101" s="209" t="s">
        <v>2429</v>
      </c>
      <c r="AA1101" s="209" t="s">
        <v>2430</v>
      </c>
      <c r="AB1101" s="209" t="s">
        <v>180</v>
      </c>
      <c r="AC1101" s="209" t="s">
        <v>182</v>
      </c>
      <c r="AD1101" s="209">
        <v>6</v>
      </c>
      <c r="AE1101" s="209">
        <v>2025</v>
      </c>
      <c r="AF1101" s="227">
        <v>45834</v>
      </c>
      <c r="AG1101" s="227">
        <v>45834</v>
      </c>
      <c r="AH1101" s="227">
        <v>45834</v>
      </c>
      <c r="AI1101" s="228">
        <v>265824</v>
      </c>
      <c r="AJ1101" s="228">
        <v>26</v>
      </c>
      <c r="AK1101" s="228">
        <v>265824</v>
      </c>
      <c r="AL1101" s="228">
        <v>26</v>
      </c>
      <c r="AM1101" s="228">
        <v>0</v>
      </c>
      <c r="AN1101" s="228">
        <v>0</v>
      </c>
      <c r="AO1101" s="229">
        <v>26</v>
      </c>
      <c r="AP1101" s="231">
        <v>6</v>
      </c>
      <c r="AQ1101" s="231">
        <v>2025</v>
      </c>
      <c r="AR1101" s="231" t="str">
        <f t="shared" si="150"/>
        <v>06/2025</v>
      </c>
      <c r="AS1101" s="231">
        <f t="shared" si="151"/>
        <v>37.200000000000003</v>
      </c>
      <c r="AT1101" s="239">
        <f>IF(G1101="CERVECERIA Y MALTERIA",(AS1101*AK1101/1000000)*(1-VLOOKUP(N1101,FCST!D:I,6,FALSE)),0)</f>
        <v>9.8886528000000009</v>
      </c>
      <c r="AU1101" s="232">
        <v>5.0000000000000001E-3</v>
      </c>
      <c r="AV1101" s="239">
        <f t="shared" si="152"/>
        <v>9.9380960639999998</v>
      </c>
      <c r="AW1101" s="239">
        <f>(AS1101*AK1101/1000000)*(VLOOKUP(N1101,FCST!D:I,6,FALSE))</f>
        <v>0</v>
      </c>
      <c r="AX1101" s="239">
        <f t="shared" si="153"/>
        <v>0</v>
      </c>
      <c r="AY1101" s="239">
        <f>IF($G1101="CERVECERIA Y MALTERIA.",($AS1101*$AK1101/1000000)*(1-VLOOKUP($N1101,FCST!D:I,6,FALSE)),0)</f>
        <v>0</v>
      </c>
      <c r="AZ1101" s="239">
        <f t="shared" si="154"/>
        <v>0</v>
      </c>
    </row>
    <row r="1102" spans="1:52" x14ac:dyDescent="0.25">
      <c r="A1102" s="209">
        <v>1121635</v>
      </c>
      <c r="B1102" s="209">
        <v>30</v>
      </c>
      <c r="C1102" s="209" t="s">
        <v>2449</v>
      </c>
      <c r="D1102" s="209">
        <v>20</v>
      </c>
      <c r="E1102" s="209">
        <v>10000002</v>
      </c>
      <c r="F1102" s="209">
        <v>20000339</v>
      </c>
      <c r="G1102" s="209" t="s">
        <v>105</v>
      </c>
      <c r="H1102" s="209">
        <v>20000339</v>
      </c>
      <c r="I1102" s="209">
        <v>2</v>
      </c>
      <c r="J1102" s="209" t="s">
        <v>169</v>
      </c>
      <c r="K1102" s="209" t="s">
        <v>2450</v>
      </c>
      <c r="L1102" s="209" t="s">
        <v>171</v>
      </c>
      <c r="M1102" s="209" t="s">
        <v>227</v>
      </c>
      <c r="N1102" s="209">
        <v>50030542</v>
      </c>
      <c r="O1102" s="209" t="s">
        <v>2453</v>
      </c>
      <c r="P1102" s="209">
        <v>5121</v>
      </c>
      <c r="Q1102" s="209" t="s">
        <v>228</v>
      </c>
      <c r="R1102" s="209" t="s">
        <v>229</v>
      </c>
      <c r="S1102" s="209" t="s">
        <v>230</v>
      </c>
      <c r="T1102" s="209" t="s">
        <v>231</v>
      </c>
      <c r="U1102" s="209" t="s">
        <v>232</v>
      </c>
      <c r="V1102" s="209" t="s">
        <v>179</v>
      </c>
      <c r="W1102" s="209" t="s">
        <v>179</v>
      </c>
      <c r="X1102" s="209" t="s">
        <v>180</v>
      </c>
      <c r="Y1102" s="209" t="s">
        <v>180</v>
      </c>
      <c r="Z1102" s="209" t="s">
        <v>2451</v>
      </c>
      <c r="AA1102" s="209" t="s">
        <v>2452</v>
      </c>
      <c r="AB1102" s="209" t="s">
        <v>180</v>
      </c>
      <c r="AC1102" s="209" t="s">
        <v>182</v>
      </c>
      <c r="AD1102" s="209">
        <v>6</v>
      </c>
      <c r="AE1102" s="209">
        <v>2025</v>
      </c>
      <c r="AF1102" s="227">
        <v>45810</v>
      </c>
      <c r="AG1102" s="227">
        <v>45811</v>
      </c>
      <c r="AH1102" s="227">
        <v>45811</v>
      </c>
      <c r="AI1102" s="228">
        <v>109536</v>
      </c>
      <c r="AJ1102" s="228">
        <v>14</v>
      </c>
      <c r="AK1102" s="228">
        <v>109536</v>
      </c>
      <c r="AL1102" s="228">
        <v>14</v>
      </c>
      <c r="AM1102" s="228">
        <v>0</v>
      </c>
      <c r="AN1102" s="228">
        <v>0</v>
      </c>
      <c r="AO1102" s="229">
        <v>23</v>
      </c>
      <c r="AP1102" s="231">
        <v>6</v>
      </c>
      <c r="AQ1102" s="231">
        <v>2025</v>
      </c>
      <c r="AR1102" s="231" t="str">
        <f t="shared" si="150"/>
        <v>06/2025</v>
      </c>
      <c r="AS1102" s="231">
        <f t="shared" si="151"/>
        <v>44</v>
      </c>
      <c r="AT1102" s="239">
        <f>IF(G1102="CERVECERIA Y MALTERIA",(AS1102*AK1102/1000000)*(1-VLOOKUP(N1102,FCST!D:I,6,FALSE)),0)</f>
        <v>4.8195839999999999</v>
      </c>
      <c r="AU1102" s="232">
        <v>5.0000000000000001E-3</v>
      </c>
      <c r="AV1102" s="239">
        <f t="shared" si="152"/>
        <v>4.843681919999999</v>
      </c>
      <c r="AW1102" s="239">
        <f>(AS1102*AK1102/1000000)*(VLOOKUP(N1102,FCST!D:I,6,FALSE))</f>
        <v>0</v>
      </c>
      <c r="AX1102" s="239">
        <f t="shared" si="153"/>
        <v>0</v>
      </c>
      <c r="AY1102" s="239">
        <f>IF($G1102="CERVECERIA Y MALTERIA.",($AS1102*$AK1102/1000000)*(1-VLOOKUP($N1102,FCST!D:I,6,FALSE)),0)</f>
        <v>0</v>
      </c>
      <c r="AZ1102" s="239">
        <f t="shared" si="154"/>
        <v>0</v>
      </c>
    </row>
    <row r="1103" spans="1:52" x14ac:dyDescent="0.25">
      <c r="A1103" s="209">
        <v>1124126</v>
      </c>
      <c r="B1103" s="209">
        <v>80</v>
      </c>
      <c r="C1103" s="209" t="s">
        <v>2218</v>
      </c>
      <c r="D1103" s="209">
        <v>20</v>
      </c>
      <c r="E1103" s="209">
        <v>10000002</v>
      </c>
      <c r="F1103" s="209">
        <v>20000337</v>
      </c>
      <c r="G1103" s="209" t="s">
        <v>105</v>
      </c>
      <c r="H1103" s="209">
        <v>20000337</v>
      </c>
      <c r="I1103" s="209">
        <v>2</v>
      </c>
      <c r="J1103" s="209" t="s">
        <v>169</v>
      </c>
      <c r="K1103" s="209" t="s">
        <v>2219</v>
      </c>
      <c r="L1103" s="209" t="s">
        <v>246</v>
      </c>
      <c r="M1103" s="209" t="s">
        <v>172</v>
      </c>
      <c r="N1103" s="209">
        <v>50039815</v>
      </c>
      <c r="O1103" s="209" t="s">
        <v>2454</v>
      </c>
      <c r="P1103" s="209">
        <v>5121</v>
      </c>
      <c r="Q1103" s="209" t="s">
        <v>174</v>
      </c>
      <c r="R1103" s="209" t="s">
        <v>175</v>
      </c>
      <c r="S1103" s="209" t="s">
        <v>176</v>
      </c>
      <c r="T1103" s="209" t="s">
        <v>177</v>
      </c>
      <c r="U1103" s="209" t="s">
        <v>178</v>
      </c>
      <c r="V1103" s="209" t="s">
        <v>179</v>
      </c>
      <c r="W1103" s="209" t="s">
        <v>179</v>
      </c>
      <c r="X1103" s="209" t="s">
        <v>180</v>
      </c>
      <c r="Y1103" s="209" t="s">
        <v>180</v>
      </c>
      <c r="Z1103" s="209" t="s">
        <v>2220</v>
      </c>
      <c r="AA1103" s="209" t="s">
        <v>2221</v>
      </c>
      <c r="AB1103" s="209" t="s">
        <v>180</v>
      </c>
      <c r="AC1103" s="209" t="s">
        <v>182</v>
      </c>
      <c r="AD1103" s="209">
        <v>6</v>
      </c>
      <c r="AE1103" s="209">
        <v>2025</v>
      </c>
      <c r="AF1103" s="227">
        <v>45825</v>
      </c>
      <c r="AG1103" s="227">
        <v>45838</v>
      </c>
      <c r="AH1103" s="227">
        <v>45838</v>
      </c>
      <c r="AI1103" s="228">
        <v>16416</v>
      </c>
      <c r="AJ1103" s="228">
        <v>2</v>
      </c>
      <c r="AK1103" s="228">
        <v>16416</v>
      </c>
      <c r="AL1103" s="228">
        <v>2</v>
      </c>
      <c r="AM1103" s="228">
        <v>0</v>
      </c>
      <c r="AN1103" s="228">
        <v>0</v>
      </c>
      <c r="AO1103" s="229">
        <v>25</v>
      </c>
      <c r="AP1103" s="231">
        <v>6</v>
      </c>
      <c r="AQ1103" s="231">
        <v>2025</v>
      </c>
      <c r="AR1103" s="231" t="str">
        <f t="shared" si="150"/>
        <v>06/2025</v>
      </c>
      <c r="AS1103" s="231">
        <f t="shared" si="151"/>
        <v>46.6</v>
      </c>
      <c r="AT1103" s="239">
        <f>IF(G1103="CERVECERIA Y MALTERIA",(AS1103*AK1103/1000000)*(1-VLOOKUP(N1103,FCST!D:I,6,FALSE)),0)</f>
        <v>0.61198847999999995</v>
      </c>
      <c r="AU1103" s="232">
        <v>5.0000000000000001E-3</v>
      </c>
      <c r="AV1103" s="239">
        <f t="shared" si="152"/>
        <v>0.61504842239999991</v>
      </c>
      <c r="AW1103" s="239">
        <f>(AS1103*AK1103/1000000)*(VLOOKUP(N1103,FCST!D:I,6,FALSE))</f>
        <v>0.15299711999999999</v>
      </c>
      <c r="AX1103" s="239">
        <f t="shared" si="153"/>
        <v>0.15376210559999998</v>
      </c>
      <c r="AY1103" s="239">
        <f>IF($G1103="CERVECERIA Y MALTERIA.",($AS1103*$AK1103/1000000)*(1-VLOOKUP($N1103,FCST!D:I,6,FALSE)),0)</f>
        <v>0</v>
      </c>
      <c r="AZ1103" s="239">
        <f t="shared" si="154"/>
        <v>0</v>
      </c>
    </row>
    <row r="1104" spans="1:52" x14ac:dyDescent="0.25">
      <c r="A1104" s="209">
        <v>1121143</v>
      </c>
      <c r="B1104" s="209">
        <v>20</v>
      </c>
      <c r="C1104" s="209" t="s">
        <v>2309</v>
      </c>
      <c r="D1104" s="209">
        <v>20</v>
      </c>
      <c r="E1104" s="209">
        <v>10000002</v>
      </c>
      <c r="F1104" s="209">
        <v>20000336</v>
      </c>
      <c r="G1104" s="209" t="s">
        <v>105</v>
      </c>
      <c r="H1104" s="209">
        <v>20000336</v>
      </c>
      <c r="I1104" s="209">
        <v>2</v>
      </c>
      <c r="J1104" s="209" t="s">
        <v>169</v>
      </c>
      <c r="K1104" s="209" t="s">
        <v>2310</v>
      </c>
      <c r="L1104" s="209" t="s">
        <v>171</v>
      </c>
      <c r="M1104" s="209" t="s">
        <v>172</v>
      </c>
      <c r="N1104" s="209">
        <v>50037887</v>
      </c>
      <c r="O1104" s="209" t="s">
        <v>679</v>
      </c>
      <c r="P1104" s="209">
        <v>5121</v>
      </c>
      <c r="Q1104" s="209" t="s">
        <v>174</v>
      </c>
      <c r="R1104" s="209" t="s">
        <v>175</v>
      </c>
      <c r="S1104" s="209" t="s">
        <v>176</v>
      </c>
      <c r="T1104" s="209" t="s">
        <v>177</v>
      </c>
      <c r="U1104" s="209" t="s">
        <v>178</v>
      </c>
      <c r="V1104" s="209" t="s">
        <v>179</v>
      </c>
      <c r="W1104" s="209" t="s">
        <v>179</v>
      </c>
      <c r="X1104" s="209" t="s">
        <v>180</v>
      </c>
      <c r="Y1104" s="209" t="s">
        <v>180</v>
      </c>
      <c r="Z1104" s="209" t="s">
        <v>2311</v>
      </c>
      <c r="AA1104" s="209" t="s">
        <v>2312</v>
      </c>
      <c r="AB1104" s="209" t="s">
        <v>180</v>
      </c>
      <c r="AC1104" s="209" t="s">
        <v>182</v>
      </c>
      <c r="AD1104" s="209">
        <v>6</v>
      </c>
      <c r="AE1104" s="209">
        <v>2025</v>
      </c>
      <c r="AF1104" s="227">
        <v>45807</v>
      </c>
      <c r="AG1104" s="227">
        <v>45810</v>
      </c>
      <c r="AH1104" s="227">
        <v>45810</v>
      </c>
      <c r="AI1104" s="228">
        <v>204480</v>
      </c>
      <c r="AJ1104" s="228">
        <v>20</v>
      </c>
      <c r="AK1104" s="228">
        <v>204480</v>
      </c>
      <c r="AL1104" s="228">
        <v>20</v>
      </c>
      <c r="AM1104" s="228">
        <v>0</v>
      </c>
      <c r="AN1104" s="228">
        <v>0</v>
      </c>
      <c r="AO1104" s="229">
        <v>23</v>
      </c>
      <c r="AP1104" s="231">
        <v>6</v>
      </c>
      <c r="AQ1104" s="231">
        <v>2025</v>
      </c>
      <c r="AR1104" s="231" t="str">
        <f t="shared" si="150"/>
        <v>06/2025</v>
      </c>
      <c r="AS1104" s="231">
        <f t="shared" si="151"/>
        <v>37.200000000000003</v>
      </c>
      <c r="AT1104" s="239">
        <f>IF(G1104="CERVECERIA Y MALTERIA",(AS1104*AK1104/1000000)*(1-VLOOKUP(N1104,FCST!D:I,6,FALSE)),0)</f>
        <v>7.606656000000001</v>
      </c>
      <c r="AU1104" s="232">
        <v>5.0000000000000001E-3</v>
      </c>
      <c r="AV1104" s="239">
        <f t="shared" si="152"/>
        <v>7.6446892800000006</v>
      </c>
      <c r="AW1104" s="239">
        <f>(AS1104*AK1104/1000000)*(VLOOKUP(N1104,FCST!D:I,6,FALSE))</f>
        <v>0</v>
      </c>
      <c r="AX1104" s="239">
        <f t="shared" si="153"/>
        <v>0</v>
      </c>
      <c r="AY1104" s="239">
        <f>IF($G1104="CERVECERIA Y MALTERIA.",($AS1104*$AK1104/1000000)*(1-VLOOKUP($N1104,FCST!D:I,6,FALSE)),0)</f>
        <v>0</v>
      </c>
      <c r="AZ1104" s="239">
        <f t="shared" si="154"/>
        <v>0</v>
      </c>
    </row>
    <row r="1105" spans="1:52" x14ac:dyDescent="0.25">
      <c r="A1105" s="209">
        <v>1121143</v>
      </c>
      <c r="B1105" s="209">
        <v>50</v>
      </c>
      <c r="C1105" s="209" t="s">
        <v>2341</v>
      </c>
      <c r="D1105" s="209">
        <v>20</v>
      </c>
      <c r="E1105" s="209">
        <v>10000002</v>
      </c>
      <c r="F1105" s="209">
        <v>20000336</v>
      </c>
      <c r="G1105" s="209" t="s">
        <v>105</v>
      </c>
      <c r="H1105" s="209">
        <v>20000336</v>
      </c>
      <c r="I1105" s="209">
        <v>2</v>
      </c>
      <c r="J1105" s="209" t="s">
        <v>169</v>
      </c>
      <c r="K1105" s="209" t="s">
        <v>2342</v>
      </c>
      <c r="L1105" s="209" t="s">
        <v>171</v>
      </c>
      <c r="M1105" s="209" t="s">
        <v>172</v>
      </c>
      <c r="N1105" s="209">
        <v>50021818</v>
      </c>
      <c r="O1105" s="209" t="s">
        <v>2170</v>
      </c>
      <c r="P1105" s="209">
        <v>5121</v>
      </c>
      <c r="Q1105" s="209" t="s">
        <v>174</v>
      </c>
      <c r="R1105" s="209" t="s">
        <v>175</v>
      </c>
      <c r="S1105" s="209" t="s">
        <v>176</v>
      </c>
      <c r="T1105" s="209" t="s">
        <v>177</v>
      </c>
      <c r="U1105" s="209" t="s">
        <v>178</v>
      </c>
      <c r="V1105" s="209" t="s">
        <v>179</v>
      </c>
      <c r="W1105" s="209" t="s">
        <v>179</v>
      </c>
      <c r="X1105" s="209" t="s">
        <v>180</v>
      </c>
      <c r="Y1105" s="209" t="s">
        <v>180</v>
      </c>
      <c r="Z1105" s="209" t="s">
        <v>2343</v>
      </c>
      <c r="AA1105" s="209" t="s">
        <v>2344</v>
      </c>
      <c r="AB1105" s="209" t="s">
        <v>180</v>
      </c>
      <c r="AC1105" s="209" t="s">
        <v>182</v>
      </c>
      <c r="AD1105" s="209">
        <v>6</v>
      </c>
      <c r="AE1105" s="209">
        <v>2025</v>
      </c>
      <c r="AF1105" s="227">
        <v>45807</v>
      </c>
      <c r="AG1105" s="227">
        <v>45825</v>
      </c>
      <c r="AH1105" s="227">
        <v>45825</v>
      </c>
      <c r="AI1105" s="228">
        <v>16416</v>
      </c>
      <c r="AJ1105" s="228">
        <v>2</v>
      </c>
      <c r="AK1105" s="228">
        <v>16416</v>
      </c>
      <c r="AL1105" s="228">
        <v>2</v>
      </c>
      <c r="AM1105" s="228">
        <v>0</v>
      </c>
      <c r="AN1105" s="228">
        <v>0</v>
      </c>
      <c r="AO1105" s="229">
        <v>23</v>
      </c>
      <c r="AP1105" s="231">
        <v>6</v>
      </c>
      <c r="AQ1105" s="231">
        <v>2025</v>
      </c>
      <c r="AR1105" s="231" t="str">
        <f t="shared" ref="AR1105:AR1109" si="155">+IF(AP1105&lt;10,"0"&amp;AP1105&amp; "/"&amp;AQ1105,AP1105&amp; "/"&amp;AQ1105)</f>
        <v>06/2025</v>
      </c>
      <c r="AS1105" s="231">
        <f t="shared" si="151"/>
        <v>46.6</v>
      </c>
      <c r="AT1105" s="239">
        <f>IF(G1105="CERVECERIA Y MALTERIA",(AS1105*AK1105/1000000)*(1-VLOOKUP(N1105,FCST!D:I,6,FALSE)),0)</f>
        <v>0.76498559999999993</v>
      </c>
      <c r="AU1105" s="232">
        <v>5.0000000000000001E-3</v>
      </c>
      <c r="AV1105" s="239">
        <f t="shared" ref="AV1105:AV1109" si="156">+AT1105*(1+AU1105)</f>
        <v>0.76881052799999983</v>
      </c>
      <c r="AW1105" s="239">
        <f>(AS1105*AK1105/1000000)*(VLOOKUP(N1105,FCST!D:I,6,FALSE))</f>
        <v>0</v>
      </c>
      <c r="AX1105" s="239">
        <f t="shared" ref="AX1105:AX1109" si="157">+AW1105*(1+AU1105)</f>
        <v>0</v>
      </c>
      <c r="AY1105" s="239">
        <f>IF($G1105="CERVECERIA Y MALTERIA.",($AS1105*$AK1105/1000000)*(1-VLOOKUP($N1105,FCST!D:I,6,FALSE)),0)</f>
        <v>0</v>
      </c>
      <c r="AZ1105" s="239">
        <f t="shared" ref="AZ1105:AZ1109" si="158">+AY1105*(1+AU1105)</f>
        <v>0</v>
      </c>
    </row>
    <row r="1106" spans="1:52" x14ac:dyDescent="0.25">
      <c r="A1106" s="209">
        <v>1121143</v>
      </c>
      <c r="B1106" s="209">
        <v>60</v>
      </c>
      <c r="C1106" s="209" t="s">
        <v>2341</v>
      </c>
      <c r="D1106" s="209">
        <v>30</v>
      </c>
      <c r="E1106" s="209">
        <v>10000002</v>
      </c>
      <c r="F1106" s="209">
        <v>20000336</v>
      </c>
      <c r="G1106" s="209" t="s">
        <v>105</v>
      </c>
      <c r="H1106" s="209">
        <v>20000336</v>
      </c>
      <c r="I1106" s="209">
        <v>2</v>
      </c>
      <c r="J1106" s="209" t="s">
        <v>169</v>
      </c>
      <c r="K1106" s="209" t="s">
        <v>2342</v>
      </c>
      <c r="L1106" s="209" t="s">
        <v>171</v>
      </c>
      <c r="M1106" s="209" t="s">
        <v>172</v>
      </c>
      <c r="N1106" s="209">
        <v>50025345</v>
      </c>
      <c r="O1106" s="209" t="s">
        <v>1998</v>
      </c>
      <c r="P1106" s="209">
        <v>5121</v>
      </c>
      <c r="Q1106" s="209" t="s">
        <v>174</v>
      </c>
      <c r="R1106" s="209" t="s">
        <v>175</v>
      </c>
      <c r="S1106" s="209" t="s">
        <v>176</v>
      </c>
      <c r="T1106" s="209" t="s">
        <v>177</v>
      </c>
      <c r="U1106" s="209" t="s">
        <v>178</v>
      </c>
      <c r="V1106" s="209" t="s">
        <v>179</v>
      </c>
      <c r="W1106" s="209" t="s">
        <v>179</v>
      </c>
      <c r="X1106" s="209" t="s">
        <v>180</v>
      </c>
      <c r="Y1106" s="209" t="s">
        <v>180</v>
      </c>
      <c r="Z1106" s="209" t="s">
        <v>2343</v>
      </c>
      <c r="AA1106" s="209" t="s">
        <v>2344</v>
      </c>
      <c r="AB1106" s="209" t="s">
        <v>180</v>
      </c>
      <c r="AC1106" s="209" t="s">
        <v>182</v>
      </c>
      <c r="AD1106" s="209">
        <v>6</v>
      </c>
      <c r="AE1106" s="209">
        <v>2025</v>
      </c>
      <c r="AF1106" s="227">
        <v>45807</v>
      </c>
      <c r="AG1106" s="227">
        <v>45825</v>
      </c>
      <c r="AH1106" s="227">
        <v>45825</v>
      </c>
      <c r="AI1106" s="228">
        <v>16416</v>
      </c>
      <c r="AJ1106" s="228">
        <v>2</v>
      </c>
      <c r="AK1106" s="228">
        <v>16416</v>
      </c>
      <c r="AL1106" s="228">
        <v>2</v>
      </c>
      <c r="AM1106" s="228">
        <v>0</v>
      </c>
      <c r="AN1106" s="228">
        <v>0</v>
      </c>
      <c r="AO1106" s="229">
        <v>23</v>
      </c>
      <c r="AP1106" s="231">
        <v>6</v>
      </c>
      <c r="AQ1106" s="231">
        <v>2025</v>
      </c>
      <c r="AR1106" s="231" t="str">
        <f t="shared" si="155"/>
        <v>06/2025</v>
      </c>
      <c r="AS1106" s="231">
        <f t="shared" si="151"/>
        <v>46.6</v>
      </c>
      <c r="AT1106" s="239">
        <f>IF(G1106="CERVECERIA Y MALTERIA",(AS1106*AK1106/1000000)*(1-VLOOKUP(N1106,FCST!D:I,6,FALSE)),0)</f>
        <v>0.76498559999999993</v>
      </c>
      <c r="AU1106" s="232">
        <v>5.0000000000000001E-3</v>
      </c>
      <c r="AV1106" s="239">
        <f t="shared" si="156"/>
        <v>0.76881052799999983</v>
      </c>
      <c r="AW1106" s="239">
        <f>(AS1106*AK1106/1000000)*(VLOOKUP(N1106,FCST!D:I,6,FALSE))</f>
        <v>0</v>
      </c>
      <c r="AX1106" s="239">
        <f t="shared" si="157"/>
        <v>0</v>
      </c>
      <c r="AY1106" s="239">
        <f>IF($G1106="CERVECERIA Y MALTERIA.",($AS1106*$AK1106/1000000)*(1-VLOOKUP($N1106,FCST!D:I,6,FALSE)),0)</f>
        <v>0</v>
      </c>
      <c r="AZ1106" s="239">
        <f t="shared" si="158"/>
        <v>0</v>
      </c>
    </row>
    <row r="1107" spans="1:52" x14ac:dyDescent="0.25">
      <c r="A1107" s="209">
        <v>1121143</v>
      </c>
      <c r="B1107" s="209">
        <v>70</v>
      </c>
      <c r="C1107" s="209" t="s">
        <v>2341</v>
      </c>
      <c r="D1107" s="209">
        <v>40</v>
      </c>
      <c r="E1107" s="209">
        <v>10000002</v>
      </c>
      <c r="F1107" s="209">
        <v>20000336</v>
      </c>
      <c r="G1107" s="209" t="s">
        <v>105</v>
      </c>
      <c r="H1107" s="209">
        <v>20000336</v>
      </c>
      <c r="I1107" s="209">
        <v>2</v>
      </c>
      <c r="J1107" s="209" t="s">
        <v>169</v>
      </c>
      <c r="K1107" s="209" t="s">
        <v>2342</v>
      </c>
      <c r="L1107" s="209" t="s">
        <v>171</v>
      </c>
      <c r="M1107" s="209" t="s">
        <v>172</v>
      </c>
      <c r="N1107" s="209">
        <v>50039302</v>
      </c>
      <c r="O1107" s="209" t="s">
        <v>1942</v>
      </c>
      <c r="P1107" s="209">
        <v>5121</v>
      </c>
      <c r="Q1107" s="209" t="s">
        <v>174</v>
      </c>
      <c r="R1107" s="209" t="s">
        <v>175</v>
      </c>
      <c r="S1107" s="209" t="s">
        <v>176</v>
      </c>
      <c r="T1107" s="209" t="s">
        <v>177</v>
      </c>
      <c r="U1107" s="209" t="s">
        <v>178</v>
      </c>
      <c r="V1107" s="209" t="s">
        <v>179</v>
      </c>
      <c r="W1107" s="209" t="s">
        <v>179</v>
      </c>
      <c r="X1107" s="209" t="s">
        <v>180</v>
      </c>
      <c r="Y1107" s="209" t="s">
        <v>180</v>
      </c>
      <c r="Z1107" s="209" t="s">
        <v>2343</v>
      </c>
      <c r="AA1107" s="209" t="s">
        <v>2344</v>
      </c>
      <c r="AB1107" s="209" t="s">
        <v>180</v>
      </c>
      <c r="AC1107" s="209" t="s">
        <v>182</v>
      </c>
      <c r="AD1107" s="209">
        <v>6</v>
      </c>
      <c r="AE1107" s="209">
        <v>2025</v>
      </c>
      <c r="AF1107" s="227">
        <v>45807</v>
      </c>
      <c r="AG1107" s="227">
        <v>45825</v>
      </c>
      <c r="AH1107" s="227">
        <v>45825</v>
      </c>
      <c r="AI1107" s="228">
        <v>15360</v>
      </c>
      <c r="AJ1107" s="228">
        <v>2</v>
      </c>
      <c r="AK1107" s="228">
        <v>15360</v>
      </c>
      <c r="AL1107" s="228">
        <v>2</v>
      </c>
      <c r="AM1107" s="228">
        <v>0</v>
      </c>
      <c r="AN1107" s="228">
        <v>0</v>
      </c>
      <c r="AO1107" s="229">
        <v>23</v>
      </c>
      <c r="AP1107" s="231">
        <v>6</v>
      </c>
      <c r="AQ1107" s="231">
        <v>2025</v>
      </c>
      <c r="AR1107" s="231" t="str">
        <f t="shared" si="155"/>
        <v>06/2025</v>
      </c>
      <c r="AS1107" s="231">
        <f t="shared" si="151"/>
        <v>46.6</v>
      </c>
      <c r="AT1107" s="239">
        <f>IF(G1107="CERVECERIA Y MALTERIA",(AS1107*AK1107/1000000)*(1-VLOOKUP(N1107,FCST!D:I,6,FALSE)),0)</f>
        <v>0.71577599999999997</v>
      </c>
      <c r="AU1107" s="232">
        <v>5.0000000000000001E-3</v>
      </c>
      <c r="AV1107" s="239">
        <f t="shared" si="156"/>
        <v>0.71935487999999992</v>
      </c>
      <c r="AW1107" s="239">
        <f>(AS1107*AK1107/1000000)*(VLOOKUP(N1107,FCST!D:I,6,FALSE))</f>
        <v>0</v>
      </c>
      <c r="AX1107" s="239">
        <f t="shared" si="157"/>
        <v>0</v>
      </c>
      <c r="AY1107" s="239">
        <f>IF($G1107="CERVECERIA Y MALTERIA.",($AS1107*$AK1107/1000000)*(1-VLOOKUP($N1107,FCST!D:I,6,FALSE)),0)</f>
        <v>0</v>
      </c>
      <c r="AZ1107" s="239">
        <f t="shared" si="158"/>
        <v>0</v>
      </c>
    </row>
    <row r="1108" spans="1:52" x14ac:dyDescent="0.25">
      <c r="A1108" s="209">
        <v>1124131</v>
      </c>
      <c r="B1108" s="209">
        <v>20</v>
      </c>
      <c r="C1108" s="209" t="s">
        <v>2349</v>
      </c>
      <c r="D1108" s="209">
        <v>20</v>
      </c>
      <c r="E1108" s="209">
        <v>10000002</v>
      </c>
      <c r="F1108" s="209">
        <v>20001057</v>
      </c>
      <c r="G1108" s="209" t="s">
        <v>105</v>
      </c>
      <c r="H1108" s="209">
        <v>20001057</v>
      </c>
      <c r="I1108" s="209">
        <v>2</v>
      </c>
      <c r="J1108" s="209" t="s">
        <v>169</v>
      </c>
      <c r="K1108" s="209" t="s">
        <v>2350</v>
      </c>
      <c r="L1108" s="209" t="s">
        <v>246</v>
      </c>
      <c r="M1108" s="209" t="s">
        <v>172</v>
      </c>
      <c r="N1108" s="209">
        <v>50025345</v>
      </c>
      <c r="O1108" s="209" t="s">
        <v>1998</v>
      </c>
      <c r="P1108" s="209">
        <v>5121</v>
      </c>
      <c r="Q1108" s="209" t="s">
        <v>174</v>
      </c>
      <c r="R1108" s="209" t="s">
        <v>175</v>
      </c>
      <c r="S1108" s="209" t="s">
        <v>176</v>
      </c>
      <c r="T1108" s="209" t="s">
        <v>177</v>
      </c>
      <c r="U1108" s="209" t="s">
        <v>178</v>
      </c>
      <c r="V1108" s="209" t="s">
        <v>179</v>
      </c>
      <c r="W1108" s="209" t="s">
        <v>179</v>
      </c>
      <c r="X1108" s="209" t="s">
        <v>180</v>
      </c>
      <c r="Y1108" s="209" t="s">
        <v>180</v>
      </c>
      <c r="Z1108" s="209" t="s">
        <v>2351</v>
      </c>
      <c r="AA1108" s="209" t="s">
        <v>2352</v>
      </c>
      <c r="AB1108" s="209" t="s">
        <v>180</v>
      </c>
      <c r="AC1108" s="209" t="s">
        <v>182</v>
      </c>
      <c r="AD1108" s="209">
        <v>6</v>
      </c>
      <c r="AE1108" s="209">
        <v>2025</v>
      </c>
      <c r="AF1108" s="227">
        <v>45825</v>
      </c>
      <c r="AG1108" s="227">
        <v>45826</v>
      </c>
      <c r="AH1108" s="227">
        <v>45826</v>
      </c>
      <c r="AI1108" s="228">
        <v>213408</v>
      </c>
      <c r="AJ1108" s="228">
        <v>26</v>
      </c>
      <c r="AK1108" s="228">
        <v>213408</v>
      </c>
      <c r="AL1108" s="228">
        <v>26</v>
      </c>
      <c r="AM1108" s="228">
        <v>0</v>
      </c>
      <c r="AN1108" s="228">
        <v>0</v>
      </c>
      <c r="AO1108" s="229">
        <v>25</v>
      </c>
      <c r="AP1108" s="231">
        <v>6</v>
      </c>
      <c r="AQ1108" s="231">
        <v>2025</v>
      </c>
      <c r="AR1108" s="231" t="str">
        <f t="shared" si="155"/>
        <v>06/2025</v>
      </c>
      <c r="AS1108" s="231">
        <f t="shared" si="151"/>
        <v>46.6</v>
      </c>
      <c r="AT1108" s="239">
        <f>IF(G1108="CERVECERIA Y MALTERIA",(AS1108*AK1108/1000000)*(1-VLOOKUP(N1108,FCST!D:I,6,FALSE)),0)</f>
        <v>9.9448128000000011</v>
      </c>
      <c r="AU1108" s="232">
        <v>5.0000000000000001E-3</v>
      </c>
      <c r="AV1108" s="239">
        <f t="shared" si="156"/>
        <v>9.9945368640000005</v>
      </c>
      <c r="AW1108" s="239">
        <f>(AS1108*AK1108/1000000)*(VLOOKUP(N1108,FCST!D:I,6,FALSE))</f>
        <v>0</v>
      </c>
      <c r="AX1108" s="239">
        <f t="shared" si="157"/>
        <v>0</v>
      </c>
      <c r="AY1108" s="239">
        <f>IF($G1108="CERVECERIA Y MALTERIA.",($AS1108*$AK1108/1000000)*(1-VLOOKUP($N1108,FCST!D:I,6,FALSE)),0)</f>
        <v>0</v>
      </c>
      <c r="AZ1108" s="239">
        <f t="shared" si="158"/>
        <v>0</v>
      </c>
    </row>
    <row r="1109" spans="1:52" x14ac:dyDescent="0.25">
      <c r="A1109" s="209">
        <v>1120830</v>
      </c>
      <c r="B1109" s="209">
        <v>10</v>
      </c>
      <c r="C1109" s="209" t="s">
        <v>2455</v>
      </c>
      <c r="D1109" s="209">
        <v>10</v>
      </c>
      <c r="E1109" s="209">
        <v>10000002</v>
      </c>
      <c r="F1109" s="209">
        <v>20000339</v>
      </c>
      <c r="G1109" s="209" t="s">
        <v>105</v>
      </c>
      <c r="H1109" s="209">
        <v>20000339</v>
      </c>
      <c r="I1109" s="209">
        <v>2</v>
      </c>
      <c r="J1109" s="209" t="s">
        <v>169</v>
      </c>
      <c r="K1109" s="209" t="s">
        <v>2456</v>
      </c>
      <c r="L1109" s="209" t="s">
        <v>246</v>
      </c>
      <c r="M1109" s="209" t="s">
        <v>227</v>
      </c>
      <c r="N1109" s="209">
        <v>50030542</v>
      </c>
      <c r="O1109" s="209" t="s">
        <v>2453</v>
      </c>
      <c r="P1109" s="209">
        <v>5121</v>
      </c>
      <c r="Q1109" s="209" t="s">
        <v>228</v>
      </c>
      <c r="R1109" s="209" t="s">
        <v>229</v>
      </c>
      <c r="S1109" s="209" t="s">
        <v>230</v>
      </c>
      <c r="T1109" s="209" t="s">
        <v>231</v>
      </c>
      <c r="U1109" s="209" t="s">
        <v>232</v>
      </c>
      <c r="V1109" s="209" t="s">
        <v>180</v>
      </c>
      <c r="W1109" s="209" t="s">
        <v>179</v>
      </c>
      <c r="X1109" s="209" t="s">
        <v>180</v>
      </c>
      <c r="Y1109" s="209" t="s">
        <v>180</v>
      </c>
      <c r="Z1109" s="209" t="s">
        <v>2457</v>
      </c>
      <c r="AA1109" s="209" t="s">
        <v>2458</v>
      </c>
      <c r="AB1109" s="209" t="s">
        <v>180</v>
      </c>
      <c r="AC1109" s="209" t="s">
        <v>182</v>
      </c>
      <c r="AD1109" s="209">
        <v>5</v>
      </c>
      <c r="AE1109" s="209">
        <v>2025</v>
      </c>
      <c r="AF1109" s="227">
        <v>45806</v>
      </c>
      <c r="AG1109" s="227">
        <v>45807</v>
      </c>
      <c r="AH1109" s="227">
        <v>45810</v>
      </c>
      <c r="AI1109" s="228">
        <v>406848</v>
      </c>
      <c r="AJ1109" s="228">
        <v>52</v>
      </c>
      <c r="AK1109" s="228">
        <v>406848</v>
      </c>
      <c r="AL1109" s="228">
        <v>52</v>
      </c>
      <c r="AM1109" s="228">
        <v>0</v>
      </c>
      <c r="AN1109" s="228">
        <v>0</v>
      </c>
      <c r="AO1109" s="229">
        <v>22</v>
      </c>
      <c r="AP1109" s="231">
        <v>6</v>
      </c>
      <c r="AQ1109" s="231">
        <v>2025</v>
      </c>
      <c r="AR1109" s="231" t="str">
        <f t="shared" si="155"/>
        <v>06/2025</v>
      </c>
      <c r="AS1109" s="231">
        <f t="shared" si="151"/>
        <v>44</v>
      </c>
      <c r="AT1109" s="239">
        <f>IF(G1109="CERVECERIA Y MALTERIA",(AS1109*AK1109/1000000)*(1-VLOOKUP(N1109,FCST!D:I,6,FALSE)),0)</f>
        <v>17.901312000000001</v>
      </c>
      <c r="AU1109" s="232">
        <v>5.0000000000000001E-3</v>
      </c>
      <c r="AV1109" s="239">
        <f t="shared" si="156"/>
        <v>17.990818559999997</v>
      </c>
      <c r="AW1109" s="239">
        <f>(AS1109*AK1109/1000000)*(VLOOKUP(N1109,FCST!D:I,6,FALSE))</f>
        <v>0</v>
      </c>
      <c r="AX1109" s="239">
        <f t="shared" si="157"/>
        <v>0</v>
      </c>
      <c r="AY1109" s="239">
        <f>IF($G1109="CERVECERIA Y MALTERIA.",($AS1109*$AK1109/1000000)*(1-VLOOKUP($N1109,FCST!D:I,6,FALSE)),0)</f>
        <v>0</v>
      </c>
      <c r="AZ1109" s="239">
        <f t="shared" si="158"/>
        <v>0</v>
      </c>
    </row>
    <row r="1111" spans="1:52" x14ac:dyDescent="0.25">
      <c r="A1111" s="209">
        <v>1129228</v>
      </c>
      <c r="B1111" s="209">
        <v>40</v>
      </c>
      <c r="C1111" s="209">
        <v>89519435</v>
      </c>
      <c r="D1111" s="209">
        <v>10</v>
      </c>
      <c r="E1111" s="209">
        <v>10000002</v>
      </c>
      <c r="F1111" s="209">
        <v>20000335</v>
      </c>
      <c r="G1111" s="209" t="s">
        <v>105</v>
      </c>
      <c r="H1111" s="209">
        <v>20000335</v>
      </c>
      <c r="I1111" s="209">
        <v>2</v>
      </c>
      <c r="J1111" s="209" t="s">
        <v>169</v>
      </c>
      <c r="K1111" s="209" t="s">
        <v>2459</v>
      </c>
      <c r="L1111" s="209" t="s">
        <v>171</v>
      </c>
      <c r="M1111" s="209" t="s">
        <v>172</v>
      </c>
      <c r="N1111" s="209">
        <v>50036915</v>
      </c>
      <c r="O1111" s="209" t="s">
        <v>541</v>
      </c>
      <c r="P1111" s="209">
        <v>5121</v>
      </c>
      <c r="Q1111" s="209" t="s">
        <v>174</v>
      </c>
      <c r="R1111" s="209" t="s">
        <v>175</v>
      </c>
      <c r="S1111" s="209" t="s">
        <v>176</v>
      </c>
      <c r="T1111" s="209" t="s">
        <v>177</v>
      </c>
      <c r="U1111" s="209" t="s">
        <v>178</v>
      </c>
      <c r="V1111" s="209" t="s">
        <v>179</v>
      </c>
      <c r="W1111" s="209" t="s">
        <v>179</v>
      </c>
      <c r="X1111" s="209" t="s">
        <v>180</v>
      </c>
      <c r="Y1111" s="209" t="s">
        <v>180</v>
      </c>
      <c r="Z1111" s="209">
        <v>9521069079</v>
      </c>
      <c r="AA1111" s="209" t="s">
        <v>2460</v>
      </c>
      <c r="AB1111" s="209" t="s">
        <v>180</v>
      </c>
      <c r="AC1111" s="209" t="s">
        <v>182</v>
      </c>
      <c r="AD1111" s="209">
        <v>7</v>
      </c>
      <c r="AE1111" s="209">
        <v>2025</v>
      </c>
      <c r="AF1111" s="227">
        <v>45855</v>
      </c>
      <c r="AG1111" s="227">
        <v>45860</v>
      </c>
      <c r="AH1111" s="227">
        <v>45860</v>
      </c>
      <c r="AI1111" s="228">
        <v>426816</v>
      </c>
      <c r="AJ1111" s="228">
        <v>52</v>
      </c>
      <c r="AK1111" s="228">
        <v>426816</v>
      </c>
      <c r="AL1111" s="228">
        <v>52</v>
      </c>
      <c r="AM1111" s="228">
        <v>0</v>
      </c>
      <c r="AN1111" s="228">
        <v>0</v>
      </c>
      <c r="AO1111" s="229">
        <v>30</v>
      </c>
      <c r="AP1111" s="231">
        <v>7</v>
      </c>
      <c r="AQ1111" s="231">
        <v>2025</v>
      </c>
      <c r="AR1111" s="231" t="str">
        <f t="shared" ref="AR1111:AR1142" si="159">+IF(AP1111&lt;10,"0"&amp;AP1111&amp; "/"&amp;AQ1111,AP1111&amp; "/"&amp;AQ1111)</f>
        <v>07/2025</v>
      </c>
      <c r="AS1111" s="231">
        <f t="shared" ref="AS1111:AS1142" si="160">VALUE(MID(INDEX(_xlfn.TEXTSPLIT(O1111, ","), 1, 3), 1,FIND("G", INDEX(_xlfn.TEXTSPLIT(O1111, ","), 1, 3))-1))</f>
        <v>46.6</v>
      </c>
      <c r="AT1111" s="239">
        <f>IF(G1111="CERVECERIA Y MALTERIA",(AS1111*AK1111/1000000)*(1-VLOOKUP(N1111,FCST!D:I,6,FALSE)),0)</f>
        <v>15.911700480000002</v>
      </c>
      <c r="AU1111" s="232">
        <v>5.0000000000000001E-3</v>
      </c>
      <c r="AV1111" s="239">
        <f t="shared" ref="AV1111:AV1142" si="161">+AT1111*(1+AU1111)</f>
        <v>15.9912589824</v>
      </c>
      <c r="AW1111" s="239">
        <f>(AS1111*AK1111/1000000)*(VLOOKUP(N1111,FCST!D:I,6,FALSE))</f>
        <v>3.9779251200000005</v>
      </c>
      <c r="AX1111" s="239">
        <f t="shared" ref="AX1111:AX1142" si="162">+AW1111*(1+AU1111)</f>
        <v>3.9978147455999999</v>
      </c>
      <c r="AY1111" s="239">
        <f>IF($G1111="CERVECERIA Y MALTERIA.",($AS1111*$AK1111/1000000)*(1-VLOOKUP($N1111,FCST!D:I,6,FALSE)),0)</f>
        <v>0</v>
      </c>
      <c r="AZ1111" s="239">
        <f t="shared" ref="AZ1111:AZ1142" si="163">+AY1111*(1+AU1111)</f>
        <v>0</v>
      </c>
    </row>
    <row r="1112" spans="1:52" x14ac:dyDescent="0.25">
      <c r="A1112" s="209">
        <v>1129228</v>
      </c>
      <c r="B1112" s="209">
        <v>30</v>
      </c>
      <c r="C1112" s="209">
        <v>89519425</v>
      </c>
      <c r="D1112" s="209">
        <v>10</v>
      </c>
      <c r="E1112" s="209">
        <v>10000002</v>
      </c>
      <c r="F1112" s="209">
        <v>20000335</v>
      </c>
      <c r="G1112" s="209" t="s">
        <v>105</v>
      </c>
      <c r="H1112" s="209">
        <v>20000335</v>
      </c>
      <c r="I1112" s="209">
        <v>2</v>
      </c>
      <c r="J1112" s="209" t="s">
        <v>169</v>
      </c>
      <c r="K1112" s="209" t="s">
        <v>2461</v>
      </c>
      <c r="L1112" s="209" t="s">
        <v>171</v>
      </c>
      <c r="M1112" s="209" t="s">
        <v>172</v>
      </c>
      <c r="N1112" s="209">
        <v>50037887</v>
      </c>
      <c r="O1112" s="209" t="s">
        <v>679</v>
      </c>
      <c r="P1112" s="209">
        <v>5121</v>
      </c>
      <c r="Q1112" s="209" t="s">
        <v>174</v>
      </c>
      <c r="R1112" s="209" t="s">
        <v>175</v>
      </c>
      <c r="S1112" s="209" t="s">
        <v>176</v>
      </c>
      <c r="T1112" s="209" t="s">
        <v>177</v>
      </c>
      <c r="U1112" s="209" t="s">
        <v>178</v>
      </c>
      <c r="V1112" s="209" t="s">
        <v>179</v>
      </c>
      <c r="W1112" s="209" t="s">
        <v>179</v>
      </c>
      <c r="X1112" s="209" t="s">
        <v>180</v>
      </c>
      <c r="Y1112" s="209" t="s">
        <v>180</v>
      </c>
      <c r="Z1112" s="209">
        <v>9521069045</v>
      </c>
      <c r="AA1112" s="209" t="s">
        <v>2462</v>
      </c>
      <c r="AB1112" s="209" t="s">
        <v>180</v>
      </c>
      <c r="AC1112" s="209" t="s">
        <v>182</v>
      </c>
      <c r="AD1112" s="209">
        <v>7</v>
      </c>
      <c r="AE1112" s="209">
        <v>2025</v>
      </c>
      <c r="AF1112" s="227">
        <v>45855</v>
      </c>
      <c r="AG1112" s="227">
        <v>45860</v>
      </c>
      <c r="AH1112" s="227">
        <v>45860</v>
      </c>
      <c r="AI1112" s="228">
        <v>531648</v>
      </c>
      <c r="AJ1112" s="228">
        <v>52</v>
      </c>
      <c r="AK1112" s="228">
        <v>531648</v>
      </c>
      <c r="AL1112" s="228">
        <v>52</v>
      </c>
      <c r="AM1112" s="228">
        <v>0</v>
      </c>
      <c r="AN1112" s="228">
        <v>0</v>
      </c>
      <c r="AO1112" s="229">
        <v>30</v>
      </c>
      <c r="AP1112" s="231">
        <v>7</v>
      </c>
      <c r="AQ1112" s="231">
        <v>2025</v>
      </c>
      <c r="AR1112" s="231" t="str">
        <f t="shared" si="159"/>
        <v>07/2025</v>
      </c>
      <c r="AS1112" s="231">
        <f t="shared" si="160"/>
        <v>37.200000000000003</v>
      </c>
      <c r="AT1112" s="239">
        <f>IF(G1112="CERVECERIA Y MALTERIA",(AS1112*AK1112/1000000)*(1-VLOOKUP(N1112,FCST!D:I,6,FALSE)),0)</f>
        <v>19.777305600000002</v>
      </c>
      <c r="AU1112" s="232">
        <v>5.0000000000000001E-3</v>
      </c>
      <c r="AV1112" s="239">
        <f t="shared" si="161"/>
        <v>19.876192128</v>
      </c>
      <c r="AW1112" s="239">
        <f>(AS1112*AK1112/1000000)*(VLOOKUP(N1112,FCST!D:I,6,FALSE))</f>
        <v>0</v>
      </c>
      <c r="AX1112" s="239">
        <f t="shared" si="162"/>
        <v>0</v>
      </c>
      <c r="AY1112" s="239">
        <f>IF($G1112="CERVECERIA Y MALTERIA.",($AS1112*$AK1112/1000000)*(1-VLOOKUP($N1112,FCST!D:I,6,FALSE)),0)</f>
        <v>0</v>
      </c>
      <c r="AZ1112" s="239">
        <f t="shared" si="163"/>
        <v>0</v>
      </c>
    </row>
    <row r="1113" spans="1:52" x14ac:dyDescent="0.25">
      <c r="A1113" s="209">
        <v>1129808</v>
      </c>
      <c r="B1113" s="209">
        <v>10</v>
      </c>
      <c r="C1113" s="209">
        <v>89519590</v>
      </c>
      <c r="D1113" s="209">
        <v>10</v>
      </c>
      <c r="E1113" s="209">
        <v>10000002</v>
      </c>
      <c r="F1113" s="209">
        <v>20000337</v>
      </c>
      <c r="G1113" s="209" t="s">
        <v>105</v>
      </c>
      <c r="H1113" s="209">
        <v>20000337</v>
      </c>
      <c r="I1113" s="209">
        <v>2</v>
      </c>
      <c r="J1113" s="209" t="s">
        <v>169</v>
      </c>
      <c r="K1113" s="209" t="s">
        <v>2463</v>
      </c>
      <c r="L1113" s="209" t="s">
        <v>171</v>
      </c>
      <c r="M1113" s="209" t="s">
        <v>199</v>
      </c>
      <c r="N1113" s="209">
        <v>50021818</v>
      </c>
      <c r="O1113" s="209" t="s">
        <v>2170</v>
      </c>
      <c r="P1113" s="209">
        <v>5121</v>
      </c>
      <c r="Q1113" s="209" t="s">
        <v>200</v>
      </c>
      <c r="R1113" s="209" t="s">
        <v>201</v>
      </c>
      <c r="S1113" s="209" t="s">
        <v>202</v>
      </c>
      <c r="T1113" s="209" t="s">
        <v>203</v>
      </c>
      <c r="U1113" s="209" t="s">
        <v>201</v>
      </c>
      <c r="V1113" s="209" t="s">
        <v>179</v>
      </c>
      <c r="W1113" s="209" t="s">
        <v>179</v>
      </c>
      <c r="X1113" s="209" t="s">
        <v>180</v>
      </c>
      <c r="Y1113" s="209" t="s">
        <v>180</v>
      </c>
      <c r="Z1113" s="209">
        <v>9521069051</v>
      </c>
      <c r="AA1113" s="209" t="s">
        <v>2464</v>
      </c>
      <c r="AB1113" s="209" t="s">
        <v>180</v>
      </c>
      <c r="AC1113" s="209" t="s">
        <v>182</v>
      </c>
      <c r="AD1113" s="209">
        <v>7</v>
      </c>
      <c r="AE1113" s="209">
        <v>2025</v>
      </c>
      <c r="AF1113" s="227">
        <v>45859</v>
      </c>
      <c r="AG1113" s="227">
        <v>45860</v>
      </c>
      <c r="AH1113" s="227">
        <v>45860</v>
      </c>
      <c r="AI1113" s="228">
        <v>410400</v>
      </c>
      <c r="AJ1113" s="228">
        <v>50</v>
      </c>
      <c r="AK1113" s="228">
        <v>410400</v>
      </c>
      <c r="AL1113" s="228">
        <v>50</v>
      </c>
      <c r="AM1113" s="228">
        <v>0</v>
      </c>
      <c r="AN1113" s="228">
        <v>0</v>
      </c>
      <c r="AO1113" s="229">
        <v>30</v>
      </c>
      <c r="AP1113" s="231">
        <v>7</v>
      </c>
      <c r="AQ1113" s="231">
        <v>2025</v>
      </c>
      <c r="AR1113" s="231" t="str">
        <f t="shared" si="159"/>
        <v>07/2025</v>
      </c>
      <c r="AS1113" s="231">
        <f t="shared" si="160"/>
        <v>46.6</v>
      </c>
      <c r="AT1113" s="239">
        <f>IF(G1113="CERVECERIA Y MALTERIA",(AS1113*AK1113/1000000)*(1-VLOOKUP(N1113,FCST!D:I,6,FALSE)),0)</f>
        <v>19.124639999999999</v>
      </c>
      <c r="AU1113" s="232">
        <v>5.0000000000000001E-3</v>
      </c>
      <c r="AV1113" s="239">
        <f t="shared" si="161"/>
        <v>19.220263199999998</v>
      </c>
      <c r="AW1113" s="239">
        <f>(AS1113*AK1113/1000000)*(VLOOKUP(N1113,FCST!D:I,6,FALSE))</f>
        <v>0</v>
      </c>
      <c r="AX1113" s="239">
        <f t="shared" si="162"/>
        <v>0</v>
      </c>
      <c r="AY1113" s="239">
        <f>IF($G1113="CERVECERIA Y MALTERIA.",($AS1113*$AK1113/1000000)*(1-VLOOKUP($N1113,FCST!D:I,6,FALSE)),0)</f>
        <v>0</v>
      </c>
      <c r="AZ1113" s="239">
        <f t="shared" si="163"/>
        <v>0</v>
      </c>
    </row>
    <row r="1114" spans="1:52" x14ac:dyDescent="0.25">
      <c r="A1114" s="209">
        <v>1129229</v>
      </c>
      <c r="B1114" s="209">
        <v>20</v>
      </c>
      <c r="C1114" s="209">
        <v>89519907</v>
      </c>
      <c r="D1114" s="209">
        <v>10</v>
      </c>
      <c r="E1114" s="209">
        <v>10000002</v>
      </c>
      <c r="F1114" s="209">
        <v>20000340</v>
      </c>
      <c r="G1114" s="209" t="s">
        <v>117</v>
      </c>
      <c r="H1114" s="209">
        <v>20000340</v>
      </c>
      <c r="I1114" s="209">
        <v>2</v>
      </c>
      <c r="J1114" s="209" t="s">
        <v>169</v>
      </c>
      <c r="K1114" s="209" t="s">
        <v>2465</v>
      </c>
      <c r="L1114" s="209" t="s">
        <v>171</v>
      </c>
      <c r="M1114" s="209" t="s">
        <v>172</v>
      </c>
      <c r="N1114" s="209">
        <v>50039509</v>
      </c>
      <c r="O1114" s="209" t="s">
        <v>2054</v>
      </c>
      <c r="P1114" s="209">
        <v>5101</v>
      </c>
      <c r="Q1114" s="209" t="s">
        <v>186</v>
      </c>
      <c r="R1114" s="209" t="s">
        <v>175</v>
      </c>
      <c r="S1114" s="209" t="s">
        <v>176</v>
      </c>
      <c r="T1114" s="209" t="s">
        <v>187</v>
      </c>
      <c r="U1114" s="209" t="s">
        <v>188</v>
      </c>
      <c r="V1114" s="209" t="s">
        <v>179</v>
      </c>
      <c r="W1114" s="209" t="s">
        <v>179</v>
      </c>
      <c r="X1114" s="209" t="s">
        <v>180</v>
      </c>
      <c r="Y1114" s="209" t="s">
        <v>180</v>
      </c>
      <c r="Z1114" s="209">
        <v>9511048172</v>
      </c>
      <c r="AA1114" s="209" t="s">
        <v>2466</v>
      </c>
      <c r="AB1114" s="209" t="s">
        <v>180</v>
      </c>
      <c r="AC1114" s="209" t="s">
        <v>182</v>
      </c>
      <c r="AD1114" s="209">
        <v>7</v>
      </c>
      <c r="AE1114" s="209">
        <v>2025</v>
      </c>
      <c r="AF1114" s="227">
        <v>45855</v>
      </c>
      <c r="AG1114" s="227">
        <v>45860</v>
      </c>
      <c r="AH1114" s="227">
        <v>45860</v>
      </c>
      <c r="AI1114" s="228">
        <v>519168</v>
      </c>
      <c r="AJ1114" s="228">
        <v>52</v>
      </c>
      <c r="AK1114" s="228">
        <v>519168</v>
      </c>
      <c r="AL1114" s="228">
        <v>52</v>
      </c>
      <c r="AM1114" s="228">
        <v>0</v>
      </c>
      <c r="AN1114" s="228">
        <v>0</v>
      </c>
      <c r="AO1114" s="229">
        <v>30</v>
      </c>
      <c r="AP1114" s="231">
        <v>7</v>
      </c>
      <c r="AQ1114" s="231">
        <v>2025</v>
      </c>
      <c r="AR1114" s="231" t="str">
        <f t="shared" si="159"/>
        <v>07/2025</v>
      </c>
      <c r="AS1114" s="231">
        <f t="shared" si="160"/>
        <v>34</v>
      </c>
      <c r="AT1114" s="239">
        <f>IF(G1114="CERVECERIA Y MALTERIA",(AS1114*AK1114/1000000)*(1-VLOOKUP(N1114,FCST!D:I,6,FALSE)),0)</f>
        <v>0</v>
      </c>
      <c r="AU1114" s="232">
        <v>5.0000000000000001E-3</v>
      </c>
      <c r="AV1114" s="239">
        <f t="shared" si="161"/>
        <v>0</v>
      </c>
      <c r="AW1114" s="239">
        <f>(AS1114*AK1114/1000000)*(VLOOKUP(N1114,FCST!D:I,6,FALSE))</f>
        <v>0</v>
      </c>
      <c r="AX1114" s="239">
        <f t="shared" si="162"/>
        <v>0</v>
      </c>
      <c r="AY1114" s="239">
        <f>IF($G1114="CERVECERIA Y MALTERIA.",($AS1114*$AK1114/1000000)*(1-VLOOKUP($N1114,FCST!D:I,6,FALSE)),0)</f>
        <v>17.651712</v>
      </c>
      <c r="AZ1114" s="239">
        <f t="shared" si="163"/>
        <v>17.73997056</v>
      </c>
    </row>
    <row r="1115" spans="1:52" x14ac:dyDescent="0.25">
      <c r="A1115" s="209">
        <v>1129229</v>
      </c>
      <c r="B1115" s="209">
        <v>30</v>
      </c>
      <c r="C1115" s="209">
        <v>89520213</v>
      </c>
      <c r="D1115" s="209">
        <v>10</v>
      </c>
      <c r="E1115" s="209">
        <v>10000002</v>
      </c>
      <c r="F1115" s="209">
        <v>20000340</v>
      </c>
      <c r="G1115" s="209" t="s">
        <v>117</v>
      </c>
      <c r="H1115" s="209">
        <v>20000340</v>
      </c>
      <c r="I1115" s="209">
        <v>2</v>
      </c>
      <c r="J1115" s="209" t="s">
        <v>169</v>
      </c>
      <c r="K1115" s="209" t="s">
        <v>2467</v>
      </c>
      <c r="L1115" s="209" t="s">
        <v>171</v>
      </c>
      <c r="M1115" s="209" t="s">
        <v>172</v>
      </c>
      <c r="N1115" s="209">
        <v>50038523</v>
      </c>
      <c r="O1115" s="209" t="s">
        <v>249</v>
      </c>
      <c r="P1115" s="209">
        <v>5101</v>
      </c>
      <c r="Q1115" s="209" t="s">
        <v>186</v>
      </c>
      <c r="R1115" s="209" t="s">
        <v>175</v>
      </c>
      <c r="S1115" s="209" t="s">
        <v>176</v>
      </c>
      <c r="T1115" s="209" t="s">
        <v>187</v>
      </c>
      <c r="U1115" s="209" t="s">
        <v>188</v>
      </c>
      <c r="V1115" s="209" t="s">
        <v>179</v>
      </c>
      <c r="W1115" s="209" t="s">
        <v>179</v>
      </c>
      <c r="X1115" s="209" t="s">
        <v>180</v>
      </c>
      <c r="Y1115" s="209" t="s">
        <v>180</v>
      </c>
      <c r="Z1115" s="209">
        <v>9511048171</v>
      </c>
      <c r="AA1115" s="209" t="s">
        <v>2468</v>
      </c>
      <c r="AB1115" s="209" t="s">
        <v>180</v>
      </c>
      <c r="AC1115" s="209" t="s">
        <v>182</v>
      </c>
      <c r="AD1115" s="209">
        <v>7</v>
      </c>
      <c r="AE1115" s="209">
        <v>2025</v>
      </c>
      <c r="AF1115" s="227">
        <v>45855</v>
      </c>
      <c r="AG1115" s="227">
        <v>45860</v>
      </c>
      <c r="AH1115" s="227">
        <v>45860</v>
      </c>
      <c r="AI1115" s="228">
        <v>606528</v>
      </c>
      <c r="AJ1115" s="228">
        <v>52</v>
      </c>
      <c r="AK1115" s="228">
        <v>606528</v>
      </c>
      <c r="AL1115" s="228">
        <v>52</v>
      </c>
      <c r="AM1115" s="228">
        <v>0</v>
      </c>
      <c r="AN1115" s="228">
        <v>0</v>
      </c>
      <c r="AO1115" s="229">
        <v>30</v>
      </c>
      <c r="AP1115" s="231">
        <v>7</v>
      </c>
      <c r="AQ1115" s="231">
        <v>2025</v>
      </c>
      <c r="AR1115" s="231" t="str">
        <f t="shared" si="159"/>
        <v>07/2025</v>
      </c>
      <c r="AS1115" s="231">
        <f t="shared" si="160"/>
        <v>30</v>
      </c>
      <c r="AT1115" s="239">
        <f>IF(G1115="CERVECERIA Y MALTERIA",(AS1115*AK1115/1000000)*(1-VLOOKUP(N1115,FCST!D:I,6,FALSE)),0)</f>
        <v>0</v>
      </c>
      <c r="AU1115" s="232">
        <v>5.0000000000000001E-3</v>
      </c>
      <c r="AV1115" s="239">
        <f t="shared" si="161"/>
        <v>0</v>
      </c>
      <c r="AW1115" s="239">
        <f>(AS1115*AK1115/1000000)*(VLOOKUP(N1115,FCST!D:I,6,FALSE))</f>
        <v>0</v>
      </c>
      <c r="AX1115" s="239">
        <f t="shared" si="162"/>
        <v>0</v>
      </c>
      <c r="AY1115" s="239">
        <f>IF($G1115="CERVECERIA Y MALTERIA.",($AS1115*$AK1115/1000000)*(1-VLOOKUP($N1115,FCST!D:I,6,FALSE)),0)</f>
        <v>18.19584</v>
      </c>
      <c r="AZ1115" s="239">
        <f t="shared" si="163"/>
        <v>18.2868192</v>
      </c>
    </row>
    <row r="1116" spans="1:52" x14ac:dyDescent="0.25">
      <c r="A1116" s="209">
        <v>1129228</v>
      </c>
      <c r="B1116" s="209">
        <v>10</v>
      </c>
      <c r="C1116" s="209">
        <v>89518718</v>
      </c>
      <c r="D1116" s="209">
        <v>10</v>
      </c>
      <c r="E1116" s="209">
        <v>10000002</v>
      </c>
      <c r="F1116" s="209">
        <v>20000335</v>
      </c>
      <c r="G1116" s="209" t="s">
        <v>105</v>
      </c>
      <c r="H1116" s="209">
        <v>20000335</v>
      </c>
      <c r="I1116" s="209">
        <v>2</v>
      </c>
      <c r="J1116" s="209" t="s">
        <v>169</v>
      </c>
      <c r="K1116" s="209" t="s">
        <v>2469</v>
      </c>
      <c r="L1116" s="209" t="s">
        <v>171</v>
      </c>
      <c r="M1116" s="209" t="s">
        <v>172</v>
      </c>
      <c r="N1116" s="209">
        <v>50037887</v>
      </c>
      <c r="O1116" s="209" t="s">
        <v>679</v>
      </c>
      <c r="P1116" s="209">
        <v>5121</v>
      </c>
      <c r="Q1116" s="209" t="s">
        <v>174</v>
      </c>
      <c r="R1116" s="209" t="s">
        <v>175</v>
      </c>
      <c r="S1116" s="209" t="s">
        <v>176</v>
      </c>
      <c r="T1116" s="209" t="s">
        <v>177</v>
      </c>
      <c r="U1116" s="209" t="s">
        <v>178</v>
      </c>
      <c r="V1116" s="209" t="s">
        <v>179</v>
      </c>
      <c r="W1116" s="209" t="s">
        <v>179</v>
      </c>
      <c r="X1116" s="209" t="s">
        <v>180</v>
      </c>
      <c r="Y1116" s="209" t="s">
        <v>180</v>
      </c>
      <c r="Z1116" s="209">
        <v>9521069045</v>
      </c>
      <c r="AA1116" s="209" t="s">
        <v>2462</v>
      </c>
      <c r="AB1116" s="209" t="s">
        <v>180</v>
      </c>
      <c r="AC1116" s="209" t="s">
        <v>182</v>
      </c>
      <c r="AD1116" s="209">
        <v>7</v>
      </c>
      <c r="AE1116" s="209">
        <v>2025</v>
      </c>
      <c r="AF1116" s="227">
        <v>45855</v>
      </c>
      <c r="AG1116" s="227">
        <v>45859</v>
      </c>
      <c r="AH1116" s="227">
        <v>45859</v>
      </c>
      <c r="AI1116" s="228">
        <v>531648</v>
      </c>
      <c r="AJ1116" s="228">
        <v>52</v>
      </c>
      <c r="AK1116" s="228">
        <v>531648</v>
      </c>
      <c r="AL1116" s="228">
        <v>52</v>
      </c>
      <c r="AM1116" s="228">
        <v>0</v>
      </c>
      <c r="AN1116" s="228">
        <v>0</v>
      </c>
      <c r="AO1116" s="229">
        <v>30</v>
      </c>
      <c r="AP1116" s="231">
        <v>7</v>
      </c>
      <c r="AQ1116" s="231">
        <v>2025</v>
      </c>
      <c r="AR1116" s="231" t="str">
        <f t="shared" si="159"/>
        <v>07/2025</v>
      </c>
      <c r="AS1116" s="231">
        <f t="shared" si="160"/>
        <v>37.200000000000003</v>
      </c>
      <c r="AT1116" s="239">
        <f>IF(G1116="CERVECERIA Y MALTERIA",(AS1116*AK1116/1000000)*(1-VLOOKUP(N1116,FCST!D:I,6,FALSE)),0)</f>
        <v>19.777305600000002</v>
      </c>
      <c r="AU1116" s="232">
        <v>5.0000000000000001E-3</v>
      </c>
      <c r="AV1116" s="239">
        <f t="shared" si="161"/>
        <v>19.876192128</v>
      </c>
      <c r="AW1116" s="239">
        <f>(AS1116*AK1116/1000000)*(VLOOKUP(N1116,FCST!D:I,6,FALSE))</f>
        <v>0</v>
      </c>
      <c r="AX1116" s="239">
        <f t="shared" si="162"/>
        <v>0</v>
      </c>
      <c r="AY1116" s="239">
        <f>IF($G1116="CERVECERIA Y MALTERIA.",($AS1116*$AK1116/1000000)*(1-VLOOKUP($N1116,FCST!D:I,6,FALSE)),0)</f>
        <v>0</v>
      </c>
      <c r="AZ1116" s="239">
        <f t="shared" si="163"/>
        <v>0</v>
      </c>
    </row>
    <row r="1117" spans="1:52" x14ac:dyDescent="0.25">
      <c r="A1117" s="209">
        <v>1129228</v>
      </c>
      <c r="B1117" s="209">
        <v>50</v>
      </c>
      <c r="C1117" s="209">
        <v>89520389</v>
      </c>
      <c r="D1117" s="209">
        <v>10</v>
      </c>
      <c r="E1117" s="209">
        <v>10000002</v>
      </c>
      <c r="F1117" s="209">
        <v>20000335</v>
      </c>
      <c r="G1117" s="209" t="s">
        <v>105</v>
      </c>
      <c r="H1117" s="209">
        <v>20000335</v>
      </c>
      <c r="I1117" s="209">
        <v>2</v>
      </c>
      <c r="J1117" s="209" t="s">
        <v>169</v>
      </c>
      <c r="K1117" s="209" t="s">
        <v>2470</v>
      </c>
      <c r="L1117" s="209" t="s">
        <v>171</v>
      </c>
      <c r="M1117" s="209" t="s">
        <v>172</v>
      </c>
      <c r="N1117" s="209">
        <v>50035184</v>
      </c>
      <c r="O1117" s="209" t="s">
        <v>672</v>
      </c>
      <c r="P1117" s="209">
        <v>5121</v>
      </c>
      <c r="Q1117" s="209" t="s">
        <v>174</v>
      </c>
      <c r="R1117" s="209" t="s">
        <v>175</v>
      </c>
      <c r="S1117" s="209" t="s">
        <v>176</v>
      </c>
      <c r="T1117" s="209" t="s">
        <v>177</v>
      </c>
      <c r="U1117" s="209" t="s">
        <v>178</v>
      </c>
      <c r="V1117" s="209" t="s">
        <v>179</v>
      </c>
      <c r="W1117" s="209" t="s">
        <v>179</v>
      </c>
      <c r="X1117" s="209" t="s">
        <v>180</v>
      </c>
      <c r="Y1117" s="209" t="s">
        <v>180</v>
      </c>
      <c r="Z1117" s="209">
        <v>9521069043</v>
      </c>
      <c r="AA1117" s="209" t="s">
        <v>2471</v>
      </c>
      <c r="AB1117" s="209" t="s">
        <v>180</v>
      </c>
      <c r="AC1117" s="209" t="s">
        <v>182</v>
      </c>
      <c r="AD1117" s="209">
        <v>7</v>
      </c>
      <c r="AE1117" s="209">
        <v>2025</v>
      </c>
      <c r="AF1117" s="227">
        <v>45855</v>
      </c>
      <c r="AG1117" s="227">
        <v>45861</v>
      </c>
      <c r="AH1117" s="227">
        <v>45861</v>
      </c>
      <c r="AI1117" s="228">
        <v>977184</v>
      </c>
      <c r="AJ1117" s="228">
        <v>52</v>
      </c>
      <c r="AK1117" s="228">
        <v>977184</v>
      </c>
      <c r="AL1117" s="228">
        <v>52</v>
      </c>
      <c r="AM1117" s="228">
        <v>0</v>
      </c>
      <c r="AN1117" s="228">
        <v>0</v>
      </c>
      <c r="AO1117" s="229">
        <v>30</v>
      </c>
      <c r="AP1117" s="231">
        <v>7</v>
      </c>
      <c r="AQ1117" s="231">
        <v>2025</v>
      </c>
      <c r="AR1117" s="231" t="str">
        <f t="shared" si="159"/>
        <v>07/2025</v>
      </c>
      <c r="AS1117" s="231">
        <f t="shared" si="160"/>
        <v>19.5</v>
      </c>
      <c r="AT1117" s="239">
        <f>IF(G1117="CERVECERIA Y MALTERIA",(AS1117*AK1117/1000000)*(1-VLOOKUP(N1117,FCST!D:I,6,FALSE)),0)</f>
        <v>19.055088000000001</v>
      </c>
      <c r="AU1117" s="232">
        <v>5.0000000000000001E-3</v>
      </c>
      <c r="AV1117" s="239">
        <f t="shared" si="161"/>
        <v>19.15036344</v>
      </c>
      <c r="AW1117" s="239">
        <f>(AS1117*AK1117/1000000)*(VLOOKUP(N1117,FCST!D:I,6,FALSE))</f>
        <v>0</v>
      </c>
      <c r="AX1117" s="239">
        <f t="shared" si="162"/>
        <v>0</v>
      </c>
      <c r="AY1117" s="239">
        <f>IF($G1117="CERVECERIA Y MALTERIA.",($AS1117*$AK1117/1000000)*(1-VLOOKUP($N1117,FCST!D:I,6,FALSE)),0)</f>
        <v>0</v>
      </c>
      <c r="AZ1117" s="239">
        <f t="shared" si="163"/>
        <v>0</v>
      </c>
    </row>
    <row r="1118" spans="1:52" x14ac:dyDescent="0.25">
      <c r="A1118" s="209">
        <v>1130075</v>
      </c>
      <c r="B1118" s="209">
        <v>30</v>
      </c>
      <c r="C1118" s="209">
        <v>89521929</v>
      </c>
      <c r="D1118" s="209">
        <v>10</v>
      </c>
      <c r="E1118" s="209">
        <v>10000002</v>
      </c>
      <c r="F1118" s="209">
        <v>20001057</v>
      </c>
      <c r="G1118" s="209" t="s">
        <v>105</v>
      </c>
      <c r="H1118" s="209">
        <v>20001057</v>
      </c>
      <c r="I1118" s="209">
        <v>2</v>
      </c>
      <c r="J1118" s="209" t="s">
        <v>169</v>
      </c>
      <c r="K1118" s="209" t="s">
        <v>2472</v>
      </c>
      <c r="L1118" s="209" t="s">
        <v>171</v>
      </c>
      <c r="M1118" s="209" t="s">
        <v>172</v>
      </c>
      <c r="N1118" s="209">
        <v>50021818</v>
      </c>
      <c r="O1118" s="209" t="s">
        <v>2170</v>
      </c>
      <c r="P1118" s="209">
        <v>5121</v>
      </c>
      <c r="Q1118" s="209" t="s">
        <v>174</v>
      </c>
      <c r="R1118" s="209" t="s">
        <v>175</v>
      </c>
      <c r="S1118" s="209" t="s">
        <v>176</v>
      </c>
      <c r="T1118" s="209" t="s">
        <v>177</v>
      </c>
      <c r="U1118" s="209" t="s">
        <v>178</v>
      </c>
      <c r="V1118" s="209" t="s">
        <v>179</v>
      </c>
      <c r="W1118" s="209" t="s">
        <v>179</v>
      </c>
      <c r="X1118" s="209" t="s">
        <v>180</v>
      </c>
      <c r="Y1118" s="209" t="s">
        <v>180</v>
      </c>
      <c r="Z1118" s="209">
        <v>9521069078</v>
      </c>
      <c r="AA1118" s="209" t="s">
        <v>2473</v>
      </c>
      <c r="AB1118" s="209" t="s">
        <v>180</v>
      </c>
      <c r="AC1118" s="209" t="s">
        <v>182</v>
      </c>
      <c r="AD1118" s="209">
        <v>7</v>
      </c>
      <c r="AE1118" s="209">
        <v>2025</v>
      </c>
      <c r="AF1118" s="227">
        <v>45860</v>
      </c>
      <c r="AG1118" s="227">
        <v>45862</v>
      </c>
      <c r="AH1118" s="227">
        <v>45862</v>
      </c>
      <c r="AI1118" s="228">
        <v>426816</v>
      </c>
      <c r="AJ1118" s="228">
        <v>52</v>
      </c>
      <c r="AK1118" s="228">
        <v>426816</v>
      </c>
      <c r="AL1118" s="228">
        <v>52</v>
      </c>
      <c r="AM1118" s="228">
        <v>0</v>
      </c>
      <c r="AN1118" s="228">
        <v>0</v>
      </c>
      <c r="AO1118" s="229">
        <v>30</v>
      </c>
      <c r="AP1118" s="231">
        <v>7</v>
      </c>
      <c r="AQ1118" s="231">
        <v>2025</v>
      </c>
      <c r="AR1118" s="231" t="str">
        <f t="shared" si="159"/>
        <v>07/2025</v>
      </c>
      <c r="AS1118" s="231">
        <f t="shared" si="160"/>
        <v>46.6</v>
      </c>
      <c r="AT1118" s="239">
        <f>IF(G1118="CERVECERIA Y MALTERIA",(AS1118*AK1118/1000000)*(1-VLOOKUP(N1118,FCST!D:I,6,FALSE)),0)</f>
        <v>19.889625600000002</v>
      </c>
      <c r="AU1118" s="232">
        <v>5.0000000000000001E-3</v>
      </c>
      <c r="AV1118" s="239">
        <f t="shared" si="161"/>
        <v>19.989073728000001</v>
      </c>
      <c r="AW1118" s="239">
        <f>(AS1118*AK1118/1000000)*(VLOOKUP(N1118,FCST!D:I,6,FALSE))</f>
        <v>0</v>
      </c>
      <c r="AX1118" s="239">
        <f t="shared" si="162"/>
        <v>0</v>
      </c>
      <c r="AY1118" s="239">
        <f>IF($G1118="CERVECERIA Y MALTERIA.",($AS1118*$AK1118/1000000)*(1-VLOOKUP($N1118,FCST!D:I,6,FALSE)),0)</f>
        <v>0</v>
      </c>
      <c r="AZ1118" s="239">
        <f t="shared" si="163"/>
        <v>0</v>
      </c>
    </row>
    <row r="1119" spans="1:52" x14ac:dyDescent="0.25">
      <c r="A1119" s="209">
        <v>1129228</v>
      </c>
      <c r="B1119" s="209">
        <v>70</v>
      </c>
      <c r="C1119" s="209">
        <v>89521650</v>
      </c>
      <c r="D1119" s="209">
        <v>10</v>
      </c>
      <c r="E1119" s="209">
        <v>10000002</v>
      </c>
      <c r="F1119" s="209">
        <v>20000335</v>
      </c>
      <c r="G1119" s="209" t="s">
        <v>105</v>
      </c>
      <c r="H1119" s="209">
        <v>20000335</v>
      </c>
      <c r="I1119" s="209">
        <v>2</v>
      </c>
      <c r="J1119" s="209" t="s">
        <v>169</v>
      </c>
      <c r="K1119" s="209" t="s">
        <v>2474</v>
      </c>
      <c r="L1119" s="209" t="s">
        <v>171</v>
      </c>
      <c r="M1119" s="209" t="s">
        <v>199</v>
      </c>
      <c r="N1119" s="209">
        <v>50037887</v>
      </c>
      <c r="O1119" s="209" t="s">
        <v>679</v>
      </c>
      <c r="P1119" s="209">
        <v>5121</v>
      </c>
      <c r="Q1119" s="209" t="s">
        <v>200</v>
      </c>
      <c r="R1119" s="209" t="s">
        <v>201</v>
      </c>
      <c r="S1119" s="209" t="s">
        <v>202</v>
      </c>
      <c r="T1119" s="209" t="s">
        <v>203</v>
      </c>
      <c r="U1119" s="209" t="s">
        <v>201</v>
      </c>
      <c r="V1119" s="209" t="s">
        <v>179</v>
      </c>
      <c r="W1119" s="209" t="s">
        <v>179</v>
      </c>
      <c r="X1119" s="209" t="s">
        <v>180</v>
      </c>
      <c r="Y1119" s="209" t="s">
        <v>180</v>
      </c>
      <c r="Z1119" s="209">
        <v>9521069045</v>
      </c>
      <c r="AA1119" s="209" t="s">
        <v>2462</v>
      </c>
      <c r="AB1119" s="209" t="s">
        <v>180</v>
      </c>
      <c r="AC1119" s="209" t="s">
        <v>182</v>
      </c>
      <c r="AD1119" s="209">
        <v>7</v>
      </c>
      <c r="AE1119" s="209">
        <v>2025</v>
      </c>
      <c r="AF1119" s="227">
        <v>45855</v>
      </c>
      <c r="AG1119" s="227">
        <v>45862</v>
      </c>
      <c r="AH1119" s="227">
        <v>45862</v>
      </c>
      <c r="AI1119" s="228">
        <v>531648</v>
      </c>
      <c r="AJ1119" s="228">
        <v>52</v>
      </c>
      <c r="AK1119" s="228">
        <v>265824</v>
      </c>
      <c r="AL1119" s="228">
        <v>26</v>
      </c>
      <c r="AM1119" s="228">
        <v>0</v>
      </c>
      <c r="AN1119" s="228">
        <v>0</v>
      </c>
      <c r="AO1119" s="229">
        <v>30</v>
      </c>
      <c r="AP1119" s="231">
        <v>7</v>
      </c>
      <c r="AQ1119" s="231">
        <v>2025</v>
      </c>
      <c r="AR1119" s="231" t="str">
        <f t="shared" si="159"/>
        <v>07/2025</v>
      </c>
      <c r="AS1119" s="231">
        <f t="shared" si="160"/>
        <v>37.200000000000003</v>
      </c>
      <c r="AT1119" s="239">
        <f>IF(G1119="CERVECERIA Y MALTERIA",(AS1119*AK1119/1000000)*(1-VLOOKUP(N1119,FCST!D:I,6,FALSE)),0)</f>
        <v>9.8886528000000009</v>
      </c>
      <c r="AU1119" s="232">
        <v>5.0000000000000001E-3</v>
      </c>
      <c r="AV1119" s="239">
        <f t="shared" si="161"/>
        <v>9.9380960639999998</v>
      </c>
      <c r="AW1119" s="239">
        <f>(AS1119*AK1119/1000000)*(VLOOKUP(N1119,FCST!D:I,6,FALSE))</f>
        <v>0</v>
      </c>
      <c r="AX1119" s="239">
        <f t="shared" si="162"/>
        <v>0</v>
      </c>
      <c r="AY1119" s="239">
        <f>IF($G1119="CERVECERIA Y MALTERIA.",($AS1119*$AK1119/1000000)*(1-VLOOKUP($N1119,FCST!D:I,6,FALSE)),0)</f>
        <v>0</v>
      </c>
      <c r="AZ1119" s="239">
        <f t="shared" si="163"/>
        <v>0</v>
      </c>
    </row>
    <row r="1120" spans="1:52" x14ac:dyDescent="0.25">
      <c r="A1120" s="209">
        <v>1129228</v>
      </c>
      <c r="B1120" s="209">
        <v>70</v>
      </c>
      <c r="C1120" s="209">
        <v>89521561</v>
      </c>
      <c r="D1120" s="209">
        <v>10</v>
      </c>
      <c r="E1120" s="209">
        <v>10000002</v>
      </c>
      <c r="F1120" s="209">
        <v>20000335</v>
      </c>
      <c r="G1120" s="209" t="s">
        <v>105</v>
      </c>
      <c r="H1120" s="209">
        <v>20000335</v>
      </c>
      <c r="I1120" s="209">
        <v>2</v>
      </c>
      <c r="J1120" s="209" t="s">
        <v>169</v>
      </c>
      <c r="K1120" s="209" t="s">
        <v>2475</v>
      </c>
      <c r="L1120" s="209" t="s">
        <v>171</v>
      </c>
      <c r="M1120" s="209" t="s">
        <v>199</v>
      </c>
      <c r="N1120" s="209">
        <v>50037887</v>
      </c>
      <c r="O1120" s="209" t="s">
        <v>679</v>
      </c>
      <c r="P1120" s="209">
        <v>5121</v>
      </c>
      <c r="Q1120" s="209" t="s">
        <v>200</v>
      </c>
      <c r="R1120" s="209" t="s">
        <v>201</v>
      </c>
      <c r="S1120" s="209" t="s">
        <v>202</v>
      </c>
      <c r="T1120" s="209" t="s">
        <v>203</v>
      </c>
      <c r="U1120" s="209" t="s">
        <v>201</v>
      </c>
      <c r="V1120" s="209" t="s">
        <v>179</v>
      </c>
      <c r="W1120" s="209" t="s">
        <v>179</v>
      </c>
      <c r="X1120" s="209" t="s">
        <v>180</v>
      </c>
      <c r="Y1120" s="209" t="s">
        <v>180</v>
      </c>
      <c r="Z1120" s="209">
        <v>9521069045</v>
      </c>
      <c r="AA1120" s="209" t="s">
        <v>2462</v>
      </c>
      <c r="AB1120" s="209" t="s">
        <v>180</v>
      </c>
      <c r="AC1120" s="209" t="s">
        <v>182</v>
      </c>
      <c r="AD1120" s="209">
        <v>7</v>
      </c>
      <c r="AE1120" s="209">
        <v>2025</v>
      </c>
      <c r="AF1120" s="227">
        <v>45855</v>
      </c>
      <c r="AG1120" s="227">
        <v>45862</v>
      </c>
      <c r="AH1120" s="227">
        <v>45862</v>
      </c>
      <c r="AI1120" s="228">
        <v>531648</v>
      </c>
      <c r="AJ1120" s="228">
        <v>52</v>
      </c>
      <c r="AK1120" s="228">
        <v>265824</v>
      </c>
      <c r="AL1120" s="228">
        <v>26</v>
      </c>
      <c r="AM1120" s="228">
        <v>0</v>
      </c>
      <c r="AN1120" s="228">
        <v>0</v>
      </c>
      <c r="AO1120" s="229">
        <v>30</v>
      </c>
      <c r="AP1120" s="231">
        <v>7</v>
      </c>
      <c r="AQ1120" s="231">
        <v>2025</v>
      </c>
      <c r="AR1120" s="231" t="str">
        <f t="shared" si="159"/>
        <v>07/2025</v>
      </c>
      <c r="AS1120" s="231">
        <f t="shared" si="160"/>
        <v>37.200000000000003</v>
      </c>
      <c r="AT1120" s="239">
        <f>IF(G1120="CERVECERIA Y MALTERIA",(AS1120*AK1120/1000000)*(1-VLOOKUP(N1120,FCST!D:I,6,FALSE)),0)</f>
        <v>9.8886528000000009</v>
      </c>
      <c r="AU1120" s="232">
        <v>5.0000000000000001E-3</v>
      </c>
      <c r="AV1120" s="239">
        <f t="shared" si="161"/>
        <v>9.9380960639999998</v>
      </c>
      <c r="AW1120" s="239">
        <f>(AS1120*AK1120/1000000)*(VLOOKUP(N1120,FCST!D:I,6,FALSE))</f>
        <v>0</v>
      </c>
      <c r="AX1120" s="239">
        <f t="shared" si="162"/>
        <v>0</v>
      </c>
      <c r="AY1120" s="239">
        <f>IF($G1120="CERVECERIA Y MALTERIA.",($AS1120*$AK1120/1000000)*(1-VLOOKUP($N1120,FCST!D:I,6,FALSE)),0)</f>
        <v>0</v>
      </c>
      <c r="AZ1120" s="239">
        <f t="shared" si="163"/>
        <v>0</v>
      </c>
    </row>
    <row r="1121" spans="1:52" x14ac:dyDescent="0.25">
      <c r="A1121" s="209">
        <v>1129228</v>
      </c>
      <c r="B1121" s="209">
        <v>60</v>
      </c>
      <c r="C1121" s="209">
        <v>89521075</v>
      </c>
      <c r="D1121" s="209">
        <v>10</v>
      </c>
      <c r="E1121" s="209">
        <v>10000002</v>
      </c>
      <c r="F1121" s="209">
        <v>20000335</v>
      </c>
      <c r="G1121" s="209" t="s">
        <v>105</v>
      </c>
      <c r="H1121" s="209">
        <v>20000335</v>
      </c>
      <c r="I1121" s="209">
        <v>2</v>
      </c>
      <c r="J1121" s="209" t="s">
        <v>169</v>
      </c>
      <c r="K1121" s="209" t="s">
        <v>2476</v>
      </c>
      <c r="L1121" s="209" t="s">
        <v>171</v>
      </c>
      <c r="M1121" s="209" t="s">
        <v>172</v>
      </c>
      <c r="N1121" s="209">
        <v>50036915</v>
      </c>
      <c r="O1121" s="209" t="s">
        <v>541</v>
      </c>
      <c r="P1121" s="209">
        <v>5121</v>
      </c>
      <c r="Q1121" s="209" t="s">
        <v>174</v>
      </c>
      <c r="R1121" s="209" t="s">
        <v>175</v>
      </c>
      <c r="S1121" s="209" t="s">
        <v>176</v>
      </c>
      <c r="T1121" s="209" t="s">
        <v>177</v>
      </c>
      <c r="U1121" s="209" t="s">
        <v>178</v>
      </c>
      <c r="V1121" s="209" t="s">
        <v>179</v>
      </c>
      <c r="W1121" s="209" t="s">
        <v>179</v>
      </c>
      <c r="X1121" s="209" t="s">
        <v>180</v>
      </c>
      <c r="Y1121" s="209" t="s">
        <v>180</v>
      </c>
      <c r="Z1121" s="209">
        <v>9521069079</v>
      </c>
      <c r="AA1121" s="209" t="s">
        <v>2460</v>
      </c>
      <c r="AB1121" s="209" t="s">
        <v>180</v>
      </c>
      <c r="AC1121" s="209" t="s">
        <v>182</v>
      </c>
      <c r="AD1121" s="209">
        <v>7</v>
      </c>
      <c r="AE1121" s="209">
        <v>2025</v>
      </c>
      <c r="AF1121" s="227">
        <v>45855</v>
      </c>
      <c r="AG1121" s="227">
        <v>45861</v>
      </c>
      <c r="AH1121" s="227">
        <v>45861</v>
      </c>
      <c r="AI1121" s="228">
        <v>426816</v>
      </c>
      <c r="AJ1121" s="228">
        <v>52</v>
      </c>
      <c r="AK1121" s="228">
        <v>426816</v>
      </c>
      <c r="AL1121" s="228">
        <v>52</v>
      </c>
      <c r="AM1121" s="228">
        <v>0</v>
      </c>
      <c r="AN1121" s="228">
        <v>0</v>
      </c>
      <c r="AO1121" s="229">
        <v>30</v>
      </c>
      <c r="AP1121" s="231">
        <v>7</v>
      </c>
      <c r="AQ1121" s="231">
        <v>2025</v>
      </c>
      <c r="AR1121" s="231" t="str">
        <f t="shared" si="159"/>
        <v>07/2025</v>
      </c>
      <c r="AS1121" s="231">
        <f t="shared" si="160"/>
        <v>46.6</v>
      </c>
      <c r="AT1121" s="239">
        <f>IF(G1121="CERVECERIA Y MALTERIA",(AS1121*AK1121/1000000)*(1-VLOOKUP(N1121,FCST!D:I,6,FALSE)),0)</f>
        <v>15.911700480000002</v>
      </c>
      <c r="AU1121" s="232">
        <v>5.0000000000000001E-3</v>
      </c>
      <c r="AV1121" s="239">
        <f t="shared" si="161"/>
        <v>15.9912589824</v>
      </c>
      <c r="AW1121" s="239">
        <f>(AS1121*AK1121/1000000)*(VLOOKUP(N1121,FCST!D:I,6,FALSE))</f>
        <v>3.9779251200000005</v>
      </c>
      <c r="AX1121" s="239">
        <f t="shared" si="162"/>
        <v>3.9978147455999999</v>
      </c>
      <c r="AY1121" s="239">
        <f>IF($G1121="CERVECERIA Y MALTERIA.",($AS1121*$AK1121/1000000)*(1-VLOOKUP($N1121,FCST!D:I,6,FALSE)),0)</f>
        <v>0</v>
      </c>
      <c r="AZ1121" s="239">
        <f t="shared" si="163"/>
        <v>0</v>
      </c>
    </row>
    <row r="1122" spans="1:52" x14ac:dyDescent="0.25">
      <c r="A1122" s="209">
        <v>1130076</v>
      </c>
      <c r="B1122" s="209">
        <v>20</v>
      </c>
      <c r="C1122" s="209">
        <v>89520459</v>
      </c>
      <c r="D1122" s="209">
        <v>20</v>
      </c>
      <c r="E1122" s="209">
        <v>10000002</v>
      </c>
      <c r="F1122" s="209">
        <v>20000339</v>
      </c>
      <c r="G1122" s="209" t="s">
        <v>105</v>
      </c>
      <c r="H1122" s="209">
        <v>20000339</v>
      </c>
      <c r="I1122" s="209">
        <v>2</v>
      </c>
      <c r="J1122" s="209" t="s">
        <v>169</v>
      </c>
      <c r="K1122" s="209" t="s">
        <v>2477</v>
      </c>
      <c r="L1122" s="209" t="s">
        <v>171</v>
      </c>
      <c r="M1122" s="209" t="s">
        <v>227</v>
      </c>
      <c r="N1122" s="209">
        <v>50036287</v>
      </c>
      <c r="O1122" s="209" t="s">
        <v>2191</v>
      </c>
      <c r="P1122" s="209">
        <v>5121</v>
      </c>
      <c r="Q1122" s="209" t="s">
        <v>228</v>
      </c>
      <c r="R1122" s="209" t="s">
        <v>229</v>
      </c>
      <c r="S1122" s="209" t="s">
        <v>230</v>
      </c>
      <c r="T1122" s="209" t="s">
        <v>231</v>
      </c>
      <c r="U1122" s="209" t="s">
        <v>232</v>
      </c>
      <c r="V1122" s="209" t="s">
        <v>179</v>
      </c>
      <c r="W1122" s="209" t="s">
        <v>179</v>
      </c>
      <c r="X1122" s="209" t="s">
        <v>180</v>
      </c>
      <c r="Y1122" s="209" t="s">
        <v>180</v>
      </c>
      <c r="Z1122" s="209">
        <v>9521069118</v>
      </c>
      <c r="AA1122" s="209" t="s">
        <v>2478</v>
      </c>
      <c r="AB1122" s="209" t="s">
        <v>180</v>
      </c>
      <c r="AC1122" s="209" t="s">
        <v>182</v>
      </c>
      <c r="AD1122" s="209">
        <v>7</v>
      </c>
      <c r="AE1122" s="209">
        <v>2025</v>
      </c>
      <c r="AF1122" s="227">
        <v>45860</v>
      </c>
      <c r="AG1122" s="227">
        <v>45861</v>
      </c>
      <c r="AH1122" s="227">
        <v>45861</v>
      </c>
      <c r="AI1122" s="228">
        <v>167616</v>
      </c>
      <c r="AJ1122" s="228">
        <v>24</v>
      </c>
      <c r="AK1122" s="228">
        <v>167616</v>
      </c>
      <c r="AL1122" s="228">
        <v>24</v>
      </c>
      <c r="AM1122" s="228">
        <v>0</v>
      </c>
      <c r="AN1122" s="228">
        <v>0</v>
      </c>
      <c r="AO1122" s="229">
        <v>30</v>
      </c>
      <c r="AP1122" s="231">
        <v>7</v>
      </c>
      <c r="AQ1122" s="231">
        <v>2025</v>
      </c>
      <c r="AR1122" s="231" t="str">
        <f t="shared" si="159"/>
        <v>07/2025</v>
      </c>
      <c r="AS1122" s="231">
        <f t="shared" si="160"/>
        <v>52</v>
      </c>
      <c r="AT1122" s="239">
        <f>IF(G1122="CERVECERIA Y MALTERIA",(AS1122*AK1122/1000000)*(1-VLOOKUP(N1122,FCST!D:I,6,FALSE)),0)</f>
        <v>8.7160320000000002</v>
      </c>
      <c r="AU1122" s="232">
        <v>5.0000000000000001E-3</v>
      </c>
      <c r="AV1122" s="239">
        <f t="shared" si="161"/>
        <v>8.7596121599999996</v>
      </c>
      <c r="AW1122" s="239">
        <f>(AS1122*AK1122/1000000)*(VLOOKUP(N1122,FCST!D:I,6,FALSE))</f>
        <v>0</v>
      </c>
      <c r="AX1122" s="239">
        <f t="shared" si="162"/>
        <v>0</v>
      </c>
      <c r="AY1122" s="239">
        <f>IF($G1122="CERVECERIA Y MALTERIA.",($AS1122*$AK1122/1000000)*(1-VLOOKUP($N1122,FCST!D:I,6,FALSE)),0)</f>
        <v>0</v>
      </c>
      <c r="AZ1122" s="239">
        <f t="shared" si="163"/>
        <v>0</v>
      </c>
    </row>
    <row r="1123" spans="1:52" x14ac:dyDescent="0.25">
      <c r="A1123" s="209">
        <v>1130076</v>
      </c>
      <c r="B1123" s="209">
        <v>10</v>
      </c>
      <c r="C1123" s="209">
        <v>89520459</v>
      </c>
      <c r="D1123" s="209">
        <v>10</v>
      </c>
      <c r="E1123" s="209">
        <v>10000002</v>
      </c>
      <c r="F1123" s="209">
        <v>20000339</v>
      </c>
      <c r="G1123" s="209" t="s">
        <v>105</v>
      </c>
      <c r="H1123" s="209">
        <v>20000339</v>
      </c>
      <c r="I1123" s="209">
        <v>2</v>
      </c>
      <c r="J1123" s="209" t="s">
        <v>169</v>
      </c>
      <c r="K1123" s="209" t="s">
        <v>2477</v>
      </c>
      <c r="L1123" s="209" t="s">
        <v>171</v>
      </c>
      <c r="M1123" s="209" t="s">
        <v>227</v>
      </c>
      <c r="N1123" s="209">
        <v>50034194</v>
      </c>
      <c r="O1123" s="209" t="s">
        <v>276</v>
      </c>
      <c r="P1123" s="209">
        <v>5121</v>
      </c>
      <c r="Q1123" s="209" t="s">
        <v>228</v>
      </c>
      <c r="R1123" s="209" t="s">
        <v>229</v>
      </c>
      <c r="S1123" s="209" t="s">
        <v>230</v>
      </c>
      <c r="T1123" s="209" t="s">
        <v>231</v>
      </c>
      <c r="U1123" s="209" t="s">
        <v>232</v>
      </c>
      <c r="V1123" s="209" t="s">
        <v>179</v>
      </c>
      <c r="W1123" s="209" t="s">
        <v>179</v>
      </c>
      <c r="X1123" s="209" t="s">
        <v>180</v>
      </c>
      <c r="Y1123" s="209" t="s">
        <v>180</v>
      </c>
      <c r="Z1123" s="209">
        <v>9521069118</v>
      </c>
      <c r="AA1123" s="209" t="s">
        <v>2478</v>
      </c>
      <c r="AB1123" s="209" t="s">
        <v>180</v>
      </c>
      <c r="AC1123" s="209" t="s">
        <v>182</v>
      </c>
      <c r="AD1123" s="209">
        <v>7</v>
      </c>
      <c r="AE1123" s="209">
        <v>2025</v>
      </c>
      <c r="AF1123" s="227">
        <v>45860</v>
      </c>
      <c r="AG1123" s="227">
        <v>45861</v>
      </c>
      <c r="AH1123" s="227">
        <v>45861</v>
      </c>
      <c r="AI1123" s="228">
        <v>146304</v>
      </c>
      <c r="AJ1123" s="228">
        <v>24</v>
      </c>
      <c r="AK1123" s="228">
        <v>146304</v>
      </c>
      <c r="AL1123" s="228">
        <v>24</v>
      </c>
      <c r="AM1123" s="228">
        <v>0</v>
      </c>
      <c r="AN1123" s="228">
        <v>0</v>
      </c>
      <c r="AO1123" s="229">
        <v>30</v>
      </c>
      <c r="AP1123" s="231">
        <v>7</v>
      </c>
      <c r="AQ1123" s="231">
        <v>2025</v>
      </c>
      <c r="AR1123" s="231" t="str">
        <f t="shared" si="159"/>
        <v>07/2025</v>
      </c>
      <c r="AS1123" s="231">
        <f t="shared" si="160"/>
        <v>62</v>
      </c>
      <c r="AT1123" s="239">
        <f>IF(G1123="CERVECERIA Y MALTERIA",(AS1123*AK1123/1000000)*(1-VLOOKUP(N1123,FCST!D:I,6,FALSE)),0)</f>
        <v>9.0708479999999998</v>
      </c>
      <c r="AU1123" s="232">
        <v>5.0000000000000001E-3</v>
      </c>
      <c r="AV1123" s="239">
        <f t="shared" si="161"/>
        <v>9.116202239999998</v>
      </c>
      <c r="AW1123" s="239">
        <f>(AS1123*AK1123/1000000)*(VLOOKUP(N1123,FCST!D:I,6,FALSE))</f>
        <v>0</v>
      </c>
      <c r="AX1123" s="239">
        <f t="shared" si="162"/>
        <v>0</v>
      </c>
      <c r="AY1123" s="239">
        <f>IF($G1123="CERVECERIA Y MALTERIA.",($AS1123*$AK1123/1000000)*(1-VLOOKUP($N1123,FCST!D:I,6,FALSE)),0)</f>
        <v>0</v>
      </c>
      <c r="AZ1123" s="239">
        <f t="shared" si="163"/>
        <v>0</v>
      </c>
    </row>
    <row r="1124" spans="1:52" x14ac:dyDescent="0.25">
      <c r="A1124" s="209">
        <v>1128028</v>
      </c>
      <c r="B1124" s="209">
        <v>80</v>
      </c>
      <c r="C1124" s="209">
        <v>89516875</v>
      </c>
      <c r="D1124" s="209">
        <v>10</v>
      </c>
      <c r="E1124" s="209">
        <v>10000002</v>
      </c>
      <c r="F1124" s="209">
        <v>20000335</v>
      </c>
      <c r="G1124" s="209" t="s">
        <v>105</v>
      </c>
      <c r="H1124" s="209">
        <v>20000335</v>
      </c>
      <c r="I1124" s="209">
        <v>2</v>
      </c>
      <c r="J1124" s="209" t="s">
        <v>169</v>
      </c>
      <c r="K1124" s="209" t="s">
        <v>2479</v>
      </c>
      <c r="L1124" s="209" t="s">
        <v>171</v>
      </c>
      <c r="M1124" s="209" t="s">
        <v>172</v>
      </c>
      <c r="N1124" s="209">
        <v>50035184</v>
      </c>
      <c r="O1124" s="209" t="s">
        <v>672</v>
      </c>
      <c r="P1124" s="209">
        <v>5121</v>
      </c>
      <c r="Q1124" s="209" t="s">
        <v>174</v>
      </c>
      <c r="R1124" s="209" t="s">
        <v>175</v>
      </c>
      <c r="S1124" s="209" t="s">
        <v>176</v>
      </c>
      <c r="T1124" s="209" t="s">
        <v>177</v>
      </c>
      <c r="U1124" s="209" t="s">
        <v>178</v>
      </c>
      <c r="V1124" s="209" t="s">
        <v>179</v>
      </c>
      <c r="W1124" s="209" t="s">
        <v>179</v>
      </c>
      <c r="X1124" s="209" t="s">
        <v>180</v>
      </c>
      <c r="Y1124" s="209" t="s">
        <v>180</v>
      </c>
      <c r="Z1124" s="209">
        <v>9521069043</v>
      </c>
      <c r="AA1124" s="209" t="s">
        <v>2471</v>
      </c>
      <c r="AB1124" s="209" t="s">
        <v>180</v>
      </c>
      <c r="AC1124" s="209" t="s">
        <v>182</v>
      </c>
      <c r="AD1124" s="209">
        <v>7</v>
      </c>
      <c r="AE1124" s="209">
        <v>2025</v>
      </c>
      <c r="AF1124" s="227">
        <v>45847</v>
      </c>
      <c r="AG1124" s="227">
        <v>45856</v>
      </c>
      <c r="AH1124" s="227">
        <v>45856</v>
      </c>
      <c r="AI1124" s="228">
        <v>977184</v>
      </c>
      <c r="AJ1124" s="228">
        <v>52</v>
      </c>
      <c r="AK1124" s="228">
        <v>977184</v>
      </c>
      <c r="AL1124" s="228">
        <v>52</v>
      </c>
      <c r="AM1124" s="228">
        <v>0</v>
      </c>
      <c r="AN1124" s="228">
        <v>0</v>
      </c>
      <c r="AO1124" s="229">
        <v>29</v>
      </c>
      <c r="AP1124" s="231">
        <v>7</v>
      </c>
      <c r="AQ1124" s="231">
        <v>2025</v>
      </c>
      <c r="AR1124" s="231" t="str">
        <f t="shared" si="159"/>
        <v>07/2025</v>
      </c>
      <c r="AS1124" s="231">
        <f t="shared" si="160"/>
        <v>19.5</v>
      </c>
      <c r="AT1124" s="239">
        <f>IF(G1124="CERVECERIA Y MALTERIA",(AS1124*AK1124/1000000)*(1-VLOOKUP(N1124,FCST!D:I,6,FALSE)),0)</f>
        <v>19.055088000000001</v>
      </c>
      <c r="AU1124" s="232">
        <v>5.0000000000000001E-3</v>
      </c>
      <c r="AV1124" s="239">
        <f t="shared" si="161"/>
        <v>19.15036344</v>
      </c>
      <c r="AW1124" s="239">
        <f>(AS1124*AK1124/1000000)*(VLOOKUP(N1124,FCST!D:I,6,FALSE))</f>
        <v>0</v>
      </c>
      <c r="AX1124" s="239">
        <f t="shared" si="162"/>
        <v>0</v>
      </c>
      <c r="AY1124" s="239">
        <f>IF($G1124="CERVECERIA Y MALTERIA.",($AS1124*$AK1124/1000000)*(1-VLOOKUP($N1124,FCST!D:I,6,FALSE)),0)</f>
        <v>0</v>
      </c>
      <c r="AZ1124" s="239">
        <f t="shared" si="163"/>
        <v>0</v>
      </c>
    </row>
    <row r="1125" spans="1:52" x14ac:dyDescent="0.25">
      <c r="A1125" s="209">
        <v>1128027</v>
      </c>
      <c r="B1125" s="209">
        <v>40</v>
      </c>
      <c r="C1125" s="209">
        <v>89516812</v>
      </c>
      <c r="D1125" s="209">
        <v>10</v>
      </c>
      <c r="E1125" s="209">
        <v>10000002</v>
      </c>
      <c r="F1125" s="209">
        <v>20000340</v>
      </c>
      <c r="G1125" s="209" t="s">
        <v>117</v>
      </c>
      <c r="H1125" s="209">
        <v>20000340</v>
      </c>
      <c r="I1125" s="209">
        <v>2</v>
      </c>
      <c r="J1125" s="209" t="s">
        <v>169</v>
      </c>
      <c r="K1125" s="209" t="s">
        <v>2480</v>
      </c>
      <c r="L1125" s="209" t="s">
        <v>171</v>
      </c>
      <c r="M1125" s="209" t="s">
        <v>172</v>
      </c>
      <c r="N1125" s="209">
        <v>50039509</v>
      </c>
      <c r="O1125" s="209" t="s">
        <v>2054</v>
      </c>
      <c r="P1125" s="209">
        <v>5101</v>
      </c>
      <c r="Q1125" s="209" t="s">
        <v>186</v>
      </c>
      <c r="R1125" s="209" t="s">
        <v>175</v>
      </c>
      <c r="S1125" s="209" t="s">
        <v>176</v>
      </c>
      <c r="T1125" s="209" t="s">
        <v>187</v>
      </c>
      <c r="U1125" s="209" t="s">
        <v>188</v>
      </c>
      <c r="V1125" s="209" t="s">
        <v>179</v>
      </c>
      <c r="W1125" s="209" t="s">
        <v>179</v>
      </c>
      <c r="X1125" s="209" t="s">
        <v>180</v>
      </c>
      <c r="Y1125" s="209" t="s">
        <v>180</v>
      </c>
      <c r="Z1125" s="209">
        <v>9511048172</v>
      </c>
      <c r="AA1125" s="209" t="s">
        <v>2466</v>
      </c>
      <c r="AB1125" s="209" t="s">
        <v>180</v>
      </c>
      <c r="AC1125" s="209" t="s">
        <v>182</v>
      </c>
      <c r="AD1125" s="209">
        <v>7</v>
      </c>
      <c r="AE1125" s="209">
        <v>2025</v>
      </c>
      <c r="AF1125" s="227">
        <v>45847</v>
      </c>
      <c r="AG1125" s="227">
        <v>45856</v>
      </c>
      <c r="AH1125" s="227">
        <v>45856</v>
      </c>
      <c r="AI1125" s="228">
        <v>519168</v>
      </c>
      <c r="AJ1125" s="228">
        <v>52</v>
      </c>
      <c r="AK1125" s="228">
        <v>519168</v>
      </c>
      <c r="AL1125" s="228">
        <v>52</v>
      </c>
      <c r="AM1125" s="228">
        <v>0</v>
      </c>
      <c r="AN1125" s="228">
        <v>0</v>
      </c>
      <c r="AO1125" s="229">
        <v>29</v>
      </c>
      <c r="AP1125" s="231">
        <v>7</v>
      </c>
      <c r="AQ1125" s="231">
        <v>2025</v>
      </c>
      <c r="AR1125" s="231" t="str">
        <f t="shared" si="159"/>
        <v>07/2025</v>
      </c>
      <c r="AS1125" s="231">
        <f t="shared" si="160"/>
        <v>34</v>
      </c>
      <c r="AT1125" s="239">
        <f>IF(G1125="CERVECERIA Y MALTERIA",(AS1125*AK1125/1000000)*(1-VLOOKUP(N1125,FCST!D:I,6,FALSE)),0)</f>
        <v>0</v>
      </c>
      <c r="AU1125" s="232">
        <v>5.0000000000000001E-3</v>
      </c>
      <c r="AV1125" s="239">
        <f t="shared" si="161"/>
        <v>0</v>
      </c>
      <c r="AW1125" s="239">
        <f>(AS1125*AK1125/1000000)*(VLOOKUP(N1125,FCST!D:I,6,FALSE))</f>
        <v>0</v>
      </c>
      <c r="AX1125" s="239">
        <f t="shared" si="162"/>
        <v>0</v>
      </c>
      <c r="AY1125" s="239">
        <f>IF($G1125="CERVECERIA Y MALTERIA.",($AS1125*$AK1125/1000000)*(1-VLOOKUP($N1125,FCST!D:I,6,FALSE)),0)</f>
        <v>17.651712</v>
      </c>
      <c r="AZ1125" s="239">
        <f t="shared" si="163"/>
        <v>17.73997056</v>
      </c>
    </row>
    <row r="1126" spans="1:52" x14ac:dyDescent="0.25">
      <c r="A1126" s="209">
        <v>1128028</v>
      </c>
      <c r="B1126" s="209">
        <v>90</v>
      </c>
      <c r="C1126" s="209">
        <v>89516806</v>
      </c>
      <c r="D1126" s="209">
        <v>10</v>
      </c>
      <c r="E1126" s="209">
        <v>10000002</v>
      </c>
      <c r="F1126" s="209">
        <v>20000335</v>
      </c>
      <c r="G1126" s="209" t="s">
        <v>105</v>
      </c>
      <c r="H1126" s="209">
        <v>20000335</v>
      </c>
      <c r="I1126" s="209">
        <v>2</v>
      </c>
      <c r="J1126" s="209" t="s">
        <v>169</v>
      </c>
      <c r="K1126" s="209" t="s">
        <v>2481</v>
      </c>
      <c r="L1126" s="209" t="s">
        <v>171</v>
      </c>
      <c r="M1126" s="209" t="s">
        <v>172</v>
      </c>
      <c r="N1126" s="209">
        <v>50024497</v>
      </c>
      <c r="O1126" s="209" t="s">
        <v>1352</v>
      </c>
      <c r="P1126" s="209">
        <v>5121</v>
      </c>
      <c r="Q1126" s="209" t="s">
        <v>174</v>
      </c>
      <c r="R1126" s="209" t="s">
        <v>175</v>
      </c>
      <c r="S1126" s="209" t="s">
        <v>176</v>
      </c>
      <c r="T1126" s="209" t="s">
        <v>177</v>
      </c>
      <c r="U1126" s="209" t="s">
        <v>178</v>
      </c>
      <c r="V1126" s="209" t="s">
        <v>179</v>
      </c>
      <c r="W1126" s="209" t="s">
        <v>179</v>
      </c>
      <c r="X1126" s="209" t="s">
        <v>180</v>
      </c>
      <c r="Y1126" s="209" t="s">
        <v>180</v>
      </c>
      <c r="Z1126" s="209">
        <v>9521069041</v>
      </c>
      <c r="AA1126" s="209" t="s">
        <v>2482</v>
      </c>
      <c r="AB1126" s="209" t="s">
        <v>180</v>
      </c>
      <c r="AC1126" s="209" t="s">
        <v>182</v>
      </c>
      <c r="AD1126" s="209">
        <v>7</v>
      </c>
      <c r="AE1126" s="209">
        <v>2025</v>
      </c>
      <c r="AF1126" s="227">
        <v>45847</v>
      </c>
      <c r="AG1126" s="227">
        <v>45856</v>
      </c>
      <c r="AH1126" s="227">
        <v>45856</v>
      </c>
      <c r="AI1126" s="228">
        <v>351936</v>
      </c>
      <c r="AJ1126" s="228">
        <v>52</v>
      </c>
      <c r="AK1126" s="228">
        <v>351936</v>
      </c>
      <c r="AL1126" s="228">
        <v>52</v>
      </c>
      <c r="AM1126" s="228">
        <v>0</v>
      </c>
      <c r="AN1126" s="228">
        <v>0</v>
      </c>
      <c r="AO1126" s="229">
        <v>29</v>
      </c>
      <c r="AP1126" s="231">
        <v>7</v>
      </c>
      <c r="AQ1126" s="231">
        <v>2025</v>
      </c>
      <c r="AR1126" s="231" t="str">
        <f t="shared" si="159"/>
        <v>07/2025</v>
      </c>
      <c r="AS1126" s="231">
        <f t="shared" si="160"/>
        <v>54.7</v>
      </c>
      <c r="AT1126" s="239">
        <f>IF(G1126="CERVECERIA Y MALTERIA",(AS1126*AK1126/1000000)*(1-VLOOKUP(N1126,FCST!D:I,6,FALSE)),0)</f>
        <v>19.250899199999999</v>
      </c>
      <c r="AU1126" s="232">
        <v>5.0000000000000001E-3</v>
      </c>
      <c r="AV1126" s="239">
        <f t="shared" si="161"/>
        <v>19.347153695999996</v>
      </c>
      <c r="AW1126" s="239">
        <f>(AS1126*AK1126/1000000)*(VLOOKUP(N1126,FCST!D:I,6,FALSE))</f>
        <v>0</v>
      </c>
      <c r="AX1126" s="239">
        <f t="shared" si="162"/>
        <v>0</v>
      </c>
      <c r="AY1126" s="239">
        <f>IF($G1126="CERVECERIA Y MALTERIA.",($AS1126*$AK1126/1000000)*(1-VLOOKUP($N1126,FCST!D:I,6,FALSE)),0)</f>
        <v>0</v>
      </c>
      <c r="AZ1126" s="239">
        <f t="shared" si="163"/>
        <v>0</v>
      </c>
    </row>
    <row r="1127" spans="1:52" x14ac:dyDescent="0.25">
      <c r="A1127" s="209">
        <v>1128457</v>
      </c>
      <c r="B1127" s="209">
        <v>40</v>
      </c>
      <c r="C1127" s="209">
        <v>89516170</v>
      </c>
      <c r="D1127" s="209">
        <v>10</v>
      </c>
      <c r="E1127" s="209">
        <v>10000002</v>
      </c>
      <c r="F1127" s="209">
        <v>20000336</v>
      </c>
      <c r="G1127" s="209" t="s">
        <v>105</v>
      </c>
      <c r="H1127" s="209">
        <v>20000336</v>
      </c>
      <c r="I1127" s="209">
        <v>2</v>
      </c>
      <c r="J1127" s="209" t="s">
        <v>169</v>
      </c>
      <c r="K1127" s="209" t="s">
        <v>2483</v>
      </c>
      <c r="L1127" s="209" t="s">
        <v>265</v>
      </c>
      <c r="M1127" s="209" t="s">
        <v>199</v>
      </c>
      <c r="N1127" s="209">
        <v>50021818</v>
      </c>
      <c r="O1127" s="209" t="s">
        <v>2170</v>
      </c>
      <c r="P1127" s="209">
        <v>5121</v>
      </c>
      <c r="Q1127" s="209" t="s">
        <v>200</v>
      </c>
      <c r="R1127" s="209" t="s">
        <v>201</v>
      </c>
      <c r="S1127" s="209" t="s">
        <v>202</v>
      </c>
      <c r="T1127" s="209" t="s">
        <v>203</v>
      </c>
      <c r="U1127" s="209" t="s">
        <v>201</v>
      </c>
      <c r="V1127" s="209" t="s">
        <v>179</v>
      </c>
      <c r="W1127" s="209" t="s">
        <v>179</v>
      </c>
      <c r="X1127" s="209" t="s">
        <v>180</v>
      </c>
      <c r="Y1127" s="209" t="s">
        <v>180</v>
      </c>
      <c r="Z1127" s="209">
        <v>9521069049</v>
      </c>
      <c r="AA1127" s="209" t="s">
        <v>2484</v>
      </c>
      <c r="AB1127" s="209" t="s">
        <v>180</v>
      </c>
      <c r="AC1127" s="209" t="s">
        <v>182</v>
      </c>
      <c r="AD1127" s="209">
        <v>7</v>
      </c>
      <c r="AE1127" s="209">
        <v>2025</v>
      </c>
      <c r="AF1127" s="227">
        <v>45849</v>
      </c>
      <c r="AG1127" s="227">
        <v>45855</v>
      </c>
      <c r="AH1127" s="227">
        <v>45855</v>
      </c>
      <c r="AI1127" s="228">
        <v>426816</v>
      </c>
      <c r="AJ1127" s="228">
        <v>52</v>
      </c>
      <c r="AK1127" s="228">
        <v>426816</v>
      </c>
      <c r="AL1127" s="228">
        <v>52</v>
      </c>
      <c r="AM1127" s="228">
        <v>0</v>
      </c>
      <c r="AN1127" s="228">
        <v>0</v>
      </c>
      <c r="AO1127" s="229">
        <v>29</v>
      </c>
      <c r="AP1127" s="231">
        <v>7</v>
      </c>
      <c r="AQ1127" s="231">
        <v>2025</v>
      </c>
      <c r="AR1127" s="231" t="str">
        <f t="shared" si="159"/>
        <v>07/2025</v>
      </c>
      <c r="AS1127" s="231">
        <f t="shared" si="160"/>
        <v>46.6</v>
      </c>
      <c r="AT1127" s="239">
        <f>IF(G1127="CERVECERIA Y MALTERIA",(AS1127*AK1127/1000000)*(1-VLOOKUP(N1127,FCST!D:I,6,FALSE)),0)</f>
        <v>19.889625600000002</v>
      </c>
      <c r="AU1127" s="232">
        <v>5.0000000000000001E-3</v>
      </c>
      <c r="AV1127" s="239">
        <f t="shared" si="161"/>
        <v>19.989073728000001</v>
      </c>
      <c r="AW1127" s="239">
        <f>(AS1127*AK1127/1000000)*(VLOOKUP(N1127,FCST!D:I,6,FALSE))</f>
        <v>0</v>
      </c>
      <c r="AX1127" s="239">
        <f t="shared" si="162"/>
        <v>0</v>
      </c>
      <c r="AY1127" s="239">
        <f>IF($G1127="CERVECERIA Y MALTERIA.",($AS1127*$AK1127/1000000)*(1-VLOOKUP($N1127,FCST!D:I,6,FALSE)),0)</f>
        <v>0</v>
      </c>
      <c r="AZ1127" s="239">
        <f t="shared" si="163"/>
        <v>0</v>
      </c>
    </row>
    <row r="1128" spans="1:52" x14ac:dyDescent="0.25">
      <c r="A1128" s="209">
        <v>1126695</v>
      </c>
      <c r="B1128" s="209">
        <v>90</v>
      </c>
      <c r="C1128" s="209">
        <v>89515886</v>
      </c>
      <c r="D1128" s="209">
        <v>10</v>
      </c>
      <c r="E1128" s="209">
        <v>10000002</v>
      </c>
      <c r="F1128" s="209">
        <v>20000337</v>
      </c>
      <c r="G1128" s="209" t="s">
        <v>105</v>
      </c>
      <c r="H1128" s="209">
        <v>20000337</v>
      </c>
      <c r="I1128" s="209">
        <v>2</v>
      </c>
      <c r="J1128" s="209" t="s">
        <v>169</v>
      </c>
      <c r="K1128" s="209" t="s">
        <v>2485</v>
      </c>
      <c r="L1128" s="209" t="s">
        <v>265</v>
      </c>
      <c r="M1128" s="209" t="s">
        <v>172</v>
      </c>
      <c r="N1128" s="209">
        <v>50024497</v>
      </c>
      <c r="O1128" s="209" t="s">
        <v>1352</v>
      </c>
      <c r="P1128" s="209">
        <v>5121</v>
      </c>
      <c r="Q1128" s="209" t="s">
        <v>174</v>
      </c>
      <c r="R1128" s="209" t="s">
        <v>175</v>
      </c>
      <c r="S1128" s="209" t="s">
        <v>176</v>
      </c>
      <c r="T1128" s="209" t="s">
        <v>177</v>
      </c>
      <c r="U1128" s="209" t="s">
        <v>178</v>
      </c>
      <c r="V1128" s="209" t="s">
        <v>179</v>
      </c>
      <c r="W1128" s="209" t="s">
        <v>179</v>
      </c>
      <c r="X1128" s="209" t="s">
        <v>180</v>
      </c>
      <c r="Y1128" s="209" t="s">
        <v>180</v>
      </c>
      <c r="Z1128" s="209">
        <v>9521069052</v>
      </c>
      <c r="AA1128" s="209" t="s">
        <v>2486</v>
      </c>
      <c r="AB1128" s="209" t="s">
        <v>180</v>
      </c>
      <c r="AC1128" s="209" t="s">
        <v>182</v>
      </c>
      <c r="AD1128" s="209">
        <v>7</v>
      </c>
      <c r="AE1128" s="209">
        <v>2025</v>
      </c>
      <c r="AF1128" s="227">
        <v>45840</v>
      </c>
      <c r="AG1128" s="227">
        <v>45855</v>
      </c>
      <c r="AH1128" s="227">
        <v>45855</v>
      </c>
      <c r="AI1128" s="228">
        <v>351936</v>
      </c>
      <c r="AJ1128" s="228">
        <v>52</v>
      </c>
      <c r="AK1128" s="228">
        <v>351936</v>
      </c>
      <c r="AL1128" s="228">
        <v>52</v>
      </c>
      <c r="AM1128" s="228">
        <v>0</v>
      </c>
      <c r="AN1128" s="228">
        <v>0</v>
      </c>
      <c r="AO1128" s="229">
        <v>27</v>
      </c>
      <c r="AP1128" s="231">
        <v>7</v>
      </c>
      <c r="AQ1128" s="231">
        <v>2025</v>
      </c>
      <c r="AR1128" s="231" t="str">
        <f t="shared" si="159"/>
        <v>07/2025</v>
      </c>
      <c r="AS1128" s="231">
        <f t="shared" si="160"/>
        <v>54.7</v>
      </c>
      <c r="AT1128" s="239">
        <f>IF(G1128="CERVECERIA Y MALTERIA",(AS1128*AK1128/1000000)*(1-VLOOKUP(N1128,FCST!D:I,6,FALSE)),0)</f>
        <v>19.250899199999999</v>
      </c>
      <c r="AU1128" s="232">
        <v>5.0000000000000001E-3</v>
      </c>
      <c r="AV1128" s="239">
        <f t="shared" si="161"/>
        <v>19.347153695999996</v>
      </c>
      <c r="AW1128" s="239">
        <f>(AS1128*AK1128/1000000)*(VLOOKUP(N1128,FCST!D:I,6,FALSE))</f>
        <v>0</v>
      </c>
      <c r="AX1128" s="239">
        <f t="shared" si="162"/>
        <v>0</v>
      </c>
      <c r="AY1128" s="239">
        <f>IF($G1128="CERVECERIA Y MALTERIA.",($AS1128*$AK1128/1000000)*(1-VLOOKUP($N1128,FCST!D:I,6,FALSE)),0)</f>
        <v>0</v>
      </c>
      <c r="AZ1128" s="239">
        <f t="shared" si="163"/>
        <v>0</v>
      </c>
    </row>
    <row r="1129" spans="1:52" x14ac:dyDescent="0.25">
      <c r="A1129" s="209">
        <v>1128028</v>
      </c>
      <c r="B1129" s="209">
        <v>50</v>
      </c>
      <c r="C1129" s="209">
        <v>89515827</v>
      </c>
      <c r="D1129" s="209">
        <v>10</v>
      </c>
      <c r="E1129" s="209">
        <v>10000002</v>
      </c>
      <c r="F1129" s="209">
        <v>20000335</v>
      </c>
      <c r="G1129" s="209" t="s">
        <v>105</v>
      </c>
      <c r="H1129" s="209">
        <v>20000335</v>
      </c>
      <c r="I1129" s="209">
        <v>2</v>
      </c>
      <c r="J1129" s="209" t="s">
        <v>169</v>
      </c>
      <c r="K1129" s="209" t="s">
        <v>2487</v>
      </c>
      <c r="L1129" s="209" t="s">
        <v>171</v>
      </c>
      <c r="M1129" s="209" t="s">
        <v>172</v>
      </c>
      <c r="N1129" s="209">
        <v>50035184</v>
      </c>
      <c r="O1129" s="209" t="s">
        <v>672</v>
      </c>
      <c r="P1129" s="209">
        <v>5121</v>
      </c>
      <c r="Q1129" s="209" t="s">
        <v>174</v>
      </c>
      <c r="R1129" s="209" t="s">
        <v>175</v>
      </c>
      <c r="S1129" s="209" t="s">
        <v>176</v>
      </c>
      <c r="T1129" s="209" t="s">
        <v>177</v>
      </c>
      <c r="U1129" s="209" t="s">
        <v>178</v>
      </c>
      <c r="V1129" s="209" t="s">
        <v>179</v>
      </c>
      <c r="W1129" s="209" t="s">
        <v>179</v>
      </c>
      <c r="X1129" s="209" t="s">
        <v>180</v>
      </c>
      <c r="Y1129" s="209" t="s">
        <v>180</v>
      </c>
      <c r="Z1129" s="209">
        <v>9521069043</v>
      </c>
      <c r="AA1129" s="209" t="s">
        <v>2471</v>
      </c>
      <c r="AB1129" s="209" t="s">
        <v>180</v>
      </c>
      <c r="AC1129" s="209" t="s">
        <v>182</v>
      </c>
      <c r="AD1129" s="209">
        <v>7</v>
      </c>
      <c r="AE1129" s="209">
        <v>2025</v>
      </c>
      <c r="AF1129" s="227">
        <v>45847</v>
      </c>
      <c r="AG1129" s="227">
        <v>45855</v>
      </c>
      <c r="AH1129" s="227">
        <v>45855</v>
      </c>
      <c r="AI1129" s="228">
        <v>977184</v>
      </c>
      <c r="AJ1129" s="228">
        <v>52</v>
      </c>
      <c r="AK1129" s="228">
        <v>977184</v>
      </c>
      <c r="AL1129" s="228">
        <v>52</v>
      </c>
      <c r="AM1129" s="228">
        <v>0</v>
      </c>
      <c r="AN1129" s="228">
        <v>0</v>
      </c>
      <c r="AO1129" s="229">
        <v>29</v>
      </c>
      <c r="AP1129" s="231">
        <v>7</v>
      </c>
      <c r="AQ1129" s="231">
        <v>2025</v>
      </c>
      <c r="AR1129" s="231" t="str">
        <f t="shared" si="159"/>
        <v>07/2025</v>
      </c>
      <c r="AS1129" s="231">
        <f t="shared" si="160"/>
        <v>19.5</v>
      </c>
      <c r="AT1129" s="239">
        <f>IF(G1129="CERVECERIA Y MALTERIA",(AS1129*AK1129/1000000)*(1-VLOOKUP(N1129,FCST!D:I,6,FALSE)),0)</f>
        <v>19.055088000000001</v>
      </c>
      <c r="AU1129" s="232">
        <v>5.0000000000000001E-3</v>
      </c>
      <c r="AV1129" s="239">
        <f t="shared" si="161"/>
        <v>19.15036344</v>
      </c>
      <c r="AW1129" s="239">
        <f>(AS1129*AK1129/1000000)*(VLOOKUP(N1129,FCST!D:I,6,FALSE))</f>
        <v>0</v>
      </c>
      <c r="AX1129" s="239">
        <f t="shared" si="162"/>
        <v>0</v>
      </c>
      <c r="AY1129" s="239">
        <f>IF($G1129="CERVECERIA Y MALTERIA.",($AS1129*$AK1129/1000000)*(1-VLOOKUP($N1129,FCST!D:I,6,FALSE)),0)</f>
        <v>0</v>
      </c>
      <c r="AZ1129" s="239">
        <f t="shared" si="163"/>
        <v>0</v>
      </c>
    </row>
    <row r="1130" spans="1:52" x14ac:dyDescent="0.25">
      <c r="A1130" s="209">
        <v>1128028</v>
      </c>
      <c r="B1130" s="209">
        <v>20</v>
      </c>
      <c r="C1130" s="209">
        <v>89515787</v>
      </c>
      <c r="D1130" s="209">
        <v>10</v>
      </c>
      <c r="E1130" s="209">
        <v>10000002</v>
      </c>
      <c r="F1130" s="209">
        <v>20000335</v>
      </c>
      <c r="G1130" s="209" t="s">
        <v>105</v>
      </c>
      <c r="H1130" s="209">
        <v>20000335</v>
      </c>
      <c r="I1130" s="209">
        <v>2</v>
      </c>
      <c r="J1130" s="209" t="s">
        <v>169</v>
      </c>
      <c r="K1130" s="209" t="s">
        <v>2488</v>
      </c>
      <c r="L1130" s="209" t="s">
        <v>171</v>
      </c>
      <c r="M1130" s="209" t="s">
        <v>172</v>
      </c>
      <c r="N1130" s="209">
        <v>50036915</v>
      </c>
      <c r="O1130" s="209" t="s">
        <v>541</v>
      </c>
      <c r="P1130" s="209">
        <v>5121</v>
      </c>
      <c r="Q1130" s="209" t="s">
        <v>174</v>
      </c>
      <c r="R1130" s="209" t="s">
        <v>175</v>
      </c>
      <c r="S1130" s="209" t="s">
        <v>176</v>
      </c>
      <c r="T1130" s="209" t="s">
        <v>177</v>
      </c>
      <c r="U1130" s="209" t="s">
        <v>178</v>
      </c>
      <c r="V1130" s="209" t="s">
        <v>179</v>
      </c>
      <c r="W1130" s="209" t="s">
        <v>179</v>
      </c>
      <c r="X1130" s="209" t="s">
        <v>180</v>
      </c>
      <c r="Y1130" s="209" t="s">
        <v>180</v>
      </c>
      <c r="Z1130" s="209">
        <v>9521069079</v>
      </c>
      <c r="AA1130" s="209" t="s">
        <v>2460</v>
      </c>
      <c r="AB1130" s="209" t="s">
        <v>180</v>
      </c>
      <c r="AC1130" s="209" t="s">
        <v>182</v>
      </c>
      <c r="AD1130" s="209">
        <v>7</v>
      </c>
      <c r="AE1130" s="209">
        <v>2025</v>
      </c>
      <c r="AF1130" s="227">
        <v>45847</v>
      </c>
      <c r="AG1130" s="227">
        <v>45855</v>
      </c>
      <c r="AH1130" s="227">
        <v>45855</v>
      </c>
      <c r="AI1130" s="228">
        <v>426816</v>
      </c>
      <c r="AJ1130" s="228">
        <v>52</v>
      </c>
      <c r="AK1130" s="228">
        <v>426816</v>
      </c>
      <c r="AL1130" s="228">
        <v>52</v>
      </c>
      <c r="AM1130" s="228">
        <v>0</v>
      </c>
      <c r="AN1130" s="228">
        <v>0</v>
      </c>
      <c r="AO1130" s="229">
        <v>29</v>
      </c>
      <c r="AP1130" s="231">
        <v>7</v>
      </c>
      <c r="AQ1130" s="231">
        <v>2025</v>
      </c>
      <c r="AR1130" s="231" t="str">
        <f t="shared" si="159"/>
        <v>07/2025</v>
      </c>
      <c r="AS1130" s="231">
        <f t="shared" si="160"/>
        <v>46.6</v>
      </c>
      <c r="AT1130" s="239">
        <f>IF(G1130="CERVECERIA Y MALTERIA",(AS1130*AK1130/1000000)*(1-VLOOKUP(N1130,FCST!D:I,6,FALSE)),0)</f>
        <v>15.911700480000002</v>
      </c>
      <c r="AU1130" s="232">
        <v>5.0000000000000001E-3</v>
      </c>
      <c r="AV1130" s="239">
        <f t="shared" si="161"/>
        <v>15.9912589824</v>
      </c>
      <c r="AW1130" s="239">
        <f>(AS1130*AK1130/1000000)*(VLOOKUP(N1130,FCST!D:I,6,FALSE))</f>
        <v>3.9779251200000005</v>
      </c>
      <c r="AX1130" s="239">
        <f t="shared" si="162"/>
        <v>3.9978147455999999</v>
      </c>
      <c r="AY1130" s="239">
        <f>IF($G1130="CERVECERIA Y MALTERIA.",($AS1130*$AK1130/1000000)*(1-VLOOKUP($N1130,FCST!D:I,6,FALSE)),0)</f>
        <v>0</v>
      </c>
      <c r="AZ1130" s="239">
        <f t="shared" si="163"/>
        <v>0</v>
      </c>
    </row>
    <row r="1131" spans="1:52" x14ac:dyDescent="0.25">
      <c r="A1131" s="209">
        <v>1128027</v>
      </c>
      <c r="B1131" s="209">
        <v>30</v>
      </c>
      <c r="C1131" s="209">
        <v>89515786</v>
      </c>
      <c r="D1131" s="209">
        <v>10</v>
      </c>
      <c r="E1131" s="209">
        <v>10000002</v>
      </c>
      <c r="F1131" s="209">
        <v>20000340</v>
      </c>
      <c r="G1131" s="209" t="s">
        <v>117</v>
      </c>
      <c r="H1131" s="209">
        <v>20000340</v>
      </c>
      <c r="I1131" s="209">
        <v>2</v>
      </c>
      <c r="J1131" s="209" t="s">
        <v>169</v>
      </c>
      <c r="K1131" s="209" t="s">
        <v>2489</v>
      </c>
      <c r="L1131" s="209" t="s">
        <v>171</v>
      </c>
      <c r="M1131" s="209" t="s">
        <v>172</v>
      </c>
      <c r="N1131" s="209">
        <v>50039509</v>
      </c>
      <c r="O1131" s="209" t="s">
        <v>2054</v>
      </c>
      <c r="P1131" s="209">
        <v>5101</v>
      </c>
      <c r="Q1131" s="209" t="s">
        <v>186</v>
      </c>
      <c r="R1131" s="209" t="s">
        <v>175</v>
      </c>
      <c r="S1131" s="209" t="s">
        <v>176</v>
      </c>
      <c r="T1131" s="209" t="s">
        <v>187</v>
      </c>
      <c r="U1131" s="209" t="s">
        <v>188</v>
      </c>
      <c r="V1131" s="209" t="s">
        <v>179</v>
      </c>
      <c r="W1131" s="209" t="s">
        <v>179</v>
      </c>
      <c r="X1131" s="209" t="s">
        <v>180</v>
      </c>
      <c r="Y1131" s="209" t="s">
        <v>180</v>
      </c>
      <c r="Z1131" s="209">
        <v>9511048172</v>
      </c>
      <c r="AA1131" s="209" t="s">
        <v>2466</v>
      </c>
      <c r="AB1131" s="209" t="s">
        <v>180</v>
      </c>
      <c r="AC1131" s="209" t="s">
        <v>182</v>
      </c>
      <c r="AD1131" s="209">
        <v>7</v>
      </c>
      <c r="AE1131" s="209">
        <v>2025</v>
      </c>
      <c r="AF1131" s="227">
        <v>45847</v>
      </c>
      <c r="AG1131" s="227">
        <v>45855</v>
      </c>
      <c r="AH1131" s="227">
        <v>45855</v>
      </c>
      <c r="AI1131" s="228">
        <v>519168</v>
      </c>
      <c r="AJ1131" s="228">
        <v>52</v>
      </c>
      <c r="AK1131" s="228">
        <v>519168</v>
      </c>
      <c r="AL1131" s="228">
        <v>52</v>
      </c>
      <c r="AM1131" s="228">
        <v>0</v>
      </c>
      <c r="AN1131" s="228">
        <v>0</v>
      </c>
      <c r="AO1131" s="229">
        <v>29</v>
      </c>
      <c r="AP1131" s="231">
        <v>7</v>
      </c>
      <c r="AQ1131" s="231">
        <v>2025</v>
      </c>
      <c r="AR1131" s="231" t="str">
        <f t="shared" si="159"/>
        <v>07/2025</v>
      </c>
      <c r="AS1131" s="231">
        <f t="shared" si="160"/>
        <v>34</v>
      </c>
      <c r="AT1131" s="239">
        <f>IF(G1131="CERVECERIA Y MALTERIA",(AS1131*AK1131/1000000)*(1-VLOOKUP(N1131,FCST!D:I,6,FALSE)),0)</f>
        <v>0</v>
      </c>
      <c r="AU1131" s="232">
        <v>5.0000000000000001E-3</v>
      </c>
      <c r="AV1131" s="239">
        <f t="shared" si="161"/>
        <v>0</v>
      </c>
      <c r="AW1131" s="239">
        <f>(AS1131*AK1131/1000000)*(VLOOKUP(N1131,FCST!D:I,6,FALSE))</f>
        <v>0</v>
      </c>
      <c r="AX1131" s="239">
        <f t="shared" si="162"/>
        <v>0</v>
      </c>
      <c r="AY1131" s="239">
        <f>IF($G1131="CERVECERIA Y MALTERIA.",($AS1131*$AK1131/1000000)*(1-VLOOKUP($N1131,FCST!D:I,6,FALSE)),0)</f>
        <v>17.651712</v>
      </c>
      <c r="AZ1131" s="239">
        <f t="shared" si="163"/>
        <v>17.73997056</v>
      </c>
    </row>
    <row r="1132" spans="1:52" x14ac:dyDescent="0.25">
      <c r="A1132" s="209">
        <v>1126695</v>
      </c>
      <c r="B1132" s="209">
        <v>110</v>
      </c>
      <c r="C1132" s="209">
        <v>89517282</v>
      </c>
      <c r="D1132" s="209">
        <v>10</v>
      </c>
      <c r="E1132" s="209">
        <v>10000002</v>
      </c>
      <c r="F1132" s="209">
        <v>20000337</v>
      </c>
      <c r="G1132" s="209" t="s">
        <v>105</v>
      </c>
      <c r="H1132" s="209">
        <v>20000337</v>
      </c>
      <c r="I1132" s="209">
        <v>2</v>
      </c>
      <c r="J1132" s="209" t="s">
        <v>169</v>
      </c>
      <c r="K1132" s="209" t="s">
        <v>2490</v>
      </c>
      <c r="L1132" s="209" t="s">
        <v>265</v>
      </c>
      <c r="M1132" s="209" t="s">
        <v>172</v>
      </c>
      <c r="N1132" s="209">
        <v>50024497</v>
      </c>
      <c r="O1132" s="209" t="s">
        <v>1352</v>
      </c>
      <c r="P1132" s="209">
        <v>5121</v>
      </c>
      <c r="Q1132" s="209" t="s">
        <v>174</v>
      </c>
      <c r="R1132" s="209" t="s">
        <v>175</v>
      </c>
      <c r="S1132" s="209" t="s">
        <v>176</v>
      </c>
      <c r="T1132" s="209" t="s">
        <v>177</v>
      </c>
      <c r="U1132" s="209" t="s">
        <v>178</v>
      </c>
      <c r="V1132" s="209" t="s">
        <v>179</v>
      </c>
      <c r="W1132" s="209" t="s">
        <v>179</v>
      </c>
      <c r="X1132" s="209" t="s">
        <v>180</v>
      </c>
      <c r="Y1132" s="209" t="s">
        <v>180</v>
      </c>
      <c r="Z1132" s="209">
        <v>9521069052</v>
      </c>
      <c r="AA1132" s="209" t="s">
        <v>2486</v>
      </c>
      <c r="AB1132" s="209" t="s">
        <v>180</v>
      </c>
      <c r="AC1132" s="209" t="s">
        <v>182</v>
      </c>
      <c r="AD1132" s="209">
        <v>7</v>
      </c>
      <c r="AE1132" s="209">
        <v>2025</v>
      </c>
      <c r="AF1132" s="227">
        <v>45840</v>
      </c>
      <c r="AG1132" s="227">
        <v>45856</v>
      </c>
      <c r="AH1132" s="227">
        <v>45856</v>
      </c>
      <c r="AI1132" s="228">
        <v>351936</v>
      </c>
      <c r="AJ1132" s="228">
        <v>52</v>
      </c>
      <c r="AK1132" s="228">
        <v>351936</v>
      </c>
      <c r="AL1132" s="228">
        <v>52</v>
      </c>
      <c r="AM1132" s="228">
        <v>0</v>
      </c>
      <c r="AN1132" s="228">
        <v>0</v>
      </c>
      <c r="AO1132" s="229">
        <v>27</v>
      </c>
      <c r="AP1132" s="231">
        <v>7</v>
      </c>
      <c r="AQ1132" s="231">
        <v>2025</v>
      </c>
      <c r="AR1132" s="231" t="str">
        <f t="shared" si="159"/>
        <v>07/2025</v>
      </c>
      <c r="AS1132" s="231">
        <f t="shared" si="160"/>
        <v>54.7</v>
      </c>
      <c r="AT1132" s="239">
        <f>IF(G1132="CERVECERIA Y MALTERIA",(AS1132*AK1132/1000000)*(1-VLOOKUP(N1132,FCST!D:I,6,FALSE)),0)</f>
        <v>19.250899199999999</v>
      </c>
      <c r="AU1132" s="232">
        <v>5.0000000000000001E-3</v>
      </c>
      <c r="AV1132" s="239">
        <f t="shared" si="161"/>
        <v>19.347153695999996</v>
      </c>
      <c r="AW1132" s="239">
        <f>(AS1132*AK1132/1000000)*(VLOOKUP(N1132,FCST!D:I,6,FALSE))</f>
        <v>0</v>
      </c>
      <c r="AX1132" s="239">
        <f t="shared" si="162"/>
        <v>0</v>
      </c>
      <c r="AY1132" s="239">
        <f>IF($G1132="CERVECERIA Y MALTERIA.",($AS1132*$AK1132/1000000)*(1-VLOOKUP($N1132,FCST!D:I,6,FALSE)),0)</f>
        <v>0</v>
      </c>
      <c r="AZ1132" s="239">
        <f t="shared" si="163"/>
        <v>0</v>
      </c>
    </row>
    <row r="1133" spans="1:52" x14ac:dyDescent="0.25">
      <c r="A1133" s="209">
        <v>1126695</v>
      </c>
      <c r="B1133" s="209">
        <v>120</v>
      </c>
      <c r="C1133" s="209">
        <v>89518507</v>
      </c>
      <c r="D1133" s="209">
        <v>10</v>
      </c>
      <c r="E1133" s="209">
        <v>10000002</v>
      </c>
      <c r="F1133" s="209">
        <v>20000337</v>
      </c>
      <c r="G1133" s="209" t="s">
        <v>105</v>
      </c>
      <c r="H1133" s="209">
        <v>20000337</v>
      </c>
      <c r="I1133" s="209">
        <v>2</v>
      </c>
      <c r="J1133" s="209" t="s">
        <v>169</v>
      </c>
      <c r="K1133" s="209" t="s">
        <v>2491</v>
      </c>
      <c r="L1133" s="209" t="s">
        <v>265</v>
      </c>
      <c r="M1133" s="209" t="s">
        <v>199</v>
      </c>
      <c r="N1133" s="209">
        <v>50021818</v>
      </c>
      <c r="O1133" s="209" t="s">
        <v>2170</v>
      </c>
      <c r="P1133" s="209">
        <v>5121</v>
      </c>
      <c r="Q1133" s="209" t="s">
        <v>200</v>
      </c>
      <c r="R1133" s="209" t="s">
        <v>201</v>
      </c>
      <c r="S1133" s="209" t="s">
        <v>202</v>
      </c>
      <c r="T1133" s="209" t="s">
        <v>203</v>
      </c>
      <c r="U1133" s="209" t="s">
        <v>201</v>
      </c>
      <c r="V1133" s="209" t="s">
        <v>179</v>
      </c>
      <c r="W1133" s="209" t="s">
        <v>179</v>
      </c>
      <c r="X1133" s="209" t="s">
        <v>180</v>
      </c>
      <c r="Y1133" s="209" t="s">
        <v>180</v>
      </c>
      <c r="Z1133" s="209">
        <v>9521069051</v>
      </c>
      <c r="AA1133" s="209" t="s">
        <v>2464</v>
      </c>
      <c r="AB1133" s="209" t="s">
        <v>180</v>
      </c>
      <c r="AC1133" s="209" t="s">
        <v>182</v>
      </c>
      <c r="AD1133" s="209">
        <v>7</v>
      </c>
      <c r="AE1133" s="209">
        <v>2025</v>
      </c>
      <c r="AF1133" s="227">
        <v>45840</v>
      </c>
      <c r="AG1133" s="227">
        <v>45859</v>
      </c>
      <c r="AH1133" s="227">
        <v>45859</v>
      </c>
      <c r="AI1133" s="228">
        <v>426816</v>
      </c>
      <c r="AJ1133" s="228">
        <v>52</v>
      </c>
      <c r="AK1133" s="228">
        <v>426816</v>
      </c>
      <c r="AL1133" s="228">
        <v>52</v>
      </c>
      <c r="AM1133" s="228">
        <v>0</v>
      </c>
      <c r="AN1133" s="228">
        <v>0</v>
      </c>
      <c r="AO1133" s="229">
        <v>27</v>
      </c>
      <c r="AP1133" s="231">
        <v>7</v>
      </c>
      <c r="AQ1133" s="231">
        <v>2025</v>
      </c>
      <c r="AR1133" s="231" t="str">
        <f t="shared" si="159"/>
        <v>07/2025</v>
      </c>
      <c r="AS1133" s="231">
        <f t="shared" si="160"/>
        <v>46.6</v>
      </c>
      <c r="AT1133" s="239">
        <f>IF(G1133="CERVECERIA Y MALTERIA",(AS1133*AK1133/1000000)*(1-VLOOKUP(N1133,FCST!D:I,6,FALSE)),0)</f>
        <v>19.889625600000002</v>
      </c>
      <c r="AU1133" s="232">
        <v>5.0000000000000001E-3</v>
      </c>
      <c r="AV1133" s="239">
        <f t="shared" si="161"/>
        <v>19.989073728000001</v>
      </c>
      <c r="AW1133" s="239">
        <f>(AS1133*AK1133/1000000)*(VLOOKUP(N1133,FCST!D:I,6,FALSE))</f>
        <v>0</v>
      </c>
      <c r="AX1133" s="239">
        <f t="shared" si="162"/>
        <v>0</v>
      </c>
      <c r="AY1133" s="239">
        <f>IF($G1133="CERVECERIA Y MALTERIA.",($AS1133*$AK1133/1000000)*(1-VLOOKUP($N1133,FCST!D:I,6,FALSE)),0)</f>
        <v>0</v>
      </c>
      <c r="AZ1133" s="239">
        <f t="shared" si="163"/>
        <v>0</v>
      </c>
    </row>
    <row r="1134" spans="1:52" x14ac:dyDescent="0.25">
      <c r="A1134" s="209">
        <v>1129229</v>
      </c>
      <c r="B1134" s="209">
        <v>10</v>
      </c>
      <c r="C1134" s="209">
        <v>89518503</v>
      </c>
      <c r="D1134" s="209">
        <v>10</v>
      </c>
      <c r="E1134" s="209">
        <v>10000002</v>
      </c>
      <c r="F1134" s="209">
        <v>20000340</v>
      </c>
      <c r="G1134" s="209" t="s">
        <v>117</v>
      </c>
      <c r="H1134" s="209">
        <v>20000340</v>
      </c>
      <c r="I1134" s="209">
        <v>2</v>
      </c>
      <c r="J1134" s="209" t="s">
        <v>169</v>
      </c>
      <c r="K1134" s="209" t="s">
        <v>2492</v>
      </c>
      <c r="L1134" s="209" t="s">
        <v>171</v>
      </c>
      <c r="M1134" s="209" t="s">
        <v>172</v>
      </c>
      <c r="N1134" s="209">
        <v>50039509</v>
      </c>
      <c r="O1134" s="209" t="s">
        <v>2054</v>
      </c>
      <c r="P1134" s="209">
        <v>5101</v>
      </c>
      <c r="Q1134" s="209" t="s">
        <v>186</v>
      </c>
      <c r="R1134" s="209" t="s">
        <v>175</v>
      </c>
      <c r="S1134" s="209" t="s">
        <v>176</v>
      </c>
      <c r="T1134" s="209" t="s">
        <v>187</v>
      </c>
      <c r="U1134" s="209" t="s">
        <v>188</v>
      </c>
      <c r="V1134" s="209" t="s">
        <v>179</v>
      </c>
      <c r="W1134" s="209" t="s">
        <v>179</v>
      </c>
      <c r="X1134" s="209" t="s">
        <v>180</v>
      </c>
      <c r="Y1134" s="209" t="s">
        <v>180</v>
      </c>
      <c r="Z1134" s="209">
        <v>9511048172</v>
      </c>
      <c r="AA1134" s="209" t="s">
        <v>2466</v>
      </c>
      <c r="AB1134" s="209" t="s">
        <v>180</v>
      </c>
      <c r="AC1134" s="209" t="s">
        <v>182</v>
      </c>
      <c r="AD1134" s="209">
        <v>7</v>
      </c>
      <c r="AE1134" s="209">
        <v>2025</v>
      </c>
      <c r="AF1134" s="227">
        <v>45855</v>
      </c>
      <c r="AG1134" s="227">
        <v>45859</v>
      </c>
      <c r="AH1134" s="227">
        <v>45859</v>
      </c>
      <c r="AI1134" s="228">
        <v>519168</v>
      </c>
      <c r="AJ1134" s="228">
        <v>52</v>
      </c>
      <c r="AK1134" s="228">
        <v>519168</v>
      </c>
      <c r="AL1134" s="228">
        <v>52</v>
      </c>
      <c r="AM1134" s="228">
        <v>0</v>
      </c>
      <c r="AN1134" s="228">
        <v>0</v>
      </c>
      <c r="AO1134" s="229">
        <v>30</v>
      </c>
      <c r="AP1134" s="231">
        <v>7</v>
      </c>
      <c r="AQ1134" s="231">
        <v>2025</v>
      </c>
      <c r="AR1134" s="231" t="str">
        <f t="shared" si="159"/>
        <v>07/2025</v>
      </c>
      <c r="AS1134" s="231">
        <f t="shared" si="160"/>
        <v>34</v>
      </c>
      <c r="AT1134" s="239">
        <f>IF(G1134="CERVECERIA Y MALTERIA",(AS1134*AK1134/1000000)*(1-VLOOKUP(N1134,FCST!D:I,6,FALSE)),0)</f>
        <v>0</v>
      </c>
      <c r="AU1134" s="232">
        <v>5.0000000000000001E-3</v>
      </c>
      <c r="AV1134" s="239">
        <f t="shared" si="161"/>
        <v>0</v>
      </c>
      <c r="AW1134" s="239">
        <f>(AS1134*AK1134/1000000)*(VLOOKUP(N1134,FCST!D:I,6,FALSE))</f>
        <v>0</v>
      </c>
      <c r="AX1134" s="239">
        <f t="shared" si="162"/>
        <v>0</v>
      </c>
      <c r="AY1134" s="239">
        <f>IF($G1134="CERVECERIA Y MALTERIA.",($AS1134*$AK1134/1000000)*(1-VLOOKUP($N1134,FCST!D:I,6,FALSE)),0)</f>
        <v>17.651712</v>
      </c>
      <c r="AZ1134" s="239">
        <f t="shared" si="163"/>
        <v>17.73997056</v>
      </c>
    </row>
    <row r="1135" spans="1:52" x14ac:dyDescent="0.25">
      <c r="A1135" s="209">
        <v>1129228</v>
      </c>
      <c r="B1135" s="209">
        <v>20</v>
      </c>
      <c r="C1135" s="209">
        <v>89518092</v>
      </c>
      <c r="D1135" s="209">
        <v>10</v>
      </c>
      <c r="E1135" s="209">
        <v>10000002</v>
      </c>
      <c r="F1135" s="209">
        <v>20000335</v>
      </c>
      <c r="G1135" s="209" t="s">
        <v>105</v>
      </c>
      <c r="H1135" s="209">
        <v>20000335</v>
      </c>
      <c r="I1135" s="209">
        <v>2</v>
      </c>
      <c r="J1135" s="209" t="s">
        <v>169</v>
      </c>
      <c r="K1135" s="209" t="s">
        <v>2493</v>
      </c>
      <c r="L1135" s="209" t="s">
        <v>171</v>
      </c>
      <c r="M1135" s="209" t="s">
        <v>172</v>
      </c>
      <c r="N1135" s="209">
        <v>50036915</v>
      </c>
      <c r="O1135" s="209" t="s">
        <v>541</v>
      </c>
      <c r="P1135" s="209">
        <v>5121</v>
      </c>
      <c r="Q1135" s="209" t="s">
        <v>174</v>
      </c>
      <c r="R1135" s="209" t="s">
        <v>175</v>
      </c>
      <c r="S1135" s="209" t="s">
        <v>176</v>
      </c>
      <c r="T1135" s="209" t="s">
        <v>177</v>
      </c>
      <c r="U1135" s="209" t="s">
        <v>178</v>
      </c>
      <c r="V1135" s="209" t="s">
        <v>179</v>
      </c>
      <c r="W1135" s="209" t="s">
        <v>179</v>
      </c>
      <c r="X1135" s="209" t="s">
        <v>180</v>
      </c>
      <c r="Y1135" s="209" t="s">
        <v>180</v>
      </c>
      <c r="Z1135" s="209">
        <v>9521069079</v>
      </c>
      <c r="AA1135" s="209" t="s">
        <v>2460</v>
      </c>
      <c r="AB1135" s="209" t="s">
        <v>180</v>
      </c>
      <c r="AC1135" s="209" t="s">
        <v>182</v>
      </c>
      <c r="AD1135" s="209">
        <v>7</v>
      </c>
      <c r="AE1135" s="209">
        <v>2025</v>
      </c>
      <c r="AF1135" s="227">
        <v>45855</v>
      </c>
      <c r="AG1135" s="227">
        <v>45859</v>
      </c>
      <c r="AH1135" s="227">
        <v>45859</v>
      </c>
      <c r="AI1135" s="228">
        <v>426816</v>
      </c>
      <c r="AJ1135" s="228">
        <v>52</v>
      </c>
      <c r="AK1135" s="228">
        <v>426816</v>
      </c>
      <c r="AL1135" s="228">
        <v>52</v>
      </c>
      <c r="AM1135" s="228">
        <v>0</v>
      </c>
      <c r="AN1135" s="228">
        <v>0</v>
      </c>
      <c r="AO1135" s="229">
        <v>30</v>
      </c>
      <c r="AP1135" s="231">
        <v>7</v>
      </c>
      <c r="AQ1135" s="231">
        <v>2025</v>
      </c>
      <c r="AR1135" s="231" t="str">
        <f t="shared" si="159"/>
        <v>07/2025</v>
      </c>
      <c r="AS1135" s="231">
        <f t="shared" si="160"/>
        <v>46.6</v>
      </c>
      <c r="AT1135" s="239">
        <f>IF(G1135="CERVECERIA Y MALTERIA",(AS1135*AK1135/1000000)*(1-VLOOKUP(N1135,FCST!D:I,6,FALSE)),0)</f>
        <v>15.911700480000002</v>
      </c>
      <c r="AU1135" s="232">
        <v>5.0000000000000001E-3</v>
      </c>
      <c r="AV1135" s="239">
        <f t="shared" si="161"/>
        <v>15.9912589824</v>
      </c>
      <c r="AW1135" s="239">
        <f>(AS1135*AK1135/1000000)*(VLOOKUP(N1135,FCST!D:I,6,FALSE))</f>
        <v>3.9779251200000005</v>
      </c>
      <c r="AX1135" s="239">
        <f t="shared" si="162"/>
        <v>3.9978147455999999</v>
      </c>
      <c r="AY1135" s="239">
        <f>IF($G1135="CERVECERIA Y MALTERIA.",($AS1135*$AK1135/1000000)*(1-VLOOKUP($N1135,FCST!D:I,6,FALSE)),0)</f>
        <v>0</v>
      </c>
      <c r="AZ1135" s="239">
        <f t="shared" si="163"/>
        <v>0</v>
      </c>
    </row>
    <row r="1136" spans="1:52" x14ac:dyDescent="0.25">
      <c r="A1136" s="209">
        <v>1129116</v>
      </c>
      <c r="B1136" s="209">
        <v>10</v>
      </c>
      <c r="C1136" s="209">
        <v>89517591</v>
      </c>
      <c r="D1136" s="209">
        <v>10</v>
      </c>
      <c r="E1136" s="209">
        <v>10000002</v>
      </c>
      <c r="F1136" s="209">
        <v>20001057</v>
      </c>
      <c r="G1136" s="209" t="s">
        <v>105</v>
      </c>
      <c r="H1136" s="209">
        <v>20001057</v>
      </c>
      <c r="I1136" s="209">
        <v>2</v>
      </c>
      <c r="J1136" s="209" t="s">
        <v>169</v>
      </c>
      <c r="K1136" s="209" t="s">
        <v>2494</v>
      </c>
      <c r="L1136" s="209" t="s">
        <v>171</v>
      </c>
      <c r="M1136" s="209" t="s">
        <v>172</v>
      </c>
      <c r="N1136" s="209">
        <v>50024497</v>
      </c>
      <c r="O1136" s="209" t="s">
        <v>1352</v>
      </c>
      <c r="P1136" s="209">
        <v>5121</v>
      </c>
      <c r="Q1136" s="209" t="s">
        <v>174</v>
      </c>
      <c r="R1136" s="209" t="s">
        <v>175</v>
      </c>
      <c r="S1136" s="209" t="s">
        <v>176</v>
      </c>
      <c r="T1136" s="209" t="s">
        <v>177</v>
      </c>
      <c r="U1136" s="209" t="s">
        <v>178</v>
      </c>
      <c r="V1136" s="209" t="s">
        <v>179</v>
      </c>
      <c r="W1136" s="209" t="s">
        <v>179</v>
      </c>
      <c r="X1136" s="209" t="s">
        <v>180</v>
      </c>
      <c r="Y1136" s="209" t="s">
        <v>180</v>
      </c>
      <c r="Z1136" s="209">
        <v>9521069060</v>
      </c>
      <c r="AA1136" s="209" t="s">
        <v>2495</v>
      </c>
      <c r="AB1136" s="209" t="s">
        <v>180</v>
      </c>
      <c r="AC1136" s="209" t="s">
        <v>182</v>
      </c>
      <c r="AD1136" s="209">
        <v>7</v>
      </c>
      <c r="AE1136" s="209">
        <v>2025</v>
      </c>
      <c r="AF1136" s="227">
        <v>45854</v>
      </c>
      <c r="AG1136" s="227">
        <v>45856</v>
      </c>
      <c r="AH1136" s="227">
        <v>45856</v>
      </c>
      <c r="AI1136" s="228">
        <v>351936</v>
      </c>
      <c r="AJ1136" s="228">
        <v>52</v>
      </c>
      <c r="AK1136" s="228">
        <v>351936</v>
      </c>
      <c r="AL1136" s="228">
        <v>52</v>
      </c>
      <c r="AM1136" s="228">
        <v>0</v>
      </c>
      <c r="AN1136" s="228">
        <v>0</v>
      </c>
      <c r="AO1136" s="229">
        <v>29</v>
      </c>
      <c r="AP1136" s="231">
        <v>7</v>
      </c>
      <c r="AQ1136" s="231">
        <v>2025</v>
      </c>
      <c r="AR1136" s="231" t="str">
        <f t="shared" si="159"/>
        <v>07/2025</v>
      </c>
      <c r="AS1136" s="231">
        <f t="shared" si="160"/>
        <v>54.7</v>
      </c>
      <c r="AT1136" s="239">
        <f>IF(G1136="CERVECERIA Y MALTERIA",(AS1136*AK1136/1000000)*(1-VLOOKUP(N1136,FCST!D:I,6,FALSE)),0)</f>
        <v>19.250899199999999</v>
      </c>
      <c r="AU1136" s="232">
        <v>5.0000000000000001E-3</v>
      </c>
      <c r="AV1136" s="239">
        <f t="shared" si="161"/>
        <v>19.347153695999996</v>
      </c>
      <c r="AW1136" s="239">
        <f>(AS1136*AK1136/1000000)*(VLOOKUP(N1136,FCST!D:I,6,FALSE))</f>
        <v>0</v>
      </c>
      <c r="AX1136" s="239">
        <f t="shared" si="162"/>
        <v>0</v>
      </c>
      <c r="AY1136" s="239">
        <f>IF($G1136="CERVECERIA Y MALTERIA.",($AS1136*$AK1136/1000000)*(1-VLOOKUP($N1136,FCST!D:I,6,FALSE)),0)</f>
        <v>0</v>
      </c>
      <c r="AZ1136" s="239">
        <f t="shared" si="163"/>
        <v>0</v>
      </c>
    </row>
    <row r="1137" spans="1:52" x14ac:dyDescent="0.25">
      <c r="A1137" s="209">
        <v>1129116</v>
      </c>
      <c r="B1137" s="209">
        <v>30</v>
      </c>
      <c r="C1137" s="209">
        <v>89517501</v>
      </c>
      <c r="D1137" s="209">
        <v>20</v>
      </c>
      <c r="E1137" s="209">
        <v>10000002</v>
      </c>
      <c r="F1137" s="209">
        <v>20001057</v>
      </c>
      <c r="G1137" s="209" t="s">
        <v>105</v>
      </c>
      <c r="H1137" s="209">
        <v>20001057</v>
      </c>
      <c r="I1137" s="209">
        <v>2</v>
      </c>
      <c r="J1137" s="209" t="s">
        <v>169</v>
      </c>
      <c r="K1137" s="209" t="s">
        <v>2496</v>
      </c>
      <c r="L1137" s="209" t="s">
        <v>171</v>
      </c>
      <c r="M1137" s="209" t="s">
        <v>172</v>
      </c>
      <c r="N1137" s="209">
        <v>50037887</v>
      </c>
      <c r="O1137" s="209" t="s">
        <v>679</v>
      </c>
      <c r="P1137" s="209">
        <v>5121</v>
      </c>
      <c r="Q1137" s="209" t="s">
        <v>174</v>
      </c>
      <c r="R1137" s="209" t="s">
        <v>175</v>
      </c>
      <c r="S1137" s="209" t="s">
        <v>176</v>
      </c>
      <c r="T1137" s="209" t="s">
        <v>177</v>
      </c>
      <c r="U1137" s="209" t="s">
        <v>178</v>
      </c>
      <c r="V1137" s="209" t="s">
        <v>179</v>
      </c>
      <c r="W1137" s="209" t="s">
        <v>179</v>
      </c>
      <c r="X1137" s="209" t="s">
        <v>180</v>
      </c>
      <c r="Y1137" s="209" t="s">
        <v>180</v>
      </c>
      <c r="Z1137" s="209">
        <v>9521069055</v>
      </c>
      <c r="AA1137" s="209" t="s">
        <v>2497</v>
      </c>
      <c r="AB1137" s="209" t="s">
        <v>180</v>
      </c>
      <c r="AC1137" s="209" t="s">
        <v>182</v>
      </c>
      <c r="AD1137" s="209">
        <v>7</v>
      </c>
      <c r="AE1137" s="209">
        <v>2025</v>
      </c>
      <c r="AF1137" s="227">
        <v>45854</v>
      </c>
      <c r="AG1137" s="227">
        <v>45856</v>
      </c>
      <c r="AH1137" s="227">
        <v>45856</v>
      </c>
      <c r="AI1137" s="228">
        <v>265824</v>
      </c>
      <c r="AJ1137" s="228">
        <v>26</v>
      </c>
      <c r="AK1137" s="228">
        <v>265824</v>
      </c>
      <c r="AL1137" s="228">
        <v>26</v>
      </c>
      <c r="AM1137" s="228">
        <v>0</v>
      </c>
      <c r="AN1137" s="228">
        <v>0</v>
      </c>
      <c r="AO1137" s="229">
        <v>29</v>
      </c>
      <c r="AP1137" s="231">
        <v>7</v>
      </c>
      <c r="AQ1137" s="231">
        <v>2025</v>
      </c>
      <c r="AR1137" s="231" t="str">
        <f t="shared" si="159"/>
        <v>07/2025</v>
      </c>
      <c r="AS1137" s="231">
        <f t="shared" si="160"/>
        <v>37.200000000000003</v>
      </c>
      <c r="AT1137" s="239">
        <f>IF(G1137="CERVECERIA Y MALTERIA",(AS1137*AK1137/1000000)*(1-VLOOKUP(N1137,FCST!D:I,6,FALSE)),0)</f>
        <v>9.8886528000000009</v>
      </c>
      <c r="AU1137" s="232">
        <v>5.0000000000000001E-3</v>
      </c>
      <c r="AV1137" s="239">
        <f t="shared" si="161"/>
        <v>9.9380960639999998</v>
      </c>
      <c r="AW1137" s="239">
        <f>(AS1137*AK1137/1000000)*(VLOOKUP(N1137,FCST!D:I,6,FALSE))</f>
        <v>0</v>
      </c>
      <c r="AX1137" s="239">
        <f t="shared" si="162"/>
        <v>0</v>
      </c>
      <c r="AY1137" s="239">
        <f>IF($G1137="CERVECERIA Y MALTERIA.",($AS1137*$AK1137/1000000)*(1-VLOOKUP($N1137,FCST!D:I,6,FALSE)),0)</f>
        <v>0</v>
      </c>
      <c r="AZ1137" s="239">
        <f t="shared" si="163"/>
        <v>0</v>
      </c>
    </row>
    <row r="1138" spans="1:52" x14ac:dyDescent="0.25">
      <c r="A1138" s="209">
        <v>1129116</v>
      </c>
      <c r="B1138" s="209">
        <v>20</v>
      </c>
      <c r="C1138" s="209">
        <v>89517501</v>
      </c>
      <c r="D1138" s="209">
        <v>10</v>
      </c>
      <c r="E1138" s="209">
        <v>10000002</v>
      </c>
      <c r="F1138" s="209">
        <v>20001057</v>
      </c>
      <c r="G1138" s="209" t="s">
        <v>105</v>
      </c>
      <c r="H1138" s="209">
        <v>20001057</v>
      </c>
      <c r="I1138" s="209">
        <v>2</v>
      </c>
      <c r="J1138" s="209" t="s">
        <v>169</v>
      </c>
      <c r="K1138" s="209" t="s">
        <v>2496</v>
      </c>
      <c r="L1138" s="209" t="s">
        <v>171</v>
      </c>
      <c r="M1138" s="209" t="s">
        <v>172</v>
      </c>
      <c r="N1138" s="209">
        <v>50035184</v>
      </c>
      <c r="O1138" s="209" t="s">
        <v>672</v>
      </c>
      <c r="P1138" s="209">
        <v>5121</v>
      </c>
      <c r="Q1138" s="209" t="s">
        <v>174</v>
      </c>
      <c r="R1138" s="209" t="s">
        <v>175</v>
      </c>
      <c r="S1138" s="209" t="s">
        <v>176</v>
      </c>
      <c r="T1138" s="209" t="s">
        <v>177</v>
      </c>
      <c r="U1138" s="209" t="s">
        <v>178</v>
      </c>
      <c r="V1138" s="209" t="s">
        <v>179</v>
      </c>
      <c r="W1138" s="209" t="s">
        <v>179</v>
      </c>
      <c r="X1138" s="209" t="s">
        <v>180</v>
      </c>
      <c r="Y1138" s="209" t="s">
        <v>180</v>
      </c>
      <c r="Z1138" s="209">
        <v>9521069055</v>
      </c>
      <c r="AA1138" s="209" t="s">
        <v>2497</v>
      </c>
      <c r="AB1138" s="209" t="s">
        <v>180</v>
      </c>
      <c r="AC1138" s="209" t="s">
        <v>182</v>
      </c>
      <c r="AD1138" s="209">
        <v>7</v>
      </c>
      <c r="AE1138" s="209">
        <v>2025</v>
      </c>
      <c r="AF1138" s="227">
        <v>45854</v>
      </c>
      <c r="AG1138" s="227">
        <v>45856</v>
      </c>
      <c r="AH1138" s="227">
        <v>45856</v>
      </c>
      <c r="AI1138" s="228">
        <v>488592</v>
      </c>
      <c r="AJ1138" s="228">
        <v>26</v>
      </c>
      <c r="AK1138" s="228">
        <v>488592</v>
      </c>
      <c r="AL1138" s="228">
        <v>26</v>
      </c>
      <c r="AM1138" s="228">
        <v>0</v>
      </c>
      <c r="AN1138" s="228">
        <v>0</v>
      </c>
      <c r="AO1138" s="229">
        <v>29</v>
      </c>
      <c r="AP1138" s="231">
        <v>7</v>
      </c>
      <c r="AQ1138" s="231">
        <v>2025</v>
      </c>
      <c r="AR1138" s="231" t="str">
        <f t="shared" si="159"/>
        <v>07/2025</v>
      </c>
      <c r="AS1138" s="231">
        <f t="shared" si="160"/>
        <v>19.5</v>
      </c>
      <c r="AT1138" s="239">
        <f>IF(G1138="CERVECERIA Y MALTERIA",(AS1138*AK1138/1000000)*(1-VLOOKUP(N1138,FCST!D:I,6,FALSE)),0)</f>
        <v>9.5275440000000007</v>
      </c>
      <c r="AU1138" s="232">
        <v>5.0000000000000001E-3</v>
      </c>
      <c r="AV1138" s="239">
        <f t="shared" si="161"/>
        <v>9.5751817199999998</v>
      </c>
      <c r="AW1138" s="239">
        <f>(AS1138*AK1138/1000000)*(VLOOKUP(N1138,FCST!D:I,6,FALSE))</f>
        <v>0</v>
      </c>
      <c r="AX1138" s="239">
        <f t="shared" si="162"/>
        <v>0</v>
      </c>
      <c r="AY1138" s="239">
        <f>IF($G1138="CERVECERIA Y MALTERIA.",($AS1138*$AK1138/1000000)*(1-VLOOKUP($N1138,FCST!D:I,6,FALSE)),0)</f>
        <v>0</v>
      </c>
      <c r="AZ1138" s="239">
        <f t="shared" si="163"/>
        <v>0</v>
      </c>
    </row>
    <row r="1139" spans="1:52" x14ac:dyDescent="0.25">
      <c r="A1139" s="209">
        <v>1130902</v>
      </c>
      <c r="B1139" s="209">
        <v>100</v>
      </c>
      <c r="C1139" s="209">
        <v>89526331</v>
      </c>
      <c r="D1139" s="209">
        <v>20</v>
      </c>
      <c r="E1139" s="209">
        <v>10000002</v>
      </c>
      <c r="F1139" s="209">
        <v>20000335</v>
      </c>
      <c r="G1139" s="209" t="s">
        <v>105</v>
      </c>
      <c r="H1139" s="209">
        <v>20000335</v>
      </c>
      <c r="I1139" s="209">
        <v>2</v>
      </c>
      <c r="J1139" s="209" t="s">
        <v>169</v>
      </c>
      <c r="K1139" s="209" t="s">
        <v>2498</v>
      </c>
      <c r="L1139" s="209" t="s">
        <v>171</v>
      </c>
      <c r="M1139" s="209" t="s">
        <v>172</v>
      </c>
      <c r="N1139" s="209">
        <v>50039815</v>
      </c>
      <c r="O1139" s="209" t="s">
        <v>2454</v>
      </c>
      <c r="P1139" s="209">
        <v>5121</v>
      </c>
      <c r="Q1139" s="209" t="s">
        <v>174</v>
      </c>
      <c r="R1139" s="209" t="s">
        <v>175</v>
      </c>
      <c r="S1139" s="209" t="s">
        <v>176</v>
      </c>
      <c r="T1139" s="209" t="s">
        <v>177</v>
      </c>
      <c r="U1139" s="209" t="s">
        <v>178</v>
      </c>
      <c r="V1139" s="209" t="s">
        <v>179</v>
      </c>
      <c r="W1139" s="209" t="s">
        <v>179</v>
      </c>
      <c r="X1139" s="209" t="s">
        <v>180</v>
      </c>
      <c r="Y1139" s="209" t="s">
        <v>180</v>
      </c>
      <c r="Z1139" s="209">
        <v>9521069087</v>
      </c>
      <c r="AA1139" s="209" t="s">
        <v>2499</v>
      </c>
      <c r="AB1139" s="209" t="s">
        <v>180</v>
      </c>
      <c r="AC1139" s="209" t="s">
        <v>182</v>
      </c>
      <c r="AD1139" s="209">
        <v>7</v>
      </c>
      <c r="AE1139" s="209">
        <v>2025</v>
      </c>
      <c r="AF1139" s="227">
        <v>45863</v>
      </c>
      <c r="AG1139" s="227">
        <v>45868</v>
      </c>
      <c r="AH1139" s="227">
        <v>45868</v>
      </c>
      <c r="AI1139" s="228">
        <v>65664</v>
      </c>
      <c r="AJ1139" s="228">
        <v>8</v>
      </c>
      <c r="AK1139" s="228">
        <v>65664</v>
      </c>
      <c r="AL1139" s="228">
        <v>8</v>
      </c>
      <c r="AM1139" s="228">
        <v>0</v>
      </c>
      <c r="AN1139" s="228">
        <v>0</v>
      </c>
      <c r="AO1139" s="229">
        <v>31</v>
      </c>
      <c r="AP1139" s="231">
        <v>7</v>
      </c>
      <c r="AQ1139" s="231">
        <v>2025</v>
      </c>
      <c r="AR1139" s="231" t="str">
        <f t="shared" si="159"/>
        <v>07/2025</v>
      </c>
      <c r="AS1139" s="231">
        <f t="shared" si="160"/>
        <v>46.6</v>
      </c>
      <c r="AT1139" s="239">
        <f>IF(G1139="CERVECERIA Y MALTERIA",(AS1139*AK1139/1000000)*(1-VLOOKUP(N1139,FCST!D:I,6,FALSE)),0)</f>
        <v>2.4479539199999998</v>
      </c>
      <c r="AU1139" s="232">
        <v>5.0000000000000001E-3</v>
      </c>
      <c r="AV1139" s="239">
        <f t="shared" si="161"/>
        <v>2.4601936895999996</v>
      </c>
      <c r="AW1139" s="239">
        <f>(AS1139*AK1139/1000000)*(VLOOKUP(N1139,FCST!D:I,6,FALSE))</f>
        <v>0.61198847999999995</v>
      </c>
      <c r="AX1139" s="239">
        <f t="shared" si="162"/>
        <v>0.61504842239999991</v>
      </c>
      <c r="AY1139" s="239">
        <f>IF($G1139="CERVECERIA Y MALTERIA.",($AS1139*$AK1139/1000000)*(1-VLOOKUP($N1139,FCST!D:I,6,FALSE)),0)</f>
        <v>0</v>
      </c>
      <c r="AZ1139" s="239">
        <f t="shared" si="163"/>
        <v>0</v>
      </c>
    </row>
    <row r="1140" spans="1:52" x14ac:dyDescent="0.25">
      <c r="A1140" s="209">
        <v>1130902</v>
      </c>
      <c r="B1140" s="209">
        <v>50</v>
      </c>
      <c r="C1140" s="209">
        <v>89526331</v>
      </c>
      <c r="D1140" s="209">
        <v>10</v>
      </c>
      <c r="E1140" s="209">
        <v>10000002</v>
      </c>
      <c r="F1140" s="209">
        <v>20000335</v>
      </c>
      <c r="G1140" s="209" t="s">
        <v>105</v>
      </c>
      <c r="H1140" s="209">
        <v>20000335</v>
      </c>
      <c r="I1140" s="209">
        <v>2</v>
      </c>
      <c r="J1140" s="209" t="s">
        <v>169</v>
      </c>
      <c r="K1140" s="209" t="s">
        <v>2498</v>
      </c>
      <c r="L1140" s="209" t="s">
        <v>171</v>
      </c>
      <c r="M1140" s="209" t="s">
        <v>172</v>
      </c>
      <c r="N1140" s="209">
        <v>50035184</v>
      </c>
      <c r="O1140" s="209" t="s">
        <v>672</v>
      </c>
      <c r="P1140" s="209">
        <v>5121</v>
      </c>
      <c r="Q1140" s="209" t="s">
        <v>174</v>
      </c>
      <c r="R1140" s="209" t="s">
        <v>175</v>
      </c>
      <c r="S1140" s="209" t="s">
        <v>176</v>
      </c>
      <c r="T1140" s="209" t="s">
        <v>177</v>
      </c>
      <c r="U1140" s="209" t="s">
        <v>178</v>
      </c>
      <c r="V1140" s="209" t="s">
        <v>179</v>
      </c>
      <c r="W1140" s="209" t="s">
        <v>179</v>
      </c>
      <c r="X1140" s="209" t="s">
        <v>180</v>
      </c>
      <c r="Y1140" s="209" t="s">
        <v>180</v>
      </c>
      <c r="Z1140" s="209">
        <v>9521069087</v>
      </c>
      <c r="AA1140" s="209" t="s">
        <v>2499</v>
      </c>
      <c r="AB1140" s="209" t="s">
        <v>180</v>
      </c>
      <c r="AC1140" s="209" t="s">
        <v>182</v>
      </c>
      <c r="AD1140" s="209">
        <v>7</v>
      </c>
      <c r="AE1140" s="209">
        <v>2025</v>
      </c>
      <c r="AF1140" s="227">
        <v>45863</v>
      </c>
      <c r="AG1140" s="227">
        <v>45868</v>
      </c>
      <c r="AH1140" s="227">
        <v>45868</v>
      </c>
      <c r="AI1140" s="228">
        <v>826848</v>
      </c>
      <c r="AJ1140" s="228">
        <v>44</v>
      </c>
      <c r="AK1140" s="228">
        <v>826848</v>
      </c>
      <c r="AL1140" s="228">
        <v>44</v>
      </c>
      <c r="AM1140" s="228">
        <v>0</v>
      </c>
      <c r="AN1140" s="228">
        <v>0</v>
      </c>
      <c r="AO1140" s="229">
        <v>31</v>
      </c>
      <c r="AP1140" s="231">
        <v>7</v>
      </c>
      <c r="AQ1140" s="231">
        <v>2025</v>
      </c>
      <c r="AR1140" s="231" t="str">
        <f t="shared" si="159"/>
        <v>07/2025</v>
      </c>
      <c r="AS1140" s="231">
        <f t="shared" si="160"/>
        <v>19.5</v>
      </c>
      <c r="AT1140" s="239">
        <f>IF(G1140="CERVECERIA Y MALTERIA",(AS1140*AK1140/1000000)*(1-VLOOKUP(N1140,FCST!D:I,6,FALSE)),0)</f>
        <v>16.123536000000001</v>
      </c>
      <c r="AU1140" s="232">
        <v>5.0000000000000001E-3</v>
      </c>
      <c r="AV1140" s="239">
        <f t="shared" si="161"/>
        <v>16.204153680000001</v>
      </c>
      <c r="AW1140" s="239">
        <f>(AS1140*AK1140/1000000)*(VLOOKUP(N1140,FCST!D:I,6,FALSE))</f>
        <v>0</v>
      </c>
      <c r="AX1140" s="239">
        <f t="shared" si="162"/>
        <v>0</v>
      </c>
      <c r="AY1140" s="239">
        <f>IF($G1140="CERVECERIA Y MALTERIA.",($AS1140*$AK1140/1000000)*(1-VLOOKUP($N1140,FCST!D:I,6,FALSE)),0)</f>
        <v>0</v>
      </c>
      <c r="AZ1140" s="239">
        <f t="shared" si="163"/>
        <v>0</v>
      </c>
    </row>
    <row r="1141" spans="1:52" x14ac:dyDescent="0.25">
      <c r="A1141" s="209">
        <v>1130904</v>
      </c>
      <c r="B1141" s="209">
        <v>40</v>
      </c>
      <c r="C1141" s="209">
        <v>89526329</v>
      </c>
      <c r="D1141" s="209">
        <v>10</v>
      </c>
      <c r="E1141" s="209">
        <v>10000002</v>
      </c>
      <c r="F1141" s="209">
        <v>20000340</v>
      </c>
      <c r="G1141" s="209" t="s">
        <v>117</v>
      </c>
      <c r="H1141" s="209">
        <v>20000340</v>
      </c>
      <c r="I1141" s="209">
        <v>2</v>
      </c>
      <c r="J1141" s="209" t="s">
        <v>169</v>
      </c>
      <c r="K1141" s="209" t="s">
        <v>2500</v>
      </c>
      <c r="L1141" s="209" t="s">
        <v>171</v>
      </c>
      <c r="M1141" s="209" t="s">
        <v>172</v>
      </c>
      <c r="N1141" s="209">
        <v>50038523</v>
      </c>
      <c r="O1141" s="209" t="s">
        <v>249</v>
      </c>
      <c r="P1141" s="209">
        <v>5101</v>
      </c>
      <c r="Q1141" s="209" t="s">
        <v>186</v>
      </c>
      <c r="R1141" s="209" t="s">
        <v>175</v>
      </c>
      <c r="S1141" s="209" t="s">
        <v>176</v>
      </c>
      <c r="T1141" s="209" t="s">
        <v>187</v>
      </c>
      <c r="U1141" s="209" t="s">
        <v>188</v>
      </c>
      <c r="V1141" s="209" t="s">
        <v>179</v>
      </c>
      <c r="W1141" s="209" t="s">
        <v>179</v>
      </c>
      <c r="X1141" s="209" t="s">
        <v>180</v>
      </c>
      <c r="Y1141" s="209" t="s">
        <v>180</v>
      </c>
      <c r="Z1141" s="209">
        <v>9511048184</v>
      </c>
      <c r="AA1141" s="209" t="s">
        <v>2501</v>
      </c>
      <c r="AB1141" s="209" t="s">
        <v>180</v>
      </c>
      <c r="AC1141" s="209" t="s">
        <v>182</v>
      </c>
      <c r="AD1141" s="209">
        <v>7</v>
      </c>
      <c r="AE1141" s="209">
        <v>2025</v>
      </c>
      <c r="AF1141" s="227">
        <v>45863</v>
      </c>
      <c r="AG1141" s="227">
        <v>45868</v>
      </c>
      <c r="AH1141" s="227">
        <v>45868</v>
      </c>
      <c r="AI1141" s="228">
        <v>606528</v>
      </c>
      <c r="AJ1141" s="228">
        <v>52</v>
      </c>
      <c r="AK1141" s="228">
        <v>606528</v>
      </c>
      <c r="AL1141" s="228">
        <v>52</v>
      </c>
      <c r="AM1141" s="228">
        <v>0</v>
      </c>
      <c r="AN1141" s="228">
        <v>0</v>
      </c>
      <c r="AO1141" s="229">
        <v>31</v>
      </c>
      <c r="AP1141" s="231">
        <v>7</v>
      </c>
      <c r="AQ1141" s="231">
        <v>2025</v>
      </c>
      <c r="AR1141" s="231" t="str">
        <f t="shared" si="159"/>
        <v>07/2025</v>
      </c>
      <c r="AS1141" s="231">
        <f t="shared" si="160"/>
        <v>30</v>
      </c>
      <c r="AT1141" s="239">
        <f>IF(G1141="CERVECERIA Y MALTERIA",(AS1141*AK1141/1000000)*(1-VLOOKUP(N1141,FCST!D:I,6,FALSE)),0)</f>
        <v>0</v>
      </c>
      <c r="AU1141" s="232">
        <v>5.0000000000000001E-3</v>
      </c>
      <c r="AV1141" s="239">
        <f t="shared" si="161"/>
        <v>0</v>
      </c>
      <c r="AW1141" s="239">
        <f>(AS1141*AK1141/1000000)*(VLOOKUP(N1141,FCST!D:I,6,FALSE))</f>
        <v>0</v>
      </c>
      <c r="AX1141" s="239">
        <f t="shared" si="162"/>
        <v>0</v>
      </c>
      <c r="AY1141" s="239">
        <f>IF($G1141="CERVECERIA Y MALTERIA.",($AS1141*$AK1141/1000000)*(1-VLOOKUP($N1141,FCST!D:I,6,FALSE)),0)</f>
        <v>18.19584</v>
      </c>
      <c r="AZ1141" s="239">
        <f t="shared" si="163"/>
        <v>18.2868192</v>
      </c>
    </row>
    <row r="1142" spans="1:52" x14ac:dyDescent="0.25">
      <c r="A1142" s="209">
        <v>1128457</v>
      </c>
      <c r="B1142" s="209">
        <v>50</v>
      </c>
      <c r="C1142" s="209">
        <v>89525957</v>
      </c>
      <c r="D1142" s="209">
        <v>10</v>
      </c>
      <c r="E1142" s="209">
        <v>10000002</v>
      </c>
      <c r="F1142" s="209">
        <v>20000336</v>
      </c>
      <c r="G1142" s="209" t="s">
        <v>105</v>
      </c>
      <c r="H1142" s="209">
        <v>20000336</v>
      </c>
      <c r="I1142" s="209">
        <v>2</v>
      </c>
      <c r="J1142" s="209" t="s">
        <v>169</v>
      </c>
      <c r="K1142" s="209" t="s">
        <v>2502</v>
      </c>
      <c r="L1142" s="209" t="s">
        <v>265</v>
      </c>
      <c r="M1142" s="209" t="s">
        <v>199</v>
      </c>
      <c r="N1142" s="209">
        <v>50021818</v>
      </c>
      <c r="O1142" s="209" t="s">
        <v>2170</v>
      </c>
      <c r="P1142" s="209">
        <v>5121</v>
      </c>
      <c r="Q1142" s="209" t="s">
        <v>200</v>
      </c>
      <c r="R1142" s="209" t="s">
        <v>201</v>
      </c>
      <c r="S1142" s="209" t="s">
        <v>202</v>
      </c>
      <c r="T1142" s="209" t="s">
        <v>203</v>
      </c>
      <c r="U1142" s="209" t="s">
        <v>201</v>
      </c>
      <c r="V1142" s="209" t="s">
        <v>179</v>
      </c>
      <c r="W1142" s="209" t="s">
        <v>179</v>
      </c>
      <c r="X1142" s="209" t="s">
        <v>180</v>
      </c>
      <c r="Y1142" s="209" t="s">
        <v>180</v>
      </c>
      <c r="Z1142" s="209">
        <v>9521069075</v>
      </c>
      <c r="AA1142" s="209" t="s">
        <v>2503</v>
      </c>
      <c r="AB1142" s="209" t="s">
        <v>180</v>
      </c>
      <c r="AC1142" s="209" t="s">
        <v>182</v>
      </c>
      <c r="AD1142" s="209">
        <v>7</v>
      </c>
      <c r="AE1142" s="209">
        <v>2025</v>
      </c>
      <c r="AF1142" s="227">
        <v>45849</v>
      </c>
      <c r="AG1142" s="227">
        <v>45867</v>
      </c>
      <c r="AH1142" s="227">
        <v>45867</v>
      </c>
      <c r="AI1142" s="228">
        <v>426816</v>
      </c>
      <c r="AJ1142" s="228">
        <v>52</v>
      </c>
      <c r="AK1142" s="228">
        <v>426816</v>
      </c>
      <c r="AL1142" s="228">
        <v>52</v>
      </c>
      <c r="AM1142" s="228">
        <v>0</v>
      </c>
      <c r="AN1142" s="228">
        <v>0</v>
      </c>
      <c r="AO1142" s="229">
        <v>29</v>
      </c>
      <c r="AP1142" s="231">
        <v>7</v>
      </c>
      <c r="AQ1142" s="231">
        <v>2025</v>
      </c>
      <c r="AR1142" s="231" t="str">
        <f t="shared" si="159"/>
        <v>07/2025</v>
      </c>
      <c r="AS1142" s="231">
        <f t="shared" si="160"/>
        <v>46.6</v>
      </c>
      <c r="AT1142" s="239">
        <f>IF(G1142="CERVECERIA Y MALTERIA",(AS1142*AK1142/1000000)*(1-VLOOKUP(N1142,FCST!D:I,6,FALSE)),0)</f>
        <v>19.889625600000002</v>
      </c>
      <c r="AU1142" s="232">
        <v>5.0000000000000001E-3</v>
      </c>
      <c r="AV1142" s="239">
        <f t="shared" si="161"/>
        <v>19.989073728000001</v>
      </c>
      <c r="AW1142" s="239">
        <f>(AS1142*AK1142/1000000)*(VLOOKUP(N1142,FCST!D:I,6,FALSE))</f>
        <v>0</v>
      </c>
      <c r="AX1142" s="239">
        <f t="shared" si="162"/>
        <v>0</v>
      </c>
      <c r="AY1142" s="239">
        <f>IF($G1142="CERVECERIA Y MALTERIA.",($AS1142*$AK1142/1000000)*(1-VLOOKUP($N1142,FCST!D:I,6,FALSE)),0)</f>
        <v>0</v>
      </c>
      <c r="AZ1142" s="239">
        <f t="shared" si="163"/>
        <v>0</v>
      </c>
    </row>
    <row r="1143" spans="1:52" x14ac:dyDescent="0.25">
      <c r="A1143" s="209">
        <v>1130902</v>
      </c>
      <c r="B1143" s="209">
        <v>30</v>
      </c>
      <c r="C1143" s="209">
        <v>89525821</v>
      </c>
      <c r="D1143" s="209">
        <v>10</v>
      </c>
      <c r="E1143" s="209">
        <v>10000002</v>
      </c>
      <c r="F1143" s="209">
        <v>20000335</v>
      </c>
      <c r="G1143" s="209" t="s">
        <v>105</v>
      </c>
      <c r="H1143" s="209">
        <v>20000335</v>
      </c>
      <c r="I1143" s="209">
        <v>2</v>
      </c>
      <c r="J1143" s="209" t="s">
        <v>169</v>
      </c>
      <c r="K1143" s="209" t="s">
        <v>2504</v>
      </c>
      <c r="L1143" s="209" t="s">
        <v>171</v>
      </c>
      <c r="M1143" s="209" t="s">
        <v>172</v>
      </c>
      <c r="N1143" s="209">
        <v>50035184</v>
      </c>
      <c r="O1143" s="209" t="s">
        <v>672</v>
      </c>
      <c r="P1143" s="209">
        <v>5121</v>
      </c>
      <c r="Q1143" s="209" t="s">
        <v>174</v>
      </c>
      <c r="R1143" s="209" t="s">
        <v>175</v>
      </c>
      <c r="S1143" s="209" t="s">
        <v>176</v>
      </c>
      <c r="T1143" s="209" t="s">
        <v>177</v>
      </c>
      <c r="U1143" s="209" t="s">
        <v>178</v>
      </c>
      <c r="V1143" s="209" t="s">
        <v>179</v>
      </c>
      <c r="W1143" s="209" t="s">
        <v>179</v>
      </c>
      <c r="X1143" s="209" t="s">
        <v>180</v>
      </c>
      <c r="Y1143" s="209" t="s">
        <v>180</v>
      </c>
      <c r="Z1143" s="209">
        <v>9521069074</v>
      </c>
      <c r="AA1143" s="209" t="s">
        <v>2505</v>
      </c>
      <c r="AB1143" s="209" t="s">
        <v>180</v>
      </c>
      <c r="AC1143" s="209" t="s">
        <v>182</v>
      </c>
      <c r="AD1143" s="209">
        <v>7</v>
      </c>
      <c r="AE1143" s="209">
        <v>2025</v>
      </c>
      <c r="AF1143" s="227">
        <v>45863</v>
      </c>
      <c r="AG1143" s="227">
        <v>45867</v>
      </c>
      <c r="AH1143" s="227">
        <v>45867</v>
      </c>
      <c r="AI1143" s="228">
        <v>977184</v>
      </c>
      <c r="AJ1143" s="228">
        <v>52</v>
      </c>
      <c r="AK1143" s="228">
        <v>977184</v>
      </c>
      <c r="AL1143" s="228">
        <v>52</v>
      </c>
      <c r="AM1143" s="228">
        <v>0</v>
      </c>
      <c r="AN1143" s="228">
        <v>0</v>
      </c>
      <c r="AO1143" s="229">
        <v>31</v>
      </c>
      <c r="AP1143" s="231">
        <v>7</v>
      </c>
      <c r="AQ1143" s="231">
        <v>2025</v>
      </c>
      <c r="AR1143" s="231" t="str">
        <f t="shared" ref="AR1143:AR1174" si="164">+IF(AP1143&lt;10,"0"&amp;AP1143&amp; "/"&amp;AQ1143,AP1143&amp; "/"&amp;AQ1143)</f>
        <v>07/2025</v>
      </c>
      <c r="AS1143" s="231">
        <f t="shared" ref="AS1143:AS1174" si="165">VALUE(MID(INDEX(_xlfn.TEXTSPLIT(O1143, ","), 1, 3), 1,FIND("G", INDEX(_xlfn.TEXTSPLIT(O1143, ","), 1, 3))-1))</f>
        <v>19.5</v>
      </c>
      <c r="AT1143" s="239">
        <f>IF(G1143="CERVECERIA Y MALTERIA",(AS1143*AK1143/1000000)*(1-VLOOKUP(N1143,FCST!D:I,6,FALSE)),0)</f>
        <v>19.055088000000001</v>
      </c>
      <c r="AU1143" s="232">
        <v>5.0000000000000001E-3</v>
      </c>
      <c r="AV1143" s="239">
        <f t="shared" ref="AV1143:AV1174" si="166">+AT1143*(1+AU1143)</f>
        <v>19.15036344</v>
      </c>
      <c r="AW1143" s="239">
        <f>(AS1143*AK1143/1000000)*(VLOOKUP(N1143,FCST!D:I,6,FALSE))</f>
        <v>0</v>
      </c>
      <c r="AX1143" s="239">
        <f t="shared" ref="AX1143:AX1174" si="167">+AW1143*(1+AU1143)</f>
        <v>0</v>
      </c>
      <c r="AY1143" s="239">
        <f>IF($G1143="CERVECERIA Y MALTERIA.",($AS1143*$AK1143/1000000)*(1-VLOOKUP($N1143,FCST!D:I,6,FALSE)),0)</f>
        <v>0</v>
      </c>
      <c r="AZ1143" s="239">
        <f t="shared" ref="AZ1143:AZ1174" si="168">+AY1143*(1+AU1143)</f>
        <v>0</v>
      </c>
    </row>
    <row r="1144" spans="1:52" x14ac:dyDescent="0.25">
      <c r="A1144" s="209">
        <v>1128457</v>
      </c>
      <c r="B1144" s="209">
        <v>60</v>
      </c>
      <c r="C1144" s="209">
        <v>89528353</v>
      </c>
      <c r="D1144" s="209">
        <v>10</v>
      </c>
      <c r="E1144" s="209">
        <v>10000002</v>
      </c>
      <c r="F1144" s="209">
        <v>20000336</v>
      </c>
      <c r="G1144" s="209" t="s">
        <v>105</v>
      </c>
      <c r="H1144" s="209">
        <v>20000336</v>
      </c>
      <c r="I1144" s="209">
        <v>2</v>
      </c>
      <c r="J1144" s="209" t="s">
        <v>169</v>
      </c>
      <c r="K1144" s="209" t="s">
        <v>2506</v>
      </c>
      <c r="L1144" s="209" t="s">
        <v>265</v>
      </c>
      <c r="M1144" s="209" t="s">
        <v>172</v>
      </c>
      <c r="N1144" s="209">
        <v>50024497</v>
      </c>
      <c r="O1144" s="209" t="s">
        <v>1352</v>
      </c>
      <c r="P1144" s="209">
        <v>5121</v>
      </c>
      <c r="Q1144" s="209" t="s">
        <v>174</v>
      </c>
      <c r="R1144" s="209" t="s">
        <v>175</v>
      </c>
      <c r="S1144" s="209" t="s">
        <v>176</v>
      </c>
      <c r="T1144" s="209" t="s">
        <v>177</v>
      </c>
      <c r="U1144" s="209" t="s">
        <v>178</v>
      </c>
      <c r="V1144" s="209" t="s">
        <v>179</v>
      </c>
      <c r="W1144" s="209" t="s">
        <v>179</v>
      </c>
      <c r="X1144" s="209" t="s">
        <v>180</v>
      </c>
      <c r="Y1144" s="209" t="s">
        <v>180</v>
      </c>
      <c r="Z1144" s="209">
        <v>9521069115</v>
      </c>
      <c r="AA1144" s="209" t="s">
        <v>2507</v>
      </c>
      <c r="AB1144" s="209" t="s">
        <v>180</v>
      </c>
      <c r="AC1144" s="209" t="s">
        <v>182</v>
      </c>
      <c r="AD1144" s="209">
        <v>7</v>
      </c>
      <c r="AE1144" s="209">
        <v>2025</v>
      </c>
      <c r="AF1144" s="227">
        <v>45849</v>
      </c>
      <c r="AG1144" s="227">
        <v>45869</v>
      </c>
      <c r="AH1144" s="227">
        <v>45869</v>
      </c>
      <c r="AI1144" s="228">
        <v>351936</v>
      </c>
      <c r="AJ1144" s="228">
        <v>52</v>
      </c>
      <c r="AK1144" s="228">
        <v>351936</v>
      </c>
      <c r="AL1144" s="228">
        <v>52</v>
      </c>
      <c r="AM1144" s="228">
        <v>0</v>
      </c>
      <c r="AN1144" s="228">
        <v>0</v>
      </c>
      <c r="AO1144" s="229">
        <v>29</v>
      </c>
      <c r="AP1144" s="231">
        <v>7</v>
      </c>
      <c r="AQ1144" s="231">
        <v>2025</v>
      </c>
      <c r="AR1144" s="231" t="str">
        <f t="shared" si="164"/>
        <v>07/2025</v>
      </c>
      <c r="AS1144" s="231">
        <f t="shared" si="165"/>
        <v>54.7</v>
      </c>
      <c r="AT1144" s="239">
        <f>IF(G1144="CERVECERIA Y MALTERIA",(AS1144*AK1144/1000000)*(1-VLOOKUP(N1144,FCST!D:I,6,FALSE)),0)</f>
        <v>19.250899199999999</v>
      </c>
      <c r="AU1144" s="232">
        <v>5.0000000000000001E-3</v>
      </c>
      <c r="AV1144" s="239">
        <f t="shared" si="166"/>
        <v>19.347153695999996</v>
      </c>
      <c r="AW1144" s="239">
        <f>(AS1144*AK1144/1000000)*(VLOOKUP(N1144,FCST!D:I,6,FALSE))</f>
        <v>0</v>
      </c>
      <c r="AX1144" s="239">
        <f t="shared" si="167"/>
        <v>0</v>
      </c>
      <c r="AY1144" s="239">
        <f>IF($G1144="CERVECERIA Y MALTERIA.",($AS1144*$AK1144/1000000)*(1-VLOOKUP($N1144,FCST!D:I,6,FALSE)),0)</f>
        <v>0</v>
      </c>
      <c r="AZ1144" s="239">
        <f t="shared" si="168"/>
        <v>0</v>
      </c>
    </row>
    <row r="1145" spans="1:52" x14ac:dyDescent="0.25">
      <c r="A1145" s="209">
        <v>1131637</v>
      </c>
      <c r="B1145" s="209">
        <v>10</v>
      </c>
      <c r="C1145" s="209">
        <v>89528130</v>
      </c>
      <c r="D1145" s="209">
        <v>10</v>
      </c>
      <c r="E1145" s="209">
        <v>10000002</v>
      </c>
      <c r="F1145" s="209">
        <v>20001057</v>
      </c>
      <c r="G1145" s="209" t="s">
        <v>105</v>
      </c>
      <c r="H1145" s="209">
        <v>20001057</v>
      </c>
      <c r="I1145" s="209">
        <v>2</v>
      </c>
      <c r="J1145" s="209" t="s">
        <v>169</v>
      </c>
      <c r="K1145" s="209" t="s">
        <v>2508</v>
      </c>
      <c r="L1145" s="209" t="s">
        <v>171</v>
      </c>
      <c r="M1145" s="209" t="s">
        <v>172</v>
      </c>
      <c r="N1145" s="209">
        <v>50035184</v>
      </c>
      <c r="O1145" s="209" t="s">
        <v>672</v>
      </c>
      <c r="P1145" s="209">
        <v>5121</v>
      </c>
      <c r="Q1145" s="209" t="s">
        <v>174</v>
      </c>
      <c r="R1145" s="209" t="s">
        <v>175</v>
      </c>
      <c r="S1145" s="209" t="s">
        <v>176</v>
      </c>
      <c r="T1145" s="209" t="s">
        <v>177</v>
      </c>
      <c r="U1145" s="209" t="s">
        <v>178</v>
      </c>
      <c r="V1145" s="209" t="s">
        <v>179</v>
      </c>
      <c r="W1145" s="209" t="s">
        <v>179</v>
      </c>
      <c r="X1145" s="209" t="s">
        <v>180</v>
      </c>
      <c r="Y1145" s="209" t="s">
        <v>180</v>
      </c>
      <c r="Z1145" s="209">
        <v>9521069105</v>
      </c>
      <c r="AA1145" s="209" t="s">
        <v>2509</v>
      </c>
      <c r="AB1145" s="209" t="s">
        <v>180</v>
      </c>
      <c r="AC1145" s="209" t="s">
        <v>182</v>
      </c>
      <c r="AD1145" s="209">
        <v>7</v>
      </c>
      <c r="AE1145" s="209">
        <v>2025</v>
      </c>
      <c r="AF1145" s="227">
        <v>45868</v>
      </c>
      <c r="AG1145" s="227">
        <v>45869</v>
      </c>
      <c r="AH1145" s="227">
        <v>45869</v>
      </c>
      <c r="AI1145" s="228">
        <v>977184</v>
      </c>
      <c r="AJ1145" s="228">
        <v>52</v>
      </c>
      <c r="AK1145" s="228">
        <v>977184</v>
      </c>
      <c r="AL1145" s="228">
        <v>52</v>
      </c>
      <c r="AM1145" s="228">
        <v>0</v>
      </c>
      <c r="AN1145" s="228">
        <v>0</v>
      </c>
      <c r="AO1145" s="229">
        <v>31</v>
      </c>
      <c r="AP1145" s="231">
        <v>7</v>
      </c>
      <c r="AQ1145" s="231">
        <v>2025</v>
      </c>
      <c r="AR1145" s="231" t="str">
        <f t="shared" si="164"/>
        <v>07/2025</v>
      </c>
      <c r="AS1145" s="231">
        <f t="shared" si="165"/>
        <v>19.5</v>
      </c>
      <c r="AT1145" s="239">
        <f>IF(G1145="CERVECERIA Y MALTERIA",(AS1145*AK1145/1000000)*(1-VLOOKUP(N1145,FCST!D:I,6,FALSE)),0)</f>
        <v>19.055088000000001</v>
      </c>
      <c r="AU1145" s="232">
        <v>5.0000000000000001E-3</v>
      </c>
      <c r="AV1145" s="239">
        <f t="shared" si="166"/>
        <v>19.15036344</v>
      </c>
      <c r="AW1145" s="239">
        <f>(AS1145*AK1145/1000000)*(VLOOKUP(N1145,FCST!D:I,6,FALSE))</f>
        <v>0</v>
      </c>
      <c r="AX1145" s="239">
        <f t="shared" si="167"/>
        <v>0</v>
      </c>
      <c r="AY1145" s="239">
        <f>IF($G1145="CERVECERIA Y MALTERIA.",($AS1145*$AK1145/1000000)*(1-VLOOKUP($N1145,FCST!D:I,6,FALSE)),0)</f>
        <v>0</v>
      </c>
      <c r="AZ1145" s="239">
        <f t="shared" si="168"/>
        <v>0</v>
      </c>
    </row>
    <row r="1146" spans="1:52" x14ac:dyDescent="0.25">
      <c r="A1146" s="209">
        <v>1130902</v>
      </c>
      <c r="B1146" s="209">
        <v>80</v>
      </c>
      <c r="C1146" s="209">
        <v>89527824</v>
      </c>
      <c r="D1146" s="209">
        <v>10</v>
      </c>
      <c r="E1146" s="209">
        <v>10000002</v>
      </c>
      <c r="F1146" s="209">
        <v>20000335</v>
      </c>
      <c r="G1146" s="209" t="s">
        <v>105</v>
      </c>
      <c r="H1146" s="209">
        <v>20000335</v>
      </c>
      <c r="I1146" s="209">
        <v>2</v>
      </c>
      <c r="J1146" s="209" t="s">
        <v>169</v>
      </c>
      <c r="K1146" s="209" t="s">
        <v>2510</v>
      </c>
      <c r="L1146" s="209" t="s">
        <v>171</v>
      </c>
      <c r="M1146" s="209" t="s">
        <v>199</v>
      </c>
      <c r="N1146" s="209">
        <v>50036915</v>
      </c>
      <c r="O1146" s="209" t="s">
        <v>541</v>
      </c>
      <c r="P1146" s="209">
        <v>5121</v>
      </c>
      <c r="Q1146" s="209" t="s">
        <v>200</v>
      </c>
      <c r="R1146" s="209" t="s">
        <v>201</v>
      </c>
      <c r="S1146" s="209" t="s">
        <v>202</v>
      </c>
      <c r="T1146" s="209" t="s">
        <v>203</v>
      </c>
      <c r="U1146" s="209" t="s">
        <v>201</v>
      </c>
      <c r="V1146" s="209" t="s">
        <v>179</v>
      </c>
      <c r="W1146" s="209" t="s">
        <v>179</v>
      </c>
      <c r="X1146" s="209" t="s">
        <v>180</v>
      </c>
      <c r="Y1146" s="209" t="s">
        <v>180</v>
      </c>
      <c r="Z1146" s="209">
        <v>9521069107</v>
      </c>
      <c r="AA1146" s="209" t="s">
        <v>2511</v>
      </c>
      <c r="AB1146" s="209" t="s">
        <v>180</v>
      </c>
      <c r="AC1146" s="209" t="s">
        <v>182</v>
      </c>
      <c r="AD1146" s="209">
        <v>7</v>
      </c>
      <c r="AE1146" s="209">
        <v>2025</v>
      </c>
      <c r="AF1146" s="227">
        <v>45863</v>
      </c>
      <c r="AG1146" s="227">
        <v>45869</v>
      </c>
      <c r="AH1146" s="227">
        <v>45869</v>
      </c>
      <c r="AI1146" s="228">
        <v>426816</v>
      </c>
      <c r="AJ1146" s="228">
        <v>52</v>
      </c>
      <c r="AK1146" s="228">
        <v>426816</v>
      </c>
      <c r="AL1146" s="228">
        <v>52</v>
      </c>
      <c r="AM1146" s="228">
        <v>0</v>
      </c>
      <c r="AN1146" s="228">
        <v>0</v>
      </c>
      <c r="AO1146" s="229">
        <v>31</v>
      </c>
      <c r="AP1146" s="231">
        <v>7</v>
      </c>
      <c r="AQ1146" s="231">
        <v>2025</v>
      </c>
      <c r="AR1146" s="231" t="str">
        <f t="shared" si="164"/>
        <v>07/2025</v>
      </c>
      <c r="AS1146" s="231">
        <f t="shared" si="165"/>
        <v>46.6</v>
      </c>
      <c r="AT1146" s="239">
        <f>IF(G1146="CERVECERIA Y MALTERIA",(AS1146*AK1146/1000000)*(1-VLOOKUP(N1146,FCST!D:I,6,FALSE)),0)</f>
        <v>15.911700480000002</v>
      </c>
      <c r="AU1146" s="232">
        <v>5.0000000000000001E-3</v>
      </c>
      <c r="AV1146" s="239">
        <f t="shared" si="166"/>
        <v>15.9912589824</v>
      </c>
      <c r="AW1146" s="239">
        <f>(AS1146*AK1146/1000000)*(VLOOKUP(N1146,FCST!D:I,6,FALSE))</f>
        <v>3.9779251200000005</v>
      </c>
      <c r="AX1146" s="239">
        <f t="shared" si="167"/>
        <v>3.9978147455999999</v>
      </c>
      <c r="AY1146" s="239">
        <f>IF($G1146="CERVECERIA Y MALTERIA.",($AS1146*$AK1146/1000000)*(1-VLOOKUP($N1146,FCST!D:I,6,FALSE)),0)</f>
        <v>0</v>
      </c>
      <c r="AZ1146" s="239">
        <f t="shared" si="168"/>
        <v>0</v>
      </c>
    </row>
    <row r="1147" spans="1:52" x14ac:dyDescent="0.25">
      <c r="A1147" s="209">
        <v>1129808</v>
      </c>
      <c r="B1147" s="209">
        <v>50</v>
      </c>
      <c r="C1147" s="209">
        <v>89527702</v>
      </c>
      <c r="D1147" s="209">
        <v>10</v>
      </c>
      <c r="E1147" s="209">
        <v>10000002</v>
      </c>
      <c r="F1147" s="209">
        <v>20000337</v>
      </c>
      <c r="G1147" s="209" t="s">
        <v>105</v>
      </c>
      <c r="H1147" s="209">
        <v>20000337</v>
      </c>
      <c r="I1147" s="209">
        <v>2</v>
      </c>
      <c r="J1147" s="209" t="s">
        <v>169</v>
      </c>
      <c r="K1147" s="209" t="s">
        <v>2512</v>
      </c>
      <c r="L1147" s="209" t="s">
        <v>171</v>
      </c>
      <c r="M1147" s="209" t="s">
        <v>199</v>
      </c>
      <c r="N1147" s="209">
        <v>50021818</v>
      </c>
      <c r="O1147" s="209" t="s">
        <v>2170</v>
      </c>
      <c r="P1147" s="209">
        <v>5121</v>
      </c>
      <c r="Q1147" s="209" t="s">
        <v>200</v>
      </c>
      <c r="R1147" s="209" t="s">
        <v>201</v>
      </c>
      <c r="S1147" s="209" t="s">
        <v>202</v>
      </c>
      <c r="T1147" s="209" t="s">
        <v>203</v>
      </c>
      <c r="U1147" s="209" t="s">
        <v>201</v>
      </c>
      <c r="V1147" s="209" t="s">
        <v>179</v>
      </c>
      <c r="W1147" s="209" t="s">
        <v>179</v>
      </c>
      <c r="X1147" s="209" t="s">
        <v>180</v>
      </c>
      <c r="Y1147" s="209" t="s">
        <v>180</v>
      </c>
      <c r="Z1147" s="209">
        <v>9521069109</v>
      </c>
      <c r="AA1147" s="209" t="s">
        <v>2513</v>
      </c>
      <c r="AB1147" s="209" t="s">
        <v>180</v>
      </c>
      <c r="AC1147" s="209" t="s">
        <v>182</v>
      </c>
      <c r="AD1147" s="209">
        <v>7</v>
      </c>
      <c r="AE1147" s="209">
        <v>2025</v>
      </c>
      <c r="AF1147" s="227">
        <v>45859</v>
      </c>
      <c r="AG1147" s="227">
        <v>45869</v>
      </c>
      <c r="AH1147" s="227">
        <v>45869</v>
      </c>
      <c r="AI1147" s="228">
        <v>426816</v>
      </c>
      <c r="AJ1147" s="228">
        <v>52</v>
      </c>
      <c r="AK1147" s="228">
        <v>426816</v>
      </c>
      <c r="AL1147" s="228">
        <v>52</v>
      </c>
      <c r="AM1147" s="228">
        <v>0</v>
      </c>
      <c r="AN1147" s="228">
        <v>0</v>
      </c>
      <c r="AO1147" s="229">
        <v>30</v>
      </c>
      <c r="AP1147" s="231">
        <v>7</v>
      </c>
      <c r="AQ1147" s="231">
        <v>2025</v>
      </c>
      <c r="AR1147" s="231" t="str">
        <f t="shared" si="164"/>
        <v>07/2025</v>
      </c>
      <c r="AS1147" s="231">
        <f t="shared" si="165"/>
        <v>46.6</v>
      </c>
      <c r="AT1147" s="239">
        <f>IF(G1147="CERVECERIA Y MALTERIA",(AS1147*AK1147/1000000)*(1-VLOOKUP(N1147,FCST!D:I,6,FALSE)),0)</f>
        <v>19.889625600000002</v>
      </c>
      <c r="AU1147" s="232">
        <v>5.0000000000000001E-3</v>
      </c>
      <c r="AV1147" s="239">
        <f t="shared" si="166"/>
        <v>19.989073728000001</v>
      </c>
      <c r="AW1147" s="239">
        <f>(AS1147*AK1147/1000000)*(VLOOKUP(N1147,FCST!D:I,6,FALSE))</f>
        <v>0</v>
      </c>
      <c r="AX1147" s="239">
        <f t="shared" si="167"/>
        <v>0</v>
      </c>
      <c r="AY1147" s="239">
        <f>IF($G1147="CERVECERIA Y MALTERIA.",($AS1147*$AK1147/1000000)*(1-VLOOKUP($N1147,FCST!D:I,6,FALSE)),0)</f>
        <v>0</v>
      </c>
      <c r="AZ1147" s="239">
        <f t="shared" si="168"/>
        <v>0</v>
      </c>
    </row>
    <row r="1148" spans="1:52" x14ac:dyDescent="0.25">
      <c r="A1148" s="209">
        <v>1130902</v>
      </c>
      <c r="B1148" s="209">
        <v>70</v>
      </c>
      <c r="C1148" s="209">
        <v>89527458</v>
      </c>
      <c r="D1148" s="209">
        <v>10</v>
      </c>
      <c r="E1148" s="209">
        <v>10000002</v>
      </c>
      <c r="F1148" s="209">
        <v>20000335</v>
      </c>
      <c r="G1148" s="209" t="s">
        <v>105</v>
      </c>
      <c r="H1148" s="209">
        <v>20000335</v>
      </c>
      <c r="I1148" s="209">
        <v>2</v>
      </c>
      <c r="J1148" s="209" t="s">
        <v>169</v>
      </c>
      <c r="K1148" s="209" t="s">
        <v>2514</v>
      </c>
      <c r="L1148" s="209" t="s">
        <v>171</v>
      </c>
      <c r="M1148" s="209" t="s">
        <v>172</v>
      </c>
      <c r="N1148" s="209">
        <v>50037887</v>
      </c>
      <c r="O1148" s="209" t="s">
        <v>679</v>
      </c>
      <c r="P1148" s="209">
        <v>5121</v>
      </c>
      <c r="Q1148" s="209" t="s">
        <v>174</v>
      </c>
      <c r="R1148" s="209" t="s">
        <v>175</v>
      </c>
      <c r="S1148" s="209" t="s">
        <v>176</v>
      </c>
      <c r="T1148" s="209" t="s">
        <v>177</v>
      </c>
      <c r="U1148" s="209" t="s">
        <v>178</v>
      </c>
      <c r="V1148" s="209" t="s">
        <v>179</v>
      </c>
      <c r="W1148" s="209" t="s">
        <v>179</v>
      </c>
      <c r="X1148" s="209" t="s">
        <v>180</v>
      </c>
      <c r="Y1148" s="209" t="s">
        <v>180</v>
      </c>
      <c r="Z1148" s="209">
        <v>9521069099</v>
      </c>
      <c r="AA1148" s="209" t="s">
        <v>2515</v>
      </c>
      <c r="AB1148" s="209" t="s">
        <v>180</v>
      </c>
      <c r="AC1148" s="209" t="s">
        <v>182</v>
      </c>
      <c r="AD1148" s="209">
        <v>7</v>
      </c>
      <c r="AE1148" s="209">
        <v>2025</v>
      </c>
      <c r="AF1148" s="227">
        <v>45863</v>
      </c>
      <c r="AG1148" s="227">
        <v>45869</v>
      </c>
      <c r="AH1148" s="227">
        <v>45869</v>
      </c>
      <c r="AI1148" s="228">
        <v>531648</v>
      </c>
      <c r="AJ1148" s="228">
        <v>52</v>
      </c>
      <c r="AK1148" s="228">
        <v>531648</v>
      </c>
      <c r="AL1148" s="228">
        <v>52</v>
      </c>
      <c r="AM1148" s="228">
        <v>0</v>
      </c>
      <c r="AN1148" s="228">
        <v>0</v>
      </c>
      <c r="AO1148" s="229">
        <v>31</v>
      </c>
      <c r="AP1148" s="231">
        <v>7</v>
      </c>
      <c r="AQ1148" s="231">
        <v>2025</v>
      </c>
      <c r="AR1148" s="231" t="str">
        <f t="shared" si="164"/>
        <v>07/2025</v>
      </c>
      <c r="AS1148" s="231">
        <f t="shared" si="165"/>
        <v>37.200000000000003</v>
      </c>
      <c r="AT1148" s="239">
        <f>IF(G1148="CERVECERIA Y MALTERIA",(AS1148*AK1148/1000000)*(1-VLOOKUP(N1148,FCST!D:I,6,FALSE)),0)</f>
        <v>19.777305600000002</v>
      </c>
      <c r="AU1148" s="232">
        <v>5.0000000000000001E-3</v>
      </c>
      <c r="AV1148" s="239">
        <f t="shared" si="166"/>
        <v>19.876192128</v>
      </c>
      <c r="AW1148" s="239">
        <f>(AS1148*AK1148/1000000)*(VLOOKUP(N1148,FCST!D:I,6,FALSE))</f>
        <v>0</v>
      </c>
      <c r="AX1148" s="239">
        <f t="shared" si="167"/>
        <v>0</v>
      </c>
      <c r="AY1148" s="239">
        <f>IF($G1148="CERVECERIA Y MALTERIA.",($AS1148*$AK1148/1000000)*(1-VLOOKUP($N1148,FCST!D:I,6,FALSE)),0)</f>
        <v>0</v>
      </c>
      <c r="AZ1148" s="239">
        <f t="shared" si="168"/>
        <v>0</v>
      </c>
    </row>
    <row r="1149" spans="1:52" x14ac:dyDescent="0.25">
      <c r="A1149" s="209">
        <v>1130904</v>
      </c>
      <c r="B1149" s="209">
        <v>50</v>
      </c>
      <c r="C1149" s="209">
        <v>89527457</v>
      </c>
      <c r="D1149" s="209">
        <v>10</v>
      </c>
      <c r="E1149" s="209">
        <v>10000002</v>
      </c>
      <c r="F1149" s="209">
        <v>20000340</v>
      </c>
      <c r="G1149" s="209" t="s">
        <v>117</v>
      </c>
      <c r="H1149" s="209">
        <v>20000340</v>
      </c>
      <c r="I1149" s="209">
        <v>2</v>
      </c>
      <c r="J1149" s="209" t="s">
        <v>169</v>
      </c>
      <c r="K1149" s="209" t="s">
        <v>2516</v>
      </c>
      <c r="L1149" s="209" t="s">
        <v>171</v>
      </c>
      <c r="M1149" s="209" t="s">
        <v>172</v>
      </c>
      <c r="N1149" s="209">
        <v>50038523</v>
      </c>
      <c r="O1149" s="209" t="s">
        <v>249</v>
      </c>
      <c r="P1149" s="209">
        <v>5101</v>
      </c>
      <c r="Q1149" s="209" t="s">
        <v>186</v>
      </c>
      <c r="R1149" s="209" t="s">
        <v>175</v>
      </c>
      <c r="S1149" s="209" t="s">
        <v>176</v>
      </c>
      <c r="T1149" s="209" t="s">
        <v>187</v>
      </c>
      <c r="U1149" s="209" t="s">
        <v>188</v>
      </c>
      <c r="V1149" s="209" t="s">
        <v>179</v>
      </c>
      <c r="W1149" s="209" t="s">
        <v>179</v>
      </c>
      <c r="X1149" s="209" t="s">
        <v>180</v>
      </c>
      <c r="Y1149" s="209" t="s">
        <v>180</v>
      </c>
      <c r="Z1149" s="209">
        <v>9511048190</v>
      </c>
      <c r="AA1149" s="209" t="s">
        <v>2517</v>
      </c>
      <c r="AB1149" s="209" t="s">
        <v>180</v>
      </c>
      <c r="AC1149" s="209" t="s">
        <v>182</v>
      </c>
      <c r="AD1149" s="209">
        <v>7</v>
      </c>
      <c r="AE1149" s="209">
        <v>2025</v>
      </c>
      <c r="AF1149" s="227">
        <v>45863</v>
      </c>
      <c r="AG1149" s="227">
        <v>45869</v>
      </c>
      <c r="AH1149" s="227">
        <v>45869</v>
      </c>
      <c r="AI1149" s="228">
        <v>606528</v>
      </c>
      <c r="AJ1149" s="228">
        <v>52</v>
      </c>
      <c r="AK1149" s="228">
        <v>606528</v>
      </c>
      <c r="AL1149" s="228">
        <v>52</v>
      </c>
      <c r="AM1149" s="228">
        <v>0</v>
      </c>
      <c r="AN1149" s="228">
        <v>0</v>
      </c>
      <c r="AO1149" s="229">
        <v>31</v>
      </c>
      <c r="AP1149" s="231">
        <v>7</v>
      </c>
      <c r="AQ1149" s="231">
        <v>2025</v>
      </c>
      <c r="AR1149" s="231" t="str">
        <f t="shared" si="164"/>
        <v>07/2025</v>
      </c>
      <c r="AS1149" s="231">
        <f t="shared" si="165"/>
        <v>30</v>
      </c>
      <c r="AT1149" s="239">
        <f>IF(G1149="CERVECERIA Y MALTERIA",(AS1149*AK1149/1000000)*(1-VLOOKUP(N1149,FCST!D:I,6,FALSE)),0)</f>
        <v>0</v>
      </c>
      <c r="AU1149" s="232">
        <v>5.0000000000000001E-3</v>
      </c>
      <c r="AV1149" s="239">
        <f t="shared" si="166"/>
        <v>0</v>
      </c>
      <c r="AW1149" s="239">
        <f>(AS1149*AK1149/1000000)*(VLOOKUP(N1149,FCST!D:I,6,FALSE))</f>
        <v>0</v>
      </c>
      <c r="AX1149" s="239">
        <f t="shared" si="167"/>
        <v>0</v>
      </c>
      <c r="AY1149" s="239">
        <f>IF($G1149="CERVECERIA Y MALTERIA.",($AS1149*$AK1149/1000000)*(1-VLOOKUP($N1149,FCST!D:I,6,FALSE)),0)</f>
        <v>18.19584</v>
      </c>
      <c r="AZ1149" s="239">
        <f t="shared" si="168"/>
        <v>18.2868192</v>
      </c>
    </row>
    <row r="1150" spans="1:52" x14ac:dyDescent="0.25">
      <c r="A1150" s="209">
        <v>1130902</v>
      </c>
      <c r="B1150" s="209">
        <v>60</v>
      </c>
      <c r="C1150" s="209">
        <v>89526467</v>
      </c>
      <c r="D1150" s="209">
        <v>10</v>
      </c>
      <c r="E1150" s="209">
        <v>10000002</v>
      </c>
      <c r="F1150" s="209">
        <v>20000335</v>
      </c>
      <c r="G1150" s="209" t="s">
        <v>105</v>
      </c>
      <c r="H1150" s="209">
        <v>20000335</v>
      </c>
      <c r="I1150" s="209">
        <v>2</v>
      </c>
      <c r="J1150" s="209" t="s">
        <v>169</v>
      </c>
      <c r="K1150" s="209" t="s">
        <v>2518</v>
      </c>
      <c r="L1150" s="209" t="s">
        <v>171</v>
      </c>
      <c r="M1150" s="209" t="s">
        <v>199</v>
      </c>
      <c r="N1150" s="209">
        <v>50036915</v>
      </c>
      <c r="O1150" s="209" t="s">
        <v>541</v>
      </c>
      <c r="P1150" s="209">
        <v>5121</v>
      </c>
      <c r="Q1150" s="209" t="s">
        <v>200</v>
      </c>
      <c r="R1150" s="209" t="s">
        <v>201</v>
      </c>
      <c r="S1150" s="209" t="s">
        <v>202</v>
      </c>
      <c r="T1150" s="209" t="s">
        <v>203</v>
      </c>
      <c r="U1150" s="209" t="s">
        <v>201</v>
      </c>
      <c r="V1150" s="209" t="s">
        <v>179</v>
      </c>
      <c r="W1150" s="209" t="s">
        <v>179</v>
      </c>
      <c r="X1150" s="209" t="s">
        <v>180</v>
      </c>
      <c r="Y1150" s="209" t="s">
        <v>180</v>
      </c>
      <c r="Z1150" s="209">
        <v>9521069112</v>
      </c>
      <c r="AA1150" s="209" t="s">
        <v>2519</v>
      </c>
      <c r="AB1150" s="209" t="s">
        <v>180</v>
      </c>
      <c r="AC1150" s="209" t="s">
        <v>182</v>
      </c>
      <c r="AD1150" s="209">
        <v>7</v>
      </c>
      <c r="AE1150" s="209">
        <v>2025</v>
      </c>
      <c r="AF1150" s="227">
        <v>45863</v>
      </c>
      <c r="AG1150" s="227">
        <v>45868</v>
      </c>
      <c r="AH1150" s="227">
        <v>45869</v>
      </c>
      <c r="AI1150" s="228">
        <v>426816</v>
      </c>
      <c r="AJ1150" s="228">
        <v>52</v>
      </c>
      <c r="AK1150" s="228">
        <v>426816</v>
      </c>
      <c r="AL1150" s="228">
        <v>52</v>
      </c>
      <c r="AM1150" s="228">
        <v>0</v>
      </c>
      <c r="AN1150" s="228">
        <v>0</v>
      </c>
      <c r="AO1150" s="229">
        <v>31</v>
      </c>
      <c r="AP1150" s="231">
        <v>7</v>
      </c>
      <c r="AQ1150" s="231">
        <v>2025</v>
      </c>
      <c r="AR1150" s="231" t="str">
        <f t="shared" si="164"/>
        <v>07/2025</v>
      </c>
      <c r="AS1150" s="231">
        <f t="shared" si="165"/>
        <v>46.6</v>
      </c>
      <c r="AT1150" s="239">
        <f>IF(G1150="CERVECERIA Y MALTERIA",(AS1150*AK1150/1000000)*(1-VLOOKUP(N1150,FCST!D:I,6,FALSE)),0)</f>
        <v>15.911700480000002</v>
      </c>
      <c r="AU1150" s="232">
        <v>5.0000000000000001E-3</v>
      </c>
      <c r="AV1150" s="239">
        <f t="shared" si="166"/>
        <v>15.9912589824</v>
      </c>
      <c r="AW1150" s="239">
        <f>(AS1150*AK1150/1000000)*(VLOOKUP(N1150,FCST!D:I,6,FALSE))</f>
        <v>3.9779251200000005</v>
      </c>
      <c r="AX1150" s="239">
        <f t="shared" si="167"/>
        <v>3.9978147455999999</v>
      </c>
      <c r="AY1150" s="239">
        <f>IF($G1150="CERVECERIA Y MALTERIA.",($AS1150*$AK1150/1000000)*(1-VLOOKUP($N1150,FCST!D:I,6,FALSE)),0)</f>
        <v>0</v>
      </c>
      <c r="AZ1150" s="239">
        <f t="shared" si="168"/>
        <v>0</v>
      </c>
    </row>
    <row r="1151" spans="1:52" x14ac:dyDescent="0.25">
      <c r="A1151" s="209">
        <v>1129808</v>
      </c>
      <c r="B1151" s="209">
        <v>40</v>
      </c>
      <c r="C1151" s="209">
        <v>89527139</v>
      </c>
      <c r="D1151" s="209">
        <v>10</v>
      </c>
      <c r="E1151" s="209">
        <v>10000002</v>
      </c>
      <c r="F1151" s="209">
        <v>20000337</v>
      </c>
      <c r="G1151" s="209" t="s">
        <v>105</v>
      </c>
      <c r="H1151" s="209">
        <v>20000337</v>
      </c>
      <c r="I1151" s="209">
        <v>2</v>
      </c>
      <c r="J1151" s="209" t="s">
        <v>169</v>
      </c>
      <c r="K1151" s="209" t="s">
        <v>2520</v>
      </c>
      <c r="L1151" s="209" t="s">
        <v>171</v>
      </c>
      <c r="M1151" s="209" t="s">
        <v>199</v>
      </c>
      <c r="N1151" s="209">
        <v>50021818</v>
      </c>
      <c r="O1151" s="209" t="s">
        <v>2170</v>
      </c>
      <c r="P1151" s="209">
        <v>5121</v>
      </c>
      <c r="Q1151" s="209" t="s">
        <v>200</v>
      </c>
      <c r="R1151" s="209" t="s">
        <v>201</v>
      </c>
      <c r="S1151" s="209" t="s">
        <v>202</v>
      </c>
      <c r="T1151" s="209" t="s">
        <v>203</v>
      </c>
      <c r="U1151" s="209" t="s">
        <v>201</v>
      </c>
      <c r="V1151" s="209" t="s">
        <v>179</v>
      </c>
      <c r="W1151" s="209" t="s">
        <v>179</v>
      </c>
      <c r="X1151" s="209" t="s">
        <v>180</v>
      </c>
      <c r="Y1151" s="209" t="s">
        <v>180</v>
      </c>
      <c r="Z1151" s="209">
        <v>9521069089</v>
      </c>
      <c r="AA1151" s="209" t="s">
        <v>2521</v>
      </c>
      <c r="AB1151" s="209" t="s">
        <v>180</v>
      </c>
      <c r="AC1151" s="209" t="s">
        <v>182</v>
      </c>
      <c r="AD1151" s="209">
        <v>7</v>
      </c>
      <c r="AE1151" s="209">
        <v>2025</v>
      </c>
      <c r="AF1151" s="227">
        <v>45859</v>
      </c>
      <c r="AG1151" s="227">
        <v>45868</v>
      </c>
      <c r="AH1151" s="227">
        <v>45868</v>
      </c>
      <c r="AI1151" s="228">
        <v>426816</v>
      </c>
      <c r="AJ1151" s="228">
        <v>52</v>
      </c>
      <c r="AK1151" s="228">
        <v>426816</v>
      </c>
      <c r="AL1151" s="228">
        <v>52</v>
      </c>
      <c r="AM1151" s="228">
        <v>0</v>
      </c>
      <c r="AN1151" s="228">
        <v>0</v>
      </c>
      <c r="AO1151" s="229">
        <v>30</v>
      </c>
      <c r="AP1151" s="231">
        <v>7</v>
      </c>
      <c r="AQ1151" s="231">
        <v>2025</v>
      </c>
      <c r="AR1151" s="231" t="str">
        <f t="shared" si="164"/>
        <v>07/2025</v>
      </c>
      <c r="AS1151" s="231">
        <f t="shared" si="165"/>
        <v>46.6</v>
      </c>
      <c r="AT1151" s="239">
        <f>IF(G1151="CERVECERIA Y MALTERIA",(AS1151*AK1151/1000000)*(1-VLOOKUP(N1151,FCST!D:I,6,FALSE)),0)</f>
        <v>19.889625600000002</v>
      </c>
      <c r="AU1151" s="232">
        <v>5.0000000000000001E-3</v>
      </c>
      <c r="AV1151" s="239">
        <f t="shared" si="166"/>
        <v>19.989073728000001</v>
      </c>
      <c r="AW1151" s="239">
        <f>(AS1151*AK1151/1000000)*(VLOOKUP(N1151,FCST!D:I,6,FALSE))</f>
        <v>0</v>
      </c>
      <c r="AX1151" s="239">
        <f t="shared" si="167"/>
        <v>0</v>
      </c>
      <c r="AY1151" s="239">
        <f>IF($G1151="CERVECERIA Y MALTERIA.",($AS1151*$AK1151/1000000)*(1-VLOOKUP($N1151,FCST!D:I,6,FALSE)),0)</f>
        <v>0</v>
      </c>
      <c r="AZ1151" s="239">
        <f t="shared" si="168"/>
        <v>0</v>
      </c>
    </row>
    <row r="1152" spans="1:52" x14ac:dyDescent="0.25">
      <c r="A1152" s="209">
        <v>1129228</v>
      </c>
      <c r="B1152" s="209">
        <v>90</v>
      </c>
      <c r="C1152" s="209">
        <v>89523604</v>
      </c>
      <c r="D1152" s="209">
        <v>10</v>
      </c>
      <c r="E1152" s="209">
        <v>10000002</v>
      </c>
      <c r="F1152" s="209">
        <v>20000335</v>
      </c>
      <c r="G1152" s="209" t="s">
        <v>105</v>
      </c>
      <c r="H1152" s="209">
        <v>20000335</v>
      </c>
      <c r="I1152" s="209">
        <v>2</v>
      </c>
      <c r="J1152" s="209" t="s">
        <v>169</v>
      </c>
      <c r="K1152" s="209" t="s">
        <v>2522</v>
      </c>
      <c r="L1152" s="209" t="s">
        <v>171</v>
      </c>
      <c r="M1152" s="209" t="s">
        <v>172</v>
      </c>
      <c r="N1152" s="209">
        <v>50025345</v>
      </c>
      <c r="O1152" s="209" t="s">
        <v>1998</v>
      </c>
      <c r="P1152" s="209">
        <v>5121</v>
      </c>
      <c r="Q1152" s="209" t="s">
        <v>174</v>
      </c>
      <c r="R1152" s="209" t="s">
        <v>175</v>
      </c>
      <c r="S1152" s="209" t="s">
        <v>176</v>
      </c>
      <c r="T1152" s="209" t="s">
        <v>177</v>
      </c>
      <c r="U1152" s="209" t="s">
        <v>178</v>
      </c>
      <c r="V1152" s="209" t="s">
        <v>179</v>
      </c>
      <c r="W1152" s="209" t="s">
        <v>179</v>
      </c>
      <c r="X1152" s="209" t="s">
        <v>180</v>
      </c>
      <c r="Y1152" s="209" t="s">
        <v>180</v>
      </c>
      <c r="Z1152" s="209">
        <v>9521069044</v>
      </c>
      <c r="AA1152" s="209" t="s">
        <v>2523</v>
      </c>
      <c r="AB1152" s="209" t="s">
        <v>180</v>
      </c>
      <c r="AC1152" s="209" t="s">
        <v>182</v>
      </c>
      <c r="AD1152" s="209">
        <v>7</v>
      </c>
      <c r="AE1152" s="209">
        <v>2025</v>
      </c>
      <c r="AF1152" s="227">
        <v>45855</v>
      </c>
      <c r="AG1152" s="227">
        <v>45863</v>
      </c>
      <c r="AH1152" s="227">
        <v>45863</v>
      </c>
      <c r="AI1152" s="228">
        <v>361152</v>
      </c>
      <c r="AJ1152" s="228">
        <v>44</v>
      </c>
      <c r="AK1152" s="228">
        <v>361152</v>
      </c>
      <c r="AL1152" s="228">
        <v>44</v>
      </c>
      <c r="AM1152" s="228">
        <v>0</v>
      </c>
      <c r="AN1152" s="228">
        <v>0</v>
      </c>
      <c r="AO1152" s="229">
        <v>30</v>
      </c>
      <c r="AP1152" s="231">
        <v>7</v>
      </c>
      <c r="AQ1152" s="231">
        <v>2025</v>
      </c>
      <c r="AR1152" s="231" t="str">
        <f t="shared" si="164"/>
        <v>07/2025</v>
      </c>
      <c r="AS1152" s="231">
        <f t="shared" si="165"/>
        <v>46.6</v>
      </c>
      <c r="AT1152" s="239">
        <f>IF(G1152="CERVECERIA Y MALTERIA",(AS1152*AK1152/1000000)*(1-VLOOKUP(N1152,FCST!D:I,6,FALSE)),0)</f>
        <v>16.829683199999998</v>
      </c>
      <c r="AU1152" s="232">
        <v>5.0000000000000001E-3</v>
      </c>
      <c r="AV1152" s="239">
        <f t="shared" si="166"/>
        <v>16.913831615999996</v>
      </c>
      <c r="AW1152" s="239">
        <f>(AS1152*AK1152/1000000)*(VLOOKUP(N1152,FCST!D:I,6,FALSE))</f>
        <v>0</v>
      </c>
      <c r="AX1152" s="239">
        <f t="shared" si="167"/>
        <v>0</v>
      </c>
      <c r="AY1152" s="239">
        <f>IF($G1152="CERVECERIA Y MALTERIA.",($AS1152*$AK1152/1000000)*(1-VLOOKUP($N1152,FCST!D:I,6,FALSE)),0)</f>
        <v>0</v>
      </c>
      <c r="AZ1152" s="239">
        <f t="shared" si="168"/>
        <v>0</v>
      </c>
    </row>
    <row r="1153" spans="1:52" x14ac:dyDescent="0.25">
      <c r="A1153" s="209">
        <v>1129229</v>
      </c>
      <c r="B1153" s="209">
        <v>60</v>
      </c>
      <c r="C1153" s="209">
        <v>89523602</v>
      </c>
      <c r="D1153" s="209">
        <v>10</v>
      </c>
      <c r="E1153" s="209">
        <v>10000002</v>
      </c>
      <c r="F1153" s="209">
        <v>20000340</v>
      </c>
      <c r="G1153" s="209" t="s">
        <v>117</v>
      </c>
      <c r="H1153" s="209">
        <v>20000340</v>
      </c>
      <c r="I1153" s="209">
        <v>2</v>
      </c>
      <c r="J1153" s="209" t="s">
        <v>169</v>
      </c>
      <c r="K1153" s="209" t="s">
        <v>2524</v>
      </c>
      <c r="L1153" s="209" t="s">
        <v>171</v>
      </c>
      <c r="M1153" s="209" t="s">
        <v>172</v>
      </c>
      <c r="N1153" s="209">
        <v>50039509</v>
      </c>
      <c r="O1153" s="209" t="s">
        <v>2054</v>
      </c>
      <c r="P1153" s="209">
        <v>5101</v>
      </c>
      <c r="Q1153" s="209" t="s">
        <v>186</v>
      </c>
      <c r="R1153" s="209" t="s">
        <v>175</v>
      </c>
      <c r="S1153" s="209" t="s">
        <v>176</v>
      </c>
      <c r="T1153" s="209" t="s">
        <v>187</v>
      </c>
      <c r="U1153" s="209" t="s">
        <v>188</v>
      </c>
      <c r="V1153" s="209" t="s">
        <v>179</v>
      </c>
      <c r="W1153" s="209" t="s">
        <v>179</v>
      </c>
      <c r="X1153" s="209" t="s">
        <v>180</v>
      </c>
      <c r="Y1153" s="209" t="s">
        <v>180</v>
      </c>
      <c r="Z1153" s="209">
        <v>9511048172</v>
      </c>
      <c r="AA1153" s="209" t="s">
        <v>2466</v>
      </c>
      <c r="AB1153" s="209" t="s">
        <v>180</v>
      </c>
      <c r="AC1153" s="209" t="s">
        <v>182</v>
      </c>
      <c r="AD1153" s="209">
        <v>7</v>
      </c>
      <c r="AE1153" s="209">
        <v>2025</v>
      </c>
      <c r="AF1153" s="227">
        <v>45855</v>
      </c>
      <c r="AG1153" s="227">
        <v>45863</v>
      </c>
      <c r="AH1153" s="227">
        <v>45863</v>
      </c>
      <c r="AI1153" s="228">
        <v>69888</v>
      </c>
      <c r="AJ1153" s="228">
        <v>7</v>
      </c>
      <c r="AK1153" s="228">
        <v>69888</v>
      </c>
      <c r="AL1153" s="228">
        <v>7</v>
      </c>
      <c r="AM1153" s="228">
        <v>0</v>
      </c>
      <c r="AN1153" s="228">
        <v>0</v>
      </c>
      <c r="AO1153" s="229">
        <v>30</v>
      </c>
      <c r="AP1153" s="231">
        <v>7</v>
      </c>
      <c r="AQ1153" s="231">
        <v>2025</v>
      </c>
      <c r="AR1153" s="231" t="str">
        <f t="shared" si="164"/>
        <v>07/2025</v>
      </c>
      <c r="AS1153" s="231">
        <f t="shared" si="165"/>
        <v>34</v>
      </c>
      <c r="AT1153" s="239">
        <f>IF(G1153="CERVECERIA Y MALTERIA",(AS1153*AK1153/1000000)*(1-VLOOKUP(N1153,FCST!D:I,6,FALSE)),0)</f>
        <v>0</v>
      </c>
      <c r="AU1153" s="232">
        <v>5.0000000000000001E-3</v>
      </c>
      <c r="AV1153" s="239">
        <f t="shared" si="166"/>
        <v>0</v>
      </c>
      <c r="AW1153" s="239">
        <f>(AS1153*AK1153/1000000)*(VLOOKUP(N1153,FCST!D:I,6,FALSE))</f>
        <v>0</v>
      </c>
      <c r="AX1153" s="239">
        <f t="shared" si="167"/>
        <v>0</v>
      </c>
      <c r="AY1153" s="239">
        <f>IF($G1153="CERVECERIA Y MALTERIA.",($AS1153*$AK1153/1000000)*(1-VLOOKUP($N1153,FCST!D:I,6,FALSE)),0)</f>
        <v>2.3761920000000001</v>
      </c>
      <c r="AZ1153" s="239">
        <f t="shared" si="168"/>
        <v>2.3880729599999997</v>
      </c>
    </row>
    <row r="1154" spans="1:52" x14ac:dyDescent="0.25">
      <c r="A1154" s="209">
        <v>1129229</v>
      </c>
      <c r="B1154" s="209">
        <v>50</v>
      </c>
      <c r="C1154" s="209">
        <v>89523372</v>
      </c>
      <c r="D1154" s="209">
        <v>10</v>
      </c>
      <c r="E1154" s="209">
        <v>10000002</v>
      </c>
      <c r="F1154" s="209">
        <v>20000340</v>
      </c>
      <c r="G1154" s="209" t="s">
        <v>117</v>
      </c>
      <c r="H1154" s="209">
        <v>20000340</v>
      </c>
      <c r="I1154" s="209">
        <v>2</v>
      </c>
      <c r="J1154" s="209" t="s">
        <v>169</v>
      </c>
      <c r="K1154" s="209" t="s">
        <v>2525</v>
      </c>
      <c r="L1154" s="209" t="s">
        <v>171</v>
      </c>
      <c r="M1154" s="209" t="s">
        <v>172</v>
      </c>
      <c r="N1154" s="209">
        <v>50038523</v>
      </c>
      <c r="O1154" s="209" t="s">
        <v>249</v>
      </c>
      <c r="P1154" s="209">
        <v>5101</v>
      </c>
      <c r="Q1154" s="209" t="s">
        <v>186</v>
      </c>
      <c r="R1154" s="209" t="s">
        <v>175</v>
      </c>
      <c r="S1154" s="209" t="s">
        <v>176</v>
      </c>
      <c r="T1154" s="209" t="s">
        <v>187</v>
      </c>
      <c r="U1154" s="209" t="s">
        <v>188</v>
      </c>
      <c r="V1154" s="209" t="s">
        <v>179</v>
      </c>
      <c r="W1154" s="209" t="s">
        <v>179</v>
      </c>
      <c r="X1154" s="209" t="s">
        <v>180</v>
      </c>
      <c r="Y1154" s="209" t="s">
        <v>180</v>
      </c>
      <c r="Z1154" s="209">
        <v>9511048171</v>
      </c>
      <c r="AA1154" s="209" t="s">
        <v>2468</v>
      </c>
      <c r="AB1154" s="209" t="s">
        <v>180</v>
      </c>
      <c r="AC1154" s="209" t="s">
        <v>182</v>
      </c>
      <c r="AD1154" s="209">
        <v>7</v>
      </c>
      <c r="AE1154" s="209">
        <v>2025</v>
      </c>
      <c r="AF1154" s="227">
        <v>45855</v>
      </c>
      <c r="AG1154" s="227">
        <v>45863</v>
      </c>
      <c r="AH1154" s="227">
        <v>45863</v>
      </c>
      <c r="AI1154" s="228">
        <v>606528</v>
      </c>
      <c r="AJ1154" s="228">
        <v>52</v>
      </c>
      <c r="AK1154" s="228">
        <v>606528</v>
      </c>
      <c r="AL1154" s="228">
        <v>52</v>
      </c>
      <c r="AM1154" s="228">
        <v>0</v>
      </c>
      <c r="AN1154" s="228">
        <v>0</v>
      </c>
      <c r="AO1154" s="229">
        <v>30</v>
      </c>
      <c r="AP1154" s="231">
        <v>7</v>
      </c>
      <c r="AQ1154" s="231">
        <v>2025</v>
      </c>
      <c r="AR1154" s="231" t="str">
        <f t="shared" si="164"/>
        <v>07/2025</v>
      </c>
      <c r="AS1154" s="231">
        <f t="shared" si="165"/>
        <v>30</v>
      </c>
      <c r="AT1154" s="239">
        <f>IF(G1154="CERVECERIA Y MALTERIA",(AS1154*AK1154/1000000)*(1-VLOOKUP(N1154,FCST!D:I,6,FALSE)),0)</f>
        <v>0</v>
      </c>
      <c r="AU1154" s="232">
        <v>5.0000000000000001E-3</v>
      </c>
      <c r="AV1154" s="239">
        <f t="shared" si="166"/>
        <v>0</v>
      </c>
      <c r="AW1154" s="239">
        <f>(AS1154*AK1154/1000000)*(VLOOKUP(N1154,FCST!D:I,6,FALSE))</f>
        <v>0</v>
      </c>
      <c r="AX1154" s="239">
        <f t="shared" si="167"/>
        <v>0</v>
      </c>
      <c r="AY1154" s="239">
        <f>IF($G1154="CERVECERIA Y MALTERIA.",($AS1154*$AK1154/1000000)*(1-VLOOKUP($N1154,FCST!D:I,6,FALSE)),0)</f>
        <v>18.19584</v>
      </c>
      <c r="AZ1154" s="239">
        <f t="shared" si="168"/>
        <v>18.2868192</v>
      </c>
    </row>
    <row r="1155" spans="1:52" x14ac:dyDescent="0.25">
      <c r="A1155" s="209">
        <v>1129808</v>
      </c>
      <c r="B1155" s="209">
        <v>20</v>
      </c>
      <c r="C1155" s="209">
        <v>89523233</v>
      </c>
      <c r="D1155" s="209">
        <v>10</v>
      </c>
      <c r="E1155" s="209">
        <v>10000002</v>
      </c>
      <c r="F1155" s="209">
        <v>20000337</v>
      </c>
      <c r="G1155" s="209" t="s">
        <v>105</v>
      </c>
      <c r="H1155" s="209">
        <v>20000337</v>
      </c>
      <c r="I1155" s="209">
        <v>2</v>
      </c>
      <c r="J1155" s="209" t="s">
        <v>169</v>
      </c>
      <c r="K1155" s="209" t="s">
        <v>2526</v>
      </c>
      <c r="L1155" s="209" t="s">
        <v>171</v>
      </c>
      <c r="M1155" s="209" t="s">
        <v>199</v>
      </c>
      <c r="N1155" s="209">
        <v>50021818</v>
      </c>
      <c r="O1155" s="209" t="s">
        <v>2170</v>
      </c>
      <c r="P1155" s="209">
        <v>5121</v>
      </c>
      <c r="Q1155" s="209" t="s">
        <v>200</v>
      </c>
      <c r="R1155" s="209" t="s">
        <v>201</v>
      </c>
      <c r="S1155" s="209" t="s">
        <v>202</v>
      </c>
      <c r="T1155" s="209" t="s">
        <v>203</v>
      </c>
      <c r="U1155" s="209" t="s">
        <v>201</v>
      </c>
      <c r="V1155" s="209" t="s">
        <v>179</v>
      </c>
      <c r="W1155" s="209" t="s">
        <v>179</v>
      </c>
      <c r="X1155" s="209" t="s">
        <v>180</v>
      </c>
      <c r="Y1155" s="209" t="s">
        <v>180</v>
      </c>
      <c r="Z1155" s="209">
        <v>9521069051</v>
      </c>
      <c r="AA1155" s="209" t="s">
        <v>2464</v>
      </c>
      <c r="AB1155" s="209" t="s">
        <v>180</v>
      </c>
      <c r="AC1155" s="209" t="s">
        <v>182</v>
      </c>
      <c r="AD1155" s="209">
        <v>7</v>
      </c>
      <c r="AE1155" s="209">
        <v>2025</v>
      </c>
      <c r="AF1155" s="227">
        <v>45859</v>
      </c>
      <c r="AG1155" s="227">
        <v>45863</v>
      </c>
      <c r="AH1155" s="227">
        <v>45863</v>
      </c>
      <c r="AI1155" s="228">
        <v>426816</v>
      </c>
      <c r="AJ1155" s="228">
        <v>52</v>
      </c>
      <c r="AK1155" s="228">
        <v>426816</v>
      </c>
      <c r="AL1155" s="228">
        <v>52</v>
      </c>
      <c r="AM1155" s="228">
        <v>0</v>
      </c>
      <c r="AN1155" s="228">
        <v>0</v>
      </c>
      <c r="AO1155" s="229">
        <v>30</v>
      </c>
      <c r="AP1155" s="231">
        <v>7</v>
      </c>
      <c r="AQ1155" s="231">
        <v>2025</v>
      </c>
      <c r="AR1155" s="231" t="str">
        <f t="shared" si="164"/>
        <v>07/2025</v>
      </c>
      <c r="AS1155" s="231">
        <f t="shared" si="165"/>
        <v>46.6</v>
      </c>
      <c r="AT1155" s="239">
        <f>IF(G1155="CERVECERIA Y MALTERIA",(AS1155*AK1155/1000000)*(1-VLOOKUP(N1155,FCST!D:I,6,FALSE)),0)</f>
        <v>19.889625600000002</v>
      </c>
      <c r="AU1155" s="232">
        <v>5.0000000000000001E-3</v>
      </c>
      <c r="AV1155" s="239">
        <f t="shared" si="166"/>
        <v>19.989073728000001</v>
      </c>
      <c r="AW1155" s="239">
        <f>(AS1155*AK1155/1000000)*(VLOOKUP(N1155,FCST!D:I,6,FALSE))</f>
        <v>0</v>
      </c>
      <c r="AX1155" s="239">
        <f t="shared" si="167"/>
        <v>0</v>
      </c>
      <c r="AY1155" s="239">
        <f>IF($G1155="CERVECERIA Y MALTERIA.",($AS1155*$AK1155/1000000)*(1-VLOOKUP($N1155,FCST!D:I,6,FALSE)),0)</f>
        <v>0</v>
      </c>
      <c r="AZ1155" s="239">
        <f t="shared" si="168"/>
        <v>0</v>
      </c>
    </row>
    <row r="1156" spans="1:52" x14ac:dyDescent="0.25">
      <c r="A1156" s="209">
        <v>1130075</v>
      </c>
      <c r="B1156" s="209">
        <v>20</v>
      </c>
      <c r="C1156" s="209">
        <v>89522545</v>
      </c>
      <c r="D1156" s="209">
        <v>20</v>
      </c>
      <c r="E1156" s="209">
        <v>10000002</v>
      </c>
      <c r="F1156" s="209">
        <v>20001057</v>
      </c>
      <c r="G1156" s="209" t="s">
        <v>105</v>
      </c>
      <c r="H1156" s="209">
        <v>20001057</v>
      </c>
      <c r="I1156" s="209">
        <v>2</v>
      </c>
      <c r="J1156" s="209" t="s">
        <v>169</v>
      </c>
      <c r="K1156" s="209" t="s">
        <v>2527</v>
      </c>
      <c r="L1156" s="209" t="s">
        <v>171</v>
      </c>
      <c r="M1156" s="209" t="s">
        <v>199</v>
      </c>
      <c r="N1156" s="209">
        <v>50034574</v>
      </c>
      <c r="O1156" s="209" t="s">
        <v>196</v>
      </c>
      <c r="P1156" s="209">
        <v>5121</v>
      </c>
      <c r="Q1156" s="209" t="s">
        <v>200</v>
      </c>
      <c r="R1156" s="209" t="s">
        <v>201</v>
      </c>
      <c r="S1156" s="209" t="s">
        <v>202</v>
      </c>
      <c r="T1156" s="209" t="s">
        <v>203</v>
      </c>
      <c r="U1156" s="209" t="s">
        <v>201</v>
      </c>
      <c r="V1156" s="209" t="s">
        <v>179</v>
      </c>
      <c r="W1156" s="209" t="s">
        <v>179</v>
      </c>
      <c r="X1156" s="209" t="s">
        <v>180</v>
      </c>
      <c r="Y1156" s="209" t="s">
        <v>180</v>
      </c>
      <c r="Z1156" s="209">
        <v>9521069057</v>
      </c>
      <c r="AA1156" s="209" t="s">
        <v>2528</v>
      </c>
      <c r="AB1156" s="209" t="s">
        <v>180</v>
      </c>
      <c r="AC1156" s="209" t="s">
        <v>182</v>
      </c>
      <c r="AD1156" s="209">
        <v>7</v>
      </c>
      <c r="AE1156" s="209">
        <v>2025</v>
      </c>
      <c r="AF1156" s="227">
        <v>45860</v>
      </c>
      <c r="AG1156" s="227">
        <v>45862</v>
      </c>
      <c r="AH1156" s="227">
        <v>45863</v>
      </c>
      <c r="AI1156" s="228">
        <v>751680</v>
      </c>
      <c r="AJ1156" s="228">
        <v>40</v>
      </c>
      <c r="AK1156" s="228">
        <v>751680</v>
      </c>
      <c r="AL1156" s="228">
        <v>40</v>
      </c>
      <c r="AM1156" s="228">
        <v>0</v>
      </c>
      <c r="AN1156" s="228">
        <v>0</v>
      </c>
      <c r="AO1156" s="229">
        <v>30</v>
      </c>
      <c r="AP1156" s="231">
        <v>7</v>
      </c>
      <c r="AQ1156" s="231">
        <v>2025</v>
      </c>
      <c r="AR1156" s="231" t="str">
        <f t="shared" si="164"/>
        <v>07/2025</v>
      </c>
      <c r="AS1156" s="231">
        <f t="shared" si="165"/>
        <v>19.5</v>
      </c>
      <c r="AT1156" s="239">
        <f>IF(G1156="CERVECERIA Y MALTERIA",(AS1156*AK1156/1000000)*(1-VLOOKUP(N1156,FCST!D:I,6,FALSE)),0)</f>
        <v>14.65776</v>
      </c>
      <c r="AU1156" s="232">
        <v>5.0000000000000001E-3</v>
      </c>
      <c r="AV1156" s="239">
        <f t="shared" si="166"/>
        <v>14.731048799999998</v>
      </c>
      <c r="AW1156" s="239">
        <f>(AS1156*AK1156/1000000)*(VLOOKUP(N1156,FCST!D:I,6,FALSE))</f>
        <v>0</v>
      </c>
      <c r="AX1156" s="239">
        <f t="shared" si="167"/>
        <v>0</v>
      </c>
      <c r="AY1156" s="239">
        <f>IF($G1156="CERVECERIA Y MALTERIA.",($AS1156*$AK1156/1000000)*(1-VLOOKUP($N1156,FCST!D:I,6,FALSE)),0)</f>
        <v>0</v>
      </c>
      <c r="AZ1156" s="239">
        <f t="shared" si="168"/>
        <v>0</v>
      </c>
    </row>
    <row r="1157" spans="1:52" x14ac:dyDescent="0.25">
      <c r="A1157" s="209">
        <v>1130075</v>
      </c>
      <c r="B1157" s="209">
        <v>10</v>
      </c>
      <c r="C1157" s="209">
        <v>89522545</v>
      </c>
      <c r="D1157" s="209">
        <v>10</v>
      </c>
      <c r="E1157" s="209">
        <v>10000002</v>
      </c>
      <c r="F1157" s="209">
        <v>20001057</v>
      </c>
      <c r="G1157" s="209" t="s">
        <v>105</v>
      </c>
      <c r="H1157" s="209">
        <v>20001057</v>
      </c>
      <c r="I1157" s="209">
        <v>2</v>
      </c>
      <c r="J1157" s="209" t="s">
        <v>169</v>
      </c>
      <c r="K1157" s="209" t="s">
        <v>2527</v>
      </c>
      <c r="L1157" s="209" t="s">
        <v>171</v>
      </c>
      <c r="M1157" s="209" t="s">
        <v>199</v>
      </c>
      <c r="N1157" s="209">
        <v>50034616</v>
      </c>
      <c r="O1157" s="209" t="s">
        <v>191</v>
      </c>
      <c r="P1157" s="209">
        <v>5121</v>
      </c>
      <c r="Q1157" s="209" t="s">
        <v>200</v>
      </c>
      <c r="R1157" s="209" t="s">
        <v>201</v>
      </c>
      <c r="S1157" s="209" t="s">
        <v>202</v>
      </c>
      <c r="T1157" s="209" t="s">
        <v>203</v>
      </c>
      <c r="U1157" s="209" t="s">
        <v>201</v>
      </c>
      <c r="V1157" s="209" t="s">
        <v>179</v>
      </c>
      <c r="W1157" s="209" t="s">
        <v>179</v>
      </c>
      <c r="X1157" s="209" t="s">
        <v>180</v>
      </c>
      <c r="Y1157" s="209" t="s">
        <v>180</v>
      </c>
      <c r="Z1157" s="209">
        <v>9521069057</v>
      </c>
      <c r="AA1157" s="209" t="s">
        <v>2528</v>
      </c>
      <c r="AB1157" s="209" t="s">
        <v>180</v>
      </c>
      <c r="AC1157" s="209" t="s">
        <v>182</v>
      </c>
      <c r="AD1157" s="209">
        <v>7</v>
      </c>
      <c r="AE1157" s="209">
        <v>2025</v>
      </c>
      <c r="AF1157" s="227">
        <v>45860</v>
      </c>
      <c r="AG1157" s="227">
        <v>45862</v>
      </c>
      <c r="AH1157" s="227">
        <v>45863</v>
      </c>
      <c r="AI1157" s="228">
        <v>98496</v>
      </c>
      <c r="AJ1157" s="228">
        <v>12</v>
      </c>
      <c r="AK1157" s="228">
        <v>98496</v>
      </c>
      <c r="AL1157" s="228">
        <v>12</v>
      </c>
      <c r="AM1157" s="228">
        <v>0</v>
      </c>
      <c r="AN1157" s="228">
        <v>0</v>
      </c>
      <c r="AO1157" s="229">
        <v>30</v>
      </c>
      <c r="AP1157" s="231">
        <v>7</v>
      </c>
      <c r="AQ1157" s="231">
        <v>2025</v>
      </c>
      <c r="AR1157" s="231" t="str">
        <f t="shared" si="164"/>
        <v>07/2025</v>
      </c>
      <c r="AS1157" s="231">
        <f t="shared" si="165"/>
        <v>46.6</v>
      </c>
      <c r="AT1157" s="239">
        <f>IF(G1157="CERVECERIA Y MALTERIA",(AS1157*AK1157/1000000)*(1-VLOOKUP(N1157,FCST!D:I,6,FALSE)),0)</f>
        <v>4.5899136000000009</v>
      </c>
      <c r="AU1157" s="232">
        <v>5.0000000000000001E-3</v>
      </c>
      <c r="AV1157" s="239">
        <f t="shared" si="166"/>
        <v>4.6128631680000005</v>
      </c>
      <c r="AW1157" s="239">
        <f>(AS1157*AK1157/1000000)*(VLOOKUP(N1157,FCST!D:I,6,FALSE))</f>
        <v>0</v>
      </c>
      <c r="AX1157" s="239">
        <f t="shared" si="167"/>
        <v>0</v>
      </c>
      <c r="AY1157" s="239">
        <f>IF($G1157="CERVECERIA Y MALTERIA.",($AS1157*$AK1157/1000000)*(1-VLOOKUP($N1157,FCST!D:I,6,FALSE)),0)</f>
        <v>0</v>
      </c>
      <c r="AZ1157" s="239">
        <f t="shared" si="168"/>
        <v>0</v>
      </c>
    </row>
    <row r="1158" spans="1:52" x14ac:dyDescent="0.25">
      <c r="A1158" s="209">
        <v>1129229</v>
      </c>
      <c r="B1158" s="209">
        <v>40</v>
      </c>
      <c r="C1158" s="209">
        <v>89522170</v>
      </c>
      <c r="D1158" s="209">
        <v>10</v>
      </c>
      <c r="E1158" s="209">
        <v>10000002</v>
      </c>
      <c r="F1158" s="209">
        <v>20000340</v>
      </c>
      <c r="G1158" s="209" t="s">
        <v>117</v>
      </c>
      <c r="H1158" s="209">
        <v>20000340</v>
      </c>
      <c r="I1158" s="209">
        <v>2</v>
      </c>
      <c r="J1158" s="209" t="s">
        <v>169</v>
      </c>
      <c r="K1158" s="209" t="s">
        <v>2529</v>
      </c>
      <c r="L1158" s="209" t="s">
        <v>171</v>
      </c>
      <c r="M1158" s="209" t="s">
        <v>172</v>
      </c>
      <c r="N1158" s="209">
        <v>50038523</v>
      </c>
      <c r="O1158" s="209" t="s">
        <v>249</v>
      </c>
      <c r="P1158" s="209">
        <v>5101</v>
      </c>
      <c r="Q1158" s="209" t="s">
        <v>186</v>
      </c>
      <c r="R1158" s="209" t="s">
        <v>175</v>
      </c>
      <c r="S1158" s="209" t="s">
        <v>176</v>
      </c>
      <c r="T1158" s="209" t="s">
        <v>187</v>
      </c>
      <c r="U1158" s="209" t="s">
        <v>188</v>
      </c>
      <c r="V1158" s="209" t="s">
        <v>179</v>
      </c>
      <c r="W1158" s="209" t="s">
        <v>179</v>
      </c>
      <c r="X1158" s="209" t="s">
        <v>180</v>
      </c>
      <c r="Y1158" s="209" t="s">
        <v>180</v>
      </c>
      <c r="Z1158" s="209">
        <v>9511048171</v>
      </c>
      <c r="AA1158" s="209" t="s">
        <v>2468</v>
      </c>
      <c r="AB1158" s="209" t="s">
        <v>180</v>
      </c>
      <c r="AC1158" s="209" t="s">
        <v>182</v>
      </c>
      <c r="AD1158" s="209">
        <v>7</v>
      </c>
      <c r="AE1158" s="209">
        <v>2025</v>
      </c>
      <c r="AF1158" s="227">
        <v>45855</v>
      </c>
      <c r="AG1158" s="227">
        <v>45862</v>
      </c>
      <c r="AH1158" s="227">
        <v>45862</v>
      </c>
      <c r="AI1158" s="228">
        <v>606528</v>
      </c>
      <c r="AJ1158" s="228">
        <v>52</v>
      </c>
      <c r="AK1158" s="228">
        <v>606528</v>
      </c>
      <c r="AL1158" s="228">
        <v>52</v>
      </c>
      <c r="AM1158" s="228">
        <v>0</v>
      </c>
      <c r="AN1158" s="228">
        <v>0</v>
      </c>
      <c r="AO1158" s="229">
        <v>30</v>
      </c>
      <c r="AP1158" s="231">
        <v>7</v>
      </c>
      <c r="AQ1158" s="231">
        <v>2025</v>
      </c>
      <c r="AR1158" s="231" t="str">
        <f t="shared" si="164"/>
        <v>07/2025</v>
      </c>
      <c r="AS1158" s="231">
        <f t="shared" si="165"/>
        <v>30</v>
      </c>
      <c r="AT1158" s="239">
        <f>IF(G1158="CERVECERIA Y MALTERIA",(AS1158*AK1158/1000000)*(1-VLOOKUP(N1158,FCST!D:I,6,FALSE)),0)</f>
        <v>0</v>
      </c>
      <c r="AU1158" s="232">
        <v>5.0000000000000001E-3</v>
      </c>
      <c r="AV1158" s="239">
        <f t="shared" si="166"/>
        <v>0</v>
      </c>
      <c r="AW1158" s="239">
        <f>(AS1158*AK1158/1000000)*(VLOOKUP(N1158,FCST!D:I,6,FALSE))</f>
        <v>0</v>
      </c>
      <c r="AX1158" s="239">
        <f t="shared" si="167"/>
        <v>0</v>
      </c>
      <c r="AY1158" s="239">
        <f>IF($G1158="CERVECERIA Y MALTERIA.",($AS1158*$AK1158/1000000)*(1-VLOOKUP($N1158,FCST!D:I,6,FALSE)),0)</f>
        <v>18.19584</v>
      </c>
      <c r="AZ1158" s="239">
        <f t="shared" si="168"/>
        <v>18.2868192</v>
      </c>
    </row>
    <row r="1159" spans="1:52" x14ac:dyDescent="0.25">
      <c r="A1159" s="209">
        <v>1129228</v>
      </c>
      <c r="B1159" s="209">
        <v>80</v>
      </c>
      <c r="C1159" s="209">
        <v>89522003</v>
      </c>
      <c r="D1159" s="209">
        <v>10</v>
      </c>
      <c r="E1159" s="209">
        <v>10000002</v>
      </c>
      <c r="F1159" s="209">
        <v>20000335</v>
      </c>
      <c r="G1159" s="209" t="s">
        <v>105</v>
      </c>
      <c r="H1159" s="209">
        <v>20000335</v>
      </c>
      <c r="I1159" s="209">
        <v>2</v>
      </c>
      <c r="J1159" s="209" t="s">
        <v>169</v>
      </c>
      <c r="K1159" s="209" t="s">
        <v>2530</v>
      </c>
      <c r="L1159" s="209" t="s">
        <v>171</v>
      </c>
      <c r="M1159" s="209" t="s">
        <v>172</v>
      </c>
      <c r="N1159" s="209">
        <v>50036915</v>
      </c>
      <c r="O1159" s="209" t="s">
        <v>541</v>
      </c>
      <c r="P1159" s="209">
        <v>5121</v>
      </c>
      <c r="Q1159" s="209" t="s">
        <v>174</v>
      </c>
      <c r="R1159" s="209" t="s">
        <v>175</v>
      </c>
      <c r="S1159" s="209" t="s">
        <v>176</v>
      </c>
      <c r="T1159" s="209" t="s">
        <v>177</v>
      </c>
      <c r="U1159" s="209" t="s">
        <v>178</v>
      </c>
      <c r="V1159" s="209" t="s">
        <v>179</v>
      </c>
      <c r="W1159" s="209" t="s">
        <v>179</v>
      </c>
      <c r="X1159" s="209" t="s">
        <v>180</v>
      </c>
      <c r="Y1159" s="209" t="s">
        <v>180</v>
      </c>
      <c r="Z1159" s="209">
        <v>9521069079</v>
      </c>
      <c r="AA1159" s="209" t="s">
        <v>2460</v>
      </c>
      <c r="AB1159" s="209" t="s">
        <v>180</v>
      </c>
      <c r="AC1159" s="209" t="s">
        <v>182</v>
      </c>
      <c r="AD1159" s="209">
        <v>7</v>
      </c>
      <c r="AE1159" s="209">
        <v>2025</v>
      </c>
      <c r="AF1159" s="227">
        <v>45855</v>
      </c>
      <c r="AG1159" s="227">
        <v>45862</v>
      </c>
      <c r="AH1159" s="227">
        <v>45862</v>
      </c>
      <c r="AI1159" s="228">
        <v>426816</v>
      </c>
      <c r="AJ1159" s="228">
        <v>52</v>
      </c>
      <c r="AK1159" s="228">
        <v>426816</v>
      </c>
      <c r="AL1159" s="228">
        <v>52</v>
      </c>
      <c r="AM1159" s="228">
        <v>0</v>
      </c>
      <c r="AN1159" s="228">
        <v>0</v>
      </c>
      <c r="AO1159" s="229">
        <v>30</v>
      </c>
      <c r="AP1159" s="231">
        <v>7</v>
      </c>
      <c r="AQ1159" s="231">
        <v>2025</v>
      </c>
      <c r="AR1159" s="231" t="str">
        <f t="shared" si="164"/>
        <v>07/2025</v>
      </c>
      <c r="AS1159" s="231">
        <f t="shared" si="165"/>
        <v>46.6</v>
      </c>
      <c r="AT1159" s="239">
        <f>IF(G1159="CERVECERIA Y MALTERIA",(AS1159*AK1159/1000000)*(1-VLOOKUP(N1159,FCST!D:I,6,FALSE)),0)</f>
        <v>15.911700480000002</v>
      </c>
      <c r="AU1159" s="232">
        <v>5.0000000000000001E-3</v>
      </c>
      <c r="AV1159" s="239">
        <f t="shared" si="166"/>
        <v>15.9912589824</v>
      </c>
      <c r="AW1159" s="239">
        <f>(AS1159*AK1159/1000000)*(VLOOKUP(N1159,FCST!D:I,6,FALSE))</f>
        <v>3.9779251200000005</v>
      </c>
      <c r="AX1159" s="239">
        <f t="shared" si="167"/>
        <v>3.9978147455999999</v>
      </c>
      <c r="AY1159" s="239">
        <f>IF($G1159="CERVECERIA Y MALTERIA.",($AS1159*$AK1159/1000000)*(1-VLOOKUP($N1159,FCST!D:I,6,FALSE)),0)</f>
        <v>0</v>
      </c>
      <c r="AZ1159" s="239">
        <f t="shared" si="168"/>
        <v>0</v>
      </c>
    </row>
    <row r="1160" spans="1:52" x14ac:dyDescent="0.25">
      <c r="A1160" s="209">
        <v>1131097</v>
      </c>
      <c r="B1160" s="209">
        <v>20</v>
      </c>
      <c r="C1160" s="209">
        <v>89525457</v>
      </c>
      <c r="D1160" s="209">
        <v>20</v>
      </c>
      <c r="E1160" s="209">
        <v>10000002</v>
      </c>
      <c r="F1160" s="209">
        <v>20000339</v>
      </c>
      <c r="G1160" s="209" t="s">
        <v>105</v>
      </c>
      <c r="H1160" s="209">
        <v>20000339</v>
      </c>
      <c r="I1160" s="209">
        <v>2</v>
      </c>
      <c r="J1160" s="209" t="s">
        <v>169</v>
      </c>
      <c r="K1160" s="209" t="s">
        <v>2531</v>
      </c>
      <c r="L1160" s="209" t="s">
        <v>171</v>
      </c>
      <c r="M1160" s="209" t="s">
        <v>227</v>
      </c>
      <c r="N1160" s="209">
        <v>50034194</v>
      </c>
      <c r="O1160" s="209" t="s">
        <v>276</v>
      </c>
      <c r="P1160" s="209">
        <v>5121</v>
      </c>
      <c r="Q1160" s="209" t="s">
        <v>228</v>
      </c>
      <c r="R1160" s="209" t="s">
        <v>229</v>
      </c>
      <c r="S1160" s="209" t="s">
        <v>230</v>
      </c>
      <c r="T1160" s="209" t="s">
        <v>231</v>
      </c>
      <c r="U1160" s="209" t="s">
        <v>232</v>
      </c>
      <c r="V1160" s="209" t="s">
        <v>179</v>
      </c>
      <c r="W1160" s="209" t="s">
        <v>179</v>
      </c>
      <c r="X1160" s="209" t="s">
        <v>180</v>
      </c>
      <c r="Y1160" s="209" t="s">
        <v>180</v>
      </c>
      <c r="Z1160" s="209">
        <v>9521069073</v>
      </c>
      <c r="AA1160" s="209" t="s">
        <v>2532</v>
      </c>
      <c r="AB1160" s="209" t="s">
        <v>180</v>
      </c>
      <c r="AC1160" s="209" t="s">
        <v>182</v>
      </c>
      <c r="AD1160" s="209">
        <v>7</v>
      </c>
      <c r="AE1160" s="209">
        <v>2025</v>
      </c>
      <c r="AF1160" s="227">
        <v>45866</v>
      </c>
      <c r="AG1160" s="227">
        <v>45867</v>
      </c>
      <c r="AH1160" s="227">
        <v>45867</v>
      </c>
      <c r="AI1160" s="228">
        <v>158496</v>
      </c>
      <c r="AJ1160" s="228">
        <v>26</v>
      </c>
      <c r="AK1160" s="228">
        <v>158496</v>
      </c>
      <c r="AL1160" s="228">
        <v>26</v>
      </c>
      <c r="AM1160" s="228">
        <v>0</v>
      </c>
      <c r="AN1160" s="228">
        <v>0</v>
      </c>
      <c r="AO1160" s="229">
        <v>31</v>
      </c>
      <c r="AP1160" s="231">
        <v>7</v>
      </c>
      <c r="AQ1160" s="231">
        <v>2025</v>
      </c>
      <c r="AR1160" s="231" t="str">
        <f t="shared" si="164"/>
        <v>07/2025</v>
      </c>
      <c r="AS1160" s="231">
        <f t="shared" si="165"/>
        <v>62</v>
      </c>
      <c r="AT1160" s="239">
        <f>IF(G1160="CERVECERIA Y MALTERIA",(AS1160*AK1160/1000000)*(1-VLOOKUP(N1160,FCST!D:I,6,FALSE)),0)</f>
        <v>9.8267520000000008</v>
      </c>
      <c r="AU1160" s="232">
        <v>5.0000000000000001E-3</v>
      </c>
      <c r="AV1160" s="239">
        <f t="shared" si="166"/>
        <v>9.8758857599999992</v>
      </c>
      <c r="AW1160" s="239">
        <f>(AS1160*AK1160/1000000)*(VLOOKUP(N1160,FCST!D:I,6,FALSE))</f>
        <v>0</v>
      </c>
      <c r="AX1160" s="239">
        <f t="shared" si="167"/>
        <v>0</v>
      </c>
      <c r="AY1160" s="239">
        <f>IF($G1160="CERVECERIA Y MALTERIA.",($AS1160*$AK1160/1000000)*(1-VLOOKUP($N1160,FCST!D:I,6,FALSE)),0)</f>
        <v>0</v>
      </c>
      <c r="AZ1160" s="239">
        <f t="shared" si="168"/>
        <v>0</v>
      </c>
    </row>
    <row r="1161" spans="1:52" x14ac:dyDescent="0.25">
      <c r="A1161" s="209">
        <v>1131097</v>
      </c>
      <c r="B1161" s="209">
        <v>10</v>
      </c>
      <c r="C1161" s="209">
        <v>89525457</v>
      </c>
      <c r="D1161" s="209">
        <v>10</v>
      </c>
      <c r="E1161" s="209">
        <v>10000002</v>
      </c>
      <c r="F1161" s="209">
        <v>20000339</v>
      </c>
      <c r="G1161" s="209" t="s">
        <v>105</v>
      </c>
      <c r="H1161" s="209">
        <v>20000339</v>
      </c>
      <c r="I1161" s="209">
        <v>2</v>
      </c>
      <c r="J1161" s="209" t="s">
        <v>169</v>
      </c>
      <c r="K1161" s="209" t="s">
        <v>2531</v>
      </c>
      <c r="L1161" s="209" t="s">
        <v>171</v>
      </c>
      <c r="M1161" s="209" t="s">
        <v>227</v>
      </c>
      <c r="N1161" s="209">
        <v>50036287</v>
      </c>
      <c r="O1161" s="209" t="s">
        <v>2191</v>
      </c>
      <c r="P1161" s="209">
        <v>5121</v>
      </c>
      <c r="Q1161" s="209" t="s">
        <v>228</v>
      </c>
      <c r="R1161" s="209" t="s">
        <v>229</v>
      </c>
      <c r="S1161" s="209" t="s">
        <v>230</v>
      </c>
      <c r="T1161" s="209" t="s">
        <v>231</v>
      </c>
      <c r="U1161" s="209" t="s">
        <v>232</v>
      </c>
      <c r="V1161" s="209" t="s">
        <v>179</v>
      </c>
      <c r="W1161" s="209" t="s">
        <v>179</v>
      </c>
      <c r="X1161" s="209" t="s">
        <v>180</v>
      </c>
      <c r="Y1161" s="209" t="s">
        <v>180</v>
      </c>
      <c r="Z1161" s="209">
        <v>9521069073</v>
      </c>
      <c r="AA1161" s="209" t="s">
        <v>2532</v>
      </c>
      <c r="AB1161" s="209" t="s">
        <v>180</v>
      </c>
      <c r="AC1161" s="209" t="s">
        <v>182</v>
      </c>
      <c r="AD1161" s="209">
        <v>7</v>
      </c>
      <c r="AE1161" s="209">
        <v>2025</v>
      </c>
      <c r="AF1161" s="227">
        <v>45866</v>
      </c>
      <c r="AG1161" s="227">
        <v>45867</v>
      </c>
      <c r="AH1161" s="227">
        <v>45867</v>
      </c>
      <c r="AI1161" s="228">
        <v>181584</v>
      </c>
      <c r="AJ1161" s="228">
        <v>26</v>
      </c>
      <c r="AK1161" s="228">
        <v>181584</v>
      </c>
      <c r="AL1161" s="228">
        <v>26</v>
      </c>
      <c r="AM1161" s="228">
        <v>0</v>
      </c>
      <c r="AN1161" s="228">
        <v>0</v>
      </c>
      <c r="AO1161" s="229">
        <v>31</v>
      </c>
      <c r="AP1161" s="231">
        <v>7</v>
      </c>
      <c r="AQ1161" s="231">
        <v>2025</v>
      </c>
      <c r="AR1161" s="231" t="str">
        <f t="shared" si="164"/>
        <v>07/2025</v>
      </c>
      <c r="AS1161" s="231">
        <f t="shared" si="165"/>
        <v>52</v>
      </c>
      <c r="AT1161" s="239">
        <f>IF(G1161="CERVECERIA Y MALTERIA",(AS1161*AK1161/1000000)*(1-VLOOKUP(N1161,FCST!D:I,6,FALSE)),0)</f>
        <v>9.4423680000000001</v>
      </c>
      <c r="AU1161" s="232">
        <v>5.0000000000000001E-3</v>
      </c>
      <c r="AV1161" s="239">
        <f t="shared" si="166"/>
        <v>9.4895798399999993</v>
      </c>
      <c r="AW1161" s="239">
        <f>(AS1161*AK1161/1000000)*(VLOOKUP(N1161,FCST!D:I,6,FALSE))</f>
        <v>0</v>
      </c>
      <c r="AX1161" s="239">
        <f t="shared" si="167"/>
        <v>0</v>
      </c>
      <c r="AY1161" s="239">
        <f>IF($G1161="CERVECERIA Y MALTERIA.",($AS1161*$AK1161/1000000)*(1-VLOOKUP($N1161,FCST!D:I,6,FALSE)),0)</f>
        <v>0</v>
      </c>
      <c r="AZ1161" s="239">
        <f t="shared" si="168"/>
        <v>0</v>
      </c>
    </row>
    <row r="1162" spans="1:52" x14ac:dyDescent="0.25">
      <c r="A1162" s="209">
        <v>1130902</v>
      </c>
      <c r="B1162" s="209">
        <v>40</v>
      </c>
      <c r="C1162" s="209">
        <v>89525426</v>
      </c>
      <c r="D1162" s="209">
        <v>10</v>
      </c>
      <c r="E1162" s="209">
        <v>10000002</v>
      </c>
      <c r="F1162" s="209">
        <v>20000335</v>
      </c>
      <c r="G1162" s="209" t="s">
        <v>105</v>
      </c>
      <c r="H1162" s="209">
        <v>20000335</v>
      </c>
      <c r="I1162" s="209">
        <v>2</v>
      </c>
      <c r="J1162" s="209" t="s">
        <v>169</v>
      </c>
      <c r="K1162" s="209" t="s">
        <v>2533</v>
      </c>
      <c r="L1162" s="209" t="s">
        <v>171</v>
      </c>
      <c r="M1162" s="209" t="s">
        <v>172</v>
      </c>
      <c r="N1162" s="209">
        <v>50025345</v>
      </c>
      <c r="O1162" s="209" t="s">
        <v>1998</v>
      </c>
      <c r="P1162" s="209">
        <v>5121</v>
      </c>
      <c r="Q1162" s="209" t="s">
        <v>174</v>
      </c>
      <c r="R1162" s="209" t="s">
        <v>175</v>
      </c>
      <c r="S1162" s="209" t="s">
        <v>176</v>
      </c>
      <c r="T1162" s="209" t="s">
        <v>177</v>
      </c>
      <c r="U1162" s="209" t="s">
        <v>178</v>
      </c>
      <c r="V1162" s="209" t="s">
        <v>179</v>
      </c>
      <c r="W1162" s="209" t="s">
        <v>179</v>
      </c>
      <c r="X1162" s="209" t="s">
        <v>180</v>
      </c>
      <c r="Y1162" s="209" t="s">
        <v>180</v>
      </c>
      <c r="Z1162" s="209">
        <v>9521069076</v>
      </c>
      <c r="AA1162" s="209" t="s">
        <v>2534</v>
      </c>
      <c r="AB1162" s="209" t="s">
        <v>180</v>
      </c>
      <c r="AC1162" s="209" t="s">
        <v>182</v>
      </c>
      <c r="AD1162" s="209">
        <v>7</v>
      </c>
      <c r="AE1162" s="209">
        <v>2025</v>
      </c>
      <c r="AF1162" s="227">
        <v>45863</v>
      </c>
      <c r="AG1162" s="227">
        <v>45867</v>
      </c>
      <c r="AH1162" s="227">
        <v>45867</v>
      </c>
      <c r="AI1162" s="228">
        <v>426816</v>
      </c>
      <c r="AJ1162" s="228">
        <v>52</v>
      </c>
      <c r="AK1162" s="228">
        <v>426816</v>
      </c>
      <c r="AL1162" s="228">
        <v>52</v>
      </c>
      <c r="AM1162" s="228">
        <v>0</v>
      </c>
      <c r="AN1162" s="228">
        <v>0</v>
      </c>
      <c r="AO1162" s="229">
        <v>31</v>
      </c>
      <c r="AP1162" s="231">
        <v>7</v>
      </c>
      <c r="AQ1162" s="231">
        <v>2025</v>
      </c>
      <c r="AR1162" s="231" t="str">
        <f t="shared" si="164"/>
        <v>07/2025</v>
      </c>
      <c r="AS1162" s="231">
        <f t="shared" si="165"/>
        <v>46.6</v>
      </c>
      <c r="AT1162" s="239">
        <f>IF(G1162="CERVECERIA Y MALTERIA",(AS1162*AK1162/1000000)*(1-VLOOKUP(N1162,FCST!D:I,6,FALSE)),0)</f>
        <v>19.889625600000002</v>
      </c>
      <c r="AU1162" s="232">
        <v>5.0000000000000001E-3</v>
      </c>
      <c r="AV1162" s="239">
        <f t="shared" si="166"/>
        <v>19.989073728000001</v>
      </c>
      <c r="AW1162" s="239">
        <f>(AS1162*AK1162/1000000)*(VLOOKUP(N1162,FCST!D:I,6,FALSE))</f>
        <v>0</v>
      </c>
      <c r="AX1162" s="239">
        <f t="shared" si="167"/>
        <v>0</v>
      </c>
      <c r="AY1162" s="239">
        <f>IF($G1162="CERVECERIA Y MALTERIA.",($AS1162*$AK1162/1000000)*(1-VLOOKUP($N1162,FCST!D:I,6,FALSE)),0)</f>
        <v>0</v>
      </c>
      <c r="AZ1162" s="239">
        <f t="shared" si="168"/>
        <v>0</v>
      </c>
    </row>
    <row r="1163" spans="1:52" x14ac:dyDescent="0.25">
      <c r="A1163" s="209">
        <v>1130904</v>
      </c>
      <c r="B1163" s="209">
        <v>30</v>
      </c>
      <c r="C1163" s="209">
        <v>89525373</v>
      </c>
      <c r="D1163" s="209">
        <v>10</v>
      </c>
      <c r="E1163" s="209">
        <v>10000002</v>
      </c>
      <c r="F1163" s="209">
        <v>20000340</v>
      </c>
      <c r="G1163" s="209" t="s">
        <v>117</v>
      </c>
      <c r="H1163" s="209">
        <v>20000340</v>
      </c>
      <c r="I1163" s="209">
        <v>2</v>
      </c>
      <c r="J1163" s="209" t="s">
        <v>169</v>
      </c>
      <c r="K1163" s="209" t="s">
        <v>2535</v>
      </c>
      <c r="L1163" s="209" t="s">
        <v>171</v>
      </c>
      <c r="M1163" s="209" t="s">
        <v>172</v>
      </c>
      <c r="N1163" s="209">
        <v>50038523</v>
      </c>
      <c r="O1163" s="209" t="s">
        <v>249</v>
      </c>
      <c r="P1163" s="209">
        <v>5101</v>
      </c>
      <c r="Q1163" s="209" t="s">
        <v>186</v>
      </c>
      <c r="R1163" s="209" t="s">
        <v>175</v>
      </c>
      <c r="S1163" s="209" t="s">
        <v>176</v>
      </c>
      <c r="T1163" s="209" t="s">
        <v>187</v>
      </c>
      <c r="U1163" s="209" t="s">
        <v>188</v>
      </c>
      <c r="V1163" s="209" t="s">
        <v>179</v>
      </c>
      <c r="W1163" s="209" t="s">
        <v>179</v>
      </c>
      <c r="X1163" s="209" t="s">
        <v>180</v>
      </c>
      <c r="Y1163" s="209" t="s">
        <v>180</v>
      </c>
      <c r="Z1163" s="209">
        <v>9511048180</v>
      </c>
      <c r="AA1163" s="209" t="s">
        <v>2536</v>
      </c>
      <c r="AB1163" s="209" t="s">
        <v>180</v>
      </c>
      <c r="AC1163" s="209" t="s">
        <v>182</v>
      </c>
      <c r="AD1163" s="209">
        <v>7</v>
      </c>
      <c r="AE1163" s="209">
        <v>2025</v>
      </c>
      <c r="AF1163" s="227">
        <v>45863</v>
      </c>
      <c r="AG1163" s="227">
        <v>45867</v>
      </c>
      <c r="AH1163" s="227">
        <v>45867</v>
      </c>
      <c r="AI1163" s="228">
        <v>606528</v>
      </c>
      <c r="AJ1163" s="228">
        <v>52</v>
      </c>
      <c r="AK1163" s="228">
        <v>606528</v>
      </c>
      <c r="AL1163" s="228">
        <v>52</v>
      </c>
      <c r="AM1163" s="228">
        <v>0</v>
      </c>
      <c r="AN1163" s="228">
        <v>0</v>
      </c>
      <c r="AO1163" s="229">
        <v>31</v>
      </c>
      <c r="AP1163" s="231">
        <v>7</v>
      </c>
      <c r="AQ1163" s="231">
        <v>2025</v>
      </c>
      <c r="AR1163" s="231" t="str">
        <f t="shared" si="164"/>
        <v>07/2025</v>
      </c>
      <c r="AS1163" s="231">
        <f t="shared" si="165"/>
        <v>30</v>
      </c>
      <c r="AT1163" s="239">
        <f>IF(G1163="CERVECERIA Y MALTERIA",(AS1163*AK1163/1000000)*(1-VLOOKUP(N1163,FCST!D:I,6,FALSE)),0)</f>
        <v>0</v>
      </c>
      <c r="AU1163" s="232">
        <v>5.0000000000000001E-3</v>
      </c>
      <c r="AV1163" s="239">
        <f t="shared" si="166"/>
        <v>0</v>
      </c>
      <c r="AW1163" s="239">
        <f>(AS1163*AK1163/1000000)*(VLOOKUP(N1163,FCST!D:I,6,FALSE))</f>
        <v>0</v>
      </c>
      <c r="AX1163" s="239">
        <f t="shared" si="167"/>
        <v>0</v>
      </c>
      <c r="AY1163" s="239">
        <f>IF($G1163="CERVECERIA Y MALTERIA.",($AS1163*$AK1163/1000000)*(1-VLOOKUP($N1163,FCST!D:I,6,FALSE)),0)</f>
        <v>18.19584</v>
      </c>
      <c r="AZ1163" s="239">
        <f t="shared" si="168"/>
        <v>18.2868192</v>
      </c>
    </row>
    <row r="1164" spans="1:52" x14ac:dyDescent="0.25">
      <c r="A1164" s="209">
        <v>1129808</v>
      </c>
      <c r="B1164" s="209">
        <v>30</v>
      </c>
      <c r="C1164" s="209">
        <v>89525145</v>
      </c>
      <c r="D1164" s="209">
        <v>10</v>
      </c>
      <c r="E1164" s="209">
        <v>10000002</v>
      </c>
      <c r="F1164" s="209">
        <v>20000337</v>
      </c>
      <c r="G1164" s="209" t="s">
        <v>105</v>
      </c>
      <c r="H1164" s="209">
        <v>20000337</v>
      </c>
      <c r="I1164" s="209">
        <v>2</v>
      </c>
      <c r="J1164" s="209" t="s">
        <v>169</v>
      </c>
      <c r="K1164" s="209" t="s">
        <v>2537</v>
      </c>
      <c r="L1164" s="209" t="s">
        <v>171</v>
      </c>
      <c r="M1164" s="209" t="s">
        <v>172</v>
      </c>
      <c r="N1164" s="209">
        <v>50021818</v>
      </c>
      <c r="O1164" s="209" t="s">
        <v>2170</v>
      </c>
      <c r="P1164" s="209">
        <v>5121</v>
      </c>
      <c r="Q1164" s="209" t="s">
        <v>174</v>
      </c>
      <c r="R1164" s="209" t="s">
        <v>175</v>
      </c>
      <c r="S1164" s="209" t="s">
        <v>176</v>
      </c>
      <c r="T1164" s="209" t="s">
        <v>177</v>
      </c>
      <c r="U1164" s="209" t="s">
        <v>178</v>
      </c>
      <c r="V1164" s="209" t="s">
        <v>179</v>
      </c>
      <c r="W1164" s="209" t="s">
        <v>179</v>
      </c>
      <c r="X1164" s="209" t="s">
        <v>180</v>
      </c>
      <c r="Y1164" s="209" t="s">
        <v>180</v>
      </c>
      <c r="Z1164" s="209">
        <v>9521069051</v>
      </c>
      <c r="AA1164" s="209" t="s">
        <v>2464</v>
      </c>
      <c r="AB1164" s="209" t="s">
        <v>180</v>
      </c>
      <c r="AC1164" s="209" t="s">
        <v>182</v>
      </c>
      <c r="AD1164" s="209">
        <v>7</v>
      </c>
      <c r="AE1164" s="209">
        <v>2025</v>
      </c>
      <c r="AF1164" s="227">
        <v>45859</v>
      </c>
      <c r="AG1164" s="227">
        <v>45866</v>
      </c>
      <c r="AH1164" s="227">
        <v>45866</v>
      </c>
      <c r="AI1164" s="228">
        <v>426816</v>
      </c>
      <c r="AJ1164" s="228">
        <v>52</v>
      </c>
      <c r="AK1164" s="228">
        <v>426816</v>
      </c>
      <c r="AL1164" s="228">
        <v>52</v>
      </c>
      <c r="AM1164" s="228">
        <v>0</v>
      </c>
      <c r="AN1164" s="228">
        <v>0</v>
      </c>
      <c r="AO1164" s="229">
        <v>30</v>
      </c>
      <c r="AP1164" s="231">
        <v>7</v>
      </c>
      <c r="AQ1164" s="231">
        <v>2025</v>
      </c>
      <c r="AR1164" s="231" t="str">
        <f t="shared" si="164"/>
        <v>07/2025</v>
      </c>
      <c r="AS1164" s="231">
        <f t="shared" si="165"/>
        <v>46.6</v>
      </c>
      <c r="AT1164" s="239">
        <f>IF(G1164="CERVECERIA Y MALTERIA",(AS1164*AK1164/1000000)*(1-VLOOKUP(N1164,FCST!D:I,6,FALSE)),0)</f>
        <v>19.889625600000002</v>
      </c>
      <c r="AU1164" s="232">
        <v>5.0000000000000001E-3</v>
      </c>
      <c r="AV1164" s="239">
        <f t="shared" si="166"/>
        <v>19.989073728000001</v>
      </c>
      <c r="AW1164" s="239">
        <f>(AS1164*AK1164/1000000)*(VLOOKUP(N1164,FCST!D:I,6,FALSE))</f>
        <v>0</v>
      </c>
      <c r="AX1164" s="239">
        <f t="shared" si="167"/>
        <v>0</v>
      </c>
      <c r="AY1164" s="239">
        <f>IF($G1164="CERVECERIA Y MALTERIA.",($AS1164*$AK1164/1000000)*(1-VLOOKUP($N1164,FCST!D:I,6,FALSE)),0)</f>
        <v>0</v>
      </c>
      <c r="AZ1164" s="239">
        <f t="shared" si="168"/>
        <v>0</v>
      </c>
    </row>
    <row r="1165" spans="1:52" x14ac:dyDescent="0.25">
      <c r="A1165" s="209">
        <v>1130902</v>
      </c>
      <c r="B1165" s="209">
        <v>20</v>
      </c>
      <c r="C1165" s="209">
        <v>89524988</v>
      </c>
      <c r="D1165" s="209">
        <v>10</v>
      </c>
      <c r="E1165" s="209">
        <v>10000002</v>
      </c>
      <c r="F1165" s="209">
        <v>20000335</v>
      </c>
      <c r="G1165" s="209" t="s">
        <v>105</v>
      </c>
      <c r="H1165" s="209">
        <v>20000335</v>
      </c>
      <c r="I1165" s="209">
        <v>2</v>
      </c>
      <c r="J1165" s="209" t="s">
        <v>169</v>
      </c>
      <c r="K1165" s="209" t="s">
        <v>2538</v>
      </c>
      <c r="L1165" s="209" t="s">
        <v>171</v>
      </c>
      <c r="M1165" s="209" t="s">
        <v>172</v>
      </c>
      <c r="N1165" s="209">
        <v>50025345</v>
      </c>
      <c r="O1165" s="209" t="s">
        <v>1998</v>
      </c>
      <c r="P1165" s="209">
        <v>5121</v>
      </c>
      <c r="Q1165" s="209" t="s">
        <v>174</v>
      </c>
      <c r="R1165" s="209" t="s">
        <v>175</v>
      </c>
      <c r="S1165" s="209" t="s">
        <v>176</v>
      </c>
      <c r="T1165" s="209" t="s">
        <v>177</v>
      </c>
      <c r="U1165" s="209" t="s">
        <v>178</v>
      </c>
      <c r="V1165" s="209" t="s">
        <v>179</v>
      </c>
      <c r="W1165" s="209" t="s">
        <v>179</v>
      </c>
      <c r="X1165" s="209" t="s">
        <v>180</v>
      </c>
      <c r="Y1165" s="209" t="s">
        <v>180</v>
      </c>
      <c r="Z1165" s="209">
        <v>9521069044</v>
      </c>
      <c r="AA1165" s="209" t="s">
        <v>2523</v>
      </c>
      <c r="AB1165" s="209" t="s">
        <v>180</v>
      </c>
      <c r="AC1165" s="209" t="s">
        <v>182</v>
      </c>
      <c r="AD1165" s="209">
        <v>7</v>
      </c>
      <c r="AE1165" s="209">
        <v>2025</v>
      </c>
      <c r="AF1165" s="227">
        <v>45863</v>
      </c>
      <c r="AG1165" s="227">
        <v>45866</v>
      </c>
      <c r="AH1165" s="227">
        <v>45866</v>
      </c>
      <c r="AI1165" s="228">
        <v>279072</v>
      </c>
      <c r="AJ1165" s="228">
        <v>34</v>
      </c>
      <c r="AK1165" s="228">
        <v>279072</v>
      </c>
      <c r="AL1165" s="228">
        <v>34</v>
      </c>
      <c r="AM1165" s="228">
        <v>0</v>
      </c>
      <c r="AN1165" s="228">
        <v>0</v>
      </c>
      <c r="AO1165" s="229">
        <v>31</v>
      </c>
      <c r="AP1165" s="231">
        <v>7</v>
      </c>
      <c r="AQ1165" s="231">
        <v>2025</v>
      </c>
      <c r="AR1165" s="231" t="str">
        <f t="shared" si="164"/>
        <v>07/2025</v>
      </c>
      <c r="AS1165" s="231">
        <f t="shared" si="165"/>
        <v>46.6</v>
      </c>
      <c r="AT1165" s="239">
        <f>IF(G1165="CERVECERIA Y MALTERIA",(AS1165*AK1165/1000000)*(1-VLOOKUP(N1165,FCST!D:I,6,FALSE)),0)</f>
        <v>13.004755200000002</v>
      </c>
      <c r="AU1165" s="232">
        <v>5.0000000000000001E-3</v>
      </c>
      <c r="AV1165" s="239">
        <f t="shared" si="166"/>
        <v>13.069778976</v>
      </c>
      <c r="AW1165" s="239">
        <f>(AS1165*AK1165/1000000)*(VLOOKUP(N1165,FCST!D:I,6,FALSE))</f>
        <v>0</v>
      </c>
      <c r="AX1165" s="239">
        <f t="shared" si="167"/>
        <v>0</v>
      </c>
      <c r="AY1165" s="239">
        <f>IF($G1165="CERVECERIA Y MALTERIA.",($AS1165*$AK1165/1000000)*(1-VLOOKUP($N1165,FCST!D:I,6,FALSE)),0)</f>
        <v>0</v>
      </c>
      <c r="AZ1165" s="239">
        <f t="shared" si="168"/>
        <v>0</v>
      </c>
    </row>
    <row r="1166" spans="1:52" x14ac:dyDescent="0.25">
      <c r="A1166" s="209">
        <v>1130904</v>
      </c>
      <c r="B1166" s="209">
        <v>20</v>
      </c>
      <c r="C1166" s="209">
        <v>89524987</v>
      </c>
      <c r="D1166" s="209">
        <v>10</v>
      </c>
      <c r="E1166" s="209">
        <v>10000002</v>
      </c>
      <c r="F1166" s="209">
        <v>20000340</v>
      </c>
      <c r="G1166" s="209" t="s">
        <v>117</v>
      </c>
      <c r="H1166" s="209">
        <v>20000340</v>
      </c>
      <c r="I1166" s="209">
        <v>2</v>
      </c>
      <c r="J1166" s="209" t="s">
        <v>169</v>
      </c>
      <c r="K1166" s="209" t="s">
        <v>2539</v>
      </c>
      <c r="L1166" s="209" t="s">
        <v>171</v>
      </c>
      <c r="M1166" s="209" t="s">
        <v>172</v>
      </c>
      <c r="N1166" s="209">
        <v>50039509</v>
      </c>
      <c r="O1166" s="209" t="s">
        <v>2054</v>
      </c>
      <c r="P1166" s="209">
        <v>5101</v>
      </c>
      <c r="Q1166" s="209" t="s">
        <v>186</v>
      </c>
      <c r="R1166" s="209" t="s">
        <v>175</v>
      </c>
      <c r="S1166" s="209" t="s">
        <v>176</v>
      </c>
      <c r="T1166" s="209" t="s">
        <v>187</v>
      </c>
      <c r="U1166" s="209" t="s">
        <v>188</v>
      </c>
      <c r="V1166" s="209" t="s">
        <v>179</v>
      </c>
      <c r="W1166" s="209" t="s">
        <v>179</v>
      </c>
      <c r="X1166" s="209" t="s">
        <v>180</v>
      </c>
      <c r="Y1166" s="209" t="s">
        <v>180</v>
      </c>
      <c r="Z1166" s="209">
        <v>9511048172</v>
      </c>
      <c r="AA1166" s="209" t="s">
        <v>2466</v>
      </c>
      <c r="AB1166" s="209" t="s">
        <v>180</v>
      </c>
      <c r="AC1166" s="209" t="s">
        <v>182</v>
      </c>
      <c r="AD1166" s="209">
        <v>7</v>
      </c>
      <c r="AE1166" s="209">
        <v>2025</v>
      </c>
      <c r="AF1166" s="227">
        <v>45863</v>
      </c>
      <c r="AG1166" s="227">
        <v>45866</v>
      </c>
      <c r="AH1166" s="227">
        <v>45866</v>
      </c>
      <c r="AI1166" s="228">
        <v>169728</v>
      </c>
      <c r="AJ1166" s="228">
        <v>17</v>
      </c>
      <c r="AK1166" s="228">
        <v>169728</v>
      </c>
      <c r="AL1166" s="228">
        <v>17</v>
      </c>
      <c r="AM1166" s="228">
        <v>0</v>
      </c>
      <c r="AN1166" s="228">
        <v>0</v>
      </c>
      <c r="AO1166" s="229">
        <v>31</v>
      </c>
      <c r="AP1166" s="231">
        <v>7</v>
      </c>
      <c r="AQ1166" s="231">
        <v>2025</v>
      </c>
      <c r="AR1166" s="231" t="str">
        <f t="shared" si="164"/>
        <v>07/2025</v>
      </c>
      <c r="AS1166" s="231">
        <f t="shared" si="165"/>
        <v>34</v>
      </c>
      <c r="AT1166" s="239">
        <f>IF(G1166="CERVECERIA Y MALTERIA",(AS1166*AK1166/1000000)*(1-VLOOKUP(N1166,FCST!D:I,6,FALSE)),0)</f>
        <v>0</v>
      </c>
      <c r="AU1166" s="232">
        <v>5.0000000000000001E-3</v>
      </c>
      <c r="AV1166" s="239">
        <f t="shared" si="166"/>
        <v>0</v>
      </c>
      <c r="AW1166" s="239">
        <f>(AS1166*AK1166/1000000)*(VLOOKUP(N1166,FCST!D:I,6,FALSE))</f>
        <v>0</v>
      </c>
      <c r="AX1166" s="239">
        <f t="shared" si="167"/>
        <v>0</v>
      </c>
      <c r="AY1166" s="239">
        <f>IF($G1166="CERVECERIA Y MALTERIA.",($AS1166*$AK1166/1000000)*(1-VLOOKUP($N1166,FCST!D:I,6,FALSE)),0)</f>
        <v>5.7707519999999999</v>
      </c>
      <c r="AZ1166" s="239">
        <f t="shared" si="168"/>
        <v>5.7996057599999995</v>
      </c>
    </row>
    <row r="1167" spans="1:52" x14ac:dyDescent="0.25">
      <c r="A1167" s="209">
        <v>1130902</v>
      </c>
      <c r="B1167" s="209">
        <v>10</v>
      </c>
      <c r="C1167" s="209">
        <v>89524931</v>
      </c>
      <c r="D1167" s="209">
        <v>10</v>
      </c>
      <c r="E1167" s="209">
        <v>10000002</v>
      </c>
      <c r="F1167" s="209">
        <v>20000335</v>
      </c>
      <c r="G1167" s="209" t="s">
        <v>105</v>
      </c>
      <c r="H1167" s="209">
        <v>20000335</v>
      </c>
      <c r="I1167" s="209">
        <v>2</v>
      </c>
      <c r="J1167" s="209" t="s">
        <v>169</v>
      </c>
      <c r="K1167" s="209" t="s">
        <v>2540</v>
      </c>
      <c r="L1167" s="209" t="s">
        <v>171</v>
      </c>
      <c r="M1167" s="209" t="s">
        <v>172</v>
      </c>
      <c r="N1167" s="209">
        <v>50035184</v>
      </c>
      <c r="O1167" s="209" t="s">
        <v>672</v>
      </c>
      <c r="P1167" s="209">
        <v>5121</v>
      </c>
      <c r="Q1167" s="209" t="s">
        <v>174</v>
      </c>
      <c r="R1167" s="209" t="s">
        <v>175</v>
      </c>
      <c r="S1167" s="209" t="s">
        <v>176</v>
      </c>
      <c r="T1167" s="209" t="s">
        <v>177</v>
      </c>
      <c r="U1167" s="209" t="s">
        <v>178</v>
      </c>
      <c r="V1167" s="209" t="s">
        <v>179</v>
      </c>
      <c r="W1167" s="209" t="s">
        <v>179</v>
      </c>
      <c r="X1167" s="209" t="s">
        <v>180</v>
      </c>
      <c r="Y1167" s="209" t="s">
        <v>180</v>
      </c>
      <c r="Z1167" s="209">
        <v>9521069043</v>
      </c>
      <c r="AA1167" s="209" t="s">
        <v>2471</v>
      </c>
      <c r="AB1167" s="209" t="s">
        <v>180</v>
      </c>
      <c r="AC1167" s="209" t="s">
        <v>182</v>
      </c>
      <c r="AD1167" s="209">
        <v>7</v>
      </c>
      <c r="AE1167" s="209">
        <v>2025</v>
      </c>
      <c r="AF1167" s="227">
        <v>45863</v>
      </c>
      <c r="AG1167" s="227">
        <v>45866</v>
      </c>
      <c r="AH1167" s="227">
        <v>45866</v>
      </c>
      <c r="AI1167" s="228">
        <v>977184</v>
      </c>
      <c r="AJ1167" s="228">
        <v>52</v>
      </c>
      <c r="AK1167" s="228">
        <v>977184</v>
      </c>
      <c r="AL1167" s="228">
        <v>52</v>
      </c>
      <c r="AM1167" s="228">
        <v>0</v>
      </c>
      <c r="AN1167" s="228">
        <v>0</v>
      </c>
      <c r="AO1167" s="229">
        <v>31</v>
      </c>
      <c r="AP1167" s="231">
        <v>7</v>
      </c>
      <c r="AQ1167" s="231">
        <v>2025</v>
      </c>
      <c r="AR1167" s="231" t="str">
        <f t="shared" si="164"/>
        <v>07/2025</v>
      </c>
      <c r="AS1167" s="231">
        <f t="shared" si="165"/>
        <v>19.5</v>
      </c>
      <c r="AT1167" s="239">
        <f>IF(G1167="CERVECERIA Y MALTERIA",(AS1167*AK1167/1000000)*(1-VLOOKUP(N1167,FCST!D:I,6,FALSE)),0)</f>
        <v>19.055088000000001</v>
      </c>
      <c r="AU1167" s="232">
        <v>5.0000000000000001E-3</v>
      </c>
      <c r="AV1167" s="239">
        <f t="shared" si="166"/>
        <v>19.15036344</v>
      </c>
      <c r="AW1167" s="239">
        <f>(AS1167*AK1167/1000000)*(VLOOKUP(N1167,FCST!D:I,6,FALSE))</f>
        <v>0</v>
      </c>
      <c r="AX1167" s="239">
        <f t="shared" si="167"/>
        <v>0</v>
      </c>
      <c r="AY1167" s="239">
        <f>IF($G1167="CERVECERIA Y MALTERIA.",($AS1167*$AK1167/1000000)*(1-VLOOKUP($N1167,FCST!D:I,6,FALSE)),0)</f>
        <v>0</v>
      </c>
      <c r="AZ1167" s="239">
        <f t="shared" si="168"/>
        <v>0</v>
      </c>
    </row>
    <row r="1168" spans="1:52" x14ac:dyDescent="0.25">
      <c r="A1168" s="209">
        <v>1130904</v>
      </c>
      <c r="B1168" s="209">
        <v>10</v>
      </c>
      <c r="C1168" s="209">
        <v>89524858</v>
      </c>
      <c r="D1168" s="209">
        <v>10</v>
      </c>
      <c r="E1168" s="209">
        <v>10000002</v>
      </c>
      <c r="F1168" s="209">
        <v>20000340</v>
      </c>
      <c r="G1168" s="209" t="s">
        <v>117</v>
      </c>
      <c r="H1168" s="209">
        <v>20000340</v>
      </c>
      <c r="I1168" s="209">
        <v>2</v>
      </c>
      <c r="J1168" s="209" t="s">
        <v>169</v>
      </c>
      <c r="K1168" s="209" t="s">
        <v>2541</v>
      </c>
      <c r="L1168" s="209" t="s">
        <v>171</v>
      </c>
      <c r="M1168" s="209" t="s">
        <v>172</v>
      </c>
      <c r="N1168" s="209">
        <v>50038523</v>
      </c>
      <c r="O1168" s="209" t="s">
        <v>249</v>
      </c>
      <c r="P1168" s="209">
        <v>5101</v>
      </c>
      <c r="Q1168" s="209" t="s">
        <v>186</v>
      </c>
      <c r="R1168" s="209" t="s">
        <v>175</v>
      </c>
      <c r="S1168" s="209" t="s">
        <v>176</v>
      </c>
      <c r="T1168" s="209" t="s">
        <v>187</v>
      </c>
      <c r="U1168" s="209" t="s">
        <v>188</v>
      </c>
      <c r="V1168" s="209" t="s">
        <v>179</v>
      </c>
      <c r="W1168" s="209" t="s">
        <v>179</v>
      </c>
      <c r="X1168" s="209" t="s">
        <v>180</v>
      </c>
      <c r="Y1168" s="209" t="s">
        <v>180</v>
      </c>
      <c r="Z1168" s="209">
        <v>9511048171</v>
      </c>
      <c r="AA1168" s="209" t="s">
        <v>2468</v>
      </c>
      <c r="AB1168" s="209" t="s">
        <v>180</v>
      </c>
      <c r="AC1168" s="209" t="s">
        <v>182</v>
      </c>
      <c r="AD1168" s="209">
        <v>7</v>
      </c>
      <c r="AE1168" s="209">
        <v>2025</v>
      </c>
      <c r="AF1168" s="227">
        <v>45863</v>
      </c>
      <c r="AG1168" s="227">
        <v>45866</v>
      </c>
      <c r="AH1168" s="227">
        <v>45866</v>
      </c>
      <c r="AI1168" s="228">
        <v>606528</v>
      </c>
      <c r="AJ1168" s="228">
        <v>52</v>
      </c>
      <c r="AK1168" s="228">
        <v>606528</v>
      </c>
      <c r="AL1168" s="228">
        <v>52</v>
      </c>
      <c r="AM1168" s="228">
        <v>0</v>
      </c>
      <c r="AN1168" s="228">
        <v>0</v>
      </c>
      <c r="AO1168" s="229">
        <v>31</v>
      </c>
      <c r="AP1168" s="231">
        <v>7</v>
      </c>
      <c r="AQ1168" s="231">
        <v>2025</v>
      </c>
      <c r="AR1168" s="231" t="str">
        <f t="shared" si="164"/>
        <v>07/2025</v>
      </c>
      <c r="AS1168" s="231">
        <f t="shared" si="165"/>
        <v>30</v>
      </c>
      <c r="AT1168" s="239">
        <f>IF(G1168="CERVECERIA Y MALTERIA",(AS1168*AK1168/1000000)*(1-VLOOKUP(N1168,FCST!D:I,6,FALSE)),0)</f>
        <v>0</v>
      </c>
      <c r="AU1168" s="232">
        <v>5.0000000000000001E-3</v>
      </c>
      <c r="AV1168" s="239">
        <f t="shared" si="166"/>
        <v>0</v>
      </c>
      <c r="AW1168" s="239">
        <f>(AS1168*AK1168/1000000)*(VLOOKUP(N1168,FCST!D:I,6,FALSE))</f>
        <v>0</v>
      </c>
      <c r="AX1168" s="239">
        <f t="shared" si="167"/>
        <v>0</v>
      </c>
      <c r="AY1168" s="239">
        <f>IF($G1168="CERVECERIA Y MALTERIA.",($AS1168*$AK1168/1000000)*(1-VLOOKUP($N1168,FCST!D:I,6,FALSE)),0)</f>
        <v>18.19584</v>
      </c>
      <c r="AZ1168" s="239">
        <f t="shared" si="168"/>
        <v>18.2868192</v>
      </c>
    </row>
    <row r="1169" spans="1:52" x14ac:dyDescent="0.25">
      <c r="A1169" s="209">
        <v>1127233</v>
      </c>
      <c r="B1169" s="209">
        <v>10</v>
      </c>
      <c r="C1169" s="209">
        <v>89506803</v>
      </c>
      <c r="D1169" s="209">
        <v>10</v>
      </c>
      <c r="E1169" s="209">
        <v>10000002</v>
      </c>
      <c r="F1169" s="209">
        <v>20000335</v>
      </c>
      <c r="G1169" s="209" t="s">
        <v>105</v>
      </c>
      <c r="H1169" s="209">
        <v>20000335</v>
      </c>
      <c r="I1169" s="209">
        <v>2</v>
      </c>
      <c r="J1169" s="209" t="s">
        <v>169</v>
      </c>
      <c r="K1169" s="209" t="s">
        <v>2542</v>
      </c>
      <c r="L1169" s="209" t="s">
        <v>171</v>
      </c>
      <c r="M1169" s="209" t="s">
        <v>199</v>
      </c>
      <c r="N1169" s="209">
        <v>50037887</v>
      </c>
      <c r="O1169" s="209" t="s">
        <v>679</v>
      </c>
      <c r="P1169" s="209">
        <v>5121</v>
      </c>
      <c r="Q1169" s="209" t="s">
        <v>200</v>
      </c>
      <c r="R1169" s="209" t="s">
        <v>201</v>
      </c>
      <c r="S1169" s="209" t="s">
        <v>202</v>
      </c>
      <c r="T1169" s="209" t="s">
        <v>203</v>
      </c>
      <c r="U1169" s="209" t="s">
        <v>201</v>
      </c>
      <c r="V1169" s="209" t="s">
        <v>179</v>
      </c>
      <c r="W1169" s="209" t="s">
        <v>179</v>
      </c>
      <c r="X1169" s="209" t="s">
        <v>180</v>
      </c>
      <c r="Y1169" s="209" t="s">
        <v>180</v>
      </c>
      <c r="Z1169" s="209">
        <v>9521069045</v>
      </c>
      <c r="AA1169" s="209" t="s">
        <v>2462</v>
      </c>
      <c r="AB1169" s="209" t="s">
        <v>180</v>
      </c>
      <c r="AC1169" s="209" t="s">
        <v>182</v>
      </c>
      <c r="AD1169" s="209">
        <v>7</v>
      </c>
      <c r="AE1169" s="209">
        <v>2025</v>
      </c>
      <c r="AF1169" s="227">
        <v>45842</v>
      </c>
      <c r="AG1169" s="227">
        <v>45845</v>
      </c>
      <c r="AH1169" s="227">
        <v>45845</v>
      </c>
      <c r="AI1169" s="228">
        <v>531648</v>
      </c>
      <c r="AJ1169" s="228">
        <v>52</v>
      </c>
      <c r="AK1169" s="228">
        <v>531648</v>
      </c>
      <c r="AL1169" s="228">
        <v>52</v>
      </c>
      <c r="AM1169" s="228">
        <v>0</v>
      </c>
      <c r="AN1169" s="228">
        <v>0</v>
      </c>
      <c r="AO1169" s="229">
        <v>27</v>
      </c>
      <c r="AP1169" s="231">
        <v>7</v>
      </c>
      <c r="AQ1169" s="231">
        <v>2025</v>
      </c>
      <c r="AR1169" s="231" t="str">
        <f t="shared" si="164"/>
        <v>07/2025</v>
      </c>
      <c r="AS1169" s="231">
        <f t="shared" si="165"/>
        <v>37.200000000000003</v>
      </c>
      <c r="AT1169" s="239">
        <f>IF(G1169="CERVECERIA Y MALTERIA",(AS1169*AK1169/1000000)*(1-VLOOKUP(N1169,FCST!D:I,6,FALSE)),0)</f>
        <v>19.777305600000002</v>
      </c>
      <c r="AU1169" s="232">
        <v>5.0000000000000001E-3</v>
      </c>
      <c r="AV1169" s="239">
        <f t="shared" si="166"/>
        <v>19.876192128</v>
      </c>
      <c r="AW1169" s="239">
        <f>(AS1169*AK1169/1000000)*(VLOOKUP(N1169,FCST!D:I,6,FALSE))</f>
        <v>0</v>
      </c>
      <c r="AX1169" s="239">
        <f t="shared" si="167"/>
        <v>0</v>
      </c>
      <c r="AY1169" s="239">
        <f>IF($G1169="CERVECERIA Y MALTERIA.",($AS1169*$AK1169/1000000)*(1-VLOOKUP($N1169,FCST!D:I,6,FALSE)),0)</f>
        <v>0</v>
      </c>
      <c r="AZ1169" s="239">
        <f t="shared" si="168"/>
        <v>0</v>
      </c>
    </row>
    <row r="1170" spans="1:52" x14ac:dyDescent="0.25">
      <c r="A1170" s="209">
        <v>1127253</v>
      </c>
      <c r="B1170" s="209">
        <v>20</v>
      </c>
      <c r="C1170" s="209">
        <v>89508131</v>
      </c>
      <c r="D1170" s="209">
        <v>20</v>
      </c>
      <c r="E1170" s="209">
        <v>10000002</v>
      </c>
      <c r="F1170" s="209">
        <v>20000339</v>
      </c>
      <c r="G1170" s="209" t="s">
        <v>105</v>
      </c>
      <c r="H1170" s="209">
        <v>20000339</v>
      </c>
      <c r="I1170" s="209">
        <v>2</v>
      </c>
      <c r="J1170" s="209" t="s">
        <v>169</v>
      </c>
      <c r="K1170" s="209" t="s">
        <v>2543</v>
      </c>
      <c r="L1170" s="209" t="s">
        <v>171</v>
      </c>
      <c r="M1170" s="209" t="s">
        <v>227</v>
      </c>
      <c r="N1170" s="209">
        <v>50034194</v>
      </c>
      <c r="O1170" s="209" t="s">
        <v>276</v>
      </c>
      <c r="P1170" s="209">
        <v>5121</v>
      </c>
      <c r="Q1170" s="209" t="s">
        <v>228</v>
      </c>
      <c r="R1170" s="209" t="s">
        <v>229</v>
      </c>
      <c r="S1170" s="209" t="s">
        <v>230</v>
      </c>
      <c r="T1170" s="209" t="s">
        <v>231</v>
      </c>
      <c r="U1170" s="209" t="s">
        <v>232</v>
      </c>
      <c r="V1170" s="209" t="s">
        <v>179</v>
      </c>
      <c r="W1170" s="209" t="s">
        <v>179</v>
      </c>
      <c r="X1170" s="209" t="s">
        <v>180</v>
      </c>
      <c r="Y1170" s="209" t="s">
        <v>180</v>
      </c>
      <c r="Z1170" s="209">
        <v>9521069046</v>
      </c>
      <c r="AA1170" s="209" t="s">
        <v>2544</v>
      </c>
      <c r="AB1170" s="209" t="s">
        <v>180</v>
      </c>
      <c r="AC1170" s="209" t="s">
        <v>182</v>
      </c>
      <c r="AD1170" s="209">
        <v>7</v>
      </c>
      <c r="AE1170" s="209">
        <v>2025</v>
      </c>
      <c r="AF1170" s="227">
        <v>45845</v>
      </c>
      <c r="AG1170" s="227">
        <v>45846</v>
      </c>
      <c r="AH1170" s="227">
        <v>45846</v>
      </c>
      <c r="AI1170" s="228">
        <v>182880</v>
      </c>
      <c r="AJ1170" s="228">
        <v>30</v>
      </c>
      <c r="AK1170" s="228">
        <v>182880</v>
      </c>
      <c r="AL1170" s="228">
        <v>30</v>
      </c>
      <c r="AM1170" s="228">
        <v>0</v>
      </c>
      <c r="AN1170" s="228">
        <v>0</v>
      </c>
      <c r="AO1170" s="229">
        <v>28</v>
      </c>
      <c r="AP1170" s="231">
        <v>7</v>
      </c>
      <c r="AQ1170" s="231">
        <v>2025</v>
      </c>
      <c r="AR1170" s="231" t="str">
        <f t="shared" si="164"/>
        <v>07/2025</v>
      </c>
      <c r="AS1170" s="231">
        <f t="shared" si="165"/>
        <v>62</v>
      </c>
      <c r="AT1170" s="239">
        <f>IF(G1170="CERVECERIA Y MALTERIA",(AS1170*AK1170/1000000)*(1-VLOOKUP(N1170,FCST!D:I,6,FALSE)),0)</f>
        <v>11.338559999999999</v>
      </c>
      <c r="AU1170" s="232">
        <v>5.0000000000000001E-3</v>
      </c>
      <c r="AV1170" s="239">
        <f t="shared" si="166"/>
        <v>11.395252799999998</v>
      </c>
      <c r="AW1170" s="239">
        <f>(AS1170*AK1170/1000000)*(VLOOKUP(N1170,FCST!D:I,6,FALSE))</f>
        <v>0</v>
      </c>
      <c r="AX1170" s="239">
        <f t="shared" si="167"/>
        <v>0</v>
      </c>
      <c r="AY1170" s="239">
        <f>IF($G1170="CERVECERIA Y MALTERIA.",($AS1170*$AK1170/1000000)*(1-VLOOKUP($N1170,FCST!D:I,6,FALSE)),0)</f>
        <v>0</v>
      </c>
      <c r="AZ1170" s="239">
        <f t="shared" si="168"/>
        <v>0</v>
      </c>
    </row>
    <row r="1171" spans="1:52" x14ac:dyDescent="0.25">
      <c r="A1171" s="209">
        <v>1127253</v>
      </c>
      <c r="B1171" s="209">
        <v>10</v>
      </c>
      <c r="C1171" s="209">
        <v>89508131</v>
      </c>
      <c r="D1171" s="209">
        <v>10</v>
      </c>
      <c r="E1171" s="209">
        <v>10000002</v>
      </c>
      <c r="F1171" s="209">
        <v>20000339</v>
      </c>
      <c r="G1171" s="209" t="s">
        <v>105</v>
      </c>
      <c r="H1171" s="209">
        <v>20000339</v>
      </c>
      <c r="I1171" s="209">
        <v>2</v>
      </c>
      <c r="J1171" s="209" t="s">
        <v>169</v>
      </c>
      <c r="K1171" s="209" t="s">
        <v>2543</v>
      </c>
      <c r="L1171" s="209" t="s">
        <v>171</v>
      </c>
      <c r="M1171" s="209" t="s">
        <v>227</v>
      </c>
      <c r="N1171" s="209">
        <v>50034634</v>
      </c>
      <c r="O1171" s="209" t="s">
        <v>219</v>
      </c>
      <c r="P1171" s="209">
        <v>5121</v>
      </c>
      <c r="Q1171" s="209" t="s">
        <v>228</v>
      </c>
      <c r="R1171" s="209" t="s">
        <v>229</v>
      </c>
      <c r="S1171" s="209" t="s">
        <v>230</v>
      </c>
      <c r="T1171" s="209" t="s">
        <v>231</v>
      </c>
      <c r="U1171" s="209" t="s">
        <v>232</v>
      </c>
      <c r="V1171" s="209" t="s">
        <v>179</v>
      </c>
      <c r="W1171" s="209" t="s">
        <v>179</v>
      </c>
      <c r="X1171" s="209" t="s">
        <v>180</v>
      </c>
      <c r="Y1171" s="209" t="s">
        <v>180</v>
      </c>
      <c r="Z1171" s="209">
        <v>9521069046</v>
      </c>
      <c r="AA1171" s="209" t="s">
        <v>2544</v>
      </c>
      <c r="AB1171" s="209" t="s">
        <v>180</v>
      </c>
      <c r="AC1171" s="209" t="s">
        <v>182</v>
      </c>
      <c r="AD1171" s="209">
        <v>7</v>
      </c>
      <c r="AE1171" s="209">
        <v>2025</v>
      </c>
      <c r="AF1171" s="227">
        <v>45845</v>
      </c>
      <c r="AG1171" s="227">
        <v>45846</v>
      </c>
      <c r="AH1171" s="227">
        <v>45846</v>
      </c>
      <c r="AI1171" s="228">
        <v>154176</v>
      </c>
      <c r="AJ1171" s="228">
        <v>22</v>
      </c>
      <c r="AK1171" s="228">
        <v>154176</v>
      </c>
      <c r="AL1171" s="228">
        <v>22</v>
      </c>
      <c r="AM1171" s="228">
        <v>0</v>
      </c>
      <c r="AN1171" s="228">
        <v>0</v>
      </c>
      <c r="AO1171" s="229">
        <v>28</v>
      </c>
      <c r="AP1171" s="231">
        <v>7</v>
      </c>
      <c r="AQ1171" s="231">
        <v>2025</v>
      </c>
      <c r="AR1171" s="231" t="str">
        <f t="shared" si="164"/>
        <v>07/2025</v>
      </c>
      <c r="AS1171" s="231">
        <f t="shared" si="165"/>
        <v>52</v>
      </c>
      <c r="AT1171" s="239">
        <f>IF(G1171="CERVECERIA Y MALTERIA",(AS1171*AK1171/1000000)*(1-VLOOKUP(N1171,FCST!D:I,6,FALSE)),0)</f>
        <v>8.0171519999999994</v>
      </c>
      <c r="AU1171" s="232">
        <v>5.0000000000000001E-3</v>
      </c>
      <c r="AV1171" s="239">
        <f t="shared" si="166"/>
        <v>8.0572377599999978</v>
      </c>
      <c r="AW1171" s="239">
        <f>(AS1171*AK1171/1000000)*(VLOOKUP(N1171,FCST!D:I,6,FALSE))</f>
        <v>0</v>
      </c>
      <c r="AX1171" s="239">
        <f t="shared" si="167"/>
        <v>0</v>
      </c>
      <c r="AY1171" s="239">
        <f>IF($G1171="CERVECERIA Y MALTERIA.",($AS1171*$AK1171/1000000)*(1-VLOOKUP($N1171,FCST!D:I,6,FALSE)),0)</f>
        <v>0</v>
      </c>
      <c r="AZ1171" s="239">
        <f t="shared" si="168"/>
        <v>0</v>
      </c>
    </row>
    <row r="1172" spans="1:52" x14ac:dyDescent="0.25">
      <c r="A1172" s="209">
        <v>1127183</v>
      </c>
      <c r="B1172" s="209">
        <v>10</v>
      </c>
      <c r="C1172" s="209">
        <v>89507319</v>
      </c>
      <c r="D1172" s="209">
        <v>10</v>
      </c>
      <c r="E1172" s="209">
        <v>10000002</v>
      </c>
      <c r="F1172" s="209">
        <v>20001057</v>
      </c>
      <c r="G1172" s="209" t="s">
        <v>105</v>
      </c>
      <c r="H1172" s="209">
        <v>20001057</v>
      </c>
      <c r="I1172" s="209">
        <v>2</v>
      </c>
      <c r="J1172" s="209" t="s">
        <v>169</v>
      </c>
      <c r="K1172" s="209" t="s">
        <v>2545</v>
      </c>
      <c r="L1172" s="209" t="s">
        <v>171</v>
      </c>
      <c r="M1172" s="209" t="s">
        <v>199</v>
      </c>
      <c r="N1172" s="209">
        <v>50037887</v>
      </c>
      <c r="O1172" s="209" t="s">
        <v>679</v>
      </c>
      <c r="P1172" s="209">
        <v>5121</v>
      </c>
      <c r="Q1172" s="209" t="s">
        <v>200</v>
      </c>
      <c r="R1172" s="209" t="s">
        <v>201</v>
      </c>
      <c r="S1172" s="209" t="s">
        <v>202</v>
      </c>
      <c r="T1172" s="209" t="s">
        <v>203</v>
      </c>
      <c r="U1172" s="209" t="s">
        <v>201</v>
      </c>
      <c r="V1172" s="209" t="s">
        <v>179</v>
      </c>
      <c r="W1172" s="209" t="s">
        <v>179</v>
      </c>
      <c r="X1172" s="209" t="s">
        <v>180</v>
      </c>
      <c r="Y1172" s="209" t="s">
        <v>180</v>
      </c>
      <c r="Z1172" s="209">
        <v>9521069063</v>
      </c>
      <c r="AA1172" s="209" t="s">
        <v>2546</v>
      </c>
      <c r="AB1172" s="209" t="s">
        <v>180</v>
      </c>
      <c r="AC1172" s="209" t="s">
        <v>182</v>
      </c>
      <c r="AD1172" s="209">
        <v>7</v>
      </c>
      <c r="AE1172" s="209">
        <v>2025</v>
      </c>
      <c r="AF1172" s="227">
        <v>45842</v>
      </c>
      <c r="AG1172" s="227">
        <v>45845</v>
      </c>
      <c r="AH1172" s="227">
        <v>45845</v>
      </c>
      <c r="AI1172" s="228">
        <v>531648</v>
      </c>
      <c r="AJ1172" s="228">
        <v>52</v>
      </c>
      <c r="AK1172" s="228">
        <v>531648</v>
      </c>
      <c r="AL1172" s="228">
        <v>52</v>
      </c>
      <c r="AM1172" s="228">
        <v>0</v>
      </c>
      <c r="AN1172" s="228">
        <v>0</v>
      </c>
      <c r="AO1172" s="229">
        <v>28</v>
      </c>
      <c r="AP1172" s="231">
        <v>7</v>
      </c>
      <c r="AQ1172" s="231">
        <v>2025</v>
      </c>
      <c r="AR1172" s="231" t="str">
        <f t="shared" si="164"/>
        <v>07/2025</v>
      </c>
      <c r="AS1172" s="231">
        <f t="shared" si="165"/>
        <v>37.200000000000003</v>
      </c>
      <c r="AT1172" s="239">
        <f>IF(G1172="CERVECERIA Y MALTERIA",(AS1172*AK1172/1000000)*(1-VLOOKUP(N1172,FCST!D:I,6,FALSE)),0)</f>
        <v>19.777305600000002</v>
      </c>
      <c r="AU1172" s="232">
        <v>5.0000000000000001E-3</v>
      </c>
      <c r="AV1172" s="239">
        <f t="shared" si="166"/>
        <v>19.876192128</v>
      </c>
      <c r="AW1172" s="239">
        <f>(AS1172*AK1172/1000000)*(VLOOKUP(N1172,FCST!D:I,6,FALSE))</f>
        <v>0</v>
      </c>
      <c r="AX1172" s="239">
        <f t="shared" si="167"/>
        <v>0</v>
      </c>
      <c r="AY1172" s="239">
        <f>IF($G1172="CERVECERIA Y MALTERIA.",($AS1172*$AK1172/1000000)*(1-VLOOKUP($N1172,FCST!D:I,6,FALSE)),0)</f>
        <v>0</v>
      </c>
      <c r="AZ1172" s="239">
        <f t="shared" si="168"/>
        <v>0</v>
      </c>
    </row>
    <row r="1173" spans="1:52" x14ac:dyDescent="0.25">
      <c r="A1173" s="209">
        <v>1127254</v>
      </c>
      <c r="B1173" s="209">
        <v>30</v>
      </c>
      <c r="C1173" s="209">
        <v>89507229</v>
      </c>
      <c r="D1173" s="209">
        <v>30</v>
      </c>
      <c r="E1173" s="209">
        <v>10000002</v>
      </c>
      <c r="F1173" s="209">
        <v>20000336</v>
      </c>
      <c r="G1173" s="209" t="s">
        <v>105</v>
      </c>
      <c r="H1173" s="209">
        <v>20000336</v>
      </c>
      <c r="I1173" s="209">
        <v>2</v>
      </c>
      <c r="J1173" s="209" t="s">
        <v>169</v>
      </c>
      <c r="K1173" s="209" t="s">
        <v>2547</v>
      </c>
      <c r="L1173" s="209" t="s">
        <v>171</v>
      </c>
      <c r="M1173" s="209" t="s">
        <v>172</v>
      </c>
      <c r="N1173" s="209">
        <v>50024497</v>
      </c>
      <c r="O1173" s="209" t="s">
        <v>1352</v>
      </c>
      <c r="P1173" s="209">
        <v>5121</v>
      </c>
      <c r="Q1173" s="209" t="s">
        <v>174</v>
      </c>
      <c r="R1173" s="209" t="s">
        <v>175</v>
      </c>
      <c r="S1173" s="209" t="s">
        <v>176</v>
      </c>
      <c r="T1173" s="209" t="s">
        <v>177</v>
      </c>
      <c r="U1173" s="209" t="s">
        <v>178</v>
      </c>
      <c r="V1173" s="209" t="s">
        <v>179</v>
      </c>
      <c r="W1173" s="209" t="s">
        <v>179</v>
      </c>
      <c r="X1173" s="209" t="s">
        <v>180</v>
      </c>
      <c r="Y1173" s="209" t="s">
        <v>180</v>
      </c>
      <c r="Z1173" s="209">
        <v>9521069081</v>
      </c>
      <c r="AA1173" s="209" t="s">
        <v>2548</v>
      </c>
      <c r="AB1173" s="209" t="s">
        <v>180</v>
      </c>
      <c r="AC1173" s="209" t="s">
        <v>182</v>
      </c>
      <c r="AD1173" s="209">
        <v>7</v>
      </c>
      <c r="AE1173" s="209">
        <v>2025</v>
      </c>
      <c r="AF1173" s="227">
        <v>45845</v>
      </c>
      <c r="AG1173" s="227">
        <v>45845</v>
      </c>
      <c r="AH1173" s="227">
        <v>45845</v>
      </c>
      <c r="AI1173" s="228">
        <v>203040</v>
      </c>
      <c r="AJ1173" s="228">
        <v>30</v>
      </c>
      <c r="AK1173" s="228">
        <v>203040</v>
      </c>
      <c r="AL1173" s="228">
        <v>30</v>
      </c>
      <c r="AM1173" s="228">
        <v>0</v>
      </c>
      <c r="AN1173" s="228">
        <v>0</v>
      </c>
      <c r="AO1173" s="229">
        <v>28</v>
      </c>
      <c r="AP1173" s="231">
        <v>7</v>
      </c>
      <c r="AQ1173" s="231">
        <v>2025</v>
      </c>
      <c r="AR1173" s="231" t="str">
        <f t="shared" si="164"/>
        <v>07/2025</v>
      </c>
      <c r="AS1173" s="231">
        <f t="shared" si="165"/>
        <v>54.7</v>
      </c>
      <c r="AT1173" s="239">
        <f>IF(G1173="CERVECERIA Y MALTERIA",(AS1173*AK1173/1000000)*(1-VLOOKUP(N1173,FCST!D:I,6,FALSE)),0)</f>
        <v>11.106287999999999</v>
      </c>
      <c r="AU1173" s="232">
        <v>5.0000000000000001E-3</v>
      </c>
      <c r="AV1173" s="239">
        <f t="shared" si="166"/>
        <v>11.161819439999999</v>
      </c>
      <c r="AW1173" s="239">
        <f>(AS1173*AK1173/1000000)*(VLOOKUP(N1173,FCST!D:I,6,FALSE))</f>
        <v>0</v>
      </c>
      <c r="AX1173" s="239">
        <f t="shared" si="167"/>
        <v>0</v>
      </c>
      <c r="AY1173" s="239">
        <f>IF($G1173="CERVECERIA Y MALTERIA.",($AS1173*$AK1173/1000000)*(1-VLOOKUP($N1173,FCST!D:I,6,FALSE)),0)</f>
        <v>0</v>
      </c>
      <c r="AZ1173" s="239">
        <f t="shared" si="168"/>
        <v>0</v>
      </c>
    </row>
    <row r="1174" spans="1:52" x14ac:dyDescent="0.25">
      <c r="A1174" s="209">
        <v>1127254</v>
      </c>
      <c r="B1174" s="209">
        <v>20</v>
      </c>
      <c r="C1174" s="209">
        <v>89507229</v>
      </c>
      <c r="D1174" s="209">
        <v>20</v>
      </c>
      <c r="E1174" s="209">
        <v>10000002</v>
      </c>
      <c r="F1174" s="209">
        <v>20000336</v>
      </c>
      <c r="G1174" s="209" t="s">
        <v>105</v>
      </c>
      <c r="H1174" s="209">
        <v>20000336</v>
      </c>
      <c r="I1174" s="209">
        <v>2</v>
      </c>
      <c r="J1174" s="209" t="s">
        <v>169</v>
      </c>
      <c r="K1174" s="209" t="s">
        <v>2547</v>
      </c>
      <c r="L1174" s="209" t="s">
        <v>171</v>
      </c>
      <c r="M1174" s="209" t="s">
        <v>172</v>
      </c>
      <c r="N1174" s="209">
        <v>50039815</v>
      </c>
      <c r="O1174" s="209" t="s">
        <v>2454</v>
      </c>
      <c r="P1174" s="209">
        <v>5121</v>
      </c>
      <c r="Q1174" s="209" t="s">
        <v>174</v>
      </c>
      <c r="R1174" s="209" t="s">
        <v>175</v>
      </c>
      <c r="S1174" s="209" t="s">
        <v>176</v>
      </c>
      <c r="T1174" s="209" t="s">
        <v>177</v>
      </c>
      <c r="U1174" s="209" t="s">
        <v>178</v>
      </c>
      <c r="V1174" s="209" t="s">
        <v>179</v>
      </c>
      <c r="W1174" s="209" t="s">
        <v>179</v>
      </c>
      <c r="X1174" s="209" t="s">
        <v>180</v>
      </c>
      <c r="Y1174" s="209" t="s">
        <v>180</v>
      </c>
      <c r="Z1174" s="209">
        <v>9521069081</v>
      </c>
      <c r="AA1174" s="209" t="s">
        <v>2548</v>
      </c>
      <c r="AB1174" s="209" t="s">
        <v>180</v>
      </c>
      <c r="AC1174" s="209" t="s">
        <v>182</v>
      </c>
      <c r="AD1174" s="209">
        <v>7</v>
      </c>
      <c r="AE1174" s="209">
        <v>2025</v>
      </c>
      <c r="AF1174" s="227">
        <v>45845</v>
      </c>
      <c r="AG1174" s="227">
        <v>45845</v>
      </c>
      <c r="AH1174" s="227">
        <v>45845</v>
      </c>
      <c r="AI1174" s="228">
        <v>16416</v>
      </c>
      <c r="AJ1174" s="228">
        <v>2</v>
      </c>
      <c r="AK1174" s="228">
        <v>16416</v>
      </c>
      <c r="AL1174" s="228">
        <v>2</v>
      </c>
      <c r="AM1174" s="228">
        <v>0</v>
      </c>
      <c r="AN1174" s="228">
        <v>0</v>
      </c>
      <c r="AO1174" s="229">
        <v>28</v>
      </c>
      <c r="AP1174" s="231">
        <v>7</v>
      </c>
      <c r="AQ1174" s="231">
        <v>2025</v>
      </c>
      <c r="AR1174" s="231" t="str">
        <f t="shared" si="164"/>
        <v>07/2025</v>
      </c>
      <c r="AS1174" s="231">
        <f t="shared" si="165"/>
        <v>46.6</v>
      </c>
      <c r="AT1174" s="239">
        <f>IF(G1174="CERVECERIA Y MALTERIA",(AS1174*AK1174/1000000)*(1-VLOOKUP(N1174,FCST!D:I,6,FALSE)),0)</f>
        <v>0.61198847999999995</v>
      </c>
      <c r="AU1174" s="232">
        <v>5.0000000000000001E-3</v>
      </c>
      <c r="AV1174" s="239">
        <f t="shared" si="166"/>
        <v>0.61504842239999991</v>
      </c>
      <c r="AW1174" s="239">
        <f>(AS1174*AK1174/1000000)*(VLOOKUP(N1174,FCST!D:I,6,FALSE))</f>
        <v>0.15299711999999999</v>
      </c>
      <c r="AX1174" s="239">
        <f t="shared" si="167"/>
        <v>0.15376210559999998</v>
      </c>
      <c r="AY1174" s="239">
        <f>IF($G1174="CERVECERIA Y MALTERIA.",($AS1174*$AK1174/1000000)*(1-VLOOKUP($N1174,FCST!D:I,6,FALSE)),0)</f>
        <v>0</v>
      </c>
      <c r="AZ1174" s="239">
        <f t="shared" si="168"/>
        <v>0</v>
      </c>
    </row>
    <row r="1175" spans="1:52" x14ac:dyDescent="0.25">
      <c r="A1175" s="209">
        <v>1127254</v>
      </c>
      <c r="B1175" s="209">
        <v>10</v>
      </c>
      <c r="C1175" s="209">
        <v>89507229</v>
      </c>
      <c r="D1175" s="209">
        <v>10</v>
      </c>
      <c r="E1175" s="209">
        <v>10000002</v>
      </c>
      <c r="F1175" s="209">
        <v>20000336</v>
      </c>
      <c r="G1175" s="209" t="s">
        <v>105</v>
      </c>
      <c r="H1175" s="209">
        <v>20000336</v>
      </c>
      <c r="I1175" s="209">
        <v>2</v>
      </c>
      <c r="J1175" s="209" t="s">
        <v>169</v>
      </c>
      <c r="K1175" s="209" t="s">
        <v>2547</v>
      </c>
      <c r="L1175" s="209" t="s">
        <v>171</v>
      </c>
      <c r="M1175" s="209" t="s">
        <v>172</v>
      </c>
      <c r="N1175" s="209">
        <v>50034616</v>
      </c>
      <c r="O1175" s="209" t="s">
        <v>191</v>
      </c>
      <c r="P1175" s="209">
        <v>5121</v>
      </c>
      <c r="Q1175" s="209" t="s">
        <v>174</v>
      </c>
      <c r="R1175" s="209" t="s">
        <v>175</v>
      </c>
      <c r="S1175" s="209" t="s">
        <v>176</v>
      </c>
      <c r="T1175" s="209" t="s">
        <v>177</v>
      </c>
      <c r="U1175" s="209" t="s">
        <v>178</v>
      </c>
      <c r="V1175" s="209" t="s">
        <v>179</v>
      </c>
      <c r="W1175" s="209" t="s">
        <v>179</v>
      </c>
      <c r="X1175" s="209" t="s">
        <v>180</v>
      </c>
      <c r="Y1175" s="209" t="s">
        <v>180</v>
      </c>
      <c r="Z1175" s="209">
        <v>9521069081</v>
      </c>
      <c r="AA1175" s="209" t="s">
        <v>2548</v>
      </c>
      <c r="AB1175" s="209" t="s">
        <v>180</v>
      </c>
      <c r="AC1175" s="209" t="s">
        <v>182</v>
      </c>
      <c r="AD1175" s="209">
        <v>7</v>
      </c>
      <c r="AE1175" s="209">
        <v>2025</v>
      </c>
      <c r="AF1175" s="227">
        <v>45845</v>
      </c>
      <c r="AG1175" s="227">
        <v>45845</v>
      </c>
      <c r="AH1175" s="227">
        <v>45845</v>
      </c>
      <c r="AI1175" s="228">
        <v>164160</v>
      </c>
      <c r="AJ1175" s="228">
        <v>20</v>
      </c>
      <c r="AK1175" s="228">
        <v>164160</v>
      </c>
      <c r="AL1175" s="228">
        <v>20</v>
      </c>
      <c r="AM1175" s="228">
        <v>0</v>
      </c>
      <c r="AN1175" s="228">
        <v>0</v>
      </c>
      <c r="AO1175" s="229">
        <v>28</v>
      </c>
      <c r="AP1175" s="231">
        <v>7</v>
      </c>
      <c r="AQ1175" s="231">
        <v>2025</v>
      </c>
      <c r="AR1175" s="231" t="str">
        <f t="shared" ref="AR1175:AR1206" si="169">+IF(AP1175&lt;10,"0"&amp;AP1175&amp; "/"&amp;AQ1175,AP1175&amp; "/"&amp;AQ1175)</f>
        <v>07/2025</v>
      </c>
      <c r="AS1175" s="231">
        <f t="shared" ref="AS1175:AS1206" si="170">VALUE(MID(INDEX(_xlfn.TEXTSPLIT(O1175, ","), 1, 3), 1,FIND("G", INDEX(_xlfn.TEXTSPLIT(O1175, ","), 1, 3))-1))</f>
        <v>46.6</v>
      </c>
      <c r="AT1175" s="239">
        <f>IF(G1175="CERVECERIA Y MALTERIA",(AS1175*AK1175/1000000)*(1-VLOOKUP(N1175,FCST!D:I,6,FALSE)),0)</f>
        <v>7.6498559999999998</v>
      </c>
      <c r="AU1175" s="232">
        <v>5.0000000000000001E-3</v>
      </c>
      <c r="AV1175" s="239">
        <f t="shared" ref="AV1175:AV1206" si="171">+AT1175*(1+AU1175)</f>
        <v>7.6881052799999994</v>
      </c>
      <c r="AW1175" s="239">
        <f>(AS1175*AK1175/1000000)*(VLOOKUP(N1175,FCST!D:I,6,FALSE))</f>
        <v>0</v>
      </c>
      <c r="AX1175" s="239">
        <f t="shared" ref="AX1175:AX1206" si="172">+AW1175*(1+AU1175)</f>
        <v>0</v>
      </c>
      <c r="AY1175" s="239">
        <f>IF($G1175="CERVECERIA Y MALTERIA.",($AS1175*$AK1175/1000000)*(1-VLOOKUP($N1175,FCST!D:I,6,FALSE)),0)</f>
        <v>0</v>
      </c>
      <c r="AZ1175" s="239">
        <f t="shared" ref="AZ1175:AZ1206" si="173">+AY1175*(1+AU1175)</f>
        <v>0</v>
      </c>
    </row>
    <row r="1176" spans="1:52" x14ac:dyDescent="0.25">
      <c r="A1176" s="209">
        <v>1127233</v>
      </c>
      <c r="B1176" s="209">
        <v>20</v>
      </c>
      <c r="C1176" s="209">
        <v>89507202</v>
      </c>
      <c r="D1176" s="209">
        <v>10</v>
      </c>
      <c r="E1176" s="209">
        <v>10000002</v>
      </c>
      <c r="F1176" s="209">
        <v>20000335</v>
      </c>
      <c r="G1176" s="209" t="s">
        <v>105</v>
      </c>
      <c r="H1176" s="209">
        <v>20000335</v>
      </c>
      <c r="I1176" s="209">
        <v>2</v>
      </c>
      <c r="J1176" s="209" t="s">
        <v>169</v>
      </c>
      <c r="K1176" s="209" t="s">
        <v>2549</v>
      </c>
      <c r="L1176" s="209" t="s">
        <v>171</v>
      </c>
      <c r="M1176" s="209" t="s">
        <v>172</v>
      </c>
      <c r="N1176" s="209">
        <v>50021818</v>
      </c>
      <c r="O1176" s="209" t="s">
        <v>2170</v>
      </c>
      <c r="P1176" s="209">
        <v>5121</v>
      </c>
      <c r="Q1176" s="209" t="s">
        <v>174</v>
      </c>
      <c r="R1176" s="209" t="s">
        <v>175</v>
      </c>
      <c r="S1176" s="209" t="s">
        <v>176</v>
      </c>
      <c r="T1176" s="209" t="s">
        <v>177</v>
      </c>
      <c r="U1176" s="209" t="s">
        <v>178</v>
      </c>
      <c r="V1176" s="209" t="s">
        <v>179</v>
      </c>
      <c r="W1176" s="209" t="s">
        <v>179</v>
      </c>
      <c r="X1176" s="209" t="s">
        <v>180</v>
      </c>
      <c r="Y1176" s="209" t="s">
        <v>180</v>
      </c>
      <c r="Z1176" s="209">
        <v>9521069040</v>
      </c>
      <c r="AA1176" s="209" t="s">
        <v>2550</v>
      </c>
      <c r="AB1176" s="209" t="s">
        <v>180</v>
      </c>
      <c r="AC1176" s="209" t="s">
        <v>182</v>
      </c>
      <c r="AD1176" s="209">
        <v>7</v>
      </c>
      <c r="AE1176" s="209">
        <v>2025</v>
      </c>
      <c r="AF1176" s="227">
        <v>45842</v>
      </c>
      <c r="AG1176" s="227">
        <v>45845</v>
      </c>
      <c r="AH1176" s="227">
        <v>45845</v>
      </c>
      <c r="AI1176" s="228">
        <v>426816</v>
      </c>
      <c r="AJ1176" s="228">
        <v>52</v>
      </c>
      <c r="AK1176" s="228">
        <v>426816</v>
      </c>
      <c r="AL1176" s="228">
        <v>52</v>
      </c>
      <c r="AM1176" s="228">
        <v>0</v>
      </c>
      <c r="AN1176" s="228">
        <v>0</v>
      </c>
      <c r="AO1176" s="229">
        <v>27</v>
      </c>
      <c r="AP1176" s="231">
        <v>7</v>
      </c>
      <c r="AQ1176" s="231">
        <v>2025</v>
      </c>
      <c r="AR1176" s="231" t="str">
        <f t="shared" si="169"/>
        <v>07/2025</v>
      </c>
      <c r="AS1176" s="231">
        <f t="shared" si="170"/>
        <v>46.6</v>
      </c>
      <c r="AT1176" s="239">
        <f>IF(G1176="CERVECERIA Y MALTERIA",(AS1176*AK1176/1000000)*(1-VLOOKUP(N1176,FCST!D:I,6,FALSE)),0)</f>
        <v>19.889625600000002</v>
      </c>
      <c r="AU1176" s="232">
        <v>5.0000000000000001E-3</v>
      </c>
      <c r="AV1176" s="239">
        <f t="shared" si="171"/>
        <v>19.989073728000001</v>
      </c>
      <c r="AW1176" s="239">
        <f>(AS1176*AK1176/1000000)*(VLOOKUP(N1176,FCST!D:I,6,FALSE))</f>
        <v>0</v>
      </c>
      <c r="AX1176" s="239">
        <f t="shared" si="172"/>
        <v>0</v>
      </c>
      <c r="AY1176" s="239">
        <f>IF($G1176="CERVECERIA Y MALTERIA.",($AS1176*$AK1176/1000000)*(1-VLOOKUP($N1176,FCST!D:I,6,FALSE)),0)</f>
        <v>0</v>
      </c>
      <c r="AZ1176" s="239">
        <f t="shared" si="173"/>
        <v>0</v>
      </c>
    </row>
    <row r="1177" spans="1:52" x14ac:dyDescent="0.25">
      <c r="A1177" s="209">
        <v>1126695</v>
      </c>
      <c r="B1177" s="209">
        <v>30</v>
      </c>
      <c r="C1177" s="209">
        <v>89507181</v>
      </c>
      <c r="D1177" s="209">
        <v>10</v>
      </c>
      <c r="E1177" s="209">
        <v>10000002</v>
      </c>
      <c r="F1177" s="209">
        <v>20000337</v>
      </c>
      <c r="G1177" s="209" t="s">
        <v>105</v>
      </c>
      <c r="H1177" s="209">
        <v>20000337</v>
      </c>
      <c r="I1177" s="209">
        <v>2</v>
      </c>
      <c r="J1177" s="209" t="s">
        <v>169</v>
      </c>
      <c r="K1177" s="209" t="s">
        <v>2551</v>
      </c>
      <c r="L1177" s="209" t="s">
        <v>265</v>
      </c>
      <c r="M1177" s="209" t="s">
        <v>199</v>
      </c>
      <c r="N1177" s="209">
        <v>50039302</v>
      </c>
      <c r="O1177" s="209" t="s">
        <v>1942</v>
      </c>
      <c r="P1177" s="209">
        <v>5121</v>
      </c>
      <c r="Q1177" s="209" t="s">
        <v>200</v>
      </c>
      <c r="R1177" s="209" t="s">
        <v>201</v>
      </c>
      <c r="S1177" s="209" t="s">
        <v>202</v>
      </c>
      <c r="T1177" s="209" t="s">
        <v>203</v>
      </c>
      <c r="U1177" s="209" t="s">
        <v>201</v>
      </c>
      <c r="V1177" s="209" t="s">
        <v>179</v>
      </c>
      <c r="W1177" s="209" t="s">
        <v>179</v>
      </c>
      <c r="X1177" s="209" t="s">
        <v>180</v>
      </c>
      <c r="Y1177" s="209" t="s">
        <v>180</v>
      </c>
      <c r="Z1177" s="209">
        <v>9521069053</v>
      </c>
      <c r="AA1177" s="209" t="s">
        <v>2552</v>
      </c>
      <c r="AB1177" s="209" t="s">
        <v>180</v>
      </c>
      <c r="AC1177" s="209" t="s">
        <v>182</v>
      </c>
      <c r="AD1177" s="209">
        <v>7</v>
      </c>
      <c r="AE1177" s="209">
        <v>2025</v>
      </c>
      <c r="AF1177" s="227">
        <v>45840</v>
      </c>
      <c r="AG1177" s="227">
        <v>45845</v>
      </c>
      <c r="AH1177" s="227">
        <v>45845</v>
      </c>
      <c r="AI1177" s="228">
        <v>399360</v>
      </c>
      <c r="AJ1177" s="228">
        <v>52</v>
      </c>
      <c r="AK1177" s="228">
        <v>399360</v>
      </c>
      <c r="AL1177" s="228">
        <v>52</v>
      </c>
      <c r="AM1177" s="228">
        <v>0</v>
      </c>
      <c r="AN1177" s="228">
        <v>0</v>
      </c>
      <c r="AO1177" s="229">
        <v>27</v>
      </c>
      <c r="AP1177" s="231">
        <v>7</v>
      </c>
      <c r="AQ1177" s="231">
        <v>2025</v>
      </c>
      <c r="AR1177" s="231" t="str">
        <f t="shared" si="169"/>
        <v>07/2025</v>
      </c>
      <c r="AS1177" s="231">
        <f t="shared" si="170"/>
        <v>46.6</v>
      </c>
      <c r="AT1177" s="239">
        <f>IF(G1177="CERVECERIA Y MALTERIA",(AS1177*AK1177/1000000)*(1-VLOOKUP(N1177,FCST!D:I,6,FALSE)),0)</f>
        <v>18.610175999999999</v>
      </c>
      <c r="AU1177" s="232">
        <v>5.0000000000000001E-3</v>
      </c>
      <c r="AV1177" s="239">
        <f t="shared" si="171"/>
        <v>18.703226879999995</v>
      </c>
      <c r="AW1177" s="239">
        <f>(AS1177*AK1177/1000000)*(VLOOKUP(N1177,FCST!D:I,6,FALSE))</f>
        <v>0</v>
      </c>
      <c r="AX1177" s="239">
        <f t="shared" si="172"/>
        <v>0</v>
      </c>
      <c r="AY1177" s="239">
        <f>IF($G1177="CERVECERIA Y MALTERIA.",($AS1177*$AK1177/1000000)*(1-VLOOKUP($N1177,FCST!D:I,6,FALSE)),0)</f>
        <v>0</v>
      </c>
      <c r="AZ1177" s="239">
        <f t="shared" si="173"/>
        <v>0</v>
      </c>
    </row>
    <row r="1178" spans="1:52" x14ac:dyDescent="0.25">
      <c r="A1178" s="209">
        <v>1126695</v>
      </c>
      <c r="B1178" s="209">
        <v>70</v>
      </c>
      <c r="C1178" s="209">
        <v>89506993</v>
      </c>
      <c r="D1178" s="209">
        <v>20</v>
      </c>
      <c r="E1178" s="209">
        <v>10000002</v>
      </c>
      <c r="F1178" s="209">
        <v>20000337</v>
      </c>
      <c r="G1178" s="209" t="s">
        <v>105</v>
      </c>
      <c r="H1178" s="209">
        <v>20000337</v>
      </c>
      <c r="I1178" s="209">
        <v>2</v>
      </c>
      <c r="J1178" s="209" t="s">
        <v>169</v>
      </c>
      <c r="K1178" s="209" t="s">
        <v>2553</v>
      </c>
      <c r="L1178" s="209" t="s">
        <v>265</v>
      </c>
      <c r="M1178" s="209" t="s">
        <v>184</v>
      </c>
      <c r="N1178" s="209">
        <v>50036915</v>
      </c>
      <c r="O1178" s="209" t="s">
        <v>541</v>
      </c>
      <c r="P1178" s="209">
        <v>5121</v>
      </c>
      <c r="Q1178" s="209" t="s">
        <v>174</v>
      </c>
      <c r="R1178" s="209" t="s">
        <v>175</v>
      </c>
      <c r="S1178" s="209" t="s">
        <v>176</v>
      </c>
      <c r="T1178" s="209" t="s">
        <v>177</v>
      </c>
      <c r="U1178" s="209" t="s">
        <v>178</v>
      </c>
      <c r="V1178" s="209" t="s">
        <v>179</v>
      </c>
      <c r="W1178" s="209" t="s">
        <v>179</v>
      </c>
      <c r="X1178" s="209" t="s">
        <v>180</v>
      </c>
      <c r="Y1178" s="209" t="s">
        <v>180</v>
      </c>
      <c r="Z1178" s="209">
        <v>9521069082</v>
      </c>
      <c r="AA1178" s="209" t="s">
        <v>2554</v>
      </c>
      <c r="AB1178" s="209" t="s">
        <v>180</v>
      </c>
      <c r="AC1178" s="209" t="s">
        <v>182</v>
      </c>
      <c r="AD1178" s="209">
        <v>7</v>
      </c>
      <c r="AE1178" s="209">
        <v>2025</v>
      </c>
      <c r="AF1178" s="227">
        <v>45840</v>
      </c>
      <c r="AG1178" s="227">
        <v>45845</v>
      </c>
      <c r="AH1178" s="227">
        <v>45845</v>
      </c>
      <c r="AI1178" s="228">
        <v>16416</v>
      </c>
      <c r="AJ1178" s="228">
        <v>2</v>
      </c>
      <c r="AK1178" s="228">
        <v>16416</v>
      </c>
      <c r="AL1178" s="228">
        <v>2</v>
      </c>
      <c r="AM1178" s="228">
        <v>0</v>
      </c>
      <c r="AN1178" s="228">
        <v>0</v>
      </c>
      <c r="AO1178" s="229">
        <v>27</v>
      </c>
      <c r="AP1178" s="231">
        <v>7</v>
      </c>
      <c r="AQ1178" s="231">
        <v>2025</v>
      </c>
      <c r="AR1178" s="231" t="str">
        <f t="shared" si="169"/>
        <v>07/2025</v>
      </c>
      <c r="AS1178" s="231">
        <f t="shared" si="170"/>
        <v>46.6</v>
      </c>
      <c r="AT1178" s="239">
        <f>IF(G1178="CERVECERIA Y MALTERIA",(AS1178*AK1178/1000000)*(1-VLOOKUP(N1178,FCST!D:I,6,FALSE)),0)</f>
        <v>0.61198847999999995</v>
      </c>
      <c r="AU1178" s="232">
        <v>5.0000000000000001E-3</v>
      </c>
      <c r="AV1178" s="239">
        <f t="shared" si="171"/>
        <v>0.61504842239999991</v>
      </c>
      <c r="AW1178" s="239">
        <f>(AS1178*AK1178/1000000)*(VLOOKUP(N1178,FCST!D:I,6,FALSE))</f>
        <v>0.15299711999999999</v>
      </c>
      <c r="AX1178" s="239">
        <f t="shared" si="172"/>
        <v>0.15376210559999998</v>
      </c>
      <c r="AY1178" s="239">
        <f>IF($G1178="CERVECERIA Y MALTERIA.",($AS1178*$AK1178/1000000)*(1-VLOOKUP($N1178,FCST!D:I,6,FALSE)),0)</f>
        <v>0</v>
      </c>
      <c r="AZ1178" s="239">
        <f t="shared" si="173"/>
        <v>0</v>
      </c>
    </row>
    <row r="1179" spans="1:52" x14ac:dyDescent="0.25">
      <c r="A1179" s="209">
        <v>1126695</v>
      </c>
      <c r="B1179" s="209">
        <v>40</v>
      </c>
      <c r="C1179" s="209">
        <v>89506993</v>
      </c>
      <c r="D1179" s="209">
        <v>10</v>
      </c>
      <c r="E1179" s="209">
        <v>10000002</v>
      </c>
      <c r="F1179" s="209">
        <v>20000337</v>
      </c>
      <c r="G1179" s="209" t="s">
        <v>105</v>
      </c>
      <c r="H1179" s="209">
        <v>20000337</v>
      </c>
      <c r="I1179" s="209">
        <v>2</v>
      </c>
      <c r="J1179" s="209" t="s">
        <v>169</v>
      </c>
      <c r="K1179" s="209" t="s">
        <v>2553</v>
      </c>
      <c r="L1179" s="209" t="s">
        <v>265</v>
      </c>
      <c r="M1179" s="209" t="s">
        <v>184</v>
      </c>
      <c r="N1179" s="209">
        <v>50039572</v>
      </c>
      <c r="O1179" s="209" t="s">
        <v>2555</v>
      </c>
      <c r="P1179" s="209">
        <v>5121</v>
      </c>
      <c r="Q1179" s="209" t="s">
        <v>174</v>
      </c>
      <c r="R1179" s="209" t="s">
        <v>175</v>
      </c>
      <c r="S1179" s="209" t="s">
        <v>176</v>
      </c>
      <c r="T1179" s="209" t="s">
        <v>177</v>
      </c>
      <c r="U1179" s="209" t="s">
        <v>178</v>
      </c>
      <c r="V1179" s="209" t="s">
        <v>179</v>
      </c>
      <c r="W1179" s="209" t="s">
        <v>179</v>
      </c>
      <c r="X1179" s="209" t="s">
        <v>180</v>
      </c>
      <c r="Y1179" s="209" t="s">
        <v>180</v>
      </c>
      <c r="Z1179" s="209">
        <v>9521069082</v>
      </c>
      <c r="AA1179" s="209" t="s">
        <v>2554</v>
      </c>
      <c r="AB1179" s="209" t="s">
        <v>180</v>
      </c>
      <c r="AC1179" s="209" t="s">
        <v>182</v>
      </c>
      <c r="AD1179" s="209">
        <v>7</v>
      </c>
      <c r="AE1179" s="209">
        <v>2025</v>
      </c>
      <c r="AF1179" s="227">
        <v>45840</v>
      </c>
      <c r="AG1179" s="227">
        <v>45845</v>
      </c>
      <c r="AH1179" s="227">
        <v>45845</v>
      </c>
      <c r="AI1179" s="228">
        <v>399600</v>
      </c>
      <c r="AJ1179" s="228">
        <v>50</v>
      </c>
      <c r="AK1179" s="228">
        <v>399600</v>
      </c>
      <c r="AL1179" s="228">
        <v>50</v>
      </c>
      <c r="AM1179" s="228">
        <v>0</v>
      </c>
      <c r="AN1179" s="228">
        <v>0</v>
      </c>
      <c r="AO1179" s="229">
        <v>27</v>
      </c>
      <c r="AP1179" s="231">
        <v>7</v>
      </c>
      <c r="AQ1179" s="231">
        <v>2025</v>
      </c>
      <c r="AR1179" s="231" t="str">
        <f t="shared" si="169"/>
        <v>07/2025</v>
      </c>
      <c r="AS1179" s="231">
        <f t="shared" si="170"/>
        <v>46.6</v>
      </c>
      <c r="AT1179" s="239">
        <f>IF(G1179="CERVECERIA Y MALTERIA",(AS1179*AK1179/1000000)*(1-VLOOKUP(N1179,FCST!D:I,6,FALSE)),0)</f>
        <v>18.621359999999999</v>
      </c>
      <c r="AU1179" s="232">
        <v>5.0000000000000001E-3</v>
      </c>
      <c r="AV1179" s="239">
        <f t="shared" si="171"/>
        <v>18.714466799999997</v>
      </c>
      <c r="AW1179" s="239">
        <f>(AS1179*AK1179/1000000)*(VLOOKUP(N1179,FCST!D:I,6,FALSE))</f>
        <v>0</v>
      </c>
      <c r="AX1179" s="239">
        <f t="shared" si="172"/>
        <v>0</v>
      </c>
      <c r="AY1179" s="239">
        <f>IF($G1179="CERVECERIA Y MALTERIA.",($AS1179*$AK1179/1000000)*(1-VLOOKUP($N1179,FCST!D:I,6,FALSE)),0)</f>
        <v>0</v>
      </c>
      <c r="AZ1179" s="239">
        <f t="shared" si="173"/>
        <v>0</v>
      </c>
    </row>
    <row r="1180" spans="1:52" x14ac:dyDescent="0.25">
      <c r="A1180" s="209">
        <v>1127234</v>
      </c>
      <c r="B1180" s="209">
        <v>10</v>
      </c>
      <c r="C1180" s="209">
        <v>89506916</v>
      </c>
      <c r="D1180" s="209">
        <v>10</v>
      </c>
      <c r="E1180" s="209">
        <v>10000002</v>
      </c>
      <c r="F1180" s="209">
        <v>20000340</v>
      </c>
      <c r="G1180" s="209" t="s">
        <v>117</v>
      </c>
      <c r="H1180" s="209">
        <v>20000340</v>
      </c>
      <c r="I1180" s="209">
        <v>2</v>
      </c>
      <c r="J1180" s="209" t="s">
        <v>169</v>
      </c>
      <c r="K1180" s="209" t="s">
        <v>2556</v>
      </c>
      <c r="L1180" s="209" t="s">
        <v>171</v>
      </c>
      <c r="M1180" s="209" t="s">
        <v>184</v>
      </c>
      <c r="N1180" s="209">
        <v>50032514</v>
      </c>
      <c r="O1180" s="209" t="s">
        <v>2246</v>
      </c>
      <c r="P1180" s="209">
        <v>5121</v>
      </c>
      <c r="Q1180" s="209" t="s">
        <v>174</v>
      </c>
      <c r="R1180" s="209" t="s">
        <v>175</v>
      </c>
      <c r="S1180" s="209" t="s">
        <v>176</v>
      </c>
      <c r="T1180" s="209" t="s">
        <v>177</v>
      </c>
      <c r="U1180" s="209" t="s">
        <v>178</v>
      </c>
      <c r="V1180" s="209" t="s">
        <v>179</v>
      </c>
      <c r="W1180" s="209" t="s">
        <v>179</v>
      </c>
      <c r="X1180" s="209" t="s">
        <v>180</v>
      </c>
      <c r="Y1180" s="209" t="s">
        <v>180</v>
      </c>
      <c r="Z1180" s="209">
        <v>9521069056</v>
      </c>
      <c r="AA1180" s="209" t="s">
        <v>2557</v>
      </c>
      <c r="AB1180" s="209" t="s">
        <v>180</v>
      </c>
      <c r="AC1180" s="209" t="s">
        <v>182</v>
      </c>
      <c r="AD1180" s="209">
        <v>7</v>
      </c>
      <c r="AE1180" s="209">
        <v>2025</v>
      </c>
      <c r="AF1180" s="227">
        <v>45842</v>
      </c>
      <c r="AG1180" s="227">
        <v>45845</v>
      </c>
      <c r="AH1180" s="227">
        <v>45845</v>
      </c>
      <c r="AI1180" s="228">
        <v>419328</v>
      </c>
      <c r="AJ1180" s="228">
        <v>52</v>
      </c>
      <c r="AK1180" s="228">
        <v>419328</v>
      </c>
      <c r="AL1180" s="228">
        <v>52</v>
      </c>
      <c r="AM1180" s="228">
        <v>0</v>
      </c>
      <c r="AN1180" s="228">
        <v>0</v>
      </c>
      <c r="AO1180" s="229">
        <v>28</v>
      </c>
      <c r="AP1180" s="231">
        <v>7</v>
      </c>
      <c r="AQ1180" s="231">
        <v>2025</v>
      </c>
      <c r="AR1180" s="231" t="str">
        <f t="shared" si="169"/>
        <v>07/2025</v>
      </c>
      <c r="AS1180" s="231">
        <f t="shared" si="170"/>
        <v>44.8</v>
      </c>
      <c r="AT1180" s="239">
        <f>IF(G1180="CERVECERIA Y MALTERIA",(AS1180*AK1180/1000000)*(1-VLOOKUP(N1180,FCST!D:I,6,FALSE)),0)</f>
        <v>0</v>
      </c>
      <c r="AU1180" s="232">
        <v>5.0000000000000001E-3</v>
      </c>
      <c r="AV1180" s="239">
        <f t="shared" si="171"/>
        <v>0</v>
      </c>
      <c r="AW1180" s="239">
        <f>(AS1180*AK1180/1000000)*(VLOOKUP(N1180,FCST!D:I,6,FALSE))</f>
        <v>0</v>
      </c>
      <c r="AX1180" s="239">
        <f t="shared" si="172"/>
        <v>0</v>
      </c>
      <c r="AY1180" s="239">
        <f>IF($G1180="CERVECERIA Y MALTERIA.",($AS1180*$AK1180/1000000)*(1-VLOOKUP($N1180,FCST!D:I,6,FALSE)),0)</f>
        <v>18.7858944</v>
      </c>
      <c r="AZ1180" s="239">
        <f t="shared" si="173"/>
        <v>18.879823871999999</v>
      </c>
    </row>
    <row r="1181" spans="1:52" x14ac:dyDescent="0.25">
      <c r="A1181" s="209">
        <v>1125971</v>
      </c>
      <c r="B1181" s="209">
        <v>70</v>
      </c>
      <c r="C1181" s="209">
        <v>89503991</v>
      </c>
      <c r="D1181" s="209">
        <v>10</v>
      </c>
      <c r="E1181" s="209">
        <v>10000002</v>
      </c>
      <c r="F1181" s="209">
        <v>20000335</v>
      </c>
      <c r="G1181" s="209" t="s">
        <v>105</v>
      </c>
      <c r="H1181" s="209">
        <v>20000335</v>
      </c>
      <c r="I1181" s="209">
        <v>2</v>
      </c>
      <c r="J1181" s="209" t="s">
        <v>169</v>
      </c>
      <c r="K1181" s="209" t="s">
        <v>2558</v>
      </c>
      <c r="L1181" s="209" t="s">
        <v>171</v>
      </c>
      <c r="M1181" s="209" t="s">
        <v>199</v>
      </c>
      <c r="N1181" s="209">
        <v>50021818</v>
      </c>
      <c r="O1181" s="209" t="s">
        <v>2170</v>
      </c>
      <c r="P1181" s="209">
        <v>5121</v>
      </c>
      <c r="Q1181" s="209" t="s">
        <v>200</v>
      </c>
      <c r="R1181" s="209" t="s">
        <v>201</v>
      </c>
      <c r="S1181" s="209" t="s">
        <v>202</v>
      </c>
      <c r="T1181" s="209" t="s">
        <v>203</v>
      </c>
      <c r="U1181" s="209" t="s">
        <v>201</v>
      </c>
      <c r="V1181" s="209" t="s">
        <v>179</v>
      </c>
      <c r="W1181" s="209" t="s">
        <v>179</v>
      </c>
      <c r="X1181" s="209" t="s">
        <v>180</v>
      </c>
      <c r="Y1181" s="209" t="s">
        <v>180</v>
      </c>
      <c r="Z1181" s="209">
        <v>9521069040</v>
      </c>
      <c r="AA1181" s="209" t="s">
        <v>2550</v>
      </c>
      <c r="AB1181" s="209" t="s">
        <v>180</v>
      </c>
      <c r="AC1181" s="209" t="s">
        <v>182</v>
      </c>
      <c r="AD1181" s="209">
        <v>6</v>
      </c>
      <c r="AE1181" s="209">
        <v>2025</v>
      </c>
      <c r="AF1181" s="227">
        <v>45834</v>
      </c>
      <c r="AG1181" s="227">
        <v>45840</v>
      </c>
      <c r="AH1181" s="227">
        <v>45840</v>
      </c>
      <c r="AI1181" s="228">
        <v>426816</v>
      </c>
      <c r="AJ1181" s="228">
        <v>52</v>
      </c>
      <c r="AK1181" s="228">
        <v>426816</v>
      </c>
      <c r="AL1181" s="228">
        <v>52</v>
      </c>
      <c r="AM1181" s="228">
        <v>0</v>
      </c>
      <c r="AN1181" s="228">
        <v>0</v>
      </c>
      <c r="AO1181" s="229">
        <v>27</v>
      </c>
      <c r="AP1181" s="231">
        <v>7</v>
      </c>
      <c r="AQ1181" s="231">
        <v>2025</v>
      </c>
      <c r="AR1181" s="231" t="str">
        <f t="shared" si="169"/>
        <v>07/2025</v>
      </c>
      <c r="AS1181" s="231">
        <f t="shared" si="170"/>
        <v>46.6</v>
      </c>
      <c r="AT1181" s="239">
        <f>IF(G1181="CERVECERIA Y MALTERIA",(AS1181*AK1181/1000000)*(1-VLOOKUP(N1181,FCST!D:I,6,FALSE)),0)</f>
        <v>19.889625600000002</v>
      </c>
      <c r="AU1181" s="232">
        <v>5.0000000000000001E-3</v>
      </c>
      <c r="AV1181" s="239">
        <f t="shared" si="171"/>
        <v>19.989073728000001</v>
      </c>
      <c r="AW1181" s="239">
        <f>(AS1181*AK1181/1000000)*(VLOOKUP(N1181,FCST!D:I,6,FALSE))</f>
        <v>0</v>
      </c>
      <c r="AX1181" s="239">
        <f t="shared" si="172"/>
        <v>0</v>
      </c>
      <c r="AY1181" s="239">
        <f>IF($G1181="CERVECERIA Y MALTERIA.",($AS1181*$AK1181/1000000)*(1-VLOOKUP($N1181,FCST!D:I,6,FALSE)),0)</f>
        <v>0</v>
      </c>
      <c r="AZ1181" s="239">
        <f t="shared" si="173"/>
        <v>0</v>
      </c>
    </row>
    <row r="1182" spans="1:52" x14ac:dyDescent="0.25">
      <c r="A1182" s="209">
        <v>1126621</v>
      </c>
      <c r="B1182" s="209">
        <v>10</v>
      </c>
      <c r="C1182" s="209">
        <v>89503086</v>
      </c>
      <c r="D1182" s="209">
        <v>10</v>
      </c>
      <c r="E1182" s="209">
        <v>10000002</v>
      </c>
      <c r="F1182" s="209">
        <v>20000336</v>
      </c>
      <c r="G1182" s="209" t="s">
        <v>105</v>
      </c>
      <c r="H1182" s="209">
        <v>20000336</v>
      </c>
      <c r="I1182" s="209">
        <v>2</v>
      </c>
      <c r="J1182" s="209" t="s">
        <v>169</v>
      </c>
      <c r="K1182" s="209" t="s">
        <v>2559</v>
      </c>
      <c r="L1182" s="209" t="s">
        <v>171</v>
      </c>
      <c r="M1182" s="209" t="s">
        <v>184</v>
      </c>
      <c r="N1182" s="209">
        <v>50024497</v>
      </c>
      <c r="O1182" s="209" t="s">
        <v>1352</v>
      </c>
      <c r="P1182" s="209">
        <v>5121</v>
      </c>
      <c r="Q1182" s="209" t="s">
        <v>174</v>
      </c>
      <c r="R1182" s="209" t="s">
        <v>175</v>
      </c>
      <c r="S1182" s="209" t="s">
        <v>176</v>
      </c>
      <c r="T1182" s="209" t="s">
        <v>177</v>
      </c>
      <c r="U1182" s="209" t="s">
        <v>178</v>
      </c>
      <c r="V1182" s="209" t="s">
        <v>179</v>
      </c>
      <c r="W1182" s="209" t="s">
        <v>179</v>
      </c>
      <c r="X1182" s="209" t="s">
        <v>180</v>
      </c>
      <c r="Y1182" s="209" t="s">
        <v>180</v>
      </c>
      <c r="Z1182" s="209">
        <v>9521069048</v>
      </c>
      <c r="AA1182" s="209" t="s">
        <v>2560</v>
      </c>
      <c r="AB1182" s="209" t="s">
        <v>180</v>
      </c>
      <c r="AC1182" s="209" t="s">
        <v>182</v>
      </c>
      <c r="AD1182" s="209">
        <v>7</v>
      </c>
      <c r="AE1182" s="209">
        <v>2025</v>
      </c>
      <c r="AF1182" s="227">
        <v>45839</v>
      </c>
      <c r="AG1182" s="227">
        <v>45839</v>
      </c>
      <c r="AH1182" s="227">
        <v>45839</v>
      </c>
      <c r="AI1182" s="228">
        <v>351936</v>
      </c>
      <c r="AJ1182" s="228">
        <v>52</v>
      </c>
      <c r="AK1182" s="228">
        <v>351936</v>
      </c>
      <c r="AL1182" s="228">
        <v>52</v>
      </c>
      <c r="AM1182" s="228">
        <v>0</v>
      </c>
      <c r="AN1182" s="228">
        <v>0</v>
      </c>
      <c r="AO1182" s="229">
        <v>27</v>
      </c>
      <c r="AP1182" s="231">
        <v>7</v>
      </c>
      <c r="AQ1182" s="231">
        <v>2025</v>
      </c>
      <c r="AR1182" s="231" t="str">
        <f t="shared" si="169"/>
        <v>07/2025</v>
      </c>
      <c r="AS1182" s="231">
        <f t="shared" si="170"/>
        <v>54.7</v>
      </c>
      <c r="AT1182" s="239">
        <f>IF(G1182="CERVECERIA Y MALTERIA",(AS1182*AK1182/1000000)*(1-VLOOKUP(N1182,FCST!D:I,6,FALSE)),0)</f>
        <v>19.250899199999999</v>
      </c>
      <c r="AU1182" s="232">
        <v>5.0000000000000001E-3</v>
      </c>
      <c r="AV1182" s="239">
        <f t="shared" si="171"/>
        <v>19.347153695999996</v>
      </c>
      <c r="AW1182" s="239">
        <f>(AS1182*AK1182/1000000)*(VLOOKUP(N1182,FCST!D:I,6,FALSE))</f>
        <v>0</v>
      </c>
      <c r="AX1182" s="239">
        <f t="shared" si="172"/>
        <v>0</v>
      </c>
      <c r="AY1182" s="239">
        <f>IF($G1182="CERVECERIA Y MALTERIA.",($AS1182*$AK1182/1000000)*(1-VLOOKUP($N1182,FCST!D:I,6,FALSE)),0)</f>
        <v>0</v>
      </c>
      <c r="AZ1182" s="239">
        <f t="shared" si="173"/>
        <v>0</v>
      </c>
    </row>
    <row r="1183" spans="1:52" x14ac:dyDescent="0.25">
      <c r="A1183" s="209">
        <v>1125971</v>
      </c>
      <c r="B1183" s="209">
        <v>50</v>
      </c>
      <c r="C1183" s="209">
        <v>89502730</v>
      </c>
      <c r="D1183" s="209">
        <v>10</v>
      </c>
      <c r="E1183" s="209">
        <v>10000002</v>
      </c>
      <c r="F1183" s="209">
        <v>20000335</v>
      </c>
      <c r="G1183" s="209" t="s">
        <v>105</v>
      </c>
      <c r="H1183" s="209">
        <v>20000335</v>
      </c>
      <c r="I1183" s="209">
        <v>2</v>
      </c>
      <c r="J1183" s="209" t="s">
        <v>169</v>
      </c>
      <c r="K1183" s="209" t="s">
        <v>2561</v>
      </c>
      <c r="L1183" s="209" t="s">
        <v>171</v>
      </c>
      <c r="M1183" s="209" t="s">
        <v>199</v>
      </c>
      <c r="N1183" s="209">
        <v>50021818</v>
      </c>
      <c r="O1183" s="209" t="s">
        <v>2170</v>
      </c>
      <c r="P1183" s="209">
        <v>5121</v>
      </c>
      <c r="Q1183" s="209" t="s">
        <v>200</v>
      </c>
      <c r="R1183" s="209" t="s">
        <v>201</v>
      </c>
      <c r="S1183" s="209" t="s">
        <v>202</v>
      </c>
      <c r="T1183" s="209" t="s">
        <v>203</v>
      </c>
      <c r="U1183" s="209" t="s">
        <v>201</v>
      </c>
      <c r="V1183" s="209" t="s">
        <v>179</v>
      </c>
      <c r="W1183" s="209" t="s">
        <v>179</v>
      </c>
      <c r="X1183" s="209" t="s">
        <v>180</v>
      </c>
      <c r="Y1183" s="209" t="s">
        <v>180</v>
      </c>
      <c r="Z1183" s="209">
        <v>9521069040</v>
      </c>
      <c r="AA1183" s="209" t="s">
        <v>2550</v>
      </c>
      <c r="AB1183" s="209" t="s">
        <v>180</v>
      </c>
      <c r="AC1183" s="209" t="s">
        <v>182</v>
      </c>
      <c r="AD1183" s="209">
        <v>6</v>
      </c>
      <c r="AE1183" s="209">
        <v>2025</v>
      </c>
      <c r="AF1183" s="227">
        <v>45834</v>
      </c>
      <c r="AG1183" s="227">
        <v>45839</v>
      </c>
      <c r="AH1183" s="227">
        <v>45839</v>
      </c>
      <c r="AI1183" s="228">
        <v>426816</v>
      </c>
      <c r="AJ1183" s="228">
        <v>52</v>
      </c>
      <c r="AK1183" s="228">
        <v>426816</v>
      </c>
      <c r="AL1183" s="228">
        <v>52</v>
      </c>
      <c r="AM1183" s="228">
        <v>0</v>
      </c>
      <c r="AN1183" s="228">
        <v>0</v>
      </c>
      <c r="AO1183" s="229">
        <v>27</v>
      </c>
      <c r="AP1183" s="231">
        <v>7</v>
      </c>
      <c r="AQ1183" s="231">
        <v>2025</v>
      </c>
      <c r="AR1183" s="231" t="str">
        <f t="shared" si="169"/>
        <v>07/2025</v>
      </c>
      <c r="AS1183" s="231">
        <f t="shared" si="170"/>
        <v>46.6</v>
      </c>
      <c r="AT1183" s="239">
        <f>IF(G1183="CERVECERIA Y MALTERIA",(AS1183*AK1183/1000000)*(1-VLOOKUP(N1183,FCST!D:I,6,FALSE)),0)</f>
        <v>19.889625600000002</v>
      </c>
      <c r="AU1183" s="232">
        <v>5.0000000000000001E-3</v>
      </c>
      <c r="AV1183" s="239">
        <f t="shared" si="171"/>
        <v>19.989073728000001</v>
      </c>
      <c r="AW1183" s="239">
        <f>(AS1183*AK1183/1000000)*(VLOOKUP(N1183,FCST!D:I,6,FALSE))</f>
        <v>0</v>
      </c>
      <c r="AX1183" s="239">
        <f t="shared" si="172"/>
        <v>0</v>
      </c>
      <c r="AY1183" s="239">
        <f>IF($G1183="CERVECERIA Y MALTERIA.",($AS1183*$AK1183/1000000)*(1-VLOOKUP($N1183,FCST!D:I,6,FALSE)),0)</f>
        <v>0</v>
      </c>
      <c r="AZ1183" s="239">
        <f t="shared" si="173"/>
        <v>0</v>
      </c>
    </row>
    <row r="1184" spans="1:52" x14ac:dyDescent="0.25">
      <c r="A1184" s="209">
        <v>1125971</v>
      </c>
      <c r="B1184" s="209">
        <v>60</v>
      </c>
      <c r="C1184" s="209">
        <v>89502655</v>
      </c>
      <c r="D1184" s="209">
        <v>10</v>
      </c>
      <c r="E1184" s="209">
        <v>10000002</v>
      </c>
      <c r="F1184" s="209">
        <v>20000335</v>
      </c>
      <c r="G1184" s="209" t="s">
        <v>105</v>
      </c>
      <c r="H1184" s="209">
        <v>20000335</v>
      </c>
      <c r="I1184" s="209">
        <v>2</v>
      </c>
      <c r="J1184" s="209" t="s">
        <v>169</v>
      </c>
      <c r="K1184" s="209" t="s">
        <v>2562</v>
      </c>
      <c r="L1184" s="209" t="s">
        <v>171</v>
      </c>
      <c r="M1184" s="209" t="s">
        <v>172</v>
      </c>
      <c r="N1184" s="209">
        <v>50021818</v>
      </c>
      <c r="O1184" s="209" t="s">
        <v>2170</v>
      </c>
      <c r="P1184" s="209">
        <v>5121</v>
      </c>
      <c r="Q1184" s="209" t="s">
        <v>174</v>
      </c>
      <c r="R1184" s="209" t="s">
        <v>175</v>
      </c>
      <c r="S1184" s="209" t="s">
        <v>176</v>
      </c>
      <c r="T1184" s="209" t="s">
        <v>177</v>
      </c>
      <c r="U1184" s="209" t="s">
        <v>178</v>
      </c>
      <c r="V1184" s="209" t="s">
        <v>179</v>
      </c>
      <c r="W1184" s="209" t="s">
        <v>179</v>
      </c>
      <c r="X1184" s="209" t="s">
        <v>180</v>
      </c>
      <c r="Y1184" s="209" t="s">
        <v>180</v>
      </c>
      <c r="Z1184" s="209">
        <v>9521069040</v>
      </c>
      <c r="AA1184" s="209" t="s">
        <v>2550</v>
      </c>
      <c r="AB1184" s="209" t="s">
        <v>180</v>
      </c>
      <c r="AC1184" s="209" t="s">
        <v>182</v>
      </c>
      <c r="AD1184" s="209">
        <v>6</v>
      </c>
      <c r="AE1184" s="209">
        <v>2025</v>
      </c>
      <c r="AF1184" s="227">
        <v>45834</v>
      </c>
      <c r="AG1184" s="227">
        <v>45839</v>
      </c>
      <c r="AH1184" s="227">
        <v>45839</v>
      </c>
      <c r="AI1184" s="228">
        <v>426816</v>
      </c>
      <c r="AJ1184" s="228">
        <v>52</v>
      </c>
      <c r="AK1184" s="228">
        <v>426816</v>
      </c>
      <c r="AL1184" s="228">
        <v>52</v>
      </c>
      <c r="AM1184" s="228">
        <v>0</v>
      </c>
      <c r="AN1184" s="228">
        <v>0</v>
      </c>
      <c r="AO1184" s="229">
        <v>27</v>
      </c>
      <c r="AP1184" s="231">
        <v>7</v>
      </c>
      <c r="AQ1184" s="231">
        <v>2025</v>
      </c>
      <c r="AR1184" s="231" t="str">
        <f t="shared" si="169"/>
        <v>07/2025</v>
      </c>
      <c r="AS1184" s="231">
        <f t="shared" si="170"/>
        <v>46.6</v>
      </c>
      <c r="AT1184" s="239">
        <f>IF(G1184="CERVECERIA Y MALTERIA",(AS1184*AK1184/1000000)*(1-VLOOKUP(N1184,FCST!D:I,6,FALSE)),0)</f>
        <v>19.889625600000002</v>
      </c>
      <c r="AU1184" s="232">
        <v>5.0000000000000001E-3</v>
      </c>
      <c r="AV1184" s="239">
        <f t="shared" si="171"/>
        <v>19.989073728000001</v>
      </c>
      <c r="AW1184" s="239">
        <f>(AS1184*AK1184/1000000)*(VLOOKUP(N1184,FCST!D:I,6,FALSE))</f>
        <v>0</v>
      </c>
      <c r="AX1184" s="239">
        <f t="shared" si="172"/>
        <v>0</v>
      </c>
      <c r="AY1184" s="239">
        <f>IF($G1184="CERVECERIA Y MALTERIA.",($AS1184*$AK1184/1000000)*(1-VLOOKUP($N1184,FCST!D:I,6,FALSE)),0)</f>
        <v>0</v>
      </c>
      <c r="AZ1184" s="239">
        <f t="shared" si="173"/>
        <v>0</v>
      </c>
    </row>
    <row r="1185" spans="1:52" x14ac:dyDescent="0.25">
      <c r="A1185" s="209">
        <v>1124126</v>
      </c>
      <c r="B1185" s="209">
        <v>100</v>
      </c>
      <c r="C1185" s="209">
        <v>89502610</v>
      </c>
      <c r="D1185" s="209">
        <v>20</v>
      </c>
      <c r="E1185" s="209">
        <v>10000002</v>
      </c>
      <c r="F1185" s="209">
        <v>20000337</v>
      </c>
      <c r="G1185" s="209" t="s">
        <v>105</v>
      </c>
      <c r="H1185" s="209">
        <v>20000337</v>
      </c>
      <c r="I1185" s="209">
        <v>2</v>
      </c>
      <c r="J1185" s="209" t="s">
        <v>169</v>
      </c>
      <c r="K1185" s="209" t="s">
        <v>2563</v>
      </c>
      <c r="L1185" s="209" t="s">
        <v>246</v>
      </c>
      <c r="M1185" s="209" t="s">
        <v>199</v>
      </c>
      <c r="N1185" s="209">
        <v>50021818</v>
      </c>
      <c r="O1185" s="209" t="s">
        <v>2170</v>
      </c>
      <c r="P1185" s="209">
        <v>5121</v>
      </c>
      <c r="Q1185" s="209" t="s">
        <v>200</v>
      </c>
      <c r="R1185" s="209" t="s">
        <v>201</v>
      </c>
      <c r="S1185" s="209" t="s">
        <v>202</v>
      </c>
      <c r="T1185" s="209" t="s">
        <v>203</v>
      </c>
      <c r="U1185" s="209" t="s">
        <v>201</v>
      </c>
      <c r="V1185" s="209" t="s">
        <v>179</v>
      </c>
      <c r="W1185" s="209" t="s">
        <v>179</v>
      </c>
      <c r="X1185" s="209" t="s">
        <v>180</v>
      </c>
      <c r="Y1185" s="209" t="s">
        <v>180</v>
      </c>
      <c r="Z1185" s="209">
        <v>9521069042</v>
      </c>
      <c r="AA1185" s="209" t="s">
        <v>2564</v>
      </c>
      <c r="AB1185" s="209" t="s">
        <v>180</v>
      </c>
      <c r="AC1185" s="209" t="s">
        <v>182</v>
      </c>
      <c r="AD1185" s="209">
        <v>6</v>
      </c>
      <c r="AE1185" s="209">
        <v>2025</v>
      </c>
      <c r="AF1185" s="227">
        <v>45825</v>
      </c>
      <c r="AG1185" s="227">
        <v>45838</v>
      </c>
      <c r="AH1185" s="227">
        <v>45839</v>
      </c>
      <c r="AI1185" s="228">
        <v>262656</v>
      </c>
      <c r="AJ1185" s="228">
        <v>32</v>
      </c>
      <c r="AK1185" s="228">
        <v>229824</v>
      </c>
      <c r="AL1185" s="228">
        <v>28</v>
      </c>
      <c r="AM1185" s="228">
        <v>0</v>
      </c>
      <c r="AN1185" s="228">
        <v>32832</v>
      </c>
      <c r="AO1185" s="229">
        <v>25</v>
      </c>
      <c r="AP1185" s="231">
        <v>7</v>
      </c>
      <c r="AQ1185" s="231">
        <v>2025</v>
      </c>
      <c r="AR1185" s="231" t="str">
        <f t="shared" si="169"/>
        <v>07/2025</v>
      </c>
      <c r="AS1185" s="231">
        <f t="shared" si="170"/>
        <v>46.6</v>
      </c>
      <c r="AT1185" s="239">
        <f>IF(G1185="CERVECERIA Y MALTERIA",(AS1185*AK1185/1000000)*(1-VLOOKUP(N1185,FCST!D:I,6,FALSE)),0)</f>
        <v>10.7097984</v>
      </c>
      <c r="AU1185" s="232">
        <v>5.0000000000000001E-3</v>
      </c>
      <c r="AV1185" s="239">
        <f t="shared" si="171"/>
        <v>10.763347392</v>
      </c>
      <c r="AW1185" s="239">
        <f>(AS1185*AK1185/1000000)*(VLOOKUP(N1185,FCST!D:I,6,FALSE))</f>
        <v>0</v>
      </c>
      <c r="AX1185" s="239">
        <f t="shared" si="172"/>
        <v>0</v>
      </c>
      <c r="AY1185" s="239">
        <f>IF($G1185="CERVECERIA Y MALTERIA.",($AS1185*$AK1185/1000000)*(1-VLOOKUP($N1185,FCST!D:I,6,FALSE)),0)</f>
        <v>0</v>
      </c>
      <c r="AZ1185" s="239">
        <f t="shared" si="173"/>
        <v>0</v>
      </c>
    </row>
    <row r="1186" spans="1:52" x14ac:dyDescent="0.25">
      <c r="A1186" s="209">
        <v>1124126</v>
      </c>
      <c r="B1186" s="209">
        <v>90</v>
      </c>
      <c r="C1186" s="209">
        <v>89502610</v>
      </c>
      <c r="D1186" s="209">
        <v>10</v>
      </c>
      <c r="E1186" s="209">
        <v>10000002</v>
      </c>
      <c r="F1186" s="209">
        <v>20000337</v>
      </c>
      <c r="G1186" s="209" t="s">
        <v>105</v>
      </c>
      <c r="H1186" s="209">
        <v>20000337</v>
      </c>
      <c r="I1186" s="209">
        <v>2</v>
      </c>
      <c r="J1186" s="209" t="s">
        <v>169</v>
      </c>
      <c r="K1186" s="209" t="s">
        <v>2563</v>
      </c>
      <c r="L1186" s="209" t="s">
        <v>246</v>
      </c>
      <c r="M1186" s="209" t="s">
        <v>199</v>
      </c>
      <c r="N1186" s="209">
        <v>50032573</v>
      </c>
      <c r="O1186" s="209" t="s">
        <v>173</v>
      </c>
      <c r="P1186" s="209">
        <v>5121</v>
      </c>
      <c r="Q1186" s="209" t="s">
        <v>200</v>
      </c>
      <c r="R1186" s="209" t="s">
        <v>201</v>
      </c>
      <c r="S1186" s="209" t="s">
        <v>202</v>
      </c>
      <c r="T1186" s="209" t="s">
        <v>203</v>
      </c>
      <c r="U1186" s="209" t="s">
        <v>201</v>
      </c>
      <c r="V1186" s="209" t="s">
        <v>179</v>
      </c>
      <c r="W1186" s="209" t="s">
        <v>179</v>
      </c>
      <c r="X1186" s="209" t="s">
        <v>180</v>
      </c>
      <c r="Y1186" s="209" t="s">
        <v>180</v>
      </c>
      <c r="Z1186" s="209">
        <v>9521069042</v>
      </c>
      <c r="AA1186" s="209" t="s">
        <v>2564</v>
      </c>
      <c r="AB1186" s="209" t="s">
        <v>180</v>
      </c>
      <c r="AC1186" s="209" t="s">
        <v>182</v>
      </c>
      <c r="AD1186" s="209">
        <v>6</v>
      </c>
      <c r="AE1186" s="209">
        <v>2025</v>
      </c>
      <c r="AF1186" s="227">
        <v>45825</v>
      </c>
      <c r="AG1186" s="227">
        <v>45838</v>
      </c>
      <c r="AH1186" s="227">
        <v>45839</v>
      </c>
      <c r="AI1186" s="228">
        <v>204480</v>
      </c>
      <c r="AJ1186" s="228">
        <v>20</v>
      </c>
      <c r="AK1186" s="228">
        <v>204480</v>
      </c>
      <c r="AL1186" s="228">
        <v>20</v>
      </c>
      <c r="AM1186" s="228">
        <v>0</v>
      </c>
      <c r="AN1186" s="228">
        <v>0</v>
      </c>
      <c r="AO1186" s="229">
        <v>25</v>
      </c>
      <c r="AP1186" s="231">
        <v>7</v>
      </c>
      <c r="AQ1186" s="231">
        <v>2025</v>
      </c>
      <c r="AR1186" s="231" t="str">
        <f t="shared" si="169"/>
        <v>07/2025</v>
      </c>
      <c r="AS1186" s="231">
        <f t="shared" si="170"/>
        <v>37.200000000000003</v>
      </c>
      <c r="AT1186" s="239">
        <f>IF(G1186="CERVECERIA Y MALTERIA",(AS1186*AK1186/1000000)*(1-VLOOKUP(N1186,FCST!D:I,6,FALSE)),0)</f>
        <v>7.606656000000001</v>
      </c>
      <c r="AU1186" s="232">
        <v>5.0000000000000001E-3</v>
      </c>
      <c r="AV1186" s="239">
        <f t="shared" si="171"/>
        <v>7.6446892800000006</v>
      </c>
      <c r="AW1186" s="239">
        <f>(AS1186*AK1186/1000000)*(VLOOKUP(N1186,FCST!D:I,6,FALSE))</f>
        <v>0</v>
      </c>
      <c r="AX1186" s="239">
        <f t="shared" si="172"/>
        <v>0</v>
      </c>
      <c r="AY1186" s="239">
        <f>IF($G1186="CERVECERIA Y MALTERIA.",($AS1186*$AK1186/1000000)*(1-VLOOKUP($N1186,FCST!D:I,6,FALSE)),0)</f>
        <v>0</v>
      </c>
      <c r="AZ1186" s="239">
        <f t="shared" si="173"/>
        <v>0</v>
      </c>
    </row>
    <row r="1187" spans="1:52" x14ac:dyDescent="0.25">
      <c r="A1187" s="209">
        <v>1125971</v>
      </c>
      <c r="B1187" s="209">
        <v>40</v>
      </c>
      <c r="C1187" s="209">
        <v>89502606</v>
      </c>
      <c r="D1187" s="209">
        <v>20</v>
      </c>
      <c r="E1187" s="209">
        <v>10000002</v>
      </c>
      <c r="F1187" s="209">
        <v>20000335</v>
      </c>
      <c r="G1187" s="209" t="s">
        <v>105</v>
      </c>
      <c r="H1187" s="209">
        <v>20000335</v>
      </c>
      <c r="I1187" s="209">
        <v>2</v>
      </c>
      <c r="J1187" s="209" t="s">
        <v>169</v>
      </c>
      <c r="K1187" s="209" t="s">
        <v>2565</v>
      </c>
      <c r="L1187" s="209" t="s">
        <v>171</v>
      </c>
      <c r="M1187" s="209" t="s">
        <v>172</v>
      </c>
      <c r="N1187" s="209">
        <v>50037887</v>
      </c>
      <c r="O1187" s="209" t="s">
        <v>679</v>
      </c>
      <c r="P1187" s="209">
        <v>5121</v>
      </c>
      <c r="Q1187" s="209" t="s">
        <v>174</v>
      </c>
      <c r="R1187" s="209" t="s">
        <v>175</v>
      </c>
      <c r="S1187" s="209" t="s">
        <v>176</v>
      </c>
      <c r="T1187" s="209" t="s">
        <v>177</v>
      </c>
      <c r="U1187" s="209" t="s">
        <v>178</v>
      </c>
      <c r="V1187" s="209" t="s">
        <v>179</v>
      </c>
      <c r="W1187" s="209" t="s">
        <v>179</v>
      </c>
      <c r="X1187" s="209" t="s">
        <v>180</v>
      </c>
      <c r="Y1187" s="209" t="s">
        <v>180</v>
      </c>
      <c r="Z1187" s="209">
        <v>9521069039</v>
      </c>
      <c r="AA1187" s="209" t="s">
        <v>2566</v>
      </c>
      <c r="AB1187" s="209" t="s">
        <v>180</v>
      </c>
      <c r="AC1187" s="209" t="s">
        <v>182</v>
      </c>
      <c r="AD1187" s="209">
        <v>6</v>
      </c>
      <c r="AE1187" s="209">
        <v>2025</v>
      </c>
      <c r="AF1187" s="227">
        <v>45834</v>
      </c>
      <c r="AG1187" s="227">
        <v>45838</v>
      </c>
      <c r="AH1187" s="227">
        <v>45839</v>
      </c>
      <c r="AI1187" s="228">
        <v>265824</v>
      </c>
      <c r="AJ1187" s="228">
        <v>26</v>
      </c>
      <c r="AK1187" s="228">
        <v>265824</v>
      </c>
      <c r="AL1187" s="228">
        <v>26</v>
      </c>
      <c r="AM1187" s="228">
        <v>0</v>
      </c>
      <c r="AN1187" s="228">
        <v>0</v>
      </c>
      <c r="AO1187" s="229">
        <v>27</v>
      </c>
      <c r="AP1187" s="231">
        <v>7</v>
      </c>
      <c r="AQ1187" s="231">
        <v>2025</v>
      </c>
      <c r="AR1187" s="231" t="str">
        <f t="shared" si="169"/>
        <v>07/2025</v>
      </c>
      <c r="AS1187" s="231">
        <f t="shared" si="170"/>
        <v>37.200000000000003</v>
      </c>
      <c r="AT1187" s="239">
        <f>IF(G1187="CERVECERIA Y MALTERIA",(AS1187*AK1187/1000000)*(1-VLOOKUP(N1187,FCST!D:I,6,FALSE)),0)</f>
        <v>9.8886528000000009</v>
      </c>
      <c r="AU1187" s="232">
        <v>5.0000000000000001E-3</v>
      </c>
      <c r="AV1187" s="239">
        <f t="shared" si="171"/>
        <v>9.9380960639999998</v>
      </c>
      <c r="AW1187" s="239">
        <f>(AS1187*AK1187/1000000)*(VLOOKUP(N1187,FCST!D:I,6,FALSE))</f>
        <v>0</v>
      </c>
      <c r="AX1187" s="239">
        <f t="shared" si="172"/>
        <v>0</v>
      </c>
      <c r="AY1187" s="239">
        <f>IF($G1187="CERVECERIA Y MALTERIA.",($AS1187*$AK1187/1000000)*(1-VLOOKUP($N1187,FCST!D:I,6,FALSE)),0)</f>
        <v>0</v>
      </c>
      <c r="AZ1187" s="239">
        <f t="shared" si="173"/>
        <v>0</v>
      </c>
    </row>
    <row r="1188" spans="1:52" x14ac:dyDescent="0.25">
      <c r="A1188" s="209">
        <v>1125971</v>
      </c>
      <c r="B1188" s="209">
        <v>30</v>
      </c>
      <c r="C1188" s="209">
        <v>89502606</v>
      </c>
      <c r="D1188" s="209">
        <v>10</v>
      </c>
      <c r="E1188" s="209">
        <v>10000002</v>
      </c>
      <c r="F1188" s="209">
        <v>20000335</v>
      </c>
      <c r="G1188" s="209" t="s">
        <v>105</v>
      </c>
      <c r="H1188" s="209">
        <v>20000335</v>
      </c>
      <c r="I1188" s="209">
        <v>2</v>
      </c>
      <c r="J1188" s="209" t="s">
        <v>169</v>
      </c>
      <c r="K1188" s="209" t="s">
        <v>2565</v>
      </c>
      <c r="L1188" s="209" t="s">
        <v>171</v>
      </c>
      <c r="M1188" s="209" t="s">
        <v>172</v>
      </c>
      <c r="N1188" s="209">
        <v>50034561</v>
      </c>
      <c r="O1188" s="209" t="s">
        <v>307</v>
      </c>
      <c r="P1188" s="209">
        <v>5121</v>
      </c>
      <c r="Q1188" s="209" t="s">
        <v>174</v>
      </c>
      <c r="R1188" s="209" t="s">
        <v>175</v>
      </c>
      <c r="S1188" s="209" t="s">
        <v>176</v>
      </c>
      <c r="T1188" s="209" t="s">
        <v>177</v>
      </c>
      <c r="U1188" s="209" t="s">
        <v>178</v>
      </c>
      <c r="V1188" s="209" t="s">
        <v>179</v>
      </c>
      <c r="W1188" s="209" t="s">
        <v>179</v>
      </c>
      <c r="X1188" s="209" t="s">
        <v>180</v>
      </c>
      <c r="Y1188" s="209" t="s">
        <v>180</v>
      </c>
      <c r="Z1188" s="209">
        <v>9521069039</v>
      </c>
      <c r="AA1188" s="209" t="s">
        <v>2566</v>
      </c>
      <c r="AB1188" s="209" t="s">
        <v>180</v>
      </c>
      <c r="AC1188" s="209" t="s">
        <v>182</v>
      </c>
      <c r="AD1188" s="209">
        <v>6</v>
      </c>
      <c r="AE1188" s="209">
        <v>2025</v>
      </c>
      <c r="AF1188" s="227">
        <v>45834</v>
      </c>
      <c r="AG1188" s="227">
        <v>45838</v>
      </c>
      <c r="AH1188" s="227">
        <v>45839</v>
      </c>
      <c r="AI1188" s="228">
        <v>488592</v>
      </c>
      <c r="AJ1188" s="228">
        <v>26</v>
      </c>
      <c r="AK1188" s="228">
        <v>488592</v>
      </c>
      <c r="AL1188" s="228">
        <v>26</v>
      </c>
      <c r="AM1188" s="228">
        <v>0</v>
      </c>
      <c r="AN1188" s="228">
        <v>0</v>
      </c>
      <c r="AO1188" s="229">
        <v>27</v>
      </c>
      <c r="AP1188" s="231">
        <v>7</v>
      </c>
      <c r="AQ1188" s="231">
        <v>2025</v>
      </c>
      <c r="AR1188" s="231" t="str">
        <f t="shared" si="169"/>
        <v>07/2025</v>
      </c>
      <c r="AS1188" s="231">
        <f t="shared" si="170"/>
        <v>19.5</v>
      </c>
      <c r="AT1188" s="239">
        <f>IF(G1188="CERVECERIA Y MALTERIA",(AS1188*AK1188/1000000)*(1-VLOOKUP(N1188,FCST!D:I,6,FALSE)),0)</f>
        <v>9.5275440000000007</v>
      </c>
      <c r="AU1188" s="232">
        <v>5.0000000000000001E-3</v>
      </c>
      <c r="AV1188" s="239">
        <f t="shared" si="171"/>
        <v>9.5751817199999998</v>
      </c>
      <c r="AW1188" s="239">
        <f>(AS1188*AK1188/1000000)*(VLOOKUP(N1188,FCST!D:I,6,FALSE))</f>
        <v>0</v>
      </c>
      <c r="AX1188" s="239">
        <f t="shared" si="172"/>
        <v>0</v>
      </c>
      <c r="AY1188" s="239">
        <f>IF($G1188="CERVECERIA Y MALTERIA.",($AS1188*$AK1188/1000000)*(1-VLOOKUP($N1188,FCST!D:I,6,FALSE)),0)</f>
        <v>0</v>
      </c>
      <c r="AZ1188" s="239">
        <f t="shared" si="173"/>
        <v>0</v>
      </c>
    </row>
    <row r="1189" spans="1:52" x14ac:dyDescent="0.25">
      <c r="A1189" s="209">
        <v>1123002</v>
      </c>
      <c r="B1189" s="209">
        <v>20</v>
      </c>
      <c r="C1189" s="209">
        <v>89502541</v>
      </c>
      <c r="D1189" s="209">
        <v>10</v>
      </c>
      <c r="E1189" s="209">
        <v>10000002</v>
      </c>
      <c r="F1189" s="209">
        <v>20000339</v>
      </c>
      <c r="G1189" s="209" t="s">
        <v>105</v>
      </c>
      <c r="H1189" s="209">
        <v>20000339</v>
      </c>
      <c r="I1189" s="209">
        <v>2</v>
      </c>
      <c r="J1189" s="209" t="s">
        <v>169</v>
      </c>
      <c r="K1189" s="209" t="s">
        <v>2567</v>
      </c>
      <c r="L1189" s="209" t="s">
        <v>171</v>
      </c>
      <c r="M1189" s="209" t="s">
        <v>172</v>
      </c>
      <c r="N1189" s="209">
        <v>50038607</v>
      </c>
      <c r="O1189" s="209" t="s">
        <v>1992</v>
      </c>
      <c r="P1189" s="209">
        <v>5101</v>
      </c>
      <c r="Q1189" s="209" t="s">
        <v>186</v>
      </c>
      <c r="R1189" s="209" t="s">
        <v>175</v>
      </c>
      <c r="S1189" s="209" t="s">
        <v>176</v>
      </c>
      <c r="T1189" s="209" t="s">
        <v>187</v>
      </c>
      <c r="U1189" s="209" t="s">
        <v>188</v>
      </c>
      <c r="V1189" s="209" t="s">
        <v>179</v>
      </c>
      <c r="W1189" s="209" t="s">
        <v>179</v>
      </c>
      <c r="X1189" s="209" t="s">
        <v>180</v>
      </c>
      <c r="Y1189" s="209" t="s">
        <v>180</v>
      </c>
      <c r="Z1189" s="209">
        <v>9511048169</v>
      </c>
      <c r="AA1189" s="209" t="s">
        <v>2568</v>
      </c>
      <c r="AB1189" s="209" t="s">
        <v>180</v>
      </c>
      <c r="AC1189" s="209" t="s">
        <v>182</v>
      </c>
      <c r="AD1189" s="209">
        <v>6</v>
      </c>
      <c r="AE1189" s="209">
        <v>2025</v>
      </c>
      <c r="AF1189" s="227">
        <v>45819</v>
      </c>
      <c r="AG1189" s="227">
        <v>45838</v>
      </c>
      <c r="AH1189" s="227">
        <v>45839</v>
      </c>
      <c r="AI1189" s="228">
        <v>743808</v>
      </c>
      <c r="AJ1189" s="228">
        <v>52</v>
      </c>
      <c r="AK1189" s="228">
        <v>743808</v>
      </c>
      <c r="AL1189" s="228">
        <v>52</v>
      </c>
      <c r="AM1189" s="228">
        <v>0</v>
      </c>
      <c r="AN1189" s="228">
        <v>0</v>
      </c>
      <c r="AO1189" s="229">
        <v>24</v>
      </c>
      <c r="AP1189" s="231">
        <v>7</v>
      </c>
      <c r="AQ1189" s="231">
        <v>2025</v>
      </c>
      <c r="AR1189" s="231" t="str">
        <f t="shared" si="169"/>
        <v>07/2025</v>
      </c>
      <c r="AS1189" s="231">
        <f t="shared" si="170"/>
        <v>25</v>
      </c>
      <c r="AT1189" s="239">
        <f>IF(G1189="CERVECERIA Y MALTERIA",(AS1189*AK1189/1000000)*(1-VLOOKUP(N1189,FCST!D:I,6,FALSE)),0)</f>
        <v>18.595199999999998</v>
      </c>
      <c r="AU1189" s="232">
        <v>5.0000000000000001E-3</v>
      </c>
      <c r="AV1189" s="239">
        <f t="shared" si="171"/>
        <v>18.688175999999995</v>
      </c>
      <c r="AW1189" s="239">
        <f>(AS1189*AK1189/1000000)*(VLOOKUP(N1189,FCST!D:I,6,FALSE))</f>
        <v>0</v>
      </c>
      <c r="AX1189" s="239">
        <f t="shared" si="172"/>
        <v>0</v>
      </c>
      <c r="AY1189" s="239">
        <f>IF($G1189="CERVECERIA Y MALTERIA.",($AS1189*$AK1189/1000000)*(1-VLOOKUP($N1189,FCST!D:I,6,FALSE)),0)</f>
        <v>0</v>
      </c>
      <c r="AZ1189" s="239">
        <f t="shared" si="173"/>
        <v>0</v>
      </c>
    </row>
    <row r="1190" spans="1:52" x14ac:dyDescent="0.25">
      <c r="A1190" s="209">
        <v>1125971</v>
      </c>
      <c r="B1190" s="209">
        <v>120</v>
      </c>
      <c r="C1190" s="209">
        <v>89505863</v>
      </c>
      <c r="D1190" s="209">
        <v>10</v>
      </c>
      <c r="E1190" s="209">
        <v>10000002</v>
      </c>
      <c r="F1190" s="209">
        <v>20000335</v>
      </c>
      <c r="G1190" s="209" t="s">
        <v>105</v>
      </c>
      <c r="H1190" s="209">
        <v>20000335</v>
      </c>
      <c r="I1190" s="209">
        <v>2</v>
      </c>
      <c r="J1190" s="209" t="s">
        <v>169</v>
      </c>
      <c r="K1190" s="209" t="s">
        <v>2569</v>
      </c>
      <c r="L1190" s="209" t="s">
        <v>171</v>
      </c>
      <c r="M1190" s="209" t="s">
        <v>172</v>
      </c>
      <c r="N1190" s="209">
        <v>50035184</v>
      </c>
      <c r="O1190" s="209" t="s">
        <v>672</v>
      </c>
      <c r="P1190" s="209">
        <v>5121</v>
      </c>
      <c r="Q1190" s="209" t="s">
        <v>174</v>
      </c>
      <c r="R1190" s="209" t="s">
        <v>175</v>
      </c>
      <c r="S1190" s="209" t="s">
        <v>176</v>
      </c>
      <c r="T1190" s="209" t="s">
        <v>177</v>
      </c>
      <c r="U1190" s="209" t="s">
        <v>178</v>
      </c>
      <c r="V1190" s="209" t="s">
        <v>179</v>
      </c>
      <c r="W1190" s="209" t="s">
        <v>179</v>
      </c>
      <c r="X1190" s="209" t="s">
        <v>180</v>
      </c>
      <c r="Y1190" s="209" t="s">
        <v>180</v>
      </c>
      <c r="Z1190" s="209">
        <v>9521069043</v>
      </c>
      <c r="AA1190" s="209" t="s">
        <v>2471</v>
      </c>
      <c r="AB1190" s="209" t="s">
        <v>180</v>
      </c>
      <c r="AC1190" s="209" t="s">
        <v>182</v>
      </c>
      <c r="AD1190" s="209">
        <v>6</v>
      </c>
      <c r="AE1190" s="209">
        <v>2025</v>
      </c>
      <c r="AF1190" s="227">
        <v>45834</v>
      </c>
      <c r="AG1190" s="227">
        <v>45842</v>
      </c>
      <c r="AH1190" s="227">
        <v>45842</v>
      </c>
      <c r="AI1190" s="228">
        <v>977184</v>
      </c>
      <c r="AJ1190" s="228">
        <v>52</v>
      </c>
      <c r="AK1190" s="228">
        <v>977184</v>
      </c>
      <c r="AL1190" s="228">
        <v>52</v>
      </c>
      <c r="AM1190" s="228">
        <v>0</v>
      </c>
      <c r="AN1190" s="228">
        <v>0</v>
      </c>
      <c r="AO1190" s="229">
        <v>27</v>
      </c>
      <c r="AP1190" s="231">
        <v>7</v>
      </c>
      <c r="AQ1190" s="231">
        <v>2025</v>
      </c>
      <c r="AR1190" s="231" t="str">
        <f t="shared" si="169"/>
        <v>07/2025</v>
      </c>
      <c r="AS1190" s="231">
        <f t="shared" si="170"/>
        <v>19.5</v>
      </c>
      <c r="AT1190" s="239">
        <f>IF(G1190="CERVECERIA Y MALTERIA",(AS1190*AK1190/1000000)*(1-VLOOKUP(N1190,FCST!D:I,6,FALSE)),0)</f>
        <v>19.055088000000001</v>
      </c>
      <c r="AU1190" s="232">
        <v>5.0000000000000001E-3</v>
      </c>
      <c r="AV1190" s="239">
        <f t="shared" si="171"/>
        <v>19.15036344</v>
      </c>
      <c r="AW1190" s="239">
        <f>(AS1190*AK1190/1000000)*(VLOOKUP(N1190,FCST!D:I,6,FALSE))</f>
        <v>0</v>
      </c>
      <c r="AX1190" s="239">
        <f t="shared" si="172"/>
        <v>0</v>
      </c>
      <c r="AY1190" s="239">
        <f>IF($G1190="CERVECERIA Y MALTERIA.",($AS1190*$AK1190/1000000)*(1-VLOOKUP($N1190,FCST!D:I,6,FALSE)),0)</f>
        <v>0</v>
      </c>
      <c r="AZ1190" s="239">
        <f t="shared" si="173"/>
        <v>0</v>
      </c>
    </row>
    <row r="1191" spans="1:52" x14ac:dyDescent="0.25">
      <c r="A1191" s="209">
        <v>1125971</v>
      </c>
      <c r="B1191" s="209">
        <v>110</v>
      </c>
      <c r="C1191" s="209">
        <v>89505854</v>
      </c>
      <c r="D1191" s="209">
        <v>10</v>
      </c>
      <c r="E1191" s="209">
        <v>10000002</v>
      </c>
      <c r="F1191" s="209">
        <v>20000335</v>
      </c>
      <c r="G1191" s="209" t="s">
        <v>105</v>
      </c>
      <c r="H1191" s="209">
        <v>20000335</v>
      </c>
      <c r="I1191" s="209">
        <v>2</v>
      </c>
      <c r="J1191" s="209" t="s">
        <v>169</v>
      </c>
      <c r="K1191" s="209" t="s">
        <v>2570</v>
      </c>
      <c r="L1191" s="209" t="s">
        <v>171</v>
      </c>
      <c r="M1191" s="209" t="s">
        <v>199</v>
      </c>
      <c r="N1191" s="209">
        <v>50021818</v>
      </c>
      <c r="O1191" s="209" t="s">
        <v>2170</v>
      </c>
      <c r="P1191" s="209">
        <v>5121</v>
      </c>
      <c r="Q1191" s="209" t="s">
        <v>200</v>
      </c>
      <c r="R1191" s="209" t="s">
        <v>201</v>
      </c>
      <c r="S1191" s="209" t="s">
        <v>202</v>
      </c>
      <c r="T1191" s="209" t="s">
        <v>203</v>
      </c>
      <c r="U1191" s="209" t="s">
        <v>201</v>
      </c>
      <c r="V1191" s="209" t="s">
        <v>179</v>
      </c>
      <c r="W1191" s="209" t="s">
        <v>179</v>
      </c>
      <c r="X1191" s="209" t="s">
        <v>180</v>
      </c>
      <c r="Y1191" s="209" t="s">
        <v>180</v>
      </c>
      <c r="Z1191" s="209">
        <v>9521069040</v>
      </c>
      <c r="AA1191" s="209" t="s">
        <v>2550</v>
      </c>
      <c r="AB1191" s="209" t="s">
        <v>180</v>
      </c>
      <c r="AC1191" s="209" t="s">
        <v>182</v>
      </c>
      <c r="AD1191" s="209">
        <v>6</v>
      </c>
      <c r="AE1191" s="209">
        <v>2025</v>
      </c>
      <c r="AF1191" s="227">
        <v>45834</v>
      </c>
      <c r="AG1191" s="227">
        <v>45842</v>
      </c>
      <c r="AH1191" s="227">
        <v>45842</v>
      </c>
      <c r="AI1191" s="228">
        <v>426816</v>
      </c>
      <c r="AJ1191" s="228">
        <v>52</v>
      </c>
      <c r="AK1191" s="228">
        <v>426816</v>
      </c>
      <c r="AL1191" s="228">
        <v>52</v>
      </c>
      <c r="AM1191" s="228">
        <v>0</v>
      </c>
      <c r="AN1191" s="228">
        <v>0</v>
      </c>
      <c r="AO1191" s="229">
        <v>27</v>
      </c>
      <c r="AP1191" s="231">
        <v>7</v>
      </c>
      <c r="AQ1191" s="231">
        <v>2025</v>
      </c>
      <c r="AR1191" s="231" t="str">
        <f t="shared" si="169"/>
        <v>07/2025</v>
      </c>
      <c r="AS1191" s="231">
        <f t="shared" si="170"/>
        <v>46.6</v>
      </c>
      <c r="AT1191" s="239">
        <f>IF(G1191="CERVECERIA Y MALTERIA",(AS1191*AK1191/1000000)*(1-VLOOKUP(N1191,FCST!D:I,6,FALSE)),0)</f>
        <v>19.889625600000002</v>
      </c>
      <c r="AU1191" s="232">
        <v>5.0000000000000001E-3</v>
      </c>
      <c r="AV1191" s="239">
        <f t="shared" si="171"/>
        <v>19.989073728000001</v>
      </c>
      <c r="AW1191" s="239">
        <f>(AS1191*AK1191/1000000)*(VLOOKUP(N1191,FCST!D:I,6,FALSE))</f>
        <v>0</v>
      </c>
      <c r="AX1191" s="239">
        <f t="shared" si="172"/>
        <v>0</v>
      </c>
      <c r="AY1191" s="239">
        <f>IF($G1191="CERVECERIA Y MALTERIA.",($AS1191*$AK1191/1000000)*(1-VLOOKUP($N1191,FCST!D:I,6,FALSE)),0)</f>
        <v>0</v>
      </c>
      <c r="AZ1191" s="239">
        <f t="shared" si="173"/>
        <v>0</v>
      </c>
    </row>
    <row r="1192" spans="1:52" x14ac:dyDescent="0.25">
      <c r="A1192" s="209">
        <v>1126695</v>
      </c>
      <c r="B1192" s="209">
        <v>20</v>
      </c>
      <c r="C1192" s="209">
        <v>89505398</v>
      </c>
      <c r="D1192" s="209">
        <v>10</v>
      </c>
      <c r="E1192" s="209">
        <v>10000002</v>
      </c>
      <c r="F1192" s="209">
        <v>20000337</v>
      </c>
      <c r="G1192" s="209" t="s">
        <v>105</v>
      </c>
      <c r="H1192" s="209">
        <v>20000337</v>
      </c>
      <c r="I1192" s="209">
        <v>2</v>
      </c>
      <c r="J1192" s="209" t="s">
        <v>169</v>
      </c>
      <c r="K1192" s="209" t="s">
        <v>2571</v>
      </c>
      <c r="L1192" s="209" t="s">
        <v>265</v>
      </c>
      <c r="M1192" s="209" t="s">
        <v>199</v>
      </c>
      <c r="N1192" s="209">
        <v>50039302</v>
      </c>
      <c r="O1192" s="209" t="s">
        <v>1942</v>
      </c>
      <c r="P1192" s="209">
        <v>5121</v>
      </c>
      <c r="Q1192" s="209" t="s">
        <v>200</v>
      </c>
      <c r="R1192" s="209" t="s">
        <v>201</v>
      </c>
      <c r="S1192" s="209" t="s">
        <v>202</v>
      </c>
      <c r="T1192" s="209" t="s">
        <v>203</v>
      </c>
      <c r="U1192" s="209" t="s">
        <v>201</v>
      </c>
      <c r="V1192" s="209" t="s">
        <v>179</v>
      </c>
      <c r="W1192" s="209" t="s">
        <v>179</v>
      </c>
      <c r="X1192" s="209" t="s">
        <v>180</v>
      </c>
      <c r="Y1192" s="209" t="s">
        <v>180</v>
      </c>
      <c r="Z1192" s="209">
        <v>9521069053</v>
      </c>
      <c r="AA1192" s="209" t="s">
        <v>2552</v>
      </c>
      <c r="AB1192" s="209" t="s">
        <v>180</v>
      </c>
      <c r="AC1192" s="209" t="s">
        <v>182</v>
      </c>
      <c r="AD1192" s="209">
        <v>7</v>
      </c>
      <c r="AE1192" s="209">
        <v>2025</v>
      </c>
      <c r="AF1192" s="227">
        <v>45840</v>
      </c>
      <c r="AG1192" s="227">
        <v>45841</v>
      </c>
      <c r="AH1192" s="227">
        <v>45841</v>
      </c>
      <c r="AI1192" s="228">
        <v>399360</v>
      </c>
      <c r="AJ1192" s="228">
        <v>52</v>
      </c>
      <c r="AK1192" s="228">
        <v>399360</v>
      </c>
      <c r="AL1192" s="228">
        <v>52</v>
      </c>
      <c r="AM1192" s="228">
        <v>0</v>
      </c>
      <c r="AN1192" s="228">
        <v>0</v>
      </c>
      <c r="AO1192" s="229">
        <v>27</v>
      </c>
      <c r="AP1192" s="231">
        <v>7</v>
      </c>
      <c r="AQ1192" s="231">
        <v>2025</v>
      </c>
      <c r="AR1192" s="231" t="str">
        <f t="shared" si="169"/>
        <v>07/2025</v>
      </c>
      <c r="AS1192" s="231">
        <f t="shared" si="170"/>
        <v>46.6</v>
      </c>
      <c r="AT1192" s="239">
        <f>IF(G1192="CERVECERIA Y MALTERIA",(AS1192*AK1192/1000000)*(1-VLOOKUP(N1192,FCST!D:I,6,FALSE)),0)</f>
        <v>18.610175999999999</v>
      </c>
      <c r="AU1192" s="232">
        <v>5.0000000000000001E-3</v>
      </c>
      <c r="AV1192" s="239">
        <f t="shared" si="171"/>
        <v>18.703226879999995</v>
      </c>
      <c r="AW1192" s="239">
        <f>(AS1192*AK1192/1000000)*(VLOOKUP(N1192,FCST!D:I,6,FALSE))</f>
        <v>0</v>
      </c>
      <c r="AX1192" s="239">
        <f t="shared" si="172"/>
        <v>0</v>
      </c>
      <c r="AY1192" s="239">
        <f>IF($G1192="CERVECERIA Y MALTERIA.",($AS1192*$AK1192/1000000)*(1-VLOOKUP($N1192,FCST!D:I,6,FALSE)),0)</f>
        <v>0</v>
      </c>
      <c r="AZ1192" s="239">
        <f t="shared" si="173"/>
        <v>0</v>
      </c>
    </row>
    <row r="1193" spans="1:52" x14ac:dyDescent="0.25">
      <c r="A1193" s="209">
        <v>1125971</v>
      </c>
      <c r="B1193" s="209">
        <v>100</v>
      </c>
      <c r="C1193" s="209">
        <v>89505328</v>
      </c>
      <c r="D1193" s="209">
        <v>10</v>
      </c>
      <c r="E1193" s="209">
        <v>10000002</v>
      </c>
      <c r="F1193" s="209">
        <v>20000335</v>
      </c>
      <c r="G1193" s="209" t="s">
        <v>105</v>
      </c>
      <c r="H1193" s="209">
        <v>20000335</v>
      </c>
      <c r="I1193" s="209">
        <v>2</v>
      </c>
      <c r="J1193" s="209" t="s">
        <v>169</v>
      </c>
      <c r="K1193" s="209" t="s">
        <v>2572</v>
      </c>
      <c r="L1193" s="209" t="s">
        <v>171</v>
      </c>
      <c r="M1193" s="209" t="s">
        <v>199</v>
      </c>
      <c r="N1193" s="209">
        <v>50037887</v>
      </c>
      <c r="O1193" s="209" t="s">
        <v>679</v>
      </c>
      <c r="P1193" s="209">
        <v>5121</v>
      </c>
      <c r="Q1193" s="209" t="s">
        <v>200</v>
      </c>
      <c r="R1193" s="209" t="s">
        <v>201</v>
      </c>
      <c r="S1193" s="209" t="s">
        <v>202</v>
      </c>
      <c r="T1193" s="209" t="s">
        <v>203</v>
      </c>
      <c r="U1193" s="209" t="s">
        <v>201</v>
      </c>
      <c r="V1193" s="209" t="s">
        <v>179</v>
      </c>
      <c r="W1193" s="209" t="s">
        <v>179</v>
      </c>
      <c r="X1193" s="209" t="s">
        <v>180</v>
      </c>
      <c r="Y1193" s="209" t="s">
        <v>180</v>
      </c>
      <c r="Z1193" s="209">
        <v>9521069045</v>
      </c>
      <c r="AA1193" s="209" t="s">
        <v>2462</v>
      </c>
      <c r="AB1193" s="209" t="s">
        <v>180</v>
      </c>
      <c r="AC1193" s="209" t="s">
        <v>182</v>
      </c>
      <c r="AD1193" s="209">
        <v>6</v>
      </c>
      <c r="AE1193" s="209">
        <v>2025</v>
      </c>
      <c r="AF1193" s="227">
        <v>45834</v>
      </c>
      <c r="AG1193" s="227">
        <v>45841</v>
      </c>
      <c r="AH1193" s="227">
        <v>45841</v>
      </c>
      <c r="AI1193" s="228">
        <v>531648</v>
      </c>
      <c r="AJ1193" s="228">
        <v>52</v>
      </c>
      <c r="AK1193" s="228">
        <v>531648</v>
      </c>
      <c r="AL1193" s="228">
        <v>52</v>
      </c>
      <c r="AM1193" s="228">
        <v>0</v>
      </c>
      <c r="AN1193" s="228">
        <v>0</v>
      </c>
      <c r="AO1193" s="229">
        <v>27</v>
      </c>
      <c r="AP1193" s="231">
        <v>7</v>
      </c>
      <c r="AQ1193" s="231">
        <v>2025</v>
      </c>
      <c r="AR1193" s="231" t="str">
        <f t="shared" si="169"/>
        <v>07/2025</v>
      </c>
      <c r="AS1193" s="231">
        <f t="shared" si="170"/>
        <v>37.200000000000003</v>
      </c>
      <c r="AT1193" s="239">
        <f>IF(G1193="CERVECERIA Y MALTERIA",(AS1193*AK1193/1000000)*(1-VLOOKUP(N1193,FCST!D:I,6,FALSE)),0)</f>
        <v>19.777305600000002</v>
      </c>
      <c r="AU1193" s="232">
        <v>5.0000000000000001E-3</v>
      </c>
      <c r="AV1193" s="239">
        <f t="shared" si="171"/>
        <v>19.876192128</v>
      </c>
      <c r="AW1193" s="239">
        <f>(AS1193*AK1193/1000000)*(VLOOKUP(N1193,FCST!D:I,6,FALSE))</f>
        <v>0</v>
      </c>
      <c r="AX1193" s="239">
        <f t="shared" si="172"/>
        <v>0</v>
      </c>
      <c r="AY1193" s="239">
        <f>IF($G1193="CERVECERIA Y MALTERIA.",($AS1193*$AK1193/1000000)*(1-VLOOKUP($N1193,FCST!D:I,6,FALSE)),0)</f>
        <v>0</v>
      </c>
      <c r="AZ1193" s="239">
        <f t="shared" si="173"/>
        <v>0</v>
      </c>
    </row>
    <row r="1194" spans="1:52" x14ac:dyDescent="0.25">
      <c r="A1194" s="209">
        <v>1125971</v>
      </c>
      <c r="B1194" s="209">
        <v>90</v>
      </c>
      <c r="C1194" s="209">
        <v>89504955</v>
      </c>
      <c r="D1194" s="209">
        <v>10</v>
      </c>
      <c r="E1194" s="209">
        <v>10000002</v>
      </c>
      <c r="F1194" s="209">
        <v>20000335</v>
      </c>
      <c r="G1194" s="209" t="s">
        <v>105</v>
      </c>
      <c r="H1194" s="209">
        <v>20000335</v>
      </c>
      <c r="I1194" s="209">
        <v>2</v>
      </c>
      <c r="J1194" s="209" t="s">
        <v>169</v>
      </c>
      <c r="K1194" s="209" t="s">
        <v>2573</v>
      </c>
      <c r="L1194" s="209" t="s">
        <v>171</v>
      </c>
      <c r="M1194" s="209" t="s">
        <v>172</v>
      </c>
      <c r="N1194" s="209">
        <v>50037887</v>
      </c>
      <c r="O1194" s="209" t="s">
        <v>679</v>
      </c>
      <c r="P1194" s="209">
        <v>5121</v>
      </c>
      <c r="Q1194" s="209" t="s">
        <v>174</v>
      </c>
      <c r="R1194" s="209" t="s">
        <v>175</v>
      </c>
      <c r="S1194" s="209" t="s">
        <v>176</v>
      </c>
      <c r="T1194" s="209" t="s">
        <v>177</v>
      </c>
      <c r="U1194" s="209" t="s">
        <v>178</v>
      </c>
      <c r="V1194" s="209" t="s">
        <v>179</v>
      </c>
      <c r="W1194" s="209" t="s">
        <v>179</v>
      </c>
      <c r="X1194" s="209" t="s">
        <v>180</v>
      </c>
      <c r="Y1194" s="209" t="s">
        <v>180</v>
      </c>
      <c r="Z1194" s="209">
        <v>9521069045</v>
      </c>
      <c r="AA1194" s="209" t="s">
        <v>2462</v>
      </c>
      <c r="AB1194" s="209" t="s">
        <v>180</v>
      </c>
      <c r="AC1194" s="209" t="s">
        <v>182</v>
      </c>
      <c r="AD1194" s="209">
        <v>6</v>
      </c>
      <c r="AE1194" s="209">
        <v>2025</v>
      </c>
      <c r="AF1194" s="227">
        <v>45834</v>
      </c>
      <c r="AG1194" s="227">
        <v>45841</v>
      </c>
      <c r="AH1194" s="227">
        <v>45841</v>
      </c>
      <c r="AI1194" s="228">
        <v>531648</v>
      </c>
      <c r="AJ1194" s="228">
        <v>52</v>
      </c>
      <c r="AK1194" s="228">
        <v>531648</v>
      </c>
      <c r="AL1194" s="228">
        <v>52</v>
      </c>
      <c r="AM1194" s="228">
        <v>0</v>
      </c>
      <c r="AN1194" s="228">
        <v>0</v>
      </c>
      <c r="AO1194" s="229">
        <v>27</v>
      </c>
      <c r="AP1194" s="231">
        <v>7</v>
      </c>
      <c r="AQ1194" s="231">
        <v>2025</v>
      </c>
      <c r="AR1194" s="231" t="str">
        <f t="shared" si="169"/>
        <v>07/2025</v>
      </c>
      <c r="AS1194" s="231">
        <f t="shared" si="170"/>
        <v>37.200000000000003</v>
      </c>
      <c r="AT1194" s="239">
        <f>IF(G1194="CERVECERIA Y MALTERIA",(AS1194*AK1194/1000000)*(1-VLOOKUP(N1194,FCST!D:I,6,FALSE)),0)</f>
        <v>19.777305600000002</v>
      </c>
      <c r="AU1194" s="232">
        <v>5.0000000000000001E-3</v>
      </c>
      <c r="AV1194" s="239">
        <f t="shared" si="171"/>
        <v>19.876192128</v>
      </c>
      <c r="AW1194" s="239">
        <f>(AS1194*AK1194/1000000)*(VLOOKUP(N1194,FCST!D:I,6,FALSE))</f>
        <v>0</v>
      </c>
      <c r="AX1194" s="239">
        <f t="shared" si="172"/>
        <v>0</v>
      </c>
      <c r="AY1194" s="239">
        <f>IF($G1194="CERVECERIA Y MALTERIA.",($AS1194*$AK1194/1000000)*(1-VLOOKUP($N1194,FCST!D:I,6,FALSE)),0)</f>
        <v>0</v>
      </c>
      <c r="AZ1194" s="239">
        <f t="shared" si="173"/>
        <v>0</v>
      </c>
    </row>
    <row r="1195" spans="1:52" x14ac:dyDescent="0.25">
      <c r="A1195" s="209">
        <v>1126823</v>
      </c>
      <c r="B1195" s="209">
        <v>10</v>
      </c>
      <c r="C1195" s="209">
        <v>89504884</v>
      </c>
      <c r="D1195" s="209">
        <v>10</v>
      </c>
      <c r="E1195" s="209">
        <v>10000002</v>
      </c>
      <c r="F1195" s="209">
        <v>20000340</v>
      </c>
      <c r="G1195" s="209" t="s">
        <v>117</v>
      </c>
      <c r="H1195" s="209">
        <v>20000340</v>
      </c>
      <c r="I1195" s="209">
        <v>2</v>
      </c>
      <c r="J1195" s="209" t="s">
        <v>169</v>
      </c>
      <c r="K1195" s="209" t="s">
        <v>2574</v>
      </c>
      <c r="L1195" s="209" t="s">
        <v>265</v>
      </c>
      <c r="M1195" s="209" t="s">
        <v>172</v>
      </c>
      <c r="N1195" s="209">
        <v>50032514</v>
      </c>
      <c r="O1195" s="209" t="s">
        <v>2246</v>
      </c>
      <c r="P1195" s="209">
        <v>5121</v>
      </c>
      <c r="Q1195" s="209" t="s">
        <v>174</v>
      </c>
      <c r="R1195" s="209" t="s">
        <v>175</v>
      </c>
      <c r="S1195" s="209" t="s">
        <v>176</v>
      </c>
      <c r="T1195" s="209" t="s">
        <v>177</v>
      </c>
      <c r="U1195" s="209" t="s">
        <v>178</v>
      </c>
      <c r="V1195" s="209" t="s">
        <v>179</v>
      </c>
      <c r="W1195" s="209" t="s">
        <v>179</v>
      </c>
      <c r="X1195" s="209" t="s">
        <v>180</v>
      </c>
      <c r="Y1195" s="209" t="s">
        <v>180</v>
      </c>
      <c r="Z1195" s="209">
        <v>9521069056</v>
      </c>
      <c r="AA1195" s="209" t="s">
        <v>2557</v>
      </c>
      <c r="AB1195" s="209" t="s">
        <v>180</v>
      </c>
      <c r="AC1195" s="209" t="s">
        <v>182</v>
      </c>
      <c r="AD1195" s="209">
        <v>7</v>
      </c>
      <c r="AE1195" s="209">
        <v>2025</v>
      </c>
      <c r="AF1195" s="227">
        <v>45840</v>
      </c>
      <c r="AG1195" s="227">
        <v>45841</v>
      </c>
      <c r="AH1195" s="227">
        <v>45841</v>
      </c>
      <c r="AI1195" s="228">
        <v>419328</v>
      </c>
      <c r="AJ1195" s="228">
        <v>52</v>
      </c>
      <c r="AK1195" s="228">
        <v>419328</v>
      </c>
      <c r="AL1195" s="228">
        <v>52</v>
      </c>
      <c r="AM1195" s="228">
        <v>0</v>
      </c>
      <c r="AN1195" s="228">
        <v>0</v>
      </c>
      <c r="AO1195" s="229">
        <v>27</v>
      </c>
      <c r="AP1195" s="231">
        <v>7</v>
      </c>
      <c r="AQ1195" s="231">
        <v>2025</v>
      </c>
      <c r="AR1195" s="231" t="str">
        <f t="shared" si="169"/>
        <v>07/2025</v>
      </c>
      <c r="AS1195" s="231">
        <f t="shared" si="170"/>
        <v>44.8</v>
      </c>
      <c r="AT1195" s="239">
        <f>IF(G1195="CERVECERIA Y MALTERIA",(AS1195*AK1195/1000000)*(1-VLOOKUP(N1195,FCST!D:I,6,FALSE)),0)</f>
        <v>0</v>
      </c>
      <c r="AU1195" s="232">
        <v>5.0000000000000001E-3</v>
      </c>
      <c r="AV1195" s="239">
        <f t="shared" si="171"/>
        <v>0</v>
      </c>
      <c r="AW1195" s="239">
        <f>(AS1195*AK1195/1000000)*(VLOOKUP(N1195,FCST!D:I,6,FALSE))</f>
        <v>0</v>
      </c>
      <c r="AX1195" s="239">
        <f t="shared" si="172"/>
        <v>0</v>
      </c>
      <c r="AY1195" s="239">
        <f>IF($G1195="CERVECERIA Y MALTERIA.",($AS1195*$AK1195/1000000)*(1-VLOOKUP($N1195,FCST!D:I,6,FALSE)),0)</f>
        <v>18.7858944</v>
      </c>
      <c r="AZ1195" s="239">
        <f t="shared" si="173"/>
        <v>18.879823871999999</v>
      </c>
    </row>
    <row r="1196" spans="1:52" x14ac:dyDescent="0.25">
      <c r="A1196" s="209">
        <v>1126695</v>
      </c>
      <c r="B1196" s="209">
        <v>10</v>
      </c>
      <c r="C1196" s="209">
        <v>89504482</v>
      </c>
      <c r="D1196" s="209">
        <v>10</v>
      </c>
      <c r="E1196" s="209">
        <v>10000002</v>
      </c>
      <c r="F1196" s="209">
        <v>20000337</v>
      </c>
      <c r="G1196" s="209" t="s">
        <v>105</v>
      </c>
      <c r="H1196" s="209">
        <v>20000337</v>
      </c>
      <c r="I1196" s="209">
        <v>2</v>
      </c>
      <c r="J1196" s="209" t="s">
        <v>169</v>
      </c>
      <c r="K1196" s="209" t="s">
        <v>2575</v>
      </c>
      <c r="L1196" s="209" t="s">
        <v>265</v>
      </c>
      <c r="M1196" s="209" t="s">
        <v>184</v>
      </c>
      <c r="N1196" s="209">
        <v>50039572</v>
      </c>
      <c r="O1196" s="209" t="s">
        <v>2555</v>
      </c>
      <c r="P1196" s="209">
        <v>5121</v>
      </c>
      <c r="Q1196" s="209" t="s">
        <v>174</v>
      </c>
      <c r="R1196" s="209" t="s">
        <v>175</v>
      </c>
      <c r="S1196" s="209" t="s">
        <v>176</v>
      </c>
      <c r="T1196" s="209" t="s">
        <v>177</v>
      </c>
      <c r="U1196" s="209" t="s">
        <v>178</v>
      </c>
      <c r="V1196" s="209" t="s">
        <v>179</v>
      </c>
      <c r="W1196" s="209" t="s">
        <v>179</v>
      </c>
      <c r="X1196" s="209" t="s">
        <v>180</v>
      </c>
      <c r="Y1196" s="209" t="s">
        <v>180</v>
      </c>
      <c r="Z1196" s="209">
        <v>9521069080</v>
      </c>
      <c r="AA1196" s="209" t="s">
        <v>2576</v>
      </c>
      <c r="AB1196" s="209" t="s">
        <v>180</v>
      </c>
      <c r="AC1196" s="209" t="s">
        <v>182</v>
      </c>
      <c r="AD1196" s="209">
        <v>7</v>
      </c>
      <c r="AE1196" s="209">
        <v>2025</v>
      </c>
      <c r="AF1196" s="227">
        <v>45840</v>
      </c>
      <c r="AG1196" s="227">
        <v>45840</v>
      </c>
      <c r="AH1196" s="227">
        <v>45840</v>
      </c>
      <c r="AI1196" s="228">
        <v>415584</v>
      </c>
      <c r="AJ1196" s="228">
        <v>52</v>
      </c>
      <c r="AK1196" s="228">
        <v>415584</v>
      </c>
      <c r="AL1196" s="228">
        <v>52</v>
      </c>
      <c r="AM1196" s="228">
        <v>0</v>
      </c>
      <c r="AN1196" s="228">
        <v>0</v>
      </c>
      <c r="AO1196" s="229">
        <v>27</v>
      </c>
      <c r="AP1196" s="231">
        <v>7</v>
      </c>
      <c r="AQ1196" s="231">
        <v>2025</v>
      </c>
      <c r="AR1196" s="231" t="str">
        <f t="shared" si="169"/>
        <v>07/2025</v>
      </c>
      <c r="AS1196" s="231">
        <f t="shared" si="170"/>
        <v>46.6</v>
      </c>
      <c r="AT1196" s="239">
        <f>IF(G1196="CERVECERIA Y MALTERIA",(AS1196*AK1196/1000000)*(1-VLOOKUP(N1196,FCST!D:I,6,FALSE)),0)</f>
        <v>19.3662144</v>
      </c>
      <c r="AU1196" s="232">
        <v>5.0000000000000001E-3</v>
      </c>
      <c r="AV1196" s="239">
        <f t="shared" si="171"/>
        <v>19.463045471999997</v>
      </c>
      <c r="AW1196" s="239">
        <f>(AS1196*AK1196/1000000)*(VLOOKUP(N1196,FCST!D:I,6,FALSE))</f>
        <v>0</v>
      </c>
      <c r="AX1196" s="239">
        <f t="shared" si="172"/>
        <v>0</v>
      </c>
      <c r="AY1196" s="239">
        <f>IF($G1196="CERVECERIA Y MALTERIA.",($AS1196*$AK1196/1000000)*(1-VLOOKUP($N1196,FCST!D:I,6,FALSE)),0)</f>
        <v>0</v>
      </c>
      <c r="AZ1196" s="239">
        <f t="shared" si="173"/>
        <v>0</v>
      </c>
    </row>
    <row r="1197" spans="1:52" x14ac:dyDescent="0.25">
      <c r="A1197" s="209">
        <v>1125971</v>
      </c>
      <c r="B1197" s="209">
        <v>80</v>
      </c>
      <c r="C1197" s="209">
        <v>89504221</v>
      </c>
      <c r="D1197" s="209">
        <v>10</v>
      </c>
      <c r="E1197" s="209">
        <v>10000002</v>
      </c>
      <c r="F1197" s="209">
        <v>20000335</v>
      </c>
      <c r="G1197" s="209" t="s">
        <v>105</v>
      </c>
      <c r="H1197" s="209">
        <v>20000335</v>
      </c>
      <c r="I1197" s="209">
        <v>2</v>
      </c>
      <c r="J1197" s="209" t="s">
        <v>169</v>
      </c>
      <c r="K1197" s="209" t="s">
        <v>2577</v>
      </c>
      <c r="L1197" s="209" t="s">
        <v>171</v>
      </c>
      <c r="M1197" s="209" t="s">
        <v>184</v>
      </c>
      <c r="N1197" s="209">
        <v>50021818</v>
      </c>
      <c r="O1197" s="209" t="s">
        <v>2170</v>
      </c>
      <c r="P1197" s="209">
        <v>5121</v>
      </c>
      <c r="Q1197" s="209" t="s">
        <v>174</v>
      </c>
      <c r="R1197" s="209" t="s">
        <v>175</v>
      </c>
      <c r="S1197" s="209" t="s">
        <v>176</v>
      </c>
      <c r="T1197" s="209" t="s">
        <v>177</v>
      </c>
      <c r="U1197" s="209" t="s">
        <v>178</v>
      </c>
      <c r="V1197" s="209" t="s">
        <v>179</v>
      </c>
      <c r="W1197" s="209" t="s">
        <v>179</v>
      </c>
      <c r="X1197" s="209" t="s">
        <v>180</v>
      </c>
      <c r="Y1197" s="209" t="s">
        <v>180</v>
      </c>
      <c r="Z1197" s="209">
        <v>9521069040</v>
      </c>
      <c r="AA1197" s="209" t="s">
        <v>2550</v>
      </c>
      <c r="AB1197" s="209" t="s">
        <v>180</v>
      </c>
      <c r="AC1197" s="209" t="s">
        <v>182</v>
      </c>
      <c r="AD1197" s="209">
        <v>6</v>
      </c>
      <c r="AE1197" s="209">
        <v>2025</v>
      </c>
      <c r="AF1197" s="227">
        <v>45834</v>
      </c>
      <c r="AG1197" s="227">
        <v>45840</v>
      </c>
      <c r="AH1197" s="227">
        <v>45840</v>
      </c>
      <c r="AI1197" s="228">
        <v>426816</v>
      </c>
      <c r="AJ1197" s="228">
        <v>52</v>
      </c>
      <c r="AK1197" s="228">
        <v>426816</v>
      </c>
      <c r="AL1197" s="228">
        <v>52</v>
      </c>
      <c r="AM1197" s="228">
        <v>0</v>
      </c>
      <c r="AN1197" s="228">
        <v>0</v>
      </c>
      <c r="AO1197" s="229">
        <v>27</v>
      </c>
      <c r="AP1197" s="231">
        <v>7</v>
      </c>
      <c r="AQ1197" s="231">
        <v>2025</v>
      </c>
      <c r="AR1197" s="231" t="str">
        <f t="shared" si="169"/>
        <v>07/2025</v>
      </c>
      <c r="AS1197" s="231">
        <f t="shared" si="170"/>
        <v>46.6</v>
      </c>
      <c r="AT1197" s="239">
        <f>IF(G1197="CERVECERIA Y MALTERIA",(AS1197*AK1197/1000000)*(1-VLOOKUP(N1197,FCST!D:I,6,FALSE)),0)</f>
        <v>19.889625600000002</v>
      </c>
      <c r="AU1197" s="232">
        <v>5.0000000000000001E-3</v>
      </c>
      <c r="AV1197" s="239">
        <f t="shared" si="171"/>
        <v>19.989073728000001</v>
      </c>
      <c r="AW1197" s="239">
        <f>(AS1197*AK1197/1000000)*(VLOOKUP(N1197,FCST!D:I,6,FALSE))</f>
        <v>0</v>
      </c>
      <c r="AX1197" s="239">
        <f t="shared" si="172"/>
        <v>0</v>
      </c>
      <c r="AY1197" s="239">
        <f>IF($G1197="CERVECERIA Y MALTERIA.",($AS1197*$AK1197/1000000)*(1-VLOOKUP($N1197,FCST!D:I,6,FALSE)),0)</f>
        <v>0</v>
      </c>
      <c r="AZ1197" s="239">
        <f t="shared" si="173"/>
        <v>0</v>
      </c>
    </row>
    <row r="1198" spans="1:52" x14ac:dyDescent="0.25">
      <c r="A1198" s="209">
        <v>1128028</v>
      </c>
      <c r="B1198" s="209">
        <v>40</v>
      </c>
      <c r="C1198" s="209">
        <v>89513631</v>
      </c>
      <c r="D1198" s="209">
        <v>10</v>
      </c>
      <c r="E1198" s="209">
        <v>10000002</v>
      </c>
      <c r="F1198" s="209">
        <v>20000335</v>
      </c>
      <c r="G1198" s="209" t="s">
        <v>105</v>
      </c>
      <c r="H1198" s="209">
        <v>20000335</v>
      </c>
      <c r="I1198" s="209">
        <v>2</v>
      </c>
      <c r="J1198" s="209" t="s">
        <v>169</v>
      </c>
      <c r="K1198" s="209" t="s">
        <v>2578</v>
      </c>
      <c r="L1198" s="209" t="s">
        <v>171</v>
      </c>
      <c r="M1198" s="209" t="s">
        <v>172</v>
      </c>
      <c r="N1198" s="209">
        <v>50036915</v>
      </c>
      <c r="O1198" s="209" t="s">
        <v>541</v>
      </c>
      <c r="P1198" s="209">
        <v>5121</v>
      </c>
      <c r="Q1198" s="209" t="s">
        <v>174</v>
      </c>
      <c r="R1198" s="209" t="s">
        <v>175</v>
      </c>
      <c r="S1198" s="209" t="s">
        <v>176</v>
      </c>
      <c r="T1198" s="209" t="s">
        <v>177</v>
      </c>
      <c r="U1198" s="209" t="s">
        <v>178</v>
      </c>
      <c r="V1198" s="209" t="s">
        <v>179</v>
      </c>
      <c r="W1198" s="209" t="s">
        <v>179</v>
      </c>
      <c r="X1198" s="209" t="s">
        <v>180</v>
      </c>
      <c r="Y1198" s="209" t="s">
        <v>180</v>
      </c>
      <c r="Z1198" s="209">
        <v>9521069079</v>
      </c>
      <c r="AA1198" s="209" t="s">
        <v>2460</v>
      </c>
      <c r="AB1198" s="209" t="s">
        <v>180</v>
      </c>
      <c r="AC1198" s="209" t="s">
        <v>182</v>
      </c>
      <c r="AD1198" s="209">
        <v>7</v>
      </c>
      <c r="AE1198" s="209">
        <v>2025</v>
      </c>
      <c r="AF1198" s="227">
        <v>45847</v>
      </c>
      <c r="AG1198" s="227">
        <v>45853</v>
      </c>
      <c r="AH1198" s="227">
        <v>45853</v>
      </c>
      <c r="AI1198" s="228">
        <v>426816</v>
      </c>
      <c r="AJ1198" s="228">
        <v>52</v>
      </c>
      <c r="AK1198" s="228">
        <v>426816</v>
      </c>
      <c r="AL1198" s="228">
        <v>52</v>
      </c>
      <c r="AM1198" s="228">
        <v>0</v>
      </c>
      <c r="AN1198" s="228">
        <v>0</v>
      </c>
      <c r="AO1198" s="229">
        <v>29</v>
      </c>
      <c r="AP1198" s="231">
        <v>7</v>
      </c>
      <c r="AQ1198" s="231">
        <v>2025</v>
      </c>
      <c r="AR1198" s="231" t="str">
        <f t="shared" si="169"/>
        <v>07/2025</v>
      </c>
      <c r="AS1198" s="231">
        <f t="shared" si="170"/>
        <v>46.6</v>
      </c>
      <c r="AT1198" s="239">
        <f>IF(G1198="CERVECERIA Y MALTERIA",(AS1198*AK1198/1000000)*(1-VLOOKUP(N1198,FCST!D:I,6,FALSE)),0)</f>
        <v>15.911700480000002</v>
      </c>
      <c r="AU1198" s="232">
        <v>5.0000000000000001E-3</v>
      </c>
      <c r="AV1198" s="239">
        <f t="shared" si="171"/>
        <v>15.9912589824</v>
      </c>
      <c r="AW1198" s="239">
        <f>(AS1198*AK1198/1000000)*(VLOOKUP(N1198,FCST!D:I,6,FALSE))</f>
        <v>3.9779251200000005</v>
      </c>
      <c r="AX1198" s="239">
        <f t="shared" si="172"/>
        <v>3.9978147455999999</v>
      </c>
      <c r="AY1198" s="239">
        <f>IF($G1198="CERVECERIA Y MALTERIA.",($AS1198*$AK1198/1000000)*(1-VLOOKUP($N1198,FCST!D:I,6,FALSE)),0)</f>
        <v>0</v>
      </c>
      <c r="AZ1198" s="239">
        <f t="shared" si="173"/>
        <v>0</v>
      </c>
    </row>
    <row r="1199" spans="1:52" x14ac:dyDescent="0.25">
      <c r="A1199" s="209">
        <v>1128457</v>
      </c>
      <c r="B1199" s="209">
        <v>30</v>
      </c>
      <c r="C1199" s="209">
        <v>89513366</v>
      </c>
      <c r="D1199" s="209">
        <v>30</v>
      </c>
      <c r="E1199" s="209">
        <v>10000002</v>
      </c>
      <c r="F1199" s="209">
        <v>20000336</v>
      </c>
      <c r="G1199" s="209" t="s">
        <v>105</v>
      </c>
      <c r="H1199" s="209">
        <v>20000336</v>
      </c>
      <c r="I1199" s="209">
        <v>2</v>
      </c>
      <c r="J1199" s="209" t="s">
        <v>169</v>
      </c>
      <c r="K1199" s="209" t="s">
        <v>2579</v>
      </c>
      <c r="L1199" s="209" t="s">
        <v>265</v>
      </c>
      <c r="M1199" s="209" t="s">
        <v>172</v>
      </c>
      <c r="N1199" s="209">
        <v>50034616</v>
      </c>
      <c r="O1199" s="209" t="s">
        <v>191</v>
      </c>
      <c r="P1199" s="209">
        <v>5121</v>
      </c>
      <c r="Q1199" s="209" t="s">
        <v>174</v>
      </c>
      <c r="R1199" s="209" t="s">
        <v>175</v>
      </c>
      <c r="S1199" s="209" t="s">
        <v>176</v>
      </c>
      <c r="T1199" s="209" t="s">
        <v>177</v>
      </c>
      <c r="U1199" s="209" t="s">
        <v>178</v>
      </c>
      <c r="V1199" s="209" t="s">
        <v>179</v>
      </c>
      <c r="W1199" s="209" t="s">
        <v>179</v>
      </c>
      <c r="X1199" s="209" t="s">
        <v>180</v>
      </c>
      <c r="Y1199" s="209" t="s">
        <v>180</v>
      </c>
      <c r="Z1199" s="209">
        <v>9521069047</v>
      </c>
      <c r="AA1199" s="209" t="s">
        <v>2580</v>
      </c>
      <c r="AB1199" s="209" t="s">
        <v>180</v>
      </c>
      <c r="AC1199" s="209" t="s">
        <v>182</v>
      </c>
      <c r="AD1199" s="209">
        <v>7</v>
      </c>
      <c r="AE1199" s="209">
        <v>2025</v>
      </c>
      <c r="AF1199" s="227">
        <v>45849</v>
      </c>
      <c r="AG1199" s="227">
        <v>45852</v>
      </c>
      <c r="AH1199" s="227">
        <v>45852</v>
      </c>
      <c r="AI1199" s="228">
        <v>123120</v>
      </c>
      <c r="AJ1199" s="228">
        <v>15</v>
      </c>
      <c r="AK1199" s="228">
        <v>123120</v>
      </c>
      <c r="AL1199" s="228">
        <v>15</v>
      </c>
      <c r="AM1199" s="228">
        <v>0</v>
      </c>
      <c r="AN1199" s="228">
        <v>0</v>
      </c>
      <c r="AO1199" s="229">
        <v>29</v>
      </c>
      <c r="AP1199" s="231">
        <v>7</v>
      </c>
      <c r="AQ1199" s="231">
        <v>2025</v>
      </c>
      <c r="AR1199" s="231" t="str">
        <f t="shared" si="169"/>
        <v>07/2025</v>
      </c>
      <c r="AS1199" s="231">
        <f t="shared" si="170"/>
        <v>46.6</v>
      </c>
      <c r="AT1199" s="239">
        <f>IF(G1199="CERVECERIA Y MALTERIA",(AS1199*AK1199/1000000)*(1-VLOOKUP(N1199,FCST!D:I,6,FALSE)),0)</f>
        <v>5.7373919999999998</v>
      </c>
      <c r="AU1199" s="232">
        <v>5.0000000000000001E-3</v>
      </c>
      <c r="AV1199" s="239">
        <f t="shared" si="171"/>
        <v>5.7660789599999989</v>
      </c>
      <c r="AW1199" s="239">
        <f>(AS1199*AK1199/1000000)*(VLOOKUP(N1199,FCST!D:I,6,FALSE))</f>
        <v>0</v>
      </c>
      <c r="AX1199" s="239">
        <f t="shared" si="172"/>
        <v>0</v>
      </c>
      <c r="AY1199" s="239">
        <f>IF($G1199="CERVECERIA Y MALTERIA.",($AS1199*$AK1199/1000000)*(1-VLOOKUP($N1199,FCST!D:I,6,FALSE)),0)</f>
        <v>0</v>
      </c>
      <c r="AZ1199" s="239">
        <f t="shared" si="173"/>
        <v>0</v>
      </c>
    </row>
    <row r="1200" spans="1:52" x14ac:dyDescent="0.25">
      <c r="A1200" s="209">
        <v>1128457</v>
      </c>
      <c r="B1200" s="209">
        <v>20</v>
      </c>
      <c r="C1200" s="209">
        <v>89513366</v>
      </c>
      <c r="D1200" s="209">
        <v>20</v>
      </c>
      <c r="E1200" s="209">
        <v>10000002</v>
      </c>
      <c r="F1200" s="209">
        <v>20000336</v>
      </c>
      <c r="G1200" s="209" t="s">
        <v>105</v>
      </c>
      <c r="H1200" s="209">
        <v>20000336</v>
      </c>
      <c r="I1200" s="209">
        <v>2</v>
      </c>
      <c r="J1200" s="209" t="s">
        <v>169</v>
      </c>
      <c r="K1200" s="209" t="s">
        <v>2579</v>
      </c>
      <c r="L1200" s="209" t="s">
        <v>265</v>
      </c>
      <c r="M1200" s="209" t="s">
        <v>172</v>
      </c>
      <c r="N1200" s="209">
        <v>50021818</v>
      </c>
      <c r="O1200" s="209" t="s">
        <v>2170</v>
      </c>
      <c r="P1200" s="209">
        <v>5121</v>
      </c>
      <c r="Q1200" s="209" t="s">
        <v>174</v>
      </c>
      <c r="R1200" s="209" t="s">
        <v>175</v>
      </c>
      <c r="S1200" s="209" t="s">
        <v>176</v>
      </c>
      <c r="T1200" s="209" t="s">
        <v>177</v>
      </c>
      <c r="U1200" s="209" t="s">
        <v>178</v>
      </c>
      <c r="V1200" s="209" t="s">
        <v>179</v>
      </c>
      <c r="W1200" s="209" t="s">
        <v>179</v>
      </c>
      <c r="X1200" s="209" t="s">
        <v>180</v>
      </c>
      <c r="Y1200" s="209" t="s">
        <v>180</v>
      </c>
      <c r="Z1200" s="209">
        <v>9521069047</v>
      </c>
      <c r="AA1200" s="209" t="s">
        <v>2580</v>
      </c>
      <c r="AB1200" s="209" t="s">
        <v>180</v>
      </c>
      <c r="AC1200" s="209" t="s">
        <v>182</v>
      </c>
      <c r="AD1200" s="209">
        <v>7</v>
      </c>
      <c r="AE1200" s="209">
        <v>2025</v>
      </c>
      <c r="AF1200" s="227">
        <v>45849</v>
      </c>
      <c r="AG1200" s="227">
        <v>45852</v>
      </c>
      <c r="AH1200" s="227">
        <v>45852</v>
      </c>
      <c r="AI1200" s="228">
        <v>139536</v>
      </c>
      <c r="AJ1200" s="228">
        <v>17</v>
      </c>
      <c r="AK1200" s="228">
        <v>139536</v>
      </c>
      <c r="AL1200" s="228">
        <v>17</v>
      </c>
      <c r="AM1200" s="228">
        <v>0</v>
      </c>
      <c r="AN1200" s="228">
        <v>0</v>
      </c>
      <c r="AO1200" s="229">
        <v>29</v>
      </c>
      <c r="AP1200" s="231">
        <v>7</v>
      </c>
      <c r="AQ1200" s="231">
        <v>2025</v>
      </c>
      <c r="AR1200" s="231" t="str">
        <f t="shared" si="169"/>
        <v>07/2025</v>
      </c>
      <c r="AS1200" s="231">
        <f t="shared" si="170"/>
        <v>46.6</v>
      </c>
      <c r="AT1200" s="239">
        <f>IF(G1200="CERVECERIA Y MALTERIA",(AS1200*AK1200/1000000)*(1-VLOOKUP(N1200,FCST!D:I,6,FALSE)),0)</f>
        <v>6.5023776000000009</v>
      </c>
      <c r="AU1200" s="232">
        <v>5.0000000000000001E-3</v>
      </c>
      <c r="AV1200" s="239">
        <f t="shared" si="171"/>
        <v>6.5348894880000001</v>
      </c>
      <c r="AW1200" s="239">
        <f>(AS1200*AK1200/1000000)*(VLOOKUP(N1200,FCST!D:I,6,FALSE))</f>
        <v>0</v>
      </c>
      <c r="AX1200" s="239">
        <f t="shared" si="172"/>
        <v>0</v>
      </c>
      <c r="AY1200" s="239">
        <f>IF($G1200="CERVECERIA Y MALTERIA.",($AS1200*$AK1200/1000000)*(1-VLOOKUP($N1200,FCST!D:I,6,FALSE)),0)</f>
        <v>0</v>
      </c>
      <c r="AZ1200" s="239">
        <f t="shared" si="173"/>
        <v>0</v>
      </c>
    </row>
    <row r="1201" spans="1:52" x14ac:dyDescent="0.25">
      <c r="A1201" s="209">
        <v>1128457</v>
      </c>
      <c r="B1201" s="209">
        <v>10</v>
      </c>
      <c r="C1201" s="209">
        <v>89513366</v>
      </c>
      <c r="D1201" s="209">
        <v>10</v>
      </c>
      <c r="E1201" s="209">
        <v>10000002</v>
      </c>
      <c r="F1201" s="209">
        <v>20000336</v>
      </c>
      <c r="G1201" s="209" t="s">
        <v>105</v>
      </c>
      <c r="H1201" s="209">
        <v>20000336</v>
      </c>
      <c r="I1201" s="209">
        <v>2</v>
      </c>
      <c r="J1201" s="209" t="s">
        <v>169</v>
      </c>
      <c r="K1201" s="209" t="s">
        <v>2579</v>
      </c>
      <c r="L1201" s="209" t="s">
        <v>265</v>
      </c>
      <c r="M1201" s="209" t="s">
        <v>172</v>
      </c>
      <c r="N1201" s="209">
        <v>50037887</v>
      </c>
      <c r="O1201" s="209" t="s">
        <v>679</v>
      </c>
      <c r="P1201" s="209">
        <v>5121</v>
      </c>
      <c r="Q1201" s="209" t="s">
        <v>174</v>
      </c>
      <c r="R1201" s="209" t="s">
        <v>175</v>
      </c>
      <c r="S1201" s="209" t="s">
        <v>176</v>
      </c>
      <c r="T1201" s="209" t="s">
        <v>177</v>
      </c>
      <c r="U1201" s="209" t="s">
        <v>178</v>
      </c>
      <c r="V1201" s="209" t="s">
        <v>179</v>
      </c>
      <c r="W1201" s="209" t="s">
        <v>179</v>
      </c>
      <c r="X1201" s="209" t="s">
        <v>180</v>
      </c>
      <c r="Y1201" s="209" t="s">
        <v>180</v>
      </c>
      <c r="Z1201" s="209">
        <v>9521069047</v>
      </c>
      <c r="AA1201" s="209" t="s">
        <v>2580</v>
      </c>
      <c r="AB1201" s="209" t="s">
        <v>180</v>
      </c>
      <c r="AC1201" s="209" t="s">
        <v>182</v>
      </c>
      <c r="AD1201" s="209">
        <v>7</v>
      </c>
      <c r="AE1201" s="209">
        <v>2025</v>
      </c>
      <c r="AF1201" s="227">
        <v>45849</v>
      </c>
      <c r="AG1201" s="227">
        <v>45852</v>
      </c>
      <c r="AH1201" s="227">
        <v>45852</v>
      </c>
      <c r="AI1201" s="228">
        <v>204480</v>
      </c>
      <c r="AJ1201" s="228">
        <v>20</v>
      </c>
      <c r="AK1201" s="228">
        <v>204480</v>
      </c>
      <c r="AL1201" s="228">
        <v>20</v>
      </c>
      <c r="AM1201" s="228">
        <v>0</v>
      </c>
      <c r="AN1201" s="228">
        <v>0</v>
      </c>
      <c r="AO1201" s="229">
        <v>29</v>
      </c>
      <c r="AP1201" s="231">
        <v>7</v>
      </c>
      <c r="AQ1201" s="231">
        <v>2025</v>
      </c>
      <c r="AR1201" s="231" t="str">
        <f t="shared" si="169"/>
        <v>07/2025</v>
      </c>
      <c r="AS1201" s="231">
        <f t="shared" si="170"/>
        <v>37.200000000000003</v>
      </c>
      <c r="AT1201" s="239">
        <f>IF(G1201="CERVECERIA Y MALTERIA",(AS1201*AK1201/1000000)*(1-VLOOKUP(N1201,FCST!D:I,6,FALSE)),0)</f>
        <v>7.606656000000001</v>
      </c>
      <c r="AU1201" s="232">
        <v>5.0000000000000001E-3</v>
      </c>
      <c r="AV1201" s="239">
        <f t="shared" si="171"/>
        <v>7.6446892800000006</v>
      </c>
      <c r="AW1201" s="239">
        <f>(AS1201*AK1201/1000000)*(VLOOKUP(N1201,FCST!D:I,6,FALSE))</f>
        <v>0</v>
      </c>
      <c r="AX1201" s="239">
        <f t="shared" si="172"/>
        <v>0</v>
      </c>
      <c r="AY1201" s="239">
        <f>IF($G1201="CERVECERIA Y MALTERIA.",($AS1201*$AK1201/1000000)*(1-VLOOKUP($N1201,FCST!D:I,6,FALSE)),0)</f>
        <v>0</v>
      </c>
      <c r="AZ1201" s="239">
        <f t="shared" si="173"/>
        <v>0</v>
      </c>
    </row>
    <row r="1202" spans="1:52" x14ac:dyDescent="0.25">
      <c r="A1202" s="209">
        <v>1126695</v>
      </c>
      <c r="B1202" s="209">
        <v>80</v>
      </c>
      <c r="C1202" s="209">
        <v>89513325</v>
      </c>
      <c r="D1202" s="209">
        <v>10</v>
      </c>
      <c r="E1202" s="209">
        <v>10000002</v>
      </c>
      <c r="F1202" s="209">
        <v>20000337</v>
      </c>
      <c r="G1202" s="209" t="s">
        <v>105</v>
      </c>
      <c r="H1202" s="209">
        <v>20000337</v>
      </c>
      <c r="I1202" s="209">
        <v>2</v>
      </c>
      <c r="J1202" s="209" t="s">
        <v>169</v>
      </c>
      <c r="K1202" s="209" t="s">
        <v>2581</v>
      </c>
      <c r="L1202" s="209" t="s">
        <v>265</v>
      </c>
      <c r="M1202" s="209" t="s">
        <v>172</v>
      </c>
      <c r="N1202" s="209">
        <v>50039572</v>
      </c>
      <c r="O1202" s="209" t="s">
        <v>2555</v>
      </c>
      <c r="P1202" s="209">
        <v>5121</v>
      </c>
      <c r="Q1202" s="209" t="s">
        <v>174</v>
      </c>
      <c r="R1202" s="209" t="s">
        <v>175</v>
      </c>
      <c r="S1202" s="209" t="s">
        <v>176</v>
      </c>
      <c r="T1202" s="209" t="s">
        <v>177</v>
      </c>
      <c r="U1202" s="209" t="s">
        <v>178</v>
      </c>
      <c r="V1202" s="209" t="s">
        <v>179</v>
      </c>
      <c r="W1202" s="209" t="s">
        <v>179</v>
      </c>
      <c r="X1202" s="209" t="s">
        <v>180</v>
      </c>
      <c r="Y1202" s="209" t="s">
        <v>180</v>
      </c>
      <c r="Z1202" s="209">
        <v>9521069080</v>
      </c>
      <c r="AA1202" s="209" t="s">
        <v>2576</v>
      </c>
      <c r="AB1202" s="209" t="s">
        <v>180</v>
      </c>
      <c r="AC1202" s="209" t="s">
        <v>182</v>
      </c>
      <c r="AD1202" s="209">
        <v>7</v>
      </c>
      <c r="AE1202" s="209">
        <v>2025</v>
      </c>
      <c r="AF1202" s="227">
        <v>45840</v>
      </c>
      <c r="AG1202" s="227">
        <v>45852</v>
      </c>
      <c r="AH1202" s="227">
        <v>45852</v>
      </c>
      <c r="AI1202" s="228">
        <v>415584</v>
      </c>
      <c r="AJ1202" s="228">
        <v>52</v>
      </c>
      <c r="AK1202" s="228">
        <v>415584</v>
      </c>
      <c r="AL1202" s="228">
        <v>52</v>
      </c>
      <c r="AM1202" s="228">
        <v>0</v>
      </c>
      <c r="AN1202" s="228">
        <v>0</v>
      </c>
      <c r="AO1202" s="229">
        <v>27</v>
      </c>
      <c r="AP1202" s="231">
        <v>7</v>
      </c>
      <c r="AQ1202" s="231">
        <v>2025</v>
      </c>
      <c r="AR1202" s="231" t="str">
        <f t="shared" si="169"/>
        <v>07/2025</v>
      </c>
      <c r="AS1202" s="231">
        <f t="shared" si="170"/>
        <v>46.6</v>
      </c>
      <c r="AT1202" s="239">
        <f>IF(G1202="CERVECERIA Y MALTERIA",(AS1202*AK1202/1000000)*(1-VLOOKUP(N1202,FCST!D:I,6,FALSE)),0)</f>
        <v>19.3662144</v>
      </c>
      <c r="AU1202" s="232">
        <v>5.0000000000000001E-3</v>
      </c>
      <c r="AV1202" s="239">
        <f t="shared" si="171"/>
        <v>19.463045471999997</v>
      </c>
      <c r="AW1202" s="239">
        <f>(AS1202*AK1202/1000000)*(VLOOKUP(N1202,FCST!D:I,6,FALSE))</f>
        <v>0</v>
      </c>
      <c r="AX1202" s="239">
        <f t="shared" si="172"/>
        <v>0</v>
      </c>
      <c r="AY1202" s="239">
        <f>IF($G1202="CERVECERIA Y MALTERIA.",($AS1202*$AK1202/1000000)*(1-VLOOKUP($N1202,FCST!D:I,6,FALSE)),0)</f>
        <v>0</v>
      </c>
      <c r="AZ1202" s="239">
        <f t="shared" si="173"/>
        <v>0</v>
      </c>
    </row>
    <row r="1203" spans="1:52" x14ac:dyDescent="0.25">
      <c r="A1203" s="209">
        <v>1126695</v>
      </c>
      <c r="B1203" s="209">
        <v>100</v>
      </c>
      <c r="C1203" s="209">
        <v>89515215</v>
      </c>
      <c r="D1203" s="209">
        <v>10</v>
      </c>
      <c r="E1203" s="209">
        <v>10000002</v>
      </c>
      <c r="F1203" s="209">
        <v>20000337</v>
      </c>
      <c r="G1203" s="209" t="s">
        <v>105</v>
      </c>
      <c r="H1203" s="209">
        <v>20000337</v>
      </c>
      <c r="I1203" s="209">
        <v>2</v>
      </c>
      <c r="J1203" s="209" t="s">
        <v>169</v>
      </c>
      <c r="K1203" s="209" t="s">
        <v>2582</v>
      </c>
      <c r="L1203" s="209" t="s">
        <v>265</v>
      </c>
      <c r="M1203" s="209" t="s">
        <v>199</v>
      </c>
      <c r="N1203" s="209">
        <v>50021818</v>
      </c>
      <c r="O1203" s="209" t="s">
        <v>2170</v>
      </c>
      <c r="P1203" s="209">
        <v>5121</v>
      </c>
      <c r="Q1203" s="209" t="s">
        <v>200</v>
      </c>
      <c r="R1203" s="209" t="s">
        <v>201</v>
      </c>
      <c r="S1203" s="209" t="s">
        <v>202</v>
      </c>
      <c r="T1203" s="209" t="s">
        <v>203</v>
      </c>
      <c r="U1203" s="209" t="s">
        <v>201</v>
      </c>
      <c r="V1203" s="209" t="s">
        <v>179</v>
      </c>
      <c r="W1203" s="209" t="s">
        <v>179</v>
      </c>
      <c r="X1203" s="209" t="s">
        <v>180</v>
      </c>
      <c r="Y1203" s="209" t="s">
        <v>180</v>
      </c>
      <c r="Z1203" s="209">
        <v>9521069051</v>
      </c>
      <c r="AA1203" s="209" t="s">
        <v>2464</v>
      </c>
      <c r="AB1203" s="209" t="s">
        <v>180</v>
      </c>
      <c r="AC1203" s="209" t="s">
        <v>182</v>
      </c>
      <c r="AD1203" s="209">
        <v>7</v>
      </c>
      <c r="AE1203" s="209">
        <v>2025</v>
      </c>
      <c r="AF1203" s="227">
        <v>45840</v>
      </c>
      <c r="AG1203" s="227">
        <v>45854</v>
      </c>
      <c r="AH1203" s="227">
        <v>45854</v>
      </c>
      <c r="AI1203" s="228">
        <v>426816</v>
      </c>
      <c r="AJ1203" s="228">
        <v>52</v>
      </c>
      <c r="AK1203" s="228">
        <v>426816</v>
      </c>
      <c r="AL1203" s="228">
        <v>52</v>
      </c>
      <c r="AM1203" s="228">
        <v>0</v>
      </c>
      <c r="AN1203" s="228">
        <v>0</v>
      </c>
      <c r="AO1203" s="229">
        <v>27</v>
      </c>
      <c r="AP1203" s="231">
        <v>7</v>
      </c>
      <c r="AQ1203" s="231">
        <v>2025</v>
      </c>
      <c r="AR1203" s="231" t="str">
        <f t="shared" si="169"/>
        <v>07/2025</v>
      </c>
      <c r="AS1203" s="231">
        <f t="shared" si="170"/>
        <v>46.6</v>
      </c>
      <c r="AT1203" s="239">
        <f>IF(G1203="CERVECERIA Y MALTERIA",(AS1203*AK1203/1000000)*(1-VLOOKUP(N1203,FCST!D:I,6,FALSE)),0)</f>
        <v>19.889625600000002</v>
      </c>
      <c r="AU1203" s="232">
        <v>5.0000000000000001E-3</v>
      </c>
      <c r="AV1203" s="239">
        <f t="shared" si="171"/>
        <v>19.989073728000001</v>
      </c>
      <c r="AW1203" s="239">
        <f>(AS1203*AK1203/1000000)*(VLOOKUP(N1203,FCST!D:I,6,FALSE))</f>
        <v>0</v>
      </c>
      <c r="AX1203" s="239">
        <f t="shared" si="172"/>
        <v>0</v>
      </c>
      <c r="AY1203" s="239">
        <f>IF($G1203="CERVECERIA Y MALTERIA.",($AS1203*$AK1203/1000000)*(1-VLOOKUP($N1203,FCST!D:I,6,FALSE)),0)</f>
        <v>0</v>
      </c>
      <c r="AZ1203" s="239">
        <f t="shared" si="173"/>
        <v>0</v>
      </c>
    </row>
    <row r="1204" spans="1:52" x14ac:dyDescent="0.25">
      <c r="A1204" s="209">
        <v>1128027</v>
      </c>
      <c r="B1204" s="209">
        <v>20</v>
      </c>
      <c r="C1204" s="209">
        <v>89514711</v>
      </c>
      <c r="D1204" s="209">
        <v>10</v>
      </c>
      <c r="E1204" s="209">
        <v>10000002</v>
      </c>
      <c r="F1204" s="209">
        <v>20000340</v>
      </c>
      <c r="G1204" s="209" t="s">
        <v>117</v>
      </c>
      <c r="H1204" s="209">
        <v>20000340</v>
      </c>
      <c r="I1204" s="209">
        <v>2</v>
      </c>
      <c r="J1204" s="209" t="s">
        <v>169</v>
      </c>
      <c r="K1204" s="209" t="s">
        <v>2583</v>
      </c>
      <c r="L1204" s="209" t="s">
        <v>171</v>
      </c>
      <c r="M1204" s="209" t="s">
        <v>172</v>
      </c>
      <c r="N1204" s="209">
        <v>50039509</v>
      </c>
      <c r="O1204" s="209" t="s">
        <v>2054</v>
      </c>
      <c r="P1204" s="209">
        <v>5101</v>
      </c>
      <c r="Q1204" s="209" t="s">
        <v>186</v>
      </c>
      <c r="R1204" s="209" t="s">
        <v>175</v>
      </c>
      <c r="S1204" s="209" t="s">
        <v>176</v>
      </c>
      <c r="T1204" s="209" t="s">
        <v>187</v>
      </c>
      <c r="U1204" s="209" t="s">
        <v>188</v>
      </c>
      <c r="V1204" s="209" t="s">
        <v>179</v>
      </c>
      <c r="W1204" s="209" t="s">
        <v>179</v>
      </c>
      <c r="X1204" s="209" t="s">
        <v>180</v>
      </c>
      <c r="Y1204" s="209" t="s">
        <v>180</v>
      </c>
      <c r="Z1204" s="209">
        <v>9511048172</v>
      </c>
      <c r="AA1204" s="209" t="s">
        <v>2466</v>
      </c>
      <c r="AB1204" s="209" t="s">
        <v>180</v>
      </c>
      <c r="AC1204" s="209" t="s">
        <v>182</v>
      </c>
      <c r="AD1204" s="209">
        <v>7</v>
      </c>
      <c r="AE1204" s="209">
        <v>2025</v>
      </c>
      <c r="AF1204" s="227">
        <v>45847</v>
      </c>
      <c r="AG1204" s="227">
        <v>45854</v>
      </c>
      <c r="AH1204" s="227">
        <v>45854</v>
      </c>
      <c r="AI1204" s="228">
        <v>519168</v>
      </c>
      <c r="AJ1204" s="228">
        <v>52</v>
      </c>
      <c r="AK1204" s="228">
        <v>519168</v>
      </c>
      <c r="AL1204" s="228">
        <v>52</v>
      </c>
      <c r="AM1204" s="228">
        <v>0</v>
      </c>
      <c r="AN1204" s="228">
        <v>0</v>
      </c>
      <c r="AO1204" s="229">
        <v>29</v>
      </c>
      <c r="AP1204" s="231">
        <v>7</v>
      </c>
      <c r="AQ1204" s="231">
        <v>2025</v>
      </c>
      <c r="AR1204" s="231" t="str">
        <f t="shared" si="169"/>
        <v>07/2025</v>
      </c>
      <c r="AS1204" s="231">
        <f t="shared" si="170"/>
        <v>34</v>
      </c>
      <c r="AT1204" s="239">
        <f>IF(G1204="CERVECERIA Y MALTERIA",(AS1204*AK1204/1000000)*(1-VLOOKUP(N1204,FCST!D:I,6,FALSE)),0)</f>
        <v>0</v>
      </c>
      <c r="AU1204" s="232">
        <v>5.0000000000000001E-3</v>
      </c>
      <c r="AV1204" s="239">
        <f t="shared" si="171"/>
        <v>0</v>
      </c>
      <c r="AW1204" s="239">
        <f>(AS1204*AK1204/1000000)*(VLOOKUP(N1204,FCST!D:I,6,FALSE))</f>
        <v>0</v>
      </c>
      <c r="AX1204" s="239">
        <f t="shared" si="172"/>
        <v>0</v>
      </c>
      <c r="AY1204" s="239">
        <f>IF($G1204="CERVECERIA Y MALTERIA.",($AS1204*$AK1204/1000000)*(1-VLOOKUP($N1204,FCST!D:I,6,FALSE)),0)</f>
        <v>17.651712</v>
      </c>
      <c r="AZ1204" s="239">
        <f t="shared" si="173"/>
        <v>17.73997056</v>
      </c>
    </row>
    <row r="1205" spans="1:52" x14ac:dyDescent="0.25">
      <c r="A1205" s="209">
        <v>1128028</v>
      </c>
      <c r="B1205" s="209">
        <v>60</v>
      </c>
      <c r="C1205" s="209">
        <v>89514626</v>
      </c>
      <c r="D1205" s="209">
        <v>10</v>
      </c>
      <c r="E1205" s="209">
        <v>10000002</v>
      </c>
      <c r="F1205" s="209">
        <v>20000335</v>
      </c>
      <c r="G1205" s="209" t="s">
        <v>105</v>
      </c>
      <c r="H1205" s="209">
        <v>20000335</v>
      </c>
      <c r="I1205" s="209">
        <v>2</v>
      </c>
      <c r="J1205" s="209" t="s">
        <v>169</v>
      </c>
      <c r="K1205" s="209" t="s">
        <v>2584</v>
      </c>
      <c r="L1205" s="209" t="s">
        <v>171</v>
      </c>
      <c r="M1205" s="209" t="s">
        <v>172</v>
      </c>
      <c r="N1205" s="209">
        <v>50035184</v>
      </c>
      <c r="O1205" s="209" t="s">
        <v>672</v>
      </c>
      <c r="P1205" s="209">
        <v>5121</v>
      </c>
      <c r="Q1205" s="209" t="s">
        <v>174</v>
      </c>
      <c r="R1205" s="209" t="s">
        <v>175</v>
      </c>
      <c r="S1205" s="209" t="s">
        <v>176</v>
      </c>
      <c r="T1205" s="209" t="s">
        <v>177</v>
      </c>
      <c r="U1205" s="209" t="s">
        <v>178</v>
      </c>
      <c r="V1205" s="209" t="s">
        <v>179</v>
      </c>
      <c r="W1205" s="209" t="s">
        <v>179</v>
      </c>
      <c r="X1205" s="209" t="s">
        <v>180</v>
      </c>
      <c r="Y1205" s="209" t="s">
        <v>180</v>
      </c>
      <c r="Z1205" s="209">
        <v>9521069043</v>
      </c>
      <c r="AA1205" s="209" t="s">
        <v>2471</v>
      </c>
      <c r="AB1205" s="209" t="s">
        <v>180</v>
      </c>
      <c r="AC1205" s="209" t="s">
        <v>182</v>
      </c>
      <c r="AD1205" s="209">
        <v>7</v>
      </c>
      <c r="AE1205" s="209">
        <v>2025</v>
      </c>
      <c r="AF1205" s="227">
        <v>45847</v>
      </c>
      <c r="AG1205" s="227">
        <v>45854</v>
      </c>
      <c r="AH1205" s="227">
        <v>45854</v>
      </c>
      <c r="AI1205" s="228">
        <v>977184</v>
      </c>
      <c r="AJ1205" s="228">
        <v>52</v>
      </c>
      <c r="AK1205" s="228">
        <v>977184</v>
      </c>
      <c r="AL1205" s="228">
        <v>52</v>
      </c>
      <c r="AM1205" s="228">
        <v>0</v>
      </c>
      <c r="AN1205" s="228">
        <v>0</v>
      </c>
      <c r="AO1205" s="229">
        <v>29</v>
      </c>
      <c r="AP1205" s="231">
        <v>7</v>
      </c>
      <c r="AQ1205" s="231">
        <v>2025</v>
      </c>
      <c r="AR1205" s="231" t="str">
        <f t="shared" si="169"/>
        <v>07/2025</v>
      </c>
      <c r="AS1205" s="231">
        <f t="shared" si="170"/>
        <v>19.5</v>
      </c>
      <c r="AT1205" s="239">
        <f>IF(G1205="CERVECERIA Y MALTERIA",(AS1205*AK1205/1000000)*(1-VLOOKUP(N1205,FCST!D:I,6,FALSE)),0)</f>
        <v>19.055088000000001</v>
      </c>
      <c r="AU1205" s="232">
        <v>5.0000000000000001E-3</v>
      </c>
      <c r="AV1205" s="239">
        <f t="shared" si="171"/>
        <v>19.15036344</v>
      </c>
      <c r="AW1205" s="239">
        <f>(AS1205*AK1205/1000000)*(VLOOKUP(N1205,FCST!D:I,6,FALSE))</f>
        <v>0</v>
      </c>
      <c r="AX1205" s="239">
        <f t="shared" si="172"/>
        <v>0</v>
      </c>
      <c r="AY1205" s="239">
        <f>IF($G1205="CERVECERIA Y MALTERIA.",($AS1205*$AK1205/1000000)*(1-VLOOKUP($N1205,FCST!D:I,6,FALSE)),0)</f>
        <v>0</v>
      </c>
      <c r="AZ1205" s="239">
        <f t="shared" si="173"/>
        <v>0</v>
      </c>
    </row>
    <row r="1206" spans="1:52" x14ac:dyDescent="0.25">
      <c r="A1206" s="209">
        <v>1128027</v>
      </c>
      <c r="B1206" s="209">
        <v>10</v>
      </c>
      <c r="C1206" s="209">
        <v>89513931</v>
      </c>
      <c r="D1206" s="209">
        <v>10</v>
      </c>
      <c r="E1206" s="209">
        <v>10000002</v>
      </c>
      <c r="F1206" s="209">
        <v>20000340</v>
      </c>
      <c r="G1206" s="209" t="s">
        <v>117</v>
      </c>
      <c r="H1206" s="209">
        <v>20000340</v>
      </c>
      <c r="I1206" s="209">
        <v>2</v>
      </c>
      <c r="J1206" s="209" t="s">
        <v>169</v>
      </c>
      <c r="K1206" s="209" t="s">
        <v>2585</v>
      </c>
      <c r="L1206" s="209" t="s">
        <v>171</v>
      </c>
      <c r="M1206" s="209" t="s">
        <v>172</v>
      </c>
      <c r="N1206" s="209">
        <v>50039509</v>
      </c>
      <c r="O1206" s="209" t="s">
        <v>2054</v>
      </c>
      <c r="P1206" s="209">
        <v>5101</v>
      </c>
      <c r="Q1206" s="209" t="s">
        <v>186</v>
      </c>
      <c r="R1206" s="209" t="s">
        <v>175</v>
      </c>
      <c r="S1206" s="209" t="s">
        <v>176</v>
      </c>
      <c r="T1206" s="209" t="s">
        <v>187</v>
      </c>
      <c r="U1206" s="209" t="s">
        <v>188</v>
      </c>
      <c r="V1206" s="209" t="s">
        <v>179</v>
      </c>
      <c r="W1206" s="209" t="s">
        <v>179</v>
      </c>
      <c r="X1206" s="209" t="s">
        <v>180</v>
      </c>
      <c r="Y1206" s="209" t="s">
        <v>180</v>
      </c>
      <c r="Z1206" s="209">
        <v>9511048172</v>
      </c>
      <c r="AA1206" s="209" t="s">
        <v>2466</v>
      </c>
      <c r="AB1206" s="209" t="s">
        <v>180</v>
      </c>
      <c r="AC1206" s="209" t="s">
        <v>182</v>
      </c>
      <c r="AD1206" s="209">
        <v>7</v>
      </c>
      <c r="AE1206" s="209">
        <v>2025</v>
      </c>
      <c r="AF1206" s="227">
        <v>45847</v>
      </c>
      <c r="AG1206" s="227">
        <v>45853</v>
      </c>
      <c r="AH1206" s="227">
        <v>45853</v>
      </c>
      <c r="AI1206" s="228">
        <v>519168</v>
      </c>
      <c r="AJ1206" s="228">
        <v>52</v>
      </c>
      <c r="AK1206" s="228">
        <v>519168</v>
      </c>
      <c r="AL1206" s="228">
        <v>52</v>
      </c>
      <c r="AM1206" s="228">
        <v>0</v>
      </c>
      <c r="AN1206" s="228">
        <v>0</v>
      </c>
      <c r="AO1206" s="229">
        <v>29</v>
      </c>
      <c r="AP1206" s="231">
        <v>7</v>
      </c>
      <c r="AQ1206" s="231">
        <v>2025</v>
      </c>
      <c r="AR1206" s="231" t="str">
        <f t="shared" si="169"/>
        <v>07/2025</v>
      </c>
      <c r="AS1206" s="231">
        <f t="shared" si="170"/>
        <v>34</v>
      </c>
      <c r="AT1206" s="239">
        <f>IF(G1206="CERVECERIA Y MALTERIA",(AS1206*AK1206/1000000)*(1-VLOOKUP(N1206,FCST!D:I,6,FALSE)),0)</f>
        <v>0</v>
      </c>
      <c r="AU1206" s="232">
        <v>5.0000000000000001E-3</v>
      </c>
      <c r="AV1206" s="239">
        <f t="shared" si="171"/>
        <v>0</v>
      </c>
      <c r="AW1206" s="239">
        <f>(AS1206*AK1206/1000000)*(VLOOKUP(N1206,FCST!D:I,6,FALSE))</f>
        <v>0</v>
      </c>
      <c r="AX1206" s="239">
        <f t="shared" si="172"/>
        <v>0</v>
      </c>
      <c r="AY1206" s="239">
        <f>IF($G1206="CERVECERIA Y MALTERIA.",($AS1206*$AK1206/1000000)*(1-VLOOKUP($N1206,FCST!D:I,6,FALSE)),0)</f>
        <v>17.651712</v>
      </c>
      <c r="AZ1206" s="239">
        <f t="shared" si="173"/>
        <v>17.73997056</v>
      </c>
    </row>
    <row r="1207" spans="1:52" x14ac:dyDescent="0.25">
      <c r="A1207" s="209">
        <v>1128028</v>
      </c>
      <c r="B1207" s="209">
        <v>30</v>
      </c>
      <c r="C1207" s="209">
        <v>89513821</v>
      </c>
      <c r="D1207" s="209">
        <v>10</v>
      </c>
      <c r="E1207" s="209">
        <v>10000002</v>
      </c>
      <c r="F1207" s="209">
        <v>20000335</v>
      </c>
      <c r="G1207" s="209" t="s">
        <v>105</v>
      </c>
      <c r="H1207" s="209">
        <v>20000335</v>
      </c>
      <c r="I1207" s="209">
        <v>2</v>
      </c>
      <c r="J1207" s="209" t="s">
        <v>169</v>
      </c>
      <c r="K1207" s="209" t="s">
        <v>2586</v>
      </c>
      <c r="L1207" s="209" t="s">
        <v>171</v>
      </c>
      <c r="M1207" s="209" t="s">
        <v>172</v>
      </c>
      <c r="N1207" s="209">
        <v>50037887</v>
      </c>
      <c r="O1207" s="209" t="s">
        <v>679</v>
      </c>
      <c r="P1207" s="209">
        <v>5121</v>
      </c>
      <c r="Q1207" s="209" t="s">
        <v>174</v>
      </c>
      <c r="R1207" s="209" t="s">
        <v>175</v>
      </c>
      <c r="S1207" s="209" t="s">
        <v>176</v>
      </c>
      <c r="T1207" s="209" t="s">
        <v>177</v>
      </c>
      <c r="U1207" s="209" t="s">
        <v>178</v>
      </c>
      <c r="V1207" s="209" t="s">
        <v>179</v>
      </c>
      <c r="W1207" s="209" t="s">
        <v>179</v>
      </c>
      <c r="X1207" s="209" t="s">
        <v>180</v>
      </c>
      <c r="Y1207" s="209" t="s">
        <v>180</v>
      </c>
      <c r="Z1207" s="209">
        <v>9521069045</v>
      </c>
      <c r="AA1207" s="209" t="s">
        <v>2462</v>
      </c>
      <c r="AB1207" s="209" t="s">
        <v>180</v>
      </c>
      <c r="AC1207" s="209" t="s">
        <v>182</v>
      </c>
      <c r="AD1207" s="209">
        <v>7</v>
      </c>
      <c r="AE1207" s="209">
        <v>2025</v>
      </c>
      <c r="AF1207" s="227">
        <v>45847</v>
      </c>
      <c r="AG1207" s="227">
        <v>45853</v>
      </c>
      <c r="AH1207" s="227">
        <v>45853</v>
      </c>
      <c r="AI1207" s="228">
        <v>531648</v>
      </c>
      <c r="AJ1207" s="228">
        <v>52</v>
      </c>
      <c r="AK1207" s="228">
        <v>531648</v>
      </c>
      <c r="AL1207" s="228">
        <v>52</v>
      </c>
      <c r="AM1207" s="228">
        <v>0</v>
      </c>
      <c r="AN1207" s="228">
        <v>0</v>
      </c>
      <c r="AO1207" s="229">
        <v>29</v>
      </c>
      <c r="AP1207" s="231">
        <v>7</v>
      </c>
      <c r="AQ1207" s="231">
        <v>2025</v>
      </c>
      <c r="AR1207" s="231" t="str">
        <f t="shared" ref="AR1207:AR1224" si="174">+IF(AP1207&lt;10,"0"&amp;AP1207&amp; "/"&amp;AQ1207,AP1207&amp; "/"&amp;AQ1207)</f>
        <v>07/2025</v>
      </c>
      <c r="AS1207" s="231">
        <f t="shared" ref="AS1207:AS1224" si="175">VALUE(MID(INDEX(_xlfn.TEXTSPLIT(O1207, ","), 1, 3), 1,FIND("G", INDEX(_xlfn.TEXTSPLIT(O1207, ","), 1, 3))-1))</f>
        <v>37.200000000000003</v>
      </c>
      <c r="AT1207" s="239">
        <f>IF(G1207="CERVECERIA Y MALTERIA",(AS1207*AK1207/1000000)*(1-VLOOKUP(N1207,FCST!D:I,6,FALSE)),0)</f>
        <v>19.777305600000002</v>
      </c>
      <c r="AU1207" s="232">
        <v>5.0000000000000001E-3</v>
      </c>
      <c r="AV1207" s="239">
        <f t="shared" ref="AV1207:AV1224" si="176">+AT1207*(1+AU1207)</f>
        <v>19.876192128</v>
      </c>
      <c r="AW1207" s="239">
        <f>(AS1207*AK1207/1000000)*(VLOOKUP(N1207,FCST!D:I,6,FALSE))</f>
        <v>0</v>
      </c>
      <c r="AX1207" s="239">
        <f t="shared" ref="AX1207:AX1224" si="177">+AW1207*(1+AU1207)</f>
        <v>0</v>
      </c>
      <c r="AY1207" s="239">
        <f>IF($G1207="CERVECERIA Y MALTERIA.",($AS1207*$AK1207/1000000)*(1-VLOOKUP($N1207,FCST!D:I,6,FALSE)),0)</f>
        <v>0</v>
      </c>
      <c r="AZ1207" s="239">
        <f t="shared" ref="AZ1207:AZ1224" si="178">+AY1207*(1+AU1207)</f>
        <v>0</v>
      </c>
    </row>
    <row r="1208" spans="1:52" x14ac:dyDescent="0.25">
      <c r="A1208" s="209">
        <v>1127233</v>
      </c>
      <c r="B1208" s="209">
        <v>30</v>
      </c>
      <c r="C1208" s="209">
        <v>89510237</v>
      </c>
      <c r="D1208" s="209">
        <v>10</v>
      </c>
      <c r="E1208" s="209">
        <v>10000002</v>
      </c>
      <c r="F1208" s="209">
        <v>20000335</v>
      </c>
      <c r="G1208" s="209" t="s">
        <v>105</v>
      </c>
      <c r="H1208" s="209">
        <v>20000335</v>
      </c>
      <c r="I1208" s="209">
        <v>2</v>
      </c>
      <c r="J1208" s="209" t="s">
        <v>169</v>
      </c>
      <c r="K1208" s="209" t="s">
        <v>2587</v>
      </c>
      <c r="L1208" s="209" t="s">
        <v>171</v>
      </c>
      <c r="M1208" s="209" t="s">
        <v>184</v>
      </c>
      <c r="N1208" s="209">
        <v>50035184</v>
      </c>
      <c r="O1208" s="209" t="s">
        <v>672</v>
      </c>
      <c r="P1208" s="209">
        <v>5121</v>
      </c>
      <c r="Q1208" s="209" t="s">
        <v>174</v>
      </c>
      <c r="R1208" s="209" t="s">
        <v>175</v>
      </c>
      <c r="S1208" s="209" t="s">
        <v>176</v>
      </c>
      <c r="T1208" s="209" t="s">
        <v>177</v>
      </c>
      <c r="U1208" s="209" t="s">
        <v>178</v>
      </c>
      <c r="V1208" s="209" t="s">
        <v>179</v>
      </c>
      <c r="W1208" s="209" t="s">
        <v>179</v>
      </c>
      <c r="X1208" s="209" t="s">
        <v>180</v>
      </c>
      <c r="Y1208" s="209" t="s">
        <v>180</v>
      </c>
      <c r="Z1208" s="209">
        <v>9521069043</v>
      </c>
      <c r="AA1208" s="209" t="s">
        <v>2471</v>
      </c>
      <c r="AB1208" s="209" t="s">
        <v>180</v>
      </c>
      <c r="AC1208" s="209" t="s">
        <v>182</v>
      </c>
      <c r="AD1208" s="209">
        <v>7</v>
      </c>
      <c r="AE1208" s="209">
        <v>2025</v>
      </c>
      <c r="AF1208" s="227">
        <v>45842</v>
      </c>
      <c r="AG1208" s="227">
        <v>45848</v>
      </c>
      <c r="AH1208" s="227">
        <v>45848</v>
      </c>
      <c r="AI1208" s="228">
        <v>977184</v>
      </c>
      <c r="AJ1208" s="228">
        <v>52</v>
      </c>
      <c r="AK1208" s="228">
        <v>977184</v>
      </c>
      <c r="AL1208" s="228">
        <v>52</v>
      </c>
      <c r="AM1208" s="228">
        <v>0</v>
      </c>
      <c r="AN1208" s="228">
        <v>0</v>
      </c>
      <c r="AO1208" s="229">
        <v>27</v>
      </c>
      <c r="AP1208" s="231">
        <v>7</v>
      </c>
      <c r="AQ1208" s="231">
        <v>2025</v>
      </c>
      <c r="AR1208" s="231" t="str">
        <f t="shared" si="174"/>
        <v>07/2025</v>
      </c>
      <c r="AS1208" s="231">
        <f t="shared" si="175"/>
        <v>19.5</v>
      </c>
      <c r="AT1208" s="239">
        <f>IF(G1208="CERVECERIA Y MALTERIA",(AS1208*AK1208/1000000)*(1-VLOOKUP(N1208,FCST!D:I,6,FALSE)),0)</f>
        <v>19.055088000000001</v>
      </c>
      <c r="AU1208" s="232">
        <v>5.0000000000000001E-3</v>
      </c>
      <c r="AV1208" s="239">
        <f t="shared" si="176"/>
        <v>19.15036344</v>
      </c>
      <c r="AW1208" s="239">
        <f>(AS1208*AK1208/1000000)*(VLOOKUP(N1208,FCST!D:I,6,FALSE))</f>
        <v>0</v>
      </c>
      <c r="AX1208" s="239">
        <f t="shared" si="177"/>
        <v>0</v>
      </c>
      <c r="AY1208" s="239">
        <f>IF($G1208="CERVECERIA Y MALTERIA.",($AS1208*$AK1208/1000000)*(1-VLOOKUP($N1208,FCST!D:I,6,FALSE)),0)</f>
        <v>0</v>
      </c>
      <c r="AZ1208" s="239">
        <f t="shared" si="178"/>
        <v>0</v>
      </c>
    </row>
    <row r="1209" spans="1:52" x14ac:dyDescent="0.25">
      <c r="A1209" s="209">
        <v>1126695</v>
      </c>
      <c r="B1209" s="209">
        <v>50</v>
      </c>
      <c r="C1209" s="209">
        <v>89510094</v>
      </c>
      <c r="D1209" s="209">
        <v>10</v>
      </c>
      <c r="E1209" s="209">
        <v>10000002</v>
      </c>
      <c r="F1209" s="209">
        <v>20000337</v>
      </c>
      <c r="G1209" s="209" t="s">
        <v>105</v>
      </c>
      <c r="H1209" s="209">
        <v>20000337</v>
      </c>
      <c r="I1209" s="209">
        <v>2</v>
      </c>
      <c r="J1209" s="209" t="s">
        <v>169</v>
      </c>
      <c r="K1209" s="209" t="s">
        <v>2588</v>
      </c>
      <c r="L1209" s="209" t="s">
        <v>265</v>
      </c>
      <c r="M1209" s="209" t="s">
        <v>184</v>
      </c>
      <c r="N1209" s="209">
        <v>50039572</v>
      </c>
      <c r="O1209" s="209" t="s">
        <v>2555</v>
      </c>
      <c r="P1209" s="209">
        <v>5121</v>
      </c>
      <c r="Q1209" s="209" t="s">
        <v>174</v>
      </c>
      <c r="R1209" s="209" t="s">
        <v>175</v>
      </c>
      <c r="S1209" s="209" t="s">
        <v>176</v>
      </c>
      <c r="T1209" s="209" t="s">
        <v>177</v>
      </c>
      <c r="U1209" s="209" t="s">
        <v>178</v>
      </c>
      <c r="V1209" s="209" t="s">
        <v>179</v>
      </c>
      <c r="W1209" s="209" t="s">
        <v>179</v>
      </c>
      <c r="X1209" s="209" t="s">
        <v>180</v>
      </c>
      <c r="Y1209" s="209" t="s">
        <v>180</v>
      </c>
      <c r="Z1209" s="209">
        <v>9521069080</v>
      </c>
      <c r="AA1209" s="209" t="s">
        <v>2576</v>
      </c>
      <c r="AB1209" s="209" t="s">
        <v>180</v>
      </c>
      <c r="AC1209" s="209" t="s">
        <v>182</v>
      </c>
      <c r="AD1209" s="209">
        <v>7</v>
      </c>
      <c r="AE1209" s="209">
        <v>2025</v>
      </c>
      <c r="AF1209" s="227">
        <v>45840</v>
      </c>
      <c r="AG1209" s="227">
        <v>45848</v>
      </c>
      <c r="AH1209" s="227">
        <v>45848</v>
      </c>
      <c r="AI1209" s="228">
        <v>415584</v>
      </c>
      <c r="AJ1209" s="228">
        <v>52</v>
      </c>
      <c r="AK1209" s="228">
        <v>415584</v>
      </c>
      <c r="AL1209" s="228">
        <v>52</v>
      </c>
      <c r="AM1209" s="228">
        <v>0</v>
      </c>
      <c r="AN1209" s="228">
        <v>0</v>
      </c>
      <c r="AO1209" s="229">
        <v>27</v>
      </c>
      <c r="AP1209" s="231">
        <v>7</v>
      </c>
      <c r="AQ1209" s="231">
        <v>2025</v>
      </c>
      <c r="AR1209" s="231" t="str">
        <f t="shared" si="174"/>
        <v>07/2025</v>
      </c>
      <c r="AS1209" s="231">
        <f t="shared" si="175"/>
        <v>46.6</v>
      </c>
      <c r="AT1209" s="239">
        <f>IF(G1209="CERVECERIA Y MALTERIA",(AS1209*AK1209/1000000)*(1-VLOOKUP(N1209,FCST!D:I,6,FALSE)),0)</f>
        <v>19.3662144</v>
      </c>
      <c r="AU1209" s="232">
        <v>5.0000000000000001E-3</v>
      </c>
      <c r="AV1209" s="239">
        <f t="shared" si="176"/>
        <v>19.463045471999997</v>
      </c>
      <c r="AW1209" s="239">
        <f>(AS1209*AK1209/1000000)*(VLOOKUP(N1209,FCST!D:I,6,FALSE))</f>
        <v>0</v>
      </c>
      <c r="AX1209" s="239">
        <f t="shared" si="177"/>
        <v>0</v>
      </c>
      <c r="AY1209" s="239">
        <f>IF($G1209="CERVECERIA Y MALTERIA.",($AS1209*$AK1209/1000000)*(1-VLOOKUP($N1209,FCST!D:I,6,FALSE)),0)</f>
        <v>0</v>
      </c>
      <c r="AZ1209" s="239">
        <f t="shared" si="178"/>
        <v>0</v>
      </c>
    </row>
    <row r="1210" spans="1:52" x14ac:dyDescent="0.25">
      <c r="A1210" s="209">
        <v>1127235</v>
      </c>
      <c r="B1210" s="209">
        <v>30</v>
      </c>
      <c r="C1210" s="209">
        <v>89510848</v>
      </c>
      <c r="D1210" s="209">
        <v>10</v>
      </c>
      <c r="E1210" s="209">
        <v>10000002</v>
      </c>
      <c r="F1210" s="209">
        <v>20000340</v>
      </c>
      <c r="G1210" s="209" t="s">
        <v>117</v>
      </c>
      <c r="H1210" s="209">
        <v>20000340</v>
      </c>
      <c r="I1210" s="209">
        <v>2</v>
      </c>
      <c r="J1210" s="209" t="s">
        <v>169</v>
      </c>
      <c r="K1210" s="209" t="s">
        <v>2589</v>
      </c>
      <c r="L1210" s="209" t="s">
        <v>171</v>
      </c>
      <c r="M1210" s="209" t="s">
        <v>172</v>
      </c>
      <c r="N1210" s="209">
        <v>50029817</v>
      </c>
      <c r="O1210" s="209" t="s">
        <v>396</v>
      </c>
      <c r="P1210" s="209">
        <v>5101</v>
      </c>
      <c r="Q1210" s="209" t="s">
        <v>186</v>
      </c>
      <c r="R1210" s="209" t="s">
        <v>175</v>
      </c>
      <c r="S1210" s="209" t="s">
        <v>176</v>
      </c>
      <c r="T1210" s="209" t="s">
        <v>187</v>
      </c>
      <c r="U1210" s="209" t="s">
        <v>188</v>
      </c>
      <c r="V1210" s="209" t="s">
        <v>179</v>
      </c>
      <c r="W1210" s="209" t="s">
        <v>179</v>
      </c>
      <c r="X1210" s="209" t="s">
        <v>180</v>
      </c>
      <c r="Y1210" s="209" t="s">
        <v>180</v>
      </c>
      <c r="Z1210" s="209">
        <v>9511048170</v>
      </c>
      <c r="AA1210" s="209" t="s">
        <v>2590</v>
      </c>
      <c r="AB1210" s="209" t="s">
        <v>180</v>
      </c>
      <c r="AC1210" s="209" t="s">
        <v>182</v>
      </c>
      <c r="AD1210" s="209">
        <v>7</v>
      </c>
      <c r="AE1210" s="209">
        <v>2025</v>
      </c>
      <c r="AF1210" s="227">
        <v>45842</v>
      </c>
      <c r="AG1210" s="227">
        <v>45848</v>
      </c>
      <c r="AH1210" s="227">
        <v>45848</v>
      </c>
      <c r="AI1210" s="228">
        <v>303264</v>
      </c>
      <c r="AJ1210" s="228">
        <v>26</v>
      </c>
      <c r="AK1210" s="228">
        <v>303264</v>
      </c>
      <c r="AL1210" s="228">
        <v>26</v>
      </c>
      <c r="AM1210" s="228">
        <v>0</v>
      </c>
      <c r="AN1210" s="228">
        <v>0</v>
      </c>
      <c r="AO1210" s="229">
        <v>28</v>
      </c>
      <c r="AP1210" s="231">
        <v>7</v>
      </c>
      <c r="AQ1210" s="231">
        <v>2025</v>
      </c>
      <c r="AR1210" s="231" t="str">
        <f t="shared" si="174"/>
        <v>07/2025</v>
      </c>
      <c r="AS1210" s="231">
        <f t="shared" si="175"/>
        <v>30</v>
      </c>
      <c r="AT1210" s="239">
        <f>IF(G1210="CERVECERIA Y MALTERIA",(AS1210*AK1210/1000000)*(1-VLOOKUP(N1210,FCST!D:I,6,FALSE)),0)</f>
        <v>0</v>
      </c>
      <c r="AU1210" s="232">
        <v>5.0000000000000001E-3</v>
      </c>
      <c r="AV1210" s="239">
        <f t="shared" si="176"/>
        <v>0</v>
      </c>
      <c r="AW1210" s="239">
        <f>(AS1210*AK1210/1000000)*(VLOOKUP(N1210,FCST!D:I,6,FALSE))</f>
        <v>2.7293759999999998</v>
      </c>
      <c r="AX1210" s="239">
        <f t="shared" si="177"/>
        <v>2.7430228799999994</v>
      </c>
      <c r="AY1210" s="239">
        <f>IF($G1210="CERVECERIA Y MALTERIA.",($AS1210*$AK1210/1000000)*(1-VLOOKUP($N1210,FCST!D:I,6,FALSE)),0)</f>
        <v>6.368544</v>
      </c>
      <c r="AZ1210" s="239">
        <f t="shared" si="178"/>
        <v>6.4003867199999993</v>
      </c>
    </row>
    <row r="1211" spans="1:52" x14ac:dyDescent="0.25">
      <c r="A1211" s="209">
        <v>1127233</v>
      </c>
      <c r="B1211" s="209">
        <v>40</v>
      </c>
      <c r="C1211" s="209">
        <v>89510847</v>
      </c>
      <c r="D1211" s="209">
        <v>10</v>
      </c>
      <c r="E1211" s="209">
        <v>10000002</v>
      </c>
      <c r="F1211" s="209">
        <v>20000335</v>
      </c>
      <c r="G1211" s="209" t="s">
        <v>105</v>
      </c>
      <c r="H1211" s="209">
        <v>20000335</v>
      </c>
      <c r="I1211" s="209">
        <v>2</v>
      </c>
      <c r="J1211" s="209" t="s">
        <v>169</v>
      </c>
      <c r="K1211" s="209" t="s">
        <v>2591</v>
      </c>
      <c r="L1211" s="209" t="s">
        <v>171</v>
      </c>
      <c r="M1211" s="209" t="s">
        <v>172</v>
      </c>
      <c r="N1211" s="209">
        <v>50035184</v>
      </c>
      <c r="O1211" s="209" t="s">
        <v>672</v>
      </c>
      <c r="P1211" s="209">
        <v>5121</v>
      </c>
      <c r="Q1211" s="209" t="s">
        <v>174</v>
      </c>
      <c r="R1211" s="209" t="s">
        <v>175</v>
      </c>
      <c r="S1211" s="209" t="s">
        <v>176</v>
      </c>
      <c r="T1211" s="209" t="s">
        <v>177</v>
      </c>
      <c r="U1211" s="209" t="s">
        <v>178</v>
      </c>
      <c r="V1211" s="209" t="s">
        <v>179</v>
      </c>
      <c r="W1211" s="209" t="s">
        <v>179</v>
      </c>
      <c r="X1211" s="209" t="s">
        <v>180</v>
      </c>
      <c r="Y1211" s="209" t="s">
        <v>180</v>
      </c>
      <c r="Z1211" s="209">
        <v>9521069043</v>
      </c>
      <c r="AA1211" s="209" t="s">
        <v>2471</v>
      </c>
      <c r="AB1211" s="209" t="s">
        <v>180</v>
      </c>
      <c r="AC1211" s="209" t="s">
        <v>182</v>
      </c>
      <c r="AD1211" s="209">
        <v>7</v>
      </c>
      <c r="AE1211" s="209">
        <v>2025</v>
      </c>
      <c r="AF1211" s="227">
        <v>45842</v>
      </c>
      <c r="AG1211" s="227">
        <v>45848</v>
      </c>
      <c r="AH1211" s="227">
        <v>45848</v>
      </c>
      <c r="AI1211" s="228">
        <v>488592</v>
      </c>
      <c r="AJ1211" s="228">
        <v>26</v>
      </c>
      <c r="AK1211" s="228">
        <v>488592</v>
      </c>
      <c r="AL1211" s="228">
        <v>26</v>
      </c>
      <c r="AM1211" s="228">
        <v>0</v>
      </c>
      <c r="AN1211" s="228">
        <v>0</v>
      </c>
      <c r="AO1211" s="229">
        <v>27</v>
      </c>
      <c r="AP1211" s="231">
        <v>7</v>
      </c>
      <c r="AQ1211" s="231">
        <v>2025</v>
      </c>
      <c r="AR1211" s="231" t="str">
        <f t="shared" si="174"/>
        <v>07/2025</v>
      </c>
      <c r="AS1211" s="231">
        <f t="shared" si="175"/>
        <v>19.5</v>
      </c>
      <c r="AT1211" s="239">
        <f>IF(G1211="CERVECERIA Y MALTERIA",(AS1211*AK1211/1000000)*(1-VLOOKUP(N1211,FCST!D:I,6,FALSE)),0)</f>
        <v>9.5275440000000007</v>
      </c>
      <c r="AU1211" s="232">
        <v>5.0000000000000001E-3</v>
      </c>
      <c r="AV1211" s="239">
        <f t="shared" si="176"/>
        <v>9.5751817199999998</v>
      </c>
      <c r="AW1211" s="239">
        <f>(AS1211*AK1211/1000000)*(VLOOKUP(N1211,FCST!D:I,6,FALSE))</f>
        <v>0</v>
      </c>
      <c r="AX1211" s="239">
        <f t="shared" si="177"/>
        <v>0</v>
      </c>
      <c r="AY1211" s="239">
        <f>IF($G1211="CERVECERIA Y MALTERIA.",($AS1211*$AK1211/1000000)*(1-VLOOKUP($N1211,FCST!D:I,6,FALSE)),0)</f>
        <v>0</v>
      </c>
      <c r="AZ1211" s="239">
        <f t="shared" si="178"/>
        <v>0</v>
      </c>
    </row>
    <row r="1212" spans="1:52" x14ac:dyDescent="0.25">
      <c r="A1212" s="209">
        <v>1128094</v>
      </c>
      <c r="B1212" s="209">
        <v>10</v>
      </c>
      <c r="C1212" s="209">
        <v>89510774</v>
      </c>
      <c r="D1212" s="209">
        <v>10</v>
      </c>
      <c r="E1212" s="209">
        <v>10000002</v>
      </c>
      <c r="F1212" s="209">
        <v>20001057</v>
      </c>
      <c r="G1212" s="209" t="s">
        <v>105</v>
      </c>
      <c r="H1212" s="209">
        <v>20001057</v>
      </c>
      <c r="I1212" s="209">
        <v>2</v>
      </c>
      <c r="J1212" s="209" t="s">
        <v>169</v>
      </c>
      <c r="K1212" s="209" t="s">
        <v>2592</v>
      </c>
      <c r="L1212" s="209" t="s">
        <v>265</v>
      </c>
      <c r="M1212" s="209" t="s">
        <v>172</v>
      </c>
      <c r="N1212" s="209">
        <v>50024497</v>
      </c>
      <c r="O1212" s="209" t="s">
        <v>1352</v>
      </c>
      <c r="P1212" s="209">
        <v>5121</v>
      </c>
      <c r="Q1212" s="209" t="s">
        <v>174</v>
      </c>
      <c r="R1212" s="209" t="s">
        <v>175</v>
      </c>
      <c r="S1212" s="209" t="s">
        <v>176</v>
      </c>
      <c r="T1212" s="209" t="s">
        <v>177</v>
      </c>
      <c r="U1212" s="209" t="s">
        <v>178</v>
      </c>
      <c r="V1212" s="209" t="s">
        <v>179</v>
      </c>
      <c r="W1212" s="209" t="s">
        <v>179</v>
      </c>
      <c r="X1212" s="209" t="s">
        <v>180</v>
      </c>
      <c r="Y1212" s="209" t="s">
        <v>180</v>
      </c>
      <c r="Z1212" s="209">
        <v>9521069060</v>
      </c>
      <c r="AA1212" s="209" t="s">
        <v>2495</v>
      </c>
      <c r="AB1212" s="209" t="s">
        <v>180</v>
      </c>
      <c r="AC1212" s="209" t="s">
        <v>182</v>
      </c>
      <c r="AD1212" s="209">
        <v>7</v>
      </c>
      <c r="AE1212" s="209">
        <v>2025</v>
      </c>
      <c r="AF1212" s="227">
        <v>45848</v>
      </c>
      <c r="AG1212" s="227">
        <v>45848</v>
      </c>
      <c r="AH1212" s="227">
        <v>45848</v>
      </c>
      <c r="AI1212" s="228">
        <v>351936</v>
      </c>
      <c r="AJ1212" s="228">
        <v>52</v>
      </c>
      <c r="AK1212" s="228">
        <v>351936</v>
      </c>
      <c r="AL1212" s="228">
        <v>52</v>
      </c>
      <c r="AM1212" s="228">
        <v>0</v>
      </c>
      <c r="AN1212" s="228">
        <v>0</v>
      </c>
      <c r="AO1212" s="229">
        <v>28</v>
      </c>
      <c r="AP1212" s="231">
        <v>7</v>
      </c>
      <c r="AQ1212" s="231">
        <v>2025</v>
      </c>
      <c r="AR1212" s="231" t="str">
        <f t="shared" si="174"/>
        <v>07/2025</v>
      </c>
      <c r="AS1212" s="231">
        <f t="shared" si="175"/>
        <v>54.7</v>
      </c>
      <c r="AT1212" s="239">
        <f>IF(G1212="CERVECERIA Y MALTERIA",(AS1212*AK1212/1000000)*(1-VLOOKUP(N1212,FCST!D:I,6,FALSE)),0)</f>
        <v>19.250899199999999</v>
      </c>
      <c r="AU1212" s="232">
        <v>5.0000000000000001E-3</v>
      </c>
      <c r="AV1212" s="239">
        <f t="shared" si="176"/>
        <v>19.347153695999996</v>
      </c>
      <c r="AW1212" s="239">
        <f>(AS1212*AK1212/1000000)*(VLOOKUP(N1212,FCST!D:I,6,FALSE))</f>
        <v>0</v>
      </c>
      <c r="AX1212" s="239">
        <f t="shared" si="177"/>
        <v>0</v>
      </c>
      <c r="AY1212" s="239">
        <f>IF($G1212="CERVECERIA Y MALTERIA.",($AS1212*$AK1212/1000000)*(1-VLOOKUP($N1212,FCST!D:I,6,FALSE)),0)</f>
        <v>0</v>
      </c>
      <c r="AZ1212" s="239">
        <f t="shared" si="178"/>
        <v>0</v>
      </c>
    </row>
    <row r="1213" spans="1:52" x14ac:dyDescent="0.25">
      <c r="A1213" s="209">
        <v>1128028</v>
      </c>
      <c r="B1213" s="209">
        <v>10</v>
      </c>
      <c r="C1213" s="209">
        <v>89512590</v>
      </c>
      <c r="D1213" s="209">
        <v>10</v>
      </c>
      <c r="E1213" s="209">
        <v>10000002</v>
      </c>
      <c r="F1213" s="209">
        <v>20000335</v>
      </c>
      <c r="G1213" s="209" t="s">
        <v>105</v>
      </c>
      <c r="H1213" s="209">
        <v>20000335</v>
      </c>
      <c r="I1213" s="209">
        <v>2</v>
      </c>
      <c r="J1213" s="209" t="s">
        <v>169</v>
      </c>
      <c r="K1213" s="209" t="s">
        <v>2593</v>
      </c>
      <c r="L1213" s="209" t="s">
        <v>171</v>
      </c>
      <c r="M1213" s="209" t="s">
        <v>172</v>
      </c>
      <c r="N1213" s="209">
        <v>50037887</v>
      </c>
      <c r="O1213" s="209" t="s">
        <v>679</v>
      </c>
      <c r="P1213" s="209">
        <v>5121</v>
      </c>
      <c r="Q1213" s="209" t="s">
        <v>174</v>
      </c>
      <c r="R1213" s="209" t="s">
        <v>175</v>
      </c>
      <c r="S1213" s="209" t="s">
        <v>176</v>
      </c>
      <c r="T1213" s="209" t="s">
        <v>177</v>
      </c>
      <c r="U1213" s="209" t="s">
        <v>178</v>
      </c>
      <c r="V1213" s="209" t="s">
        <v>179</v>
      </c>
      <c r="W1213" s="209" t="s">
        <v>179</v>
      </c>
      <c r="X1213" s="209" t="s">
        <v>180</v>
      </c>
      <c r="Y1213" s="209" t="s">
        <v>180</v>
      </c>
      <c r="Z1213" s="209">
        <v>9521069045</v>
      </c>
      <c r="AA1213" s="209" t="s">
        <v>2462</v>
      </c>
      <c r="AB1213" s="209" t="s">
        <v>180</v>
      </c>
      <c r="AC1213" s="209" t="s">
        <v>182</v>
      </c>
      <c r="AD1213" s="209">
        <v>7</v>
      </c>
      <c r="AE1213" s="209">
        <v>2025</v>
      </c>
      <c r="AF1213" s="227">
        <v>45847</v>
      </c>
      <c r="AG1213" s="227">
        <v>45852</v>
      </c>
      <c r="AH1213" s="227">
        <v>45852</v>
      </c>
      <c r="AI1213" s="228">
        <v>531648</v>
      </c>
      <c r="AJ1213" s="228">
        <v>52</v>
      </c>
      <c r="AK1213" s="228">
        <v>531648</v>
      </c>
      <c r="AL1213" s="228">
        <v>52</v>
      </c>
      <c r="AM1213" s="228">
        <v>0</v>
      </c>
      <c r="AN1213" s="228">
        <v>0</v>
      </c>
      <c r="AO1213" s="229">
        <v>29</v>
      </c>
      <c r="AP1213" s="231">
        <v>7</v>
      </c>
      <c r="AQ1213" s="231">
        <v>2025</v>
      </c>
      <c r="AR1213" s="231" t="str">
        <f t="shared" si="174"/>
        <v>07/2025</v>
      </c>
      <c r="AS1213" s="231">
        <f t="shared" si="175"/>
        <v>37.200000000000003</v>
      </c>
      <c r="AT1213" s="239">
        <f>IF(G1213="CERVECERIA Y MALTERIA",(AS1213*AK1213/1000000)*(1-VLOOKUP(N1213,FCST!D:I,6,FALSE)),0)</f>
        <v>19.777305600000002</v>
      </c>
      <c r="AU1213" s="232">
        <v>5.0000000000000001E-3</v>
      </c>
      <c r="AV1213" s="239">
        <f t="shared" si="176"/>
        <v>19.876192128</v>
      </c>
      <c r="AW1213" s="239">
        <f>(AS1213*AK1213/1000000)*(VLOOKUP(N1213,FCST!D:I,6,FALSE))</f>
        <v>0</v>
      </c>
      <c r="AX1213" s="239">
        <f t="shared" si="177"/>
        <v>0</v>
      </c>
      <c r="AY1213" s="239">
        <f>IF($G1213="CERVECERIA Y MALTERIA.",($AS1213*$AK1213/1000000)*(1-VLOOKUP($N1213,FCST!D:I,6,FALSE)),0)</f>
        <v>0</v>
      </c>
      <c r="AZ1213" s="239">
        <f t="shared" si="178"/>
        <v>0</v>
      </c>
    </row>
    <row r="1214" spans="1:52" x14ac:dyDescent="0.25">
      <c r="A1214" s="209">
        <v>1128028</v>
      </c>
      <c r="B1214" s="209">
        <v>70</v>
      </c>
      <c r="C1214" s="209">
        <v>89512554</v>
      </c>
      <c r="D1214" s="209">
        <v>10</v>
      </c>
      <c r="E1214" s="209">
        <v>10000002</v>
      </c>
      <c r="F1214" s="209">
        <v>20000335</v>
      </c>
      <c r="G1214" s="209" t="s">
        <v>105</v>
      </c>
      <c r="H1214" s="209">
        <v>20000335</v>
      </c>
      <c r="I1214" s="209">
        <v>2</v>
      </c>
      <c r="J1214" s="209" t="s">
        <v>169</v>
      </c>
      <c r="K1214" s="209" t="s">
        <v>2594</v>
      </c>
      <c r="L1214" s="209" t="s">
        <v>171</v>
      </c>
      <c r="M1214" s="209" t="s">
        <v>172</v>
      </c>
      <c r="N1214" s="209">
        <v>50024497</v>
      </c>
      <c r="O1214" s="209" t="s">
        <v>1352</v>
      </c>
      <c r="P1214" s="209">
        <v>5121</v>
      </c>
      <c r="Q1214" s="209" t="s">
        <v>174</v>
      </c>
      <c r="R1214" s="209" t="s">
        <v>175</v>
      </c>
      <c r="S1214" s="209" t="s">
        <v>176</v>
      </c>
      <c r="T1214" s="209" t="s">
        <v>177</v>
      </c>
      <c r="U1214" s="209" t="s">
        <v>178</v>
      </c>
      <c r="V1214" s="209" t="s">
        <v>179</v>
      </c>
      <c r="W1214" s="209" t="s">
        <v>179</v>
      </c>
      <c r="X1214" s="209" t="s">
        <v>180</v>
      </c>
      <c r="Y1214" s="209" t="s">
        <v>180</v>
      </c>
      <c r="Z1214" s="209">
        <v>9521069041</v>
      </c>
      <c r="AA1214" s="209" t="s">
        <v>2482</v>
      </c>
      <c r="AB1214" s="209" t="s">
        <v>180</v>
      </c>
      <c r="AC1214" s="209" t="s">
        <v>182</v>
      </c>
      <c r="AD1214" s="209">
        <v>7</v>
      </c>
      <c r="AE1214" s="209">
        <v>2025</v>
      </c>
      <c r="AF1214" s="227">
        <v>45847</v>
      </c>
      <c r="AG1214" s="227">
        <v>45852</v>
      </c>
      <c r="AH1214" s="227">
        <v>45852</v>
      </c>
      <c r="AI1214" s="228">
        <v>351936</v>
      </c>
      <c r="AJ1214" s="228">
        <v>52</v>
      </c>
      <c r="AK1214" s="228">
        <v>351936</v>
      </c>
      <c r="AL1214" s="228">
        <v>52</v>
      </c>
      <c r="AM1214" s="228">
        <v>0</v>
      </c>
      <c r="AN1214" s="228">
        <v>0</v>
      </c>
      <c r="AO1214" s="229">
        <v>29</v>
      </c>
      <c r="AP1214" s="231">
        <v>7</v>
      </c>
      <c r="AQ1214" s="231">
        <v>2025</v>
      </c>
      <c r="AR1214" s="231" t="str">
        <f t="shared" si="174"/>
        <v>07/2025</v>
      </c>
      <c r="AS1214" s="231">
        <f t="shared" si="175"/>
        <v>54.7</v>
      </c>
      <c r="AT1214" s="239">
        <f>IF(G1214="CERVECERIA Y MALTERIA",(AS1214*AK1214/1000000)*(1-VLOOKUP(N1214,FCST!D:I,6,FALSE)),0)</f>
        <v>19.250899199999999</v>
      </c>
      <c r="AU1214" s="232">
        <v>5.0000000000000001E-3</v>
      </c>
      <c r="AV1214" s="239">
        <f t="shared" si="176"/>
        <v>19.347153695999996</v>
      </c>
      <c r="AW1214" s="239">
        <f>(AS1214*AK1214/1000000)*(VLOOKUP(N1214,FCST!D:I,6,FALSE))</f>
        <v>0</v>
      </c>
      <c r="AX1214" s="239">
        <f t="shared" si="177"/>
        <v>0</v>
      </c>
      <c r="AY1214" s="239">
        <f>IF($G1214="CERVECERIA Y MALTERIA.",($AS1214*$AK1214/1000000)*(1-VLOOKUP($N1214,FCST!D:I,6,FALSE)),0)</f>
        <v>0</v>
      </c>
      <c r="AZ1214" s="239">
        <f t="shared" si="178"/>
        <v>0</v>
      </c>
    </row>
    <row r="1215" spans="1:52" x14ac:dyDescent="0.25">
      <c r="A1215" s="209">
        <v>1128380</v>
      </c>
      <c r="B1215" s="209">
        <v>10</v>
      </c>
      <c r="C1215" s="209">
        <v>89512535</v>
      </c>
      <c r="D1215" s="209">
        <v>10</v>
      </c>
      <c r="E1215" s="209">
        <v>10000002</v>
      </c>
      <c r="F1215" s="209">
        <v>20000339</v>
      </c>
      <c r="G1215" s="209" t="s">
        <v>105</v>
      </c>
      <c r="H1215" s="209">
        <v>20000339</v>
      </c>
      <c r="I1215" s="209">
        <v>2</v>
      </c>
      <c r="J1215" s="209" t="s">
        <v>169</v>
      </c>
      <c r="K1215" s="209" t="s">
        <v>2595</v>
      </c>
      <c r="L1215" s="209" t="s">
        <v>265</v>
      </c>
      <c r="M1215" s="209" t="s">
        <v>227</v>
      </c>
      <c r="N1215" s="209">
        <v>50036287</v>
      </c>
      <c r="O1215" s="209" t="s">
        <v>2191</v>
      </c>
      <c r="P1215" s="209">
        <v>5121</v>
      </c>
      <c r="Q1215" s="209" t="s">
        <v>228</v>
      </c>
      <c r="R1215" s="209" t="s">
        <v>229</v>
      </c>
      <c r="S1215" s="209" t="s">
        <v>230</v>
      </c>
      <c r="T1215" s="209" t="s">
        <v>231</v>
      </c>
      <c r="U1215" s="209" t="s">
        <v>232</v>
      </c>
      <c r="V1215" s="209" t="s">
        <v>179</v>
      </c>
      <c r="W1215" s="209" t="s">
        <v>179</v>
      </c>
      <c r="X1215" s="209" t="s">
        <v>180</v>
      </c>
      <c r="Y1215" s="209" t="s">
        <v>180</v>
      </c>
      <c r="Z1215" s="209">
        <v>9521069050</v>
      </c>
      <c r="AA1215" s="209" t="s">
        <v>2596</v>
      </c>
      <c r="AB1215" s="209" t="s">
        <v>180</v>
      </c>
      <c r="AC1215" s="209" t="s">
        <v>182</v>
      </c>
      <c r="AD1215" s="209">
        <v>7</v>
      </c>
      <c r="AE1215" s="209">
        <v>2025</v>
      </c>
      <c r="AF1215" s="227">
        <v>45849</v>
      </c>
      <c r="AG1215" s="227">
        <v>45852</v>
      </c>
      <c r="AH1215" s="227">
        <v>45852</v>
      </c>
      <c r="AI1215" s="228">
        <v>363168</v>
      </c>
      <c r="AJ1215" s="228">
        <v>52</v>
      </c>
      <c r="AK1215" s="228">
        <v>363168</v>
      </c>
      <c r="AL1215" s="228">
        <v>52</v>
      </c>
      <c r="AM1215" s="228">
        <v>0</v>
      </c>
      <c r="AN1215" s="228">
        <v>0</v>
      </c>
      <c r="AO1215" s="229">
        <v>28</v>
      </c>
      <c r="AP1215" s="231">
        <v>7</v>
      </c>
      <c r="AQ1215" s="231">
        <v>2025</v>
      </c>
      <c r="AR1215" s="231" t="str">
        <f t="shared" si="174"/>
        <v>07/2025</v>
      </c>
      <c r="AS1215" s="231">
        <f t="shared" si="175"/>
        <v>52</v>
      </c>
      <c r="AT1215" s="239">
        <f>IF(G1215="CERVECERIA Y MALTERIA",(AS1215*AK1215/1000000)*(1-VLOOKUP(N1215,FCST!D:I,6,FALSE)),0)</f>
        <v>18.884736</v>
      </c>
      <c r="AU1215" s="232">
        <v>5.0000000000000001E-3</v>
      </c>
      <c r="AV1215" s="239">
        <f t="shared" si="176"/>
        <v>18.979159679999999</v>
      </c>
      <c r="AW1215" s="239">
        <f>(AS1215*AK1215/1000000)*(VLOOKUP(N1215,FCST!D:I,6,FALSE))</f>
        <v>0</v>
      </c>
      <c r="AX1215" s="239">
        <f t="shared" si="177"/>
        <v>0</v>
      </c>
      <c r="AY1215" s="239">
        <f>IF($G1215="CERVECERIA Y MALTERIA.",($AS1215*$AK1215/1000000)*(1-VLOOKUP($N1215,FCST!D:I,6,FALSE)),0)</f>
        <v>0</v>
      </c>
      <c r="AZ1215" s="239">
        <f t="shared" si="178"/>
        <v>0</v>
      </c>
    </row>
    <row r="1216" spans="1:52" x14ac:dyDescent="0.25">
      <c r="A1216" s="209">
        <v>1126695</v>
      </c>
      <c r="B1216" s="209">
        <v>60</v>
      </c>
      <c r="C1216" s="209">
        <v>89511782</v>
      </c>
      <c r="D1216" s="209">
        <v>10</v>
      </c>
      <c r="E1216" s="209">
        <v>10000002</v>
      </c>
      <c r="F1216" s="209">
        <v>20000337</v>
      </c>
      <c r="G1216" s="209" t="s">
        <v>105</v>
      </c>
      <c r="H1216" s="209">
        <v>20000337</v>
      </c>
      <c r="I1216" s="209">
        <v>2</v>
      </c>
      <c r="J1216" s="209" t="s">
        <v>169</v>
      </c>
      <c r="K1216" s="209" t="s">
        <v>2597</v>
      </c>
      <c r="L1216" s="209" t="s">
        <v>265</v>
      </c>
      <c r="M1216" s="209" t="s">
        <v>172</v>
      </c>
      <c r="N1216" s="209">
        <v>50039572</v>
      </c>
      <c r="O1216" s="209" t="s">
        <v>2555</v>
      </c>
      <c r="P1216" s="209">
        <v>5121</v>
      </c>
      <c r="Q1216" s="209" t="s">
        <v>174</v>
      </c>
      <c r="R1216" s="209" t="s">
        <v>175</v>
      </c>
      <c r="S1216" s="209" t="s">
        <v>176</v>
      </c>
      <c r="T1216" s="209" t="s">
        <v>177</v>
      </c>
      <c r="U1216" s="209" t="s">
        <v>178</v>
      </c>
      <c r="V1216" s="209" t="s">
        <v>179</v>
      </c>
      <c r="W1216" s="209" t="s">
        <v>179</v>
      </c>
      <c r="X1216" s="209" t="s">
        <v>180</v>
      </c>
      <c r="Y1216" s="209" t="s">
        <v>180</v>
      </c>
      <c r="Z1216" s="209">
        <v>9521069080</v>
      </c>
      <c r="AA1216" s="209" t="s">
        <v>2576</v>
      </c>
      <c r="AB1216" s="209" t="s">
        <v>180</v>
      </c>
      <c r="AC1216" s="209" t="s">
        <v>182</v>
      </c>
      <c r="AD1216" s="209">
        <v>7</v>
      </c>
      <c r="AE1216" s="209">
        <v>2025</v>
      </c>
      <c r="AF1216" s="227">
        <v>45840</v>
      </c>
      <c r="AG1216" s="227">
        <v>45849</v>
      </c>
      <c r="AH1216" s="227">
        <v>45849</v>
      </c>
      <c r="AI1216" s="228">
        <v>415584</v>
      </c>
      <c r="AJ1216" s="228">
        <v>52</v>
      </c>
      <c r="AK1216" s="228">
        <v>415584</v>
      </c>
      <c r="AL1216" s="228">
        <v>52</v>
      </c>
      <c r="AM1216" s="228">
        <v>0</v>
      </c>
      <c r="AN1216" s="228">
        <v>0</v>
      </c>
      <c r="AO1216" s="229">
        <v>27</v>
      </c>
      <c r="AP1216" s="231">
        <v>7</v>
      </c>
      <c r="AQ1216" s="231">
        <v>2025</v>
      </c>
      <c r="AR1216" s="231" t="str">
        <f t="shared" si="174"/>
        <v>07/2025</v>
      </c>
      <c r="AS1216" s="231">
        <f t="shared" si="175"/>
        <v>46.6</v>
      </c>
      <c r="AT1216" s="239">
        <f>IF(G1216="CERVECERIA Y MALTERIA",(AS1216*AK1216/1000000)*(1-VLOOKUP(N1216,FCST!D:I,6,FALSE)),0)</f>
        <v>19.3662144</v>
      </c>
      <c r="AU1216" s="232">
        <v>5.0000000000000001E-3</v>
      </c>
      <c r="AV1216" s="239">
        <f t="shared" si="176"/>
        <v>19.463045471999997</v>
      </c>
      <c r="AW1216" s="239">
        <f>(AS1216*AK1216/1000000)*(VLOOKUP(N1216,FCST!D:I,6,FALSE))</f>
        <v>0</v>
      </c>
      <c r="AX1216" s="239">
        <f t="shared" si="177"/>
        <v>0</v>
      </c>
      <c r="AY1216" s="239">
        <f>IF($G1216="CERVECERIA Y MALTERIA.",($AS1216*$AK1216/1000000)*(1-VLOOKUP($N1216,FCST!D:I,6,FALSE)),0)</f>
        <v>0</v>
      </c>
      <c r="AZ1216" s="239">
        <f t="shared" si="178"/>
        <v>0</v>
      </c>
    </row>
    <row r="1217" spans="1:52" x14ac:dyDescent="0.25">
      <c r="A1217" s="209">
        <v>1128093</v>
      </c>
      <c r="B1217" s="209">
        <v>10</v>
      </c>
      <c r="C1217" s="209">
        <v>89511017</v>
      </c>
      <c r="D1217" s="209">
        <v>10</v>
      </c>
      <c r="E1217" s="209">
        <v>10000002</v>
      </c>
      <c r="F1217" s="209">
        <v>20000335</v>
      </c>
      <c r="G1217" s="209" t="s">
        <v>105</v>
      </c>
      <c r="H1217" s="209">
        <v>20000335</v>
      </c>
      <c r="I1217" s="209">
        <v>2</v>
      </c>
      <c r="J1217" s="209" t="s">
        <v>169</v>
      </c>
      <c r="K1217" s="209" t="s">
        <v>2598</v>
      </c>
      <c r="L1217" s="209" t="s">
        <v>265</v>
      </c>
      <c r="M1217" s="209" t="s">
        <v>184</v>
      </c>
      <c r="N1217" s="209">
        <v>50024497</v>
      </c>
      <c r="O1217" s="209" t="s">
        <v>1352</v>
      </c>
      <c r="P1217" s="209">
        <v>5121</v>
      </c>
      <c r="Q1217" s="209" t="s">
        <v>174</v>
      </c>
      <c r="R1217" s="209" t="s">
        <v>175</v>
      </c>
      <c r="S1217" s="209" t="s">
        <v>176</v>
      </c>
      <c r="T1217" s="209" t="s">
        <v>177</v>
      </c>
      <c r="U1217" s="209" t="s">
        <v>178</v>
      </c>
      <c r="V1217" s="209" t="s">
        <v>180</v>
      </c>
      <c r="W1217" s="209" t="s">
        <v>179</v>
      </c>
      <c r="X1217" s="209" t="s">
        <v>180</v>
      </c>
      <c r="Y1217" s="209" t="s">
        <v>180</v>
      </c>
      <c r="Z1217" s="209">
        <v>9521069041</v>
      </c>
      <c r="AA1217" s="209" t="s">
        <v>2482</v>
      </c>
      <c r="AB1217" s="209" t="s">
        <v>180</v>
      </c>
      <c r="AC1217" s="209" t="s">
        <v>182</v>
      </c>
      <c r="AD1217" s="209">
        <v>7</v>
      </c>
      <c r="AE1217" s="209">
        <v>2025</v>
      </c>
      <c r="AF1217" s="227">
        <v>45848</v>
      </c>
      <c r="AG1217" s="227">
        <v>45849</v>
      </c>
      <c r="AH1217" s="227">
        <v>45849</v>
      </c>
      <c r="AI1217" s="228">
        <v>351936</v>
      </c>
      <c r="AJ1217" s="228">
        <v>52</v>
      </c>
      <c r="AK1217" s="228">
        <v>351936</v>
      </c>
      <c r="AL1217" s="228">
        <v>52</v>
      </c>
      <c r="AM1217" s="228">
        <v>0</v>
      </c>
      <c r="AN1217" s="228">
        <v>0</v>
      </c>
      <c r="AO1217" s="229">
        <v>28</v>
      </c>
      <c r="AP1217" s="231">
        <v>7</v>
      </c>
      <c r="AQ1217" s="231">
        <v>2025</v>
      </c>
      <c r="AR1217" s="231" t="str">
        <f t="shared" si="174"/>
        <v>07/2025</v>
      </c>
      <c r="AS1217" s="231">
        <f t="shared" si="175"/>
        <v>54.7</v>
      </c>
      <c r="AT1217" s="239">
        <f>IF(G1217="CERVECERIA Y MALTERIA",(AS1217*AK1217/1000000)*(1-VLOOKUP(N1217,FCST!D:I,6,FALSE)),0)</f>
        <v>19.250899199999999</v>
      </c>
      <c r="AU1217" s="232">
        <v>5.0000000000000001E-3</v>
      </c>
      <c r="AV1217" s="239">
        <f t="shared" si="176"/>
        <v>19.347153695999996</v>
      </c>
      <c r="AW1217" s="239">
        <f>(AS1217*AK1217/1000000)*(VLOOKUP(N1217,FCST!D:I,6,FALSE))</f>
        <v>0</v>
      </c>
      <c r="AX1217" s="239">
        <f t="shared" si="177"/>
        <v>0</v>
      </c>
      <c r="AY1217" s="239">
        <f>IF($G1217="CERVECERIA Y MALTERIA.",($AS1217*$AK1217/1000000)*(1-VLOOKUP($N1217,FCST!D:I,6,FALSE)),0)</f>
        <v>0</v>
      </c>
      <c r="AZ1217" s="239">
        <f t="shared" si="178"/>
        <v>0</v>
      </c>
    </row>
    <row r="1218" spans="1:52" x14ac:dyDescent="0.25">
      <c r="A1218" s="209">
        <v>1127235</v>
      </c>
      <c r="B1218" s="209">
        <v>10</v>
      </c>
      <c r="C1218" s="209">
        <v>89510998</v>
      </c>
      <c r="D1218" s="209">
        <v>10</v>
      </c>
      <c r="E1218" s="209">
        <v>10000002</v>
      </c>
      <c r="F1218" s="209">
        <v>20000340</v>
      </c>
      <c r="G1218" s="209" t="s">
        <v>117</v>
      </c>
      <c r="H1218" s="209">
        <v>20000340</v>
      </c>
      <c r="I1218" s="209">
        <v>2</v>
      </c>
      <c r="J1218" s="209" t="s">
        <v>169</v>
      </c>
      <c r="K1218" s="209" t="s">
        <v>2599</v>
      </c>
      <c r="L1218" s="209" t="s">
        <v>171</v>
      </c>
      <c r="M1218" s="209" t="s">
        <v>184</v>
      </c>
      <c r="N1218" s="209">
        <v>50039509</v>
      </c>
      <c r="O1218" s="209" t="s">
        <v>2054</v>
      </c>
      <c r="P1218" s="209">
        <v>5101</v>
      </c>
      <c r="Q1218" s="209" t="s">
        <v>186</v>
      </c>
      <c r="R1218" s="209" t="s">
        <v>175</v>
      </c>
      <c r="S1218" s="209" t="s">
        <v>176</v>
      </c>
      <c r="T1218" s="209" t="s">
        <v>187</v>
      </c>
      <c r="U1218" s="209" t="s">
        <v>188</v>
      </c>
      <c r="V1218" s="209" t="s">
        <v>179</v>
      </c>
      <c r="W1218" s="209" t="s">
        <v>179</v>
      </c>
      <c r="X1218" s="209" t="s">
        <v>180</v>
      </c>
      <c r="Y1218" s="209" t="s">
        <v>180</v>
      </c>
      <c r="Z1218" s="209">
        <v>9511048172</v>
      </c>
      <c r="AA1218" s="209" t="s">
        <v>2466</v>
      </c>
      <c r="AB1218" s="209" t="s">
        <v>180</v>
      </c>
      <c r="AC1218" s="209" t="s">
        <v>182</v>
      </c>
      <c r="AD1218" s="209">
        <v>7</v>
      </c>
      <c r="AE1218" s="209">
        <v>2025</v>
      </c>
      <c r="AF1218" s="227">
        <v>45842</v>
      </c>
      <c r="AG1218" s="227">
        <v>45849</v>
      </c>
      <c r="AH1218" s="227">
        <v>45849</v>
      </c>
      <c r="AI1218" s="228">
        <v>519168</v>
      </c>
      <c r="AJ1218" s="228">
        <v>52</v>
      </c>
      <c r="AK1218" s="228">
        <v>519168</v>
      </c>
      <c r="AL1218" s="228">
        <v>52</v>
      </c>
      <c r="AM1218" s="228">
        <v>0</v>
      </c>
      <c r="AN1218" s="228">
        <v>0</v>
      </c>
      <c r="AO1218" s="229">
        <v>28</v>
      </c>
      <c r="AP1218" s="231">
        <v>7</v>
      </c>
      <c r="AQ1218" s="231">
        <v>2025</v>
      </c>
      <c r="AR1218" s="231" t="str">
        <f t="shared" si="174"/>
        <v>07/2025</v>
      </c>
      <c r="AS1218" s="231">
        <f t="shared" si="175"/>
        <v>34</v>
      </c>
      <c r="AT1218" s="239">
        <f>IF(G1218="CERVECERIA Y MALTERIA",(AS1218*AK1218/1000000)*(1-VLOOKUP(N1218,FCST!D:I,6,FALSE)),0)</f>
        <v>0</v>
      </c>
      <c r="AU1218" s="232">
        <v>5.0000000000000001E-3</v>
      </c>
      <c r="AV1218" s="239">
        <f t="shared" si="176"/>
        <v>0</v>
      </c>
      <c r="AW1218" s="239">
        <f>(AS1218*AK1218/1000000)*(VLOOKUP(N1218,FCST!D:I,6,FALSE))</f>
        <v>0</v>
      </c>
      <c r="AX1218" s="239">
        <f t="shared" si="177"/>
        <v>0</v>
      </c>
      <c r="AY1218" s="239">
        <f>IF($G1218="CERVECERIA Y MALTERIA.",($AS1218*$AK1218/1000000)*(1-VLOOKUP($N1218,FCST!D:I,6,FALSE)),0)</f>
        <v>17.651712</v>
      </c>
      <c r="AZ1218" s="239">
        <f t="shared" si="178"/>
        <v>17.73997056</v>
      </c>
    </row>
    <row r="1219" spans="1:52" x14ac:dyDescent="0.25">
      <c r="A1219" s="209">
        <v>1128043</v>
      </c>
      <c r="B1219" s="209">
        <v>50</v>
      </c>
      <c r="C1219" s="209">
        <v>89510989</v>
      </c>
      <c r="D1219" s="209">
        <v>50</v>
      </c>
      <c r="E1219" s="209">
        <v>10000002</v>
      </c>
      <c r="F1219" s="209">
        <v>20001057</v>
      </c>
      <c r="G1219" s="209" t="s">
        <v>105</v>
      </c>
      <c r="H1219" s="209">
        <v>20001057</v>
      </c>
      <c r="I1219" s="209">
        <v>2</v>
      </c>
      <c r="J1219" s="209" t="s">
        <v>169</v>
      </c>
      <c r="K1219" s="209" t="s">
        <v>2600</v>
      </c>
      <c r="L1219" s="209" t="s">
        <v>171</v>
      </c>
      <c r="M1219" s="209" t="s">
        <v>184</v>
      </c>
      <c r="N1219" s="209">
        <v>50032578</v>
      </c>
      <c r="O1219" s="209" t="s">
        <v>329</v>
      </c>
      <c r="P1219" s="209">
        <v>5121</v>
      </c>
      <c r="Q1219" s="209" t="s">
        <v>174</v>
      </c>
      <c r="R1219" s="209" t="s">
        <v>175</v>
      </c>
      <c r="S1219" s="209" t="s">
        <v>176</v>
      </c>
      <c r="T1219" s="209" t="s">
        <v>177</v>
      </c>
      <c r="U1219" s="209" t="s">
        <v>178</v>
      </c>
      <c r="V1219" s="209" t="s">
        <v>179</v>
      </c>
      <c r="W1219" s="209" t="s">
        <v>179</v>
      </c>
      <c r="X1219" s="209" t="s">
        <v>180</v>
      </c>
      <c r="Y1219" s="209" t="s">
        <v>180</v>
      </c>
      <c r="Z1219" s="209">
        <v>9521069077</v>
      </c>
      <c r="AA1219" s="209" t="s">
        <v>2601</v>
      </c>
      <c r="AB1219" s="209" t="s">
        <v>180</v>
      </c>
      <c r="AC1219" s="209" t="s">
        <v>182</v>
      </c>
      <c r="AD1219" s="209">
        <v>7</v>
      </c>
      <c r="AE1219" s="209">
        <v>2025</v>
      </c>
      <c r="AF1219" s="227">
        <v>45848</v>
      </c>
      <c r="AG1219" s="227">
        <v>45848</v>
      </c>
      <c r="AH1219" s="227">
        <v>45849</v>
      </c>
      <c r="AI1219" s="228">
        <v>265824</v>
      </c>
      <c r="AJ1219" s="228">
        <v>26</v>
      </c>
      <c r="AK1219" s="228">
        <v>265824</v>
      </c>
      <c r="AL1219" s="228">
        <v>26</v>
      </c>
      <c r="AM1219" s="228">
        <v>0</v>
      </c>
      <c r="AN1219" s="228">
        <v>0</v>
      </c>
      <c r="AO1219" s="229">
        <v>28</v>
      </c>
      <c r="AP1219" s="231">
        <v>7</v>
      </c>
      <c r="AQ1219" s="231">
        <v>2025</v>
      </c>
      <c r="AR1219" s="231" t="str">
        <f t="shared" si="174"/>
        <v>07/2025</v>
      </c>
      <c r="AS1219" s="231">
        <f t="shared" si="175"/>
        <v>37.200000000000003</v>
      </c>
      <c r="AT1219" s="239">
        <f>IF(G1219="CERVECERIA Y MALTERIA",(AS1219*AK1219/1000000)*(1-VLOOKUP(N1219,FCST!D:I,6,FALSE)),0)</f>
        <v>9.8886528000000009</v>
      </c>
      <c r="AU1219" s="232">
        <v>5.0000000000000001E-3</v>
      </c>
      <c r="AV1219" s="239">
        <f t="shared" si="176"/>
        <v>9.9380960639999998</v>
      </c>
      <c r="AW1219" s="239">
        <f>(AS1219*AK1219/1000000)*(VLOOKUP(N1219,FCST!D:I,6,FALSE))</f>
        <v>0</v>
      </c>
      <c r="AX1219" s="239">
        <f t="shared" si="177"/>
        <v>0</v>
      </c>
      <c r="AY1219" s="239">
        <f>IF($G1219="CERVECERIA Y MALTERIA.",($AS1219*$AK1219/1000000)*(1-VLOOKUP($N1219,FCST!D:I,6,FALSE)),0)</f>
        <v>0</v>
      </c>
      <c r="AZ1219" s="239">
        <f t="shared" si="178"/>
        <v>0</v>
      </c>
    </row>
    <row r="1220" spans="1:52" x14ac:dyDescent="0.25">
      <c r="A1220" s="209">
        <v>1128043</v>
      </c>
      <c r="B1220" s="209">
        <v>40</v>
      </c>
      <c r="C1220" s="209">
        <v>89510989</v>
      </c>
      <c r="D1220" s="209">
        <v>40</v>
      </c>
      <c r="E1220" s="209">
        <v>10000002</v>
      </c>
      <c r="F1220" s="209">
        <v>20001057</v>
      </c>
      <c r="G1220" s="209" t="s">
        <v>105</v>
      </c>
      <c r="H1220" s="209">
        <v>20001057</v>
      </c>
      <c r="I1220" s="209">
        <v>2</v>
      </c>
      <c r="J1220" s="209" t="s">
        <v>169</v>
      </c>
      <c r="K1220" s="209" t="s">
        <v>2600</v>
      </c>
      <c r="L1220" s="209" t="s">
        <v>171</v>
      </c>
      <c r="M1220" s="209" t="s">
        <v>184</v>
      </c>
      <c r="N1220" s="209">
        <v>50035184</v>
      </c>
      <c r="O1220" s="209" t="s">
        <v>672</v>
      </c>
      <c r="P1220" s="209">
        <v>5121</v>
      </c>
      <c r="Q1220" s="209" t="s">
        <v>174</v>
      </c>
      <c r="R1220" s="209" t="s">
        <v>175</v>
      </c>
      <c r="S1220" s="209" t="s">
        <v>176</v>
      </c>
      <c r="T1220" s="209" t="s">
        <v>177</v>
      </c>
      <c r="U1220" s="209" t="s">
        <v>178</v>
      </c>
      <c r="V1220" s="209" t="s">
        <v>179</v>
      </c>
      <c r="W1220" s="209" t="s">
        <v>179</v>
      </c>
      <c r="X1220" s="209" t="s">
        <v>180</v>
      </c>
      <c r="Y1220" s="209" t="s">
        <v>180</v>
      </c>
      <c r="Z1220" s="209">
        <v>9521069077</v>
      </c>
      <c r="AA1220" s="209" t="s">
        <v>2601</v>
      </c>
      <c r="AB1220" s="209" t="s">
        <v>180</v>
      </c>
      <c r="AC1220" s="209" t="s">
        <v>182</v>
      </c>
      <c r="AD1220" s="209">
        <v>7</v>
      </c>
      <c r="AE1220" s="209">
        <v>2025</v>
      </c>
      <c r="AF1220" s="227">
        <v>45848</v>
      </c>
      <c r="AG1220" s="227">
        <v>45848</v>
      </c>
      <c r="AH1220" s="227">
        <v>45849</v>
      </c>
      <c r="AI1220" s="228">
        <v>112752</v>
      </c>
      <c r="AJ1220" s="228">
        <v>6</v>
      </c>
      <c r="AK1220" s="228">
        <v>112752</v>
      </c>
      <c r="AL1220" s="228">
        <v>6</v>
      </c>
      <c r="AM1220" s="228">
        <v>0</v>
      </c>
      <c r="AN1220" s="228">
        <v>0</v>
      </c>
      <c r="AO1220" s="229">
        <v>28</v>
      </c>
      <c r="AP1220" s="231">
        <v>7</v>
      </c>
      <c r="AQ1220" s="231">
        <v>2025</v>
      </c>
      <c r="AR1220" s="231" t="str">
        <f t="shared" si="174"/>
        <v>07/2025</v>
      </c>
      <c r="AS1220" s="231">
        <f t="shared" si="175"/>
        <v>19.5</v>
      </c>
      <c r="AT1220" s="239">
        <f>IF(G1220="CERVECERIA Y MALTERIA",(AS1220*AK1220/1000000)*(1-VLOOKUP(N1220,FCST!D:I,6,FALSE)),0)</f>
        <v>2.198664</v>
      </c>
      <c r="AU1220" s="232">
        <v>5.0000000000000001E-3</v>
      </c>
      <c r="AV1220" s="239">
        <f t="shared" si="176"/>
        <v>2.2096573199999998</v>
      </c>
      <c r="AW1220" s="239">
        <f>(AS1220*AK1220/1000000)*(VLOOKUP(N1220,FCST!D:I,6,FALSE))</f>
        <v>0</v>
      </c>
      <c r="AX1220" s="239">
        <f t="shared" si="177"/>
        <v>0</v>
      </c>
      <c r="AY1220" s="239">
        <f>IF($G1220="CERVECERIA Y MALTERIA.",($AS1220*$AK1220/1000000)*(1-VLOOKUP($N1220,FCST!D:I,6,FALSE)),0)</f>
        <v>0</v>
      </c>
      <c r="AZ1220" s="239">
        <f t="shared" si="178"/>
        <v>0</v>
      </c>
    </row>
    <row r="1221" spans="1:52" x14ac:dyDescent="0.25">
      <c r="A1221" s="209">
        <v>1128043</v>
      </c>
      <c r="B1221" s="209">
        <v>30</v>
      </c>
      <c r="C1221" s="209">
        <v>89510989</v>
      </c>
      <c r="D1221" s="209">
        <v>30</v>
      </c>
      <c r="E1221" s="209">
        <v>10000002</v>
      </c>
      <c r="F1221" s="209">
        <v>20001057</v>
      </c>
      <c r="G1221" s="209" t="s">
        <v>105</v>
      </c>
      <c r="H1221" s="209">
        <v>20001057</v>
      </c>
      <c r="I1221" s="209">
        <v>2</v>
      </c>
      <c r="J1221" s="209" t="s">
        <v>169</v>
      </c>
      <c r="K1221" s="209" t="s">
        <v>2600</v>
      </c>
      <c r="L1221" s="209" t="s">
        <v>171</v>
      </c>
      <c r="M1221" s="209" t="s">
        <v>184</v>
      </c>
      <c r="N1221" s="209">
        <v>50024497</v>
      </c>
      <c r="O1221" s="209" t="s">
        <v>1352</v>
      </c>
      <c r="P1221" s="209">
        <v>5121</v>
      </c>
      <c r="Q1221" s="209" t="s">
        <v>174</v>
      </c>
      <c r="R1221" s="209" t="s">
        <v>175</v>
      </c>
      <c r="S1221" s="209" t="s">
        <v>176</v>
      </c>
      <c r="T1221" s="209" t="s">
        <v>177</v>
      </c>
      <c r="U1221" s="209" t="s">
        <v>178</v>
      </c>
      <c r="V1221" s="209" t="s">
        <v>179</v>
      </c>
      <c r="W1221" s="209" t="s">
        <v>179</v>
      </c>
      <c r="X1221" s="209" t="s">
        <v>180</v>
      </c>
      <c r="Y1221" s="209" t="s">
        <v>180</v>
      </c>
      <c r="Z1221" s="209">
        <v>9521069077</v>
      </c>
      <c r="AA1221" s="209" t="s">
        <v>2601</v>
      </c>
      <c r="AB1221" s="209" t="s">
        <v>180</v>
      </c>
      <c r="AC1221" s="209" t="s">
        <v>182</v>
      </c>
      <c r="AD1221" s="209">
        <v>7</v>
      </c>
      <c r="AE1221" s="209">
        <v>2025</v>
      </c>
      <c r="AF1221" s="227">
        <v>45848</v>
      </c>
      <c r="AG1221" s="227">
        <v>45848</v>
      </c>
      <c r="AH1221" s="227">
        <v>45849</v>
      </c>
      <c r="AI1221" s="228">
        <v>108288</v>
      </c>
      <c r="AJ1221" s="228">
        <v>16</v>
      </c>
      <c r="AK1221" s="228">
        <v>108288</v>
      </c>
      <c r="AL1221" s="228">
        <v>16</v>
      </c>
      <c r="AM1221" s="228">
        <v>0</v>
      </c>
      <c r="AN1221" s="228">
        <v>0</v>
      </c>
      <c r="AO1221" s="229">
        <v>28</v>
      </c>
      <c r="AP1221" s="231">
        <v>7</v>
      </c>
      <c r="AQ1221" s="231">
        <v>2025</v>
      </c>
      <c r="AR1221" s="231" t="str">
        <f t="shared" si="174"/>
        <v>07/2025</v>
      </c>
      <c r="AS1221" s="231">
        <f t="shared" si="175"/>
        <v>54.7</v>
      </c>
      <c r="AT1221" s="239">
        <f>IF(G1221="CERVECERIA Y MALTERIA",(AS1221*AK1221/1000000)*(1-VLOOKUP(N1221,FCST!D:I,6,FALSE)),0)</f>
        <v>5.9233536000000004</v>
      </c>
      <c r="AU1221" s="232">
        <v>5.0000000000000001E-3</v>
      </c>
      <c r="AV1221" s="239">
        <f t="shared" si="176"/>
        <v>5.9529703679999999</v>
      </c>
      <c r="AW1221" s="239">
        <f>(AS1221*AK1221/1000000)*(VLOOKUP(N1221,FCST!D:I,6,FALSE))</f>
        <v>0</v>
      </c>
      <c r="AX1221" s="239">
        <f t="shared" si="177"/>
        <v>0</v>
      </c>
      <c r="AY1221" s="239">
        <f>IF($G1221="CERVECERIA Y MALTERIA.",($AS1221*$AK1221/1000000)*(1-VLOOKUP($N1221,FCST!D:I,6,FALSE)),0)</f>
        <v>0</v>
      </c>
      <c r="AZ1221" s="239">
        <f t="shared" si="178"/>
        <v>0</v>
      </c>
    </row>
    <row r="1222" spans="1:52" x14ac:dyDescent="0.25">
      <c r="A1222" s="209">
        <v>1128043</v>
      </c>
      <c r="B1222" s="209">
        <v>20</v>
      </c>
      <c r="C1222" s="209">
        <v>89510989</v>
      </c>
      <c r="D1222" s="209">
        <v>20</v>
      </c>
      <c r="E1222" s="209">
        <v>10000002</v>
      </c>
      <c r="F1222" s="209">
        <v>20001057</v>
      </c>
      <c r="G1222" s="209" t="s">
        <v>105</v>
      </c>
      <c r="H1222" s="209">
        <v>20001057</v>
      </c>
      <c r="I1222" s="209">
        <v>2</v>
      </c>
      <c r="J1222" s="209" t="s">
        <v>169</v>
      </c>
      <c r="K1222" s="209" t="s">
        <v>2600</v>
      </c>
      <c r="L1222" s="209" t="s">
        <v>171</v>
      </c>
      <c r="M1222" s="209" t="s">
        <v>184</v>
      </c>
      <c r="N1222" s="209">
        <v>50021818</v>
      </c>
      <c r="O1222" s="209" t="s">
        <v>2170</v>
      </c>
      <c r="P1222" s="209">
        <v>5121</v>
      </c>
      <c r="Q1222" s="209" t="s">
        <v>174</v>
      </c>
      <c r="R1222" s="209" t="s">
        <v>175</v>
      </c>
      <c r="S1222" s="209" t="s">
        <v>176</v>
      </c>
      <c r="T1222" s="209" t="s">
        <v>177</v>
      </c>
      <c r="U1222" s="209" t="s">
        <v>178</v>
      </c>
      <c r="V1222" s="209" t="s">
        <v>179</v>
      </c>
      <c r="W1222" s="209" t="s">
        <v>179</v>
      </c>
      <c r="X1222" s="209" t="s">
        <v>180</v>
      </c>
      <c r="Y1222" s="209" t="s">
        <v>180</v>
      </c>
      <c r="Z1222" s="209">
        <v>9521069077</v>
      </c>
      <c r="AA1222" s="209" t="s">
        <v>2601</v>
      </c>
      <c r="AB1222" s="209" t="s">
        <v>180</v>
      </c>
      <c r="AC1222" s="209" t="s">
        <v>182</v>
      </c>
      <c r="AD1222" s="209">
        <v>7</v>
      </c>
      <c r="AE1222" s="209">
        <v>2025</v>
      </c>
      <c r="AF1222" s="227">
        <v>45848</v>
      </c>
      <c r="AG1222" s="227">
        <v>45848</v>
      </c>
      <c r="AH1222" s="227">
        <v>45849</v>
      </c>
      <c r="AI1222" s="228">
        <v>16416</v>
      </c>
      <c r="AJ1222" s="228">
        <v>2</v>
      </c>
      <c r="AK1222" s="228">
        <v>16416</v>
      </c>
      <c r="AL1222" s="228">
        <v>2</v>
      </c>
      <c r="AM1222" s="228">
        <v>0</v>
      </c>
      <c r="AN1222" s="228">
        <v>0</v>
      </c>
      <c r="AO1222" s="229">
        <v>28</v>
      </c>
      <c r="AP1222" s="231">
        <v>7</v>
      </c>
      <c r="AQ1222" s="231">
        <v>2025</v>
      </c>
      <c r="AR1222" s="231" t="str">
        <f t="shared" si="174"/>
        <v>07/2025</v>
      </c>
      <c r="AS1222" s="231">
        <f t="shared" si="175"/>
        <v>46.6</v>
      </c>
      <c r="AT1222" s="239">
        <f>IF(G1222="CERVECERIA Y MALTERIA",(AS1222*AK1222/1000000)*(1-VLOOKUP(N1222,FCST!D:I,6,FALSE)),0)</f>
        <v>0.76498559999999993</v>
      </c>
      <c r="AU1222" s="232">
        <v>5.0000000000000001E-3</v>
      </c>
      <c r="AV1222" s="239">
        <f t="shared" si="176"/>
        <v>0.76881052799999983</v>
      </c>
      <c r="AW1222" s="239">
        <f>(AS1222*AK1222/1000000)*(VLOOKUP(N1222,FCST!D:I,6,FALSE))</f>
        <v>0</v>
      </c>
      <c r="AX1222" s="239">
        <f t="shared" si="177"/>
        <v>0</v>
      </c>
      <c r="AY1222" s="239">
        <f>IF($G1222="CERVECERIA Y MALTERIA.",($AS1222*$AK1222/1000000)*(1-VLOOKUP($N1222,FCST!D:I,6,FALSE)),0)</f>
        <v>0</v>
      </c>
      <c r="AZ1222" s="239">
        <f t="shared" si="178"/>
        <v>0</v>
      </c>
    </row>
    <row r="1223" spans="1:52" x14ac:dyDescent="0.25">
      <c r="A1223" s="209">
        <v>1128043</v>
      </c>
      <c r="B1223" s="209">
        <v>10</v>
      </c>
      <c r="C1223" s="209">
        <v>89510989</v>
      </c>
      <c r="D1223" s="209">
        <v>10</v>
      </c>
      <c r="E1223" s="209">
        <v>10000002</v>
      </c>
      <c r="F1223" s="209">
        <v>20001057</v>
      </c>
      <c r="G1223" s="209" t="s">
        <v>105</v>
      </c>
      <c r="H1223" s="209">
        <v>20001057</v>
      </c>
      <c r="I1223" s="209">
        <v>2</v>
      </c>
      <c r="J1223" s="209" t="s">
        <v>169</v>
      </c>
      <c r="K1223" s="209" t="s">
        <v>2600</v>
      </c>
      <c r="L1223" s="209" t="s">
        <v>171</v>
      </c>
      <c r="M1223" s="209" t="s">
        <v>184</v>
      </c>
      <c r="N1223" s="209">
        <v>50025345</v>
      </c>
      <c r="O1223" s="209" t="s">
        <v>1998</v>
      </c>
      <c r="P1223" s="209">
        <v>5121</v>
      </c>
      <c r="Q1223" s="209" t="s">
        <v>174</v>
      </c>
      <c r="R1223" s="209" t="s">
        <v>175</v>
      </c>
      <c r="S1223" s="209" t="s">
        <v>176</v>
      </c>
      <c r="T1223" s="209" t="s">
        <v>177</v>
      </c>
      <c r="U1223" s="209" t="s">
        <v>178</v>
      </c>
      <c r="V1223" s="209" t="s">
        <v>179</v>
      </c>
      <c r="W1223" s="209" t="s">
        <v>179</v>
      </c>
      <c r="X1223" s="209" t="s">
        <v>180</v>
      </c>
      <c r="Y1223" s="209" t="s">
        <v>180</v>
      </c>
      <c r="Z1223" s="209">
        <v>9521069077</v>
      </c>
      <c r="AA1223" s="209" t="s">
        <v>2601</v>
      </c>
      <c r="AB1223" s="209" t="s">
        <v>180</v>
      </c>
      <c r="AC1223" s="209" t="s">
        <v>182</v>
      </c>
      <c r="AD1223" s="209">
        <v>7</v>
      </c>
      <c r="AE1223" s="209">
        <v>2025</v>
      </c>
      <c r="AF1223" s="227">
        <v>45848</v>
      </c>
      <c r="AG1223" s="227">
        <v>45848</v>
      </c>
      <c r="AH1223" s="227">
        <v>45849</v>
      </c>
      <c r="AI1223" s="228">
        <v>16416</v>
      </c>
      <c r="AJ1223" s="228">
        <v>2</v>
      </c>
      <c r="AK1223" s="228">
        <v>16416</v>
      </c>
      <c r="AL1223" s="228">
        <v>2</v>
      </c>
      <c r="AM1223" s="228">
        <v>0</v>
      </c>
      <c r="AN1223" s="228">
        <v>0</v>
      </c>
      <c r="AO1223" s="229">
        <v>28</v>
      </c>
      <c r="AP1223" s="231">
        <v>7</v>
      </c>
      <c r="AQ1223" s="231">
        <v>2025</v>
      </c>
      <c r="AR1223" s="231" t="str">
        <f t="shared" si="174"/>
        <v>07/2025</v>
      </c>
      <c r="AS1223" s="231">
        <f t="shared" si="175"/>
        <v>46.6</v>
      </c>
      <c r="AT1223" s="239">
        <f>IF(G1223="CERVECERIA Y MALTERIA",(AS1223*AK1223/1000000)*(1-VLOOKUP(N1223,FCST!D:I,6,FALSE)),0)</f>
        <v>0.76498559999999993</v>
      </c>
      <c r="AU1223" s="232">
        <v>5.0000000000000001E-3</v>
      </c>
      <c r="AV1223" s="239">
        <f t="shared" si="176"/>
        <v>0.76881052799999983</v>
      </c>
      <c r="AW1223" s="239">
        <f>(AS1223*AK1223/1000000)*(VLOOKUP(N1223,FCST!D:I,6,FALSE))</f>
        <v>0</v>
      </c>
      <c r="AX1223" s="239">
        <f t="shared" si="177"/>
        <v>0</v>
      </c>
      <c r="AY1223" s="239">
        <f>IF($G1223="CERVECERIA Y MALTERIA.",($AS1223*$AK1223/1000000)*(1-VLOOKUP($N1223,FCST!D:I,6,FALSE)),0)</f>
        <v>0</v>
      </c>
      <c r="AZ1223" s="239">
        <f t="shared" si="178"/>
        <v>0</v>
      </c>
    </row>
    <row r="1224" spans="1:52" x14ac:dyDescent="0.25">
      <c r="A1224" s="209">
        <v>1127233</v>
      </c>
      <c r="B1224" s="209">
        <v>50</v>
      </c>
      <c r="C1224" s="209">
        <v>89510322</v>
      </c>
      <c r="D1224" s="209">
        <v>10</v>
      </c>
      <c r="E1224" s="209">
        <v>10000002</v>
      </c>
      <c r="F1224" s="209">
        <v>20000335</v>
      </c>
      <c r="G1224" s="209" t="s">
        <v>105</v>
      </c>
      <c r="H1224" s="209">
        <v>20000335</v>
      </c>
      <c r="I1224" s="209">
        <v>2</v>
      </c>
      <c r="J1224" s="209" t="s">
        <v>169</v>
      </c>
      <c r="K1224" s="209" t="s">
        <v>2602</v>
      </c>
      <c r="L1224" s="209" t="s">
        <v>171</v>
      </c>
      <c r="M1224" s="209" t="s">
        <v>184</v>
      </c>
      <c r="N1224" s="209">
        <v>50036915</v>
      </c>
      <c r="O1224" s="209" t="s">
        <v>541</v>
      </c>
      <c r="P1224" s="209">
        <v>5121</v>
      </c>
      <c r="Q1224" s="209" t="s">
        <v>174</v>
      </c>
      <c r="R1224" s="209" t="s">
        <v>175</v>
      </c>
      <c r="S1224" s="209" t="s">
        <v>176</v>
      </c>
      <c r="T1224" s="209" t="s">
        <v>177</v>
      </c>
      <c r="U1224" s="209" t="s">
        <v>178</v>
      </c>
      <c r="V1224" s="209" t="s">
        <v>179</v>
      </c>
      <c r="W1224" s="209" t="s">
        <v>179</v>
      </c>
      <c r="X1224" s="209" t="s">
        <v>180</v>
      </c>
      <c r="Y1224" s="209" t="s">
        <v>180</v>
      </c>
      <c r="Z1224" s="209">
        <v>9521069079</v>
      </c>
      <c r="AA1224" s="209" t="s">
        <v>2460</v>
      </c>
      <c r="AB1224" s="209" t="s">
        <v>180</v>
      </c>
      <c r="AC1224" s="209" t="s">
        <v>182</v>
      </c>
      <c r="AD1224" s="209">
        <v>7</v>
      </c>
      <c r="AE1224" s="209">
        <v>2025</v>
      </c>
      <c r="AF1224" s="227">
        <v>45842</v>
      </c>
      <c r="AG1224" s="227">
        <v>45848</v>
      </c>
      <c r="AH1224" s="227">
        <v>45848</v>
      </c>
      <c r="AI1224" s="228">
        <v>426816</v>
      </c>
      <c r="AJ1224" s="228">
        <v>52</v>
      </c>
      <c r="AK1224" s="228">
        <v>426816</v>
      </c>
      <c r="AL1224" s="228">
        <v>52</v>
      </c>
      <c r="AM1224" s="228">
        <v>0</v>
      </c>
      <c r="AN1224" s="228">
        <v>0</v>
      </c>
      <c r="AO1224" s="229">
        <v>27</v>
      </c>
      <c r="AP1224" s="231">
        <v>7</v>
      </c>
      <c r="AQ1224" s="231">
        <v>2025</v>
      </c>
      <c r="AR1224" s="231" t="str">
        <f t="shared" si="174"/>
        <v>07/2025</v>
      </c>
      <c r="AS1224" s="231">
        <f t="shared" si="175"/>
        <v>46.6</v>
      </c>
      <c r="AT1224" s="239">
        <f>IF(G1224="CERVECERIA Y MALTERIA",(AS1224*AK1224/1000000)*(1-VLOOKUP(N1224,FCST!D:I,6,FALSE)),0)</f>
        <v>15.911700480000002</v>
      </c>
      <c r="AU1224" s="232">
        <v>5.0000000000000001E-3</v>
      </c>
      <c r="AV1224" s="239">
        <f t="shared" si="176"/>
        <v>15.9912589824</v>
      </c>
      <c r="AW1224" s="239">
        <f>(AS1224*AK1224/1000000)*(VLOOKUP(N1224,FCST!D:I,6,FALSE))</f>
        <v>3.9779251200000005</v>
      </c>
      <c r="AX1224" s="239">
        <f t="shared" si="177"/>
        <v>3.9978147455999999</v>
      </c>
      <c r="AY1224" s="239">
        <f>IF($G1224="CERVECERIA Y MALTERIA.",($AS1224*$AK1224/1000000)*(1-VLOOKUP($N1224,FCST!D:I,6,FALSE)),0)</f>
        <v>0</v>
      </c>
      <c r="AZ1224" s="239">
        <f t="shared" si="178"/>
        <v>0</v>
      </c>
    </row>
    <row r="1226" spans="1:52" x14ac:dyDescent="0.25">
      <c r="A1226" s="209">
        <v>1130902</v>
      </c>
      <c r="B1226" s="209">
        <v>90</v>
      </c>
      <c r="C1226" s="209">
        <v>89529033</v>
      </c>
      <c r="D1226" s="209">
        <v>10</v>
      </c>
      <c r="E1226" s="209">
        <v>10000002</v>
      </c>
      <c r="F1226" s="209">
        <v>20000335</v>
      </c>
      <c r="G1226" s="209" t="s">
        <v>105</v>
      </c>
      <c r="H1226" s="209">
        <v>20000335</v>
      </c>
      <c r="I1226" s="209">
        <v>2</v>
      </c>
      <c r="J1226" s="209" t="s">
        <v>169</v>
      </c>
      <c r="K1226" s="209" t="s">
        <v>2603</v>
      </c>
      <c r="L1226" s="209" t="s">
        <v>171</v>
      </c>
      <c r="M1226" s="209" t="s">
        <v>172</v>
      </c>
      <c r="N1226" s="209">
        <v>50037887</v>
      </c>
      <c r="O1226" s="209" t="s">
        <v>679</v>
      </c>
      <c r="P1226" s="209">
        <v>5121</v>
      </c>
      <c r="Q1226" s="209" t="s">
        <v>174</v>
      </c>
      <c r="R1226" s="209" t="s">
        <v>175</v>
      </c>
      <c r="S1226" s="209" t="s">
        <v>176</v>
      </c>
      <c r="T1226" s="209" t="s">
        <v>177</v>
      </c>
      <c r="U1226" s="209" t="s">
        <v>178</v>
      </c>
      <c r="V1226" s="209" t="s">
        <v>179</v>
      </c>
      <c r="W1226" s="209" t="s">
        <v>179</v>
      </c>
      <c r="X1226" s="209" t="s">
        <v>180</v>
      </c>
      <c r="Y1226" s="209" t="s">
        <v>180</v>
      </c>
      <c r="Z1226" s="209">
        <v>9521069291</v>
      </c>
      <c r="AA1226" s="209" t="s">
        <v>2604</v>
      </c>
      <c r="AB1226" s="209" t="s">
        <v>180</v>
      </c>
      <c r="AC1226" s="209" t="s">
        <v>182</v>
      </c>
      <c r="AD1226" s="209">
        <v>7</v>
      </c>
      <c r="AE1226" s="209">
        <v>2025</v>
      </c>
      <c r="AF1226" s="227">
        <v>45863</v>
      </c>
      <c r="AG1226" s="227">
        <v>45870</v>
      </c>
      <c r="AH1226" s="227">
        <v>45870</v>
      </c>
      <c r="AI1226" s="228">
        <v>511200</v>
      </c>
      <c r="AJ1226" s="228">
        <v>50</v>
      </c>
      <c r="AK1226" s="228">
        <v>511200</v>
      </c>
      <c r="AL1226" s="228">
        <v>50</v>
      </c>
      <c r="AM1226" s="228">
        <v>0</v>
      </c>
      <c r="AN1226" s="228">
        <v>0</v>
      </c>
      <c r="AO1226" s="229">
        <v>31</v>
      </c>
      <c r="AP1226" s="231">
        <v>8</v>
      </c>
      <c r="AQ1226" s="231">
        <v>2025</v>
      </c>
      <c r="AR1226" s="231" t="str">
        <f t="shared" ref="AR1226" si="179">+IF(AP1226&lt;10,"0"&amp;AP1226&amp; "/"&amp;AQ1226,AP1226&amp; "/"&amp;AQ1226)</f>
        <v>08/2025</v>
      </c>
      <c r="AS1226" s="231">
        <f t="shared" ref="AS1226" si="180">VALUE(MID(INDEX(_xlfn.TEXTSPLIT(O1226, ","), 1, 3), 1,FIND("G", INDEX(_xlfn.TEXTSPLIT(O1226, ","), 1, 3))-1))</f>
        <v>37.200000000000003</v>
      </c>
      <c r="AT1226" s="239">
        <f>IF(G1226="CERVECERIA Y MALTERIA",(AS1226*AK1226/1000000)*(1-VLOOKUP(N1226,FCST!D:I,6,FALSE)),0)</f>
        <v>19.016639999999999</v>
      </c>
      <c r="AU1226" s="232">
        <v>5.0000000000000001E-3</v>
      </c>
      <c r="AV1226" s="239">
        <f t="shared" ref="AV1226" si="181">+AT1226*(1+AU1226)</f>
        <v>19.111723199999997</v>
      </c>
      <c r="AW1226" s="239">
        <f>(AS1226*AK1226/1000000)*(VLOOKUP(N1226,FCST!D:I,6,FALSE))</f>
        <v>0</v>
      </c>
      <c r="AX1226" s="239">
        <f t="shared" ref="AX1226" si="182">+AW1226*(1+AU1226)</f>
        <v>0</v>
      </c>
      <c r="AY1226" s="239">
        <f>IF($G1226="CERVECERIA Y MALTERIA.",($AS1226*$AK1226/1000000)*(1-VLOOKUP($N1226,FCST!D:I,6,FALSE)),0)</f>
        <v>0</v>
      </c>
      <c r="AZ1226" s="239">
        <f t="shared" ref="AZ1226" si="183">+AY1226*(1+AU1226)</f>
        <v>0</v>
      </c>
    </row>
    <row r="1227" spans="1:52" x14ac:dyDescent="0.25">
      <c r="A1227" s="209">
        <v>1131637</v>
      </c>
      <c r="B1227" s="209">
        <v>30</v>
      </c>
      <c r="C1227" s="209">
        <v>89528767</v>
      </c>
      <c r="D1227" s="209">
        <v>20</v>
      </c>
      <c r="E1227" s="209">
        <v>10000002</v>
      </c>
      <c r="F1227" s="209">
        <v>20001057</v>
      </c>
      <c r="G1227" s="209" t="s">
        <v>105</v>
      </c>
      <c r="H1227" s="209">
        <v>20001057</v>
      </c>
      <c r="I1227" s="209">
        <v>2</v>
      </c>
      <c r="J1227" s="209" t="s">
        <v>169</v>
      </c>
      <c r="K1227" s="209" t="s">
        <v>2605</v>
      </c>
      <c r="L1227" s="209" t="s">
        <v>171</v>
      </c>
      <c r="M1227" s="209" t="s">
        <v>172</v>
      </c>
      <c r="N1227" s="209">
        <v>50037887</v>
      </c>
      <c r="O1227" s="209" t="s">
        <v>679</v>
      </c>
      <c r="P1227" s="209">
        <v>5121</v>
      </c>
      <c r="Q1227" s="209" t="s">
        <v>174</v>
      </c>
      <c r="R1227" s="209" t="s">
        <v>175</v>
      </c>
      <c r="S1227" s="209" t="s">
        <v>176</v>
      </c>
      <c r="T1227" s="209" t="s">
        <v>177</v>
      </c>
      <c r="U1227" s="209" t="s">
        <v>178</v>
      </c>
      <c r="V1227" s="209" t="s">
        <v>179</v>
      </c>
      <c r="W1227" s="209" t="s">
        <v>179</v>
      </c>
      <c r="X1227" s="209" t="s">
        <v>180</v>
      </c>
      <c r="Y1227" s="209" t="s">
        <v>180</v>
      </c>
      <c r="Z1227" s="209">
        <v>9521069274</v>
      </c>
      <c r="AA1227" s="209" t="s">
        <v>2606</v>
      </c>
      <c r="AB1227" s="209" t="s">
        <v>180</v>
      </c>
      <c r="AC1227" s="209" t="s">
        <v>182</v>
      </c>
      <c r="AD1227" s="209">
        <v>7</v>
      </c>
      <c r="AE1227" s="209">
        <v>2025</v>
      </c>
      <c r="AF1227" s="227">
        <v>45868</v>
      </c>
      <c r="AG1227" s="227">
        <v>45870</v>
      </c>
      <c r="AH1227" s="227">
        <v>45870</v>
      </c>
      <c r="AI1227" s="228">
        <v>265824</v>
      </c>
      <c r="AJ1227" s="228">
        <v>26</v>
      </c>
      <c r="AK1227" s="228">
        <v>265824</v>
      </c>
      <c r="AL1227" s="228">
        <v>26</v>
      </c>
      <c r="AM1227" s="228">
        <v>0</v>
      </c>
      <c r="AN1227" s="228">
        <v>0</v>
      </c>
      <c r="AO1227" s="229">
        <v>31</v>
      </c>
      <c r="AP1227" s="231">
        <v>8</v>
      </c>
      <c r="AQ1227" s="231">
        <v>2025</v>
      </c>
      <c r="AR1227" s="231" t="str">
        <f t="shared" ref="AR1227:AR1290" si="184">+IF(AP1227&lt;10,"0"&amp;AP1227&amp; "/"&amp;AQ1227,AP1227&amp; "/"&amp;AQ1227)</f>
        <v>08/2025</v>
      </c>
      <c r="AS1227" s="231">
        <f t="shared" ref="AS1227:AS1290" si="185">VALUE(MID(INDEX(_xlfn.TEXTSPLIT(O1227, ","), 1, 3), 1,FIND("G", INDEX(_xlfn.TEXTSPLIT(O1227, ","), 1, 3))-1))</f>
        <v>37.200000000000003</v>
      </c>
      <c r="AT1227" s="239">
        <f>IF(G1227="CERVECERIA Y MALTERIA",(AS1227*AK1227/1000000)*(1-VLOOKUP(N1227,FCST!D:I,6,FALSE)),0)</f>
        <v>9.8886528000000009</v>
      </c>
      <c r="AU1227" s="232">
        <v>5.0000000000000001E-3</v>
      </c>
      <c r="AV1227" s="239">
        <f t="shared" ref="AV1227:AV1290" si="186">+AT1227*(1+AU1227)</f>
        <v>9.9380960639999998</v>
      </c>
      <c r="AW1227" s="239">
        <f>(AS1227*AK1227/1000000)*(VLOOKUP(N1227,FCST!D:I,6,FALSE))</f>
        <v>0</v>
      </c>
      <c r="AX1227" s="239">
        <f t="shared" ref="AX1227:AX1290" si="187">+AW1227*(1+AU1227)</f>
        <v>0</v>
      </c>
      <c r="AY1227" s="239">
        <f>IF($G1227="CERVECERIA Y MALTERIA.",($AS1227*$AK1227/1000000)*(1-VLOOKUP($N1227,FCST!D:I,6,FALSE)),0)</f>
        <v>0</v>
      </c>
      <c r="AZ1227" s="239">
        <f t="shared" ref="AZ1227:AZ1290" si="188">+AY1227*(1+AU1227)</f>
        <v>0</v>
      </c>
    </row>
    <row r="1228" spans="1:52" x14ac:dyDescent="0.25">
      <c r="A1228" s="209">
        <v>1131637</v>
      </c>
      <c r="B1228" s="209">
        <v>20</v>
      </c>
      <c r="C1228" s="209">
        <v>89528767</v>
      </c>
      <c r="D1228" s="209">
        <v>10</v>
      </c>
      <c r="E1228" s="209">
        <v>10000002</v>
      </c>
      <c r="F1228" s="209">
        <v>20001057</v>
      </c>
      <c r="G1228" s="209" t="s">
        <v>105</v>
      </c>
      <c r="H1228" s="209">
        <v>20001057</v>
      </c>
      <c r="I1228" s="209">
        <v>2</v>
      </c>
      <c r="J1228" s="209" t="s">
        <v>169</v>
      </c>
      <c r="K1228" s="209" t="s">
        <v>2605</v>
      </c>
      <c r="L1228" s="209" t="s">
        <v>171</v>
      </c>
      <c r="M1228" s="209" t="s">
        <v>172</v>
      </c>
      <c r="N1228" s="209">
        <v>50035184</v>
      </c>
      <c r="O1228" s="209" t="s">
        <v>672</v>
      </c>
      <c r="P1228" s="209">
        <v>5121</v>
      </c>
      <c r="Q1228" s="209" t="s">
        <v>174</v>
      </c>
      <c r="R1228" s="209" t="s">
        <v>175</v>
      </c>
      <c r="S1228" s="209" t="s">
        <v>176</v>
      </c>
      <c r="T1228" s="209" t="s">
        <v>177</v>
      </c>
      <c r="U1228" s="209" t="s">
        <v>178</v>
      </c>
      <c r="V1228" s="209" t="s">
        <v>179</v>
      </c>
      <c r="W1228" s="209" t="s">
        <v>179</v>
      </c>
      <c r="X1228" s="209" t="s">
        <v>180</v>
      </c>
      <c r="Y1228" s="209" t="s">
        <v>180</v>
      </c>
      <c r="Z1228" s="209">
        <v>9521069274</v>
      </c>
      <c r="AA1228" s="209" t="s">
        <v>2606</v>
      </c>
      <c r="AB1228" s="209" t="s">
        <v>180</v>
      </c>
      <c r="AC1228" s="209" t="s">
        <v>182</v>
      </c>
      <c r="AD1228" s="209">
        <v>7</v>
      </c>
      <c r="AE1228" s="209">
        <v>2025</v>
      </c>
      <c r="AF1228" s="227">
        <v>45868</v>
      </c>
      <c r="AG1228" s="227">
        <v>45870</v>
      </c>
      <c r="AH1228" s="227">
        <v>45870</v>
      </c>
      <c r="AI1228" s="228">
        <v>488592</v>
      </c>
      <c r="AJ1228" s="228">
        <v>26</v>
      </c>
      <c r="AK1228" s="228">
        <v>488592</v>
      </c>
      <c r="AL1228" s="228">
        <v>26</v>
      </c>
      <c r="AM1228" s="228">
        <v>0</v>
      </c>
      <c r="AN1228" s="228">
        <v>0</v>
      </c>
      <c r="AO1228" s="229">
        <v>31</v>
      </c>
      <c r="AP1228" s="231">
        <v>8</v>
      </c>
      <c r="AQ1228" s="231">
        <v>2025</v>
      </c>
      <c r="AR1228" s="231" t="str">
        <f t="shared" si="184"/>
        <v>08/2025</v>
      </c>
      <c r="AS1228" s="231">
        <f t="shared" si="185"/>
        <v>19.5</v>
      </c>
      <c r="AT1228" s="239">
        <f>IF(G1228="CERVECERIA Y MALTERIA",(AS1228*AK1228/1000000)*(1-VLOOKUP(N1228,FCST!D:I,6,FALSE)),0)</f>
        <v>9.5275440000000007</v>
      </c>
      <c r="AU1228" s="232">
        <v>5.0000000000000001E-3</v>
      </c>
      <c r="AV1228" s="239">
        <f t="shared" si="186"/>
        <v>9.5751817199999998</v>
      </c>
      <c r="AW1228" s="239">
        <f>(AS1228*AK1228/1000000)*(VLOOKUP(N1228,FCST!D:I,6,FALSE))</f>
        <v>0</v>
      </c>
      <c r="AX1228" s="239">
        <f t="shared" si="187"/>
        <v>0</v>
      </c>
      <c r="AY1228" s="239">
        <f>IF($G1228="CERVECERIA Y MALTERIA.",($AS1228*$AK1228/1000000)*(1-VLOOKUP($N1228,FCST!D:I,6,FALSE)),0)</f>
        <v>0</v>
      </c>
      <c r="AZ1228" s="239">
        <f t="shared" si="188"/>
        <v>0</v>
      </c>
    </row>
    <row r="1229" spans="1:52" x14ac:dyDescent="0.25">
      <c r="A1229" s="209">
        <v>1130904</v>
      </c>
      <c r="B1229" s="209">
        <v>60</v>
      </c>
      <c r="C1229" s="209">
        <v>89528655</v>
      </c>
      <c r="D1229" s="209">
        <v>10</v>
      </c>
      <c r="E1229" s="209">
        <v>10000002</v>
      </c>
      <c r="F1229" s="209">
        <v>20000340</v>
      </c>
      <c r="G1229" s="209" t="s">
        <v>117</v>
      </c>
      <c r="H1229" s="209">
        <v>20000340</v>
      </c>
      <c r="I1229" s="209">
        <v>2</v>
      </c>
      <c r="J1229" s="209" t="s">
        <v>169</v>
      </c>
      <c r="K1229" s="209" t="s">
        <v>2607</v>
      </c>
      <c r="L1229" s="209" t="s">
        <v>171</v>
      </c>
      <c r="M1229" s="209" t="s">
        <v>172</v>
      </c>
      <c r="N1229" s="209">
        <v>50038523</v>
      </c>
      <c r="O1229" s="209" t="s">
        <v>249</v>
      </c>
      <c r="P1229" s="209">
        <v>5101</v>
      </c>
      <c r="Q1229" s="209" t="s">
        <v>186</v>
      </c>
      <c r="R1229" s="209" t="s">
        <v>175</v>
      </c>
      <c r="S1229" s="209" t="s">
        <v>176</v>
      </c>
      <c r="T1229" s="209" t="s">
        <v>187</v>
      </c>
      <c r="U1229" s="209" t="s">
        <v>188</v>
      </c>
      <c r="V1229" s="209" t="s">
        <v>179</v>
      </c>
      <c r="W1229" s="209" t="s">
        <v>179</v>
      </c>
      <c r="X1229" s="209" t="s">
        <v>180</v>
      </c>
      <c r="Y1229" s="209" t="s">
        <v>180</v>
      </c>
      <c r="Z1229" s="209">
        <v>9511048269</v>
      </c>
      <c r="AA1229" s="209" t="s">
        <v>2608</v>
      </c>
      <c r="AB1229" s="209" t="s">
        <v>180</v>
      </c>
      <c r="AC1229" s="209" t="s">
        <v>182</v>
      </c>
      <c r="AD1229" s="209">
        <v>7</v>
      </c>
      <c r="AE1229" s="209">
        <v>2025</v>
      </c>
      <c r="AF1229" s="227">
        <v>45863</v>
      </c>
      <c r="AG1229" s="227">
        <v>45870</v>
      </c>
      <c r="AH1229" s="227">
        <v>45870</v>
      </c>
      <c r="AI1229" s="228">
        <v>606528</v>
      </c>
      <c r="AJ1229" s="228">
        <v>52</v>
      </c>
      <c r="AK1229" s="228">
        <v>606528</v>
      </c>
      <c r="AL1229" s="228">
        <v>52</v>
      </c>
      <c r="AM1229" s="228">
        <v>0</v>
      </c>
      <c r="AN1229" s="228">
        <v>0</v>
      </c>
      <c r="AO1229" s="229">
        <v>31</v>
      </c>
      <c r="AP1229" s="231">
        <v>8</v>
      </c>
      <c r="AQ1229" s="231">
        <v>2025</v>
      </c>
      <c r="AR1229" s="231" t="str">
        <f t="shared" si="184"/>
        <v>08/2025</v>
      </c>
      <c r="AS1229" s="231">
        <f t="shared" si="185"/>
        <v>30</v>
      </c>
      <c r="AT1229" s="239">
        <f>IF(G1229="CERVECERIA Y MALTERIA",(AS1229*AK1229/1000000)*(1-VLOOKUP(N1229,FCST!D:I,6,FALSE)),0)</f>
        <v>0</v>
      </c>
      <c r="AU1229" s="232">
        <v>5.0000000000000001E-3</v>
      </c>
      <c r="AV1229" s="239">
        <f t="shared" si="186"/>
        <v>0</v>
      </c>
      <c r="AW1229" s="239">
        <f>(AS1229*AK1229/1000000)*(VLOOKUP(N1229,FCST!D:I,6,FALSE))</f>
        <v>0</v>
      </c>
      <c r="AX1229" s="239">
        <f t="shared" si="187"/>
        <v>0</v>
      </c>
      <c r="AY1229" s="239">
        <f>IF($G1229="CERVECERIA Y MALTERIA.",($AS1229*$AK1229/1000000)*(1-VLOOKUP($N1229,FCST!D:I,6,FALSE)),0)</f>
        <v>18.19584</v>
      </c>
      <c r="AZ1229" s="239">
        <f t="shared" si="188"/>
        <v>18.2868192</v>
      </c>
    </row>
    <row r="1230" spans="1:52" x14ac:dyDescent="0.25">
      <c r="A1230" s="209">
        <v>1131778</v>
      </c>
      <c r="B1230" s="209">
        <v>10</v>
      </c>
      <c r="C1230" s="209">
        <v>89528625</v>
      </c>
      <c r="D1230" s="209">
        <v>10</v>
      </c>
      <c r="E1230" s="209">
        <v>10000002</v>
      </c>
      <c r="F1230" s="209">
        <v>20000339</v>
      </c>
      <c r="G1230" s="209" t="s">
        <v>105</v>
      </c>
      <c r="H1230" s="209">
        <v>20000339</v>
      </c>
      <c r="I1230" s="209">
        <v>2</v>
      </c>
      <c r="J1230" s="209" t="s">
        <v>169</v>
      </c>
      <c r="K1230" s="209" t="s">
        <v>2609</v>
      </c>
      <c r="L1230" s="209" t="s">
        <v>2610</v>
      </c>
      <c r="M1230" s="209" t="s">
        <v>227</v>
      </c>
      <c r="N1230" s="209">
        <v>50036287</v>
      </c>
      <c r="O1230" s="209" t="s">
        <v>2191</v>
      </c>
      <c r="P1230" s="209">
        <v>5121</v>
      </c>
      <c r="Q1230" s="209" t="s">
        <v>228</v>
      </c>
      <c r="R1230" s="209" t="s">
        <v>229</v>
      </c>
      <c r="S1230" s="209" t="s">
        <v>230</v>
      </c>
      <c r="T1230" s="209" t="s">
        <v>231</v>
      </c>
      <c r="U1230" s="209" t="s">
        <v>232</v>
      </c>
      <c r="V1230" s="209" t="s">
        <v>179</v>
      </c>
      <c r="W1230" s="209" t="s">
        <v>179</v>
      </c>
      <c r="X1230" s="209" t="s">
        <v>180</v>
      </c>
      <c r="Y1230" s="209" t="s">
        <v>180</v>
      </c>
      <c r="Z1230" s="209">
        <v>9521069294</v>
      </c>
      <c r="AA1230" s="209" t="s">
        <v>2611</v>
      </c>
      <c r="AB1230" s="209" t="s">
        <v>180</v>
      </c>
      <c r="AC1230" s="209" t="s">
        <v>182</v>
      </c>
      <c r="AD1230" s="209">
        <v>8</v>
      </c>
      <c r="AE1230" s="209">
        <v>2025</v>
      </c>
      <c r="AF1230" s="227">
        <v>45869</v>
      </c>
      <c r="AG1230" s="227">
        <v>45870</v>
      </c>
      <c r="AH1230" s="227">
        <v>45870</v>
      </c>
      <c r="AI1230" s="228">
        <v>391104</v>
      </c>
      <c r="AJ1230" s="228">
        <v>56</v>
      </c>
      <c r="AK1230" s="228">
        <v>391104</v>
      </c>
      <c r="AL1230" s="228">
        <v>56</v>
      </c>
      <c r="AM1230" s="228">
        <v>0</v>
      </c>
      <c r="AN1230" s="228">
        <v>0</v>
      </c>
      <c r="AO1230" s="229">
        <v>31</v>
      </c>
      <c r="AP1230" s="231">
        <v>8</v>
      </c>
      <c r="AQ1230" s="231">
        <v>2025</v>
      </c>
      <c r="AR1230" s="231" t="str">
        <f t="shared" si="184"/>
        <v>08/2025</v>
      </c>
      <c r="AS1230" s="231">
        <f t="shared" si="185"/>
        <v>52</v>
      </c>
      <c r="AT1230" s="239">
        <f>IF(G1230="CERVECERIA Y MALTERIA",(AS1230*AK1230/1000000)*(1-VLOOKUP(N1230,FCST!D:I,6,FALSE)),0)</f>
        <v>20.337408</v>
      </c>
      <c r="AU1230" s="232">
        <v>5.0000000000000001E-3</v>
      </c>
      <c r="AV1230" s="239">
        <f t="shared" si="186"/>
        <v>20.439095039999998</v>
      </c>
      <c r="AW1230" s="239">
        <f>(AS1230*AK1230/1000000)*(VLOOKUP(N1230,FCST!D:I,6,FALSE))</f>
        <v>0</v>
      </c>
      <c r="AX1230" s="239">
        <f t="shared" si="187"/>
        <v>0</v>
      </c>
      <c r="AY1230" s="239">
        <f>IF($G1230="CERVECERIA Y MALTERIA.",($AS1230*$AK1230/1000000)*(1-VLOOKUP($N1230,FCST!D:I,6,FALSE)),0)</f>
        <v>0</v>
      </c>
      <c r="AZ1230" s="239">
        <f t="shared" si="188"/>
        <v>0</v>
      </c>
    </row>
    <row r="1231" spans="1:52" x14ac:dyDescent="0.25">
      <c r="A1231" s="209">
        <v>1132109</v>
      </c>
      <c r="B1231" s="209">
        <v>30</v>
      </c>
      <c r="C1231" s="209">
        <v>89530238</v>
      </c>
      <c r="D1231" s="209">
        <v>10</v>
      </c>
      <c r="E1231" s="209">
        <v>10000002</v>
      </c>
      <c r="F1231" s="209">
        <v>20000335</v>
      </c>
      <c r="G1231" s="209" t="s">
        <v>105</v>
      </c>
      <c r="H1231" s="209">
        <v>20000335</v>
      </c>
      <c r="I1231" s="209">
        <v>2</v>
      </c>
      <c r="J1231" s="209" t="s">
        <v>169</v>
      </c>
      <c r="K1231" s="209" t="s">
        <v>2612</v>
      </c>
      <c r="L1231" s="209" t="s">
        <v>171</v>
      </c>
      <c r="M1231" s="209" t="s">
        <v>172</v>
      </c>
      <c r="N1231" s="209">
        <v>50037887</v>
      </c>
      <c r="O1231" s="209" t="s">
        <v>679</v>
      </c>
      <c r="P1231" s="209">
        <v>5121</v>
      </c>
      <c r="Q1231" s="209" t="s">
        <v>174</v>
      </c>
      <c r="R1231" s="209" t="s">
        <v>175</v>
      </c>
      <c r="S1231" s="209" t="s">
        <v>176</v>
      </c>
      <c r="T1231" s="209" t="s">
        <v>177</v>
      </c>
      <c r="U1231" s="209" t="s">
        <v>178</v>
      </c>
      <c r="V1231" s="209" t="s">
        <v>179</v>
      </c>
      <c r="W1231" s="209" t="s">
        <v>179</v>
      </c>
      <c r="X1231" s="209" t="s">
        <v>180</v>
      </c>
      <c r="Y1231" s="209" t="s">
        <v>180</v>
      </c>
      <c r="Z1231" s="209">
        <v>9521069291</v>
      </c>
      <c r="AA1231" s="209" t="s">
        <v>2604</v>
      </c>
      <c r="AB1231" s="209" t="s">
        <v>180</v>
      </c>
      <c r="AC1231" s="209" t="s">
        <v>182</v>
      </c>
      <c r="AD1231" s="209">
        <v>8</v>
      </c>
      <c r="AE1231" s="209">
        <v>2025</v>
      </c>
      <c r="AF1231" s="227">
        <v>45870</v>
      </c>
      <c r="AG1231" s="227">
        <v>45873</v>
      </c>
      <c r="AH1231" s="227">
        <v>45873</v>
      </c>
      <c r="AI1231" s="228">
        <v>347616</v>
      </c>
      <c r="AJ1231" s="228">
        <v>34</v>
      </c>
      <c r="AK1231" s="228">
        <v>347616</v>
      </c>
      <c r="AL1231" s="228">
        <v>34</v>
      </c>
      <c r="AM1231" s="228">
        <v>0</v>
      </c>
      <c r="AN1231" s="228">
        <v>0</v>
      </c>
      <c r="AO1231" s="229">
        <v>31</v>
      </c>
      <c r="AP1231" s="231">
        <v>8</v>
      </c>
      <c r="AQ1231" s="231">
        <v>2025</v>
      </c>
      <c r="AR1231" s="231" t="str">
        <f t="shared" si="184"/>
        <v>08/2025</v>
      </c>
      <c r="AS1231" s="231">
        <f t="shared" si="185"/>
        <v>37.200000000000003</v>
      </c>
      <c r="AT1231" s="239">
        <f>IF(G1231="CERVECERIA Y MALTERIA",(AS1231*AK1231/1000000)*(1-VLOOKUP(N1231,FCST!D:I,6,FALSE)),0)</f>
        <v>12.9313152</v>
      </c>
      <c r="AU1231" s="232">
        <v>5.0000000000000001E-3</v>
      </c>
      <c r="AV1231" s="239">
        <f t="shared" si="186"/>
        <v>12.995971775999999</v>
      </c>
      <c r="AW1231" s="239">
        <f>(AS1231*AK1231/1000000)*(VLOOKUP(N1231,FCST!D:I,6,FALSE))</f>
        <v>0</v>
      </c>
      <c r="AX1231" s="239">
        <f t="shared" si="187"/>
        <v>0</v>
      </c>
      <c r="AY1231" s="239">
        <f>IF($G1231="CERVECERIA Y MALTERIA.",($AS1231*$AK1231/1000000)*(1-VLOOKUP($N1231,FCST!D:I,6,FALSE)),0)</f>
        <v>0</v>
      </c>
      <c r="AZ1231" s="239">
        <f t="shared" si="188"/>
        <v>0</v>
      </c>
    </row>
    <row r="1232" spans="1:52" x14ac:dyDescent="0.25">
      <c r="A1232" s="209">
        <v>1132110</v>
      </c>
      <c r="B1232" s="209">
        <v>20</v>
      </c>
      <c r="C1232" s="209">
        <v>89530373</v>
      </c>
      <c r="D1232" s="209">
        <v>10</v>
      </c>
      <c r="E1232" s="209">
        <v>10000002</v>
      </c>
      <c r="F1232" s="209">
        <v>20000340</v>
      </c>
      <c r="G1232" s="209" t="s">
        <v>117</v>
      </c>
      <c r="H1232" s="209">
        <v>20000340</v>
      </c>
      <c r="I1232" s="209">
        <v>2</v>
      </c>
      <c r="J1232" s="209" t="s">
        <v>169</v>
      </c>
      <c r="K1232" s="209" t="s">
        <v>2613</v>
      </c>
      <c r="L1232" s="209" t="s">
        <v>171</v>
      </c>
      <c r="M1232" s="209" t="s">
        <v>172</v>
      </c>
      <c r="N1232" s="209">
        <v>50038523</v>
      </c>
      <c r="O1232" s="209" t="s">
        <v>249</v>
      </c>
      <c r="P1232" s="209">
        <v>5101</v>
      </c>
      <c r="Q1232" s="209" t="s">
        <v>186</v>
      </c>
      <c r="R1232" s="209" t="s">
        <v>175</v>
      </c>
      <c r="S1232" s="209" t="s">
        <v>176</v>
      </c>
      <c r="T1232" s="209" t="s">
        <v>187</v>
      </c>
      <c r="U1232" s="209" t="s">
        <v>188</v>
      </c>
      <c r="V1232" s="209" t="s">
        <v>179</v>
      </c>
      <c r="W1232" s="209" t="s">
        <v>179</v>
      </c>
      <c r="X1232" s="209" t="s">
        <v>180</v>
      </c>
      <c r="Y1232" s="209" t="s">
        <v>180</v>
      </c>
      <c r="Z1232" s="209">
        <v>9511048269</v>
      </c>
      <c r="AA1232" s="209" t="s">
        <v>2608</v>
      </c>
      <c r="AB1232" s="209" t="s">
        <v>180</v>
      </c>
      <c r="AC1232" s="209" t="s">
        <v>182</v>
      </c>
      <c r="AD1232" s="209">
        <v>8</v>
      </c>
      <c r="AE1232" s="209">
        <v>2025</v>
      </c>
      <c r="AF1232" s="227">
        <v>45870</v>
      </c>
      <c r="AG1232" s="227">
        <v>45873</v>
      </c>
      <c r="AH1232" s="227">
        <v>45873</v>
      </c>
      <c r="AI1232" s="228">
        <v>606528</v>
      </c>
      <c r="AJ1232" s="228">
        <v>52</v>
      </c>
      <c r="AK1232" s="228">
        <v>606528</v>
      </c>
      <c r="AL1232" s="228">
        <v>52</v>
      </c>
      <c r="AM1232" s="228">
        <v>0</v>
      </c>
      <c r="AN1232" s="228">
        <v>0</v>
      </c>
      <c r="AO1232" s="229">
        <v>32</v>
      </c>
      <c r="AP1232" s="231">
        <v>8</v>
      </c>
      <c r="AQ1232" s="231">
        <v>2025</v>
      </c>
      <c r="AR1232" s="231" t="str">
        <f t="shared" si="184"/>
        <v>08/2025</v>
      </c>
      <c r="AS1232" s="231">
        <f t="shared" si="185"/>
        <v>30</v>
      </c>
      <c r="AT1232" s="239">
        <f>IF(G1232="CERVECERIA Y MALTERIA",(AS1232*AK1232/1000000)*(1-VLOOKUP(N1232,FCST!D:I,6,FALSE)),0)</f>
        <v>0</v>
      </c>
      <c r="AU1232" s="232">
        <v>5.0000000000000001E-3</v>
      </c>
      <c r="AV1232" s="239">
        <f t="shared" si="186"/>
        <v>0</v>
      </c>
      <c r="AW1232" s="239">
        <f>(AS1232*AK1232/1000000)*(VLOOKUP(N1232,FCST!D:I,6,FALSE))</f>
        <v>0</v>
      </c>
      <c r="AX1232" s="239">
        <f t="shared" si="187"/>
        <v>0</v>
      </c>
      <c r="AY1232" s="239">
        <f>IF($G1232="CERVECERIA Y MALTERIA.",($AS1232*$AK1232/1000000)*(1-VLOOKUP($N1232,FCST!D:I,6,FALSE)),0)</f>
        <v>18.19584</v>
      </c>
      <c r="AZ1232" s="239">
        <f t="shared" si="188"/>
        <v>18.2868192</v>
      </c>
    </row>
    <row r="1233" spans="1:52" x14ac:dyDescent="0.25">
      <c r="A1233" s="209">
        <v>1132110</v>
      </c>
      <c r="B1233" s="209">
        <v>10</v>
      </c>
      <c r="C1233" s="209">
        <v>89530240</v>
      </c>
      <c r="D1233" s="209">
        <v>10</v>
      </c>
      <c r="E1233" s="209">
        <v>10000002</v>
      </c>
      <c r="F1233" s="209">
        <v>20000340</v>
      </c>
      <c r="G1233" s="209" t="s">
        <v>117</v>
      </c>
      <c r="H1233" s="209">
        <v>20000340</v>
      </c>
      <c r="I1233" s="209">
        <v>2</v>
      </c>
      <c r="J1233" s="209" t="s">
        <v>169</v>
      </c>
      <c r="K1233" s="209" t="s">
        <v>2614</v>
      </c>
      <c r="L1233" s="209" t="s">
        <v>171</v>
      </c>
      <c r="M1233" s="209" t="s">
        <v>172</v>
      </c>
      <c r="N1233" s="209">
        <v>50037678</v>
      </c>
      <c r="O1233" s="209" t="s">
        <v>2615</v>
      </c>
      <c r="P1233" s="209">
        <v>5101</v>
      </c>
      <c r="Q1233" s="209" t="s">
        <v>186</v>
      </c>
      <c r="R1233" s="209" t="s">
        <v>175</v>
      </c>
      <c r="S1233" s="209" t="s">
        <v>176</v>
      </c>
      <c r="T1233" s="209" t="s">
        <v>187</v>
      </c>
      <c r="U1233" s="209" t="s">
        <v>188</v>
      </c>
      <c r="V1233" s="209" t="s">
        <v>179</v>
      </c>
      <c r="W1233" s="209" t="s">
        <v>179</v>
      </c>
      <c r="X1233" s="209" t="s">
        <v>180</v>
      </c>
      <c r="Y1233" s="209" t="s">
        <v>180</v>
      </c>
      <c r="Z1233" s="209">
        <v>9511048267</v>
      </c>
      <c r="AA1233" s="209" t="s">
        <v>2616</v>
      </c>
      <c r="AB1233" s="209" t="s">
        <v>180</v>
      </c>
      <c r="AC1233" s="209" t="s">
        <v>182</v>
      </c>
      <c r="AD1233" s="209">
        <v>8</v>
      </c>
      <c r="AE1233" s="209">
        <v>2025</v>
      </c>
      <c r="AF1233" s="227">
        <v>45870</v>
      </c>
      <c r="AG1233" s="227">
        <v>45873</v>
      </c>
      <c r="AH1233" s="227">
        <v>45873</v>
      </c>
      <c r="AI1233" s="228">
        <v>197524</v>
      </c>
      <c r="AJ1233" s="228">
        <v>17</v>
      </c>
      <c r="AK1233" s="228">
        <v>197524</v>
      </c>
      <c r="AL1233" s="228">
        <v>17</v>
      </c>
      <c r="AM1233" s="228">
        <v>0</v>
      </c>
      <c r="AN1233" s="228">
        <v>0</v>
      </c>
      <c r="AO1233" s="229">
        <v>32</v>
      </c>
      <c r="AP1233" s="231">
        <v>8</v>
      </c>
      <c r="AQ1233" s="231">
        <v>2025</v>
      </c>
      <c r="AR1233" s="231" t="str">
        <f t="shared" si="184"/>
        <v>08/2025</v>
      </c>
      <c r="AS1233" s="231">
        <f t="shared" si="185"/>
        <v>30</v>
      </c>
      <c r="AT1233" s="239">
        <f>IF(G1233="CERVECERIA Y MALTERIA",(AS1233*AK1233/1000000)*(1-VLOOKUP(N1233,FCST!D:I,6,FALSE)),0)</f>
        <v>0</v>
      </c>
      <c r="AU1233" s="232">
        <v>5.0000000000000001E-3</v>
      </c>
      <c r="AV1233" s="239">
        <f t="shared" si="186"/>
        <v>0</v>
      </c>
      <c r="AW1233" s="239">
        <f>(AS1233*AK1233/1000000)*(VLOOKUP(N1233,FCST!D:I,6,FALSE))</f>
        <v>2.370288</v>
      </c>
      <c r="AX1233" s="239">
        <f t="shared" si="187"/>
        <v>2.3821394399999996</v>
      </c>
      <c r="AY1233" s="239">
        <f>IF($G1233="CERVECERIA Y MALTERIA.",($AS1233*$AK1233/1000000)*(1-VLOOKUP($N1233,FCST!D:I,6,FALSE)),0)</f>
        <v>3.5554320000000001</v>
      </c>
      <c r="AZ1233" s="239">
        <f t="shared" si="188"/>
        <v>3.5732091599999998</v>
      </c>
    </row>
    <row r="1234" spans="1:52" x14ac:dyDescent="0.25">
      <c r="A1234" s="209">
        <v>1132109</v>
      </c>
      <c r="B1234" s="209">
        <v>10</v>
      </c>
      <c r="C1234" s="209">
        <v>89530041</v>
      </c>
      <c r="D1234" s="209">
        <v>10</v>
      </c>
      <c r="E1234" s="209">
        <v>10000002</v>
      </c>
      <c r="F1234" s="209">
        <v>20000335</v>
      </c>
      <c r="G1234" s="209" t="s">
        <v>105</v>
      </c>
      <c r="H1234" s="209">
        <v>20000335</v>
      </c>
      <c r="I1234" s="209">
        <v>2</v>
      </c>
      <c r="J1234" s="209" t="s">
        <v>169</v>
      </c>
      <c r="K1234" s="209" t="s">
        <v>2617</v>
      </c>
      <c r="L1234" s="209" t="s">
        <v>171</v>
      </c>
      <c r="M1234" s="209" t="s">
        <v>199</v>
      </c>
      <c r="N1234" s="209">
        <v>50036915</v>
      </c>
      <c r="O1234" s="209" t="s">
        <v>541</v>
      </c>
      <c r="P1234" s="209">
        <v>5121</v>
      </c>
      <c r="Q1234" s="209" t="s">
        <v>200</v>
      </c>
      <c r="R1234" s="209" t="s">
        <v>201</v>
      </c>
      <c r="S1234" s="209" t="s">
        <v>202</v>
      </c>
      <c r="T1234" s="209" t="s">
        <v>203</v>
      </c>
      <c r="U1234" s="209" t="s">
        <v>201</v>
      </c>
      <c r="V1234" s="209" t="s">
        <v>179</v>
      </c>
      <c r="W1234" s="209" t="s">
        <v>179</v>
      </c>
      <c r="X1234" s="209" t="s">
        <v>180</v>
      </c>
      <c r="Y1234" s="209" t="s">
        <v>180</v>
      </c>
      <c r="Z1234" s="209">
        <v>9521069288</v>
      </c>
      <c r="AA1234" s="209" t="s">
        <v>2618</v>
      </c>
      <c r="AB1234" s="209" t="s">
        <v>180</v>
      </c>
      <c r="AC1234" s="209" t="s">
        <v>182</v>
      </c>
      <c r="AD1234" s="209">
        <v>8</v>
      </c>
      <c r="AE1234" s="209">
        <v>2025</v>
      </c>
      <c r="AF1234" s="227">
        <v>45870</v>
      </c>
      <c r="AG1234" s="227">
        <v>45873</v>
      </c>
      <c r="AH1234" s="227">
        <v>45873</v>
      </c>
      <c r="AI1234" s="228">
        <v>426816</v>
      </c>
      <c r="AJ1234" s="228">
        <v>52</v>
      </c>
      <c r="AK1234" s="228">
        <v>426816</v>
      </c>
      <c r="AL1234" s="228">
        <v>52</v>
      </c>
      <c r="AM1234" s="228">
        <v>0</v>
      </c>
      <c r="AN1234" s="228">
        <v>0</v>
      </c>
      <c r="AO1234" s="229">
        <v>31</v>
      </c>
      <c r="AP1234" s="231">
        <v>8</v>
      </c>
      <c r="AQ1234" s="231">
        <v>2025</v>
      </c>
      <c r="AR1234" s="231" t="str">
        <f t="shared" si="184"/>
        <v>08/2025</v>
      </c>
      <c r="AS1234" s="231">
        <f t="shared" si="185"/>
        <v>46.6</v>
      </c>
      <c r="AT1234" s="239">
        <f>IF(G1234="CERVECERIA Y MALTERIA",(AS1234*AK1234/1000000)*(1-VLOOKUP(N1234,FCST!D:I,6,FALSE)),0)</f>
        <v>15.911700480000002</v>
      </c>
      <c r="AU1234" s="232">
        <v>5.0000000000000001E-3</v>
      </c>
      <c r="AV1234" s="239">
        <f t="shared" si="186"/>
        <v>15.9912589824</v>
      </c>
      <c r="AW1234" s="239">
        <f>(AS1234*AK1234/1000000)*(VLOOKUP(N1234,FCST!D:I,6,FALSE))</f>
        <v>3.9779251200000005</v>
      </c>
      <c r="AX1234" s="239">
        <f t="shared" si="187"/>
        <v>3.9978147455999999</v>
      </c>
      <c r="AY1234" s="239">
        <f>IF($G1234="CERVECERIA Y MALTERIA.",($AS1234*$AK1234/1000000)*(1-VLOOKUP($N1234,FCST!D:I,6,FALSE)),0)</f>
        <v>0</v>
      </c>
      <c r="AZ1234" s="239">
        <f t="shared" si="188"/>
        <v>0</v>
      </c>
    </row>
    <row r="1235" spans="1:52" x14ac:dyDescent="0.25">
      <c r="A1235" s="209">
        <v>1132114</v>
      </c>
      <c r="B1235" s="209">
        <v>10</v>
      </c>
      <c r="C1235" s="209">
        <v>89530035</v>
      </c>
      <c r="D1235" s="209">
        <v>10</v>
      </c>
      <c r="E1235" s="209">
        <v>10000002</v>
      </c>
      <c r="F1235" s="209">
        <v>20000339</v>
      </c>
      <c r="G1235" s="209" t="s">
        <v>105</v>
      </c>
      <c r="H1235" s="209">
        <v>20000339</v>
      </c>
      <c r="I1235" s="209">
        <v>2</v>
      </c>
      <c r="J1235" s="209" t="s">
        <v>169</v>
      </c>
      <c r="K1235" s="209" t="s">
        <v>2619</v>
      </c>
      <c r="L1235" s="209" t="s">
        <v>171</v>
      </c>
      <c r="M1235" s="209" t="s">
        <v>227</v>
      </c>
      <c r="N1235" s="209">
        <v>50036287</v>
      </c>
      <c r="O1235" s="209" t="s">
        <v>2191</v>
      </c>
      <c r="P1235" s="209">
        <v>5121</v>
      </c>
      <c r="Q1235" s="209" t="s">
        <v>228</v>
      </c>
      <c r="R1235" s="209" t="s">
        <v>229</v>
      </c>
      <c r="S1235" s="209" t="s">
        <v>230</v>
      </c>
      <c r="T1235" s="209" t="s">
        <v>231</v>
      </c>
      <c r="U1235" s="209" t="s">
        <v>232</v>
      </c>
      <c r="V1235" s="209" t="s">
        <v>179</v>
      </c>
      <c r="W1235" s="209" t="s">
        <v>179</v>
      </c>
      <c r="X1235" s="209" t="s">
        <v>180</v>
      </c>
      <c r="Y1235" s="209" t="s">
        <v>180</v>
      </c>
      <c r="Z1235" s="209">
        <v>9521069294</v>
      </c>
      <c r="AA1235" s="209" t="s">
        <v>2611</v>
      </c>
      <c r="AB1235" s="209" t="s">
        <v>180</v>
      </c>
      <c r="AC1235" s="209" t="s">
        <v>182</v>
      </c>
      <c r="AD1235" s="209">
        <v>8</v>
      </c>
      <c r="AE1235" s="209">
        <v>2025</v>
      </c>
      <c r="AF1235" s="227">
        <v>45870</v>
      </c>
      <c r="AG1235" s="227">
        <v>45873</v>
      </c>
      <c r="AH1235" s="227">
        <v>45873</v>
      </c>
      <c r="AI1235" s="228">
        <v>363168</v>
      </c>
      <c r="AJ1235" s="228">
        <v>52</v>
      </c>
      <c r="AK1235" s="228">
        <v>363168</v>
      </c>
      <c r="AL1235" s="228">
        <v>52</v>
      </c>
      <c r="AM1235" s="228">
        <v>0</v>
      </c>
      <c r="AN1235" s="228">
        <v>0</v>
      </c>
      <c r="AO1235" s="229">
        <v>32</v>
      </c>
      <c r="AP1235" s="231">
        <v>8</v>
      </c>
      <c r="AQ1235" s="231">
        <v>2025</v>
      </c>
      <c r="AR1235" s="231" t="str">
        <f t="shared" si="184"/>
        <v>08/2025</v>
      </c>
      <c r="AS1235" s="231">
        <f t="shared" si="185"/>
        <v>52</v>
      </c>
      <c r="AT1235" s="239">
        <f>IF(G1235="CERVECERIA Y MALTERIA",(AS1235*AK1235/1000000)*(1-VLOOKUP(N1235,FCST!D:I,6,FALSE)),0)</f>
        <v>18.884736</v>
      </c>
      <c r="AU1235" s="232">
        <v>5.0000000000000001E-3</v>
      </c>
      <c r="AV1235" s="239">
        <f t="shared" si="186"/>
        <v>18.979159679999999</v>
      </c>
      <c r="AW1235" s="239">
        <f>(AS1235*AK1235/1000000)*(VLOOKUP(N1235,FCST!D:I,6,FALSE))</f>
        <v>0</v>
      </c>
      <c r="AX1235" s="239">
        <f t="shared" si="187"/>
        <v>0</v>
      </c>
      <c r="AY1235" s="239">
        <f>IF($G1235="CERVECERIA Y MALTERIA.",($AS1235*$AK1235/1000000)*(1-VLOOKUP($N1235,FCST!D:I,6,FALSE)),0)</f>
        <v>0</v>
      </c>
      <c r="AZ1235" s="239">
        <f t="shared" si="188"/>
        <v>0</v>
      </c>
    </row>
    <row r="1236" spans="1:52" x14ac:dyDescent="0.25">
      <c r="A1236" s="209">
        <v>1132110</v>
      </c>
      <c r="B1236" s="209">
        <v>30</v>
      </c>
      <c r="C1236" s="209">
        <v>89531755</v>
      </c>
      <c r="D1236" s="209">
        <v>10</v>
      </c>
      <c r="E1236" s="209">
        <v>10000002</v>
      </c>
      <c r="F1236" s="209">
        <v>20000340</v>
      </c>
      <c r="G1236" s="209" t="s">
        <v>117</v>
      </c>
      <c r="H1236" s="209">
        <v>20000340</v>
      </c>
      <c r="I1236" s="209">
        <v>2</v>
      </c>
      <c r="J1236" s="209" t="s">
        <v>169</v>
      </c>
      <c r="K1236" s="209" t="s">
        <v>2620</v>
      </c>
      <c r="L1236" s="209" t="s">
        <v>171</v>
      </c>
      <c r="M1236" s="209" t="s">
        <v>172</v>
      </c>
      <c r="N1236" s="209">
        <v>50038523</v>
      </c>
      <c r="O1236" s="209" t="s">
        <v>249</v>
      </c>
      <c r="P1236" s="209">
        <v>5101</v>
      </c>
      <c r="Q1236" s="209" t="s">
        <v>186</v>
      </c>
      <c r="R1236" s="209" t="s">
        <v>175</v>
      </c>
      <c r="S1236" s="209" t="s">
        <v>176</v>
      </c>
      <c r="T1236" s="209" t="s">
        <v>187</v>
      </c>
      <c r="U1236" s="209" t="s">
        <v>188</v>
      </c>
      <c r="V1236" s="209" t="s">
        <v>179</v>
      </c>
      <c r="W1236" s="209" t="s">
        <v>179</v>
      </c>
      <c r="X1236" s="209" t="s">
        <v>180</v>
      </c>
      <c r="Y1236" s="209" t="s">
        <v>180</v>
      </c>
      <c r="Z1236" s="209">
        <v>9511048269</v>
      </c>
      <c r="AA1236" s="209" t="s">
        <v>2608</v>
      </c>
      <c r="AB1236" s="209" t="s">
        <v>180</v>
      </c>
      <c r="AC1236" s="209" t="s">
        <v>182</v>
      </c>
      <c r="AD1236" s="209">
        <v>8</v>
      </c>
      <c r="AE1236" s="209">
        <v>2025</v>
      </c>
      <c r="AF1236" s="227">
        <v>45870</v>
      </c>
      <c r="AG1236" s="227">
        <v>45874</v>
      </c>
      <c r="AH1236" s="227">
        <v>45874</v>
      </c>
      <c r="AI1236" s="228">
        <v>606528</v>
      </c>
      <c r="AJ1236" s="228">
        <v>52</v>
      </c>
      <c r="AK1236" s="228">
        <v>606528</v>
      </c>
      <c r="AL1236" s="228">
        <v>52</v>
      </c>
      <c r="AM1236" s="228">
        <v>0</v>
      </c>
      <c r="AN1236" s="228">
        <v>0</v>
      </c>
      <c r="AO1236" s="229">
        <v>32</v>
      </c>
      <c r="AP1236" s="231">
        <v>8</v>
      </c>
      <c r="AQ1236" s="231">
        <v>2025</v>
      </c>
      <c r="AR1236" s="231" t="str">
        <f t="shared" si="184"/>
        <v>08/2025</v>
      </c>
      <c r="AS1236" s="231">
        <f t="shared" si="185"/>
        <v>30</v>
      </c>
      <c r="AT1236" s="239">
        <f>IF(G1236="CERVECERIA Y MALTERIA",(AS1236*AK1236/1000000)*(1-VLOOKUP(N1236,FCST!D:I,6,FALSE)),0)</f>
        <v>0</v>
      </c>
      <c r="AU1236" s="232">
        <v>5.0000000000000001E-3</v>
      </c>
      <c r="AV1236" s="239">
        <f t="shared" si="186"/>
        <v>0</v>
      </c>
      <c r="AW1236" s="239">
        <f>(AS1236*AK1236/1000000)*(VLOOKUP(N1236,FCST!D:I,6,FALSE))</f>
        <v>0</v>
      </c>
      <c r="AX1236" s="239">
        <f t="shared" si="187"/>
        <v>0</v>
      </c>
      <c r="AY1236" s="239">
        <f>IF($G1236="CERVECERIA Y MALTERIA.",($AS1236*$AK1236/1000000)*(1-VLOOKUP($N1236,FCST!D:I,6,FALSE)),0)</f>
        <v>18.19584</v>
      </c>
      <c r="AZ1236" s="239">
        <f t="shared" si="188"/>
        <v>18.2868192</v>
      </c>
    </row>
    <row r="1237" spans="1:52" x14ac:dyDescent="0.25">
      <c r="A1237" s="209">
        <v>1132112</v>
      </c>
      <c r="B1237" s="209">
        <v>10</v>
      </c>
      <c r="C1237" s="209">
        <v>89531324</v>
      </c>
      <c r="D1237" s="209">
        <v>10</v>
      </c>
      <c r="E1237" s="209">
        <v>10000002</v>
      </c>
      <c r="F1237" s="209">
        <v>20000337</v>
      </c>
      <c r="G1237" s="209" t="s">
        <v>105</v>
      </c>
      <c r="H1237" s="209">
        <v>20000337</v>
      </c>
      <c r="I1237" s="209">
        <v>2</v>
      </c>
      <c r="J1237" s="209" t="s">
        <v>169</v>
      </c>
      <c r="K1237" s="209" t="s">
        <v>2621</v>
      </c>
      <c r="L1237" s="209" t="s">
        <v>171</v>
      </c>
      <c r="M1237" s="209" t="s">
        <v>172</v>
      </c>
      <c r="N1237" s="209">
        <v>50025345</v>
      </c>
      <c r="O1237" s="209" t="s">
        <v>1998</v>
      </c>
      <c r="P1237" s="209">
        <v>5121</v>
      </c>
      <c r="Q1237" s="209" t="s">
        <v>174</v>
      </c>
      <c r="R1237" s="209" t="s">
        <v>175</v>
      </c>
      <c r="S1237" s="209" t="s">
        <v>176</v>
      </c>
      <c r="T1237" s="209" t="s">
        <v>177</v>
      </c>
      <c r="U1237" s="209" t="s">
        <v>178</v>
      </c>
      <c r="V1237" s="209" t="s">
        <v>179</v>
      </c>
      <c r="W1237" s="209" t="s">
        <v>179</v>
      </c>
      <c r="X1237" s="209" t="s">
        <v>180</v>
      </c>
      <c r="Y1237" s="209" t="s">
        <v>180</v>
      </c>
      <c r="Z1237" s="209">
        <v>9521069295</v>
      </c>
      <c r="AA1237" s="209" t="s">
        <v>2622</v>
      </c>
      <c r="AB1237" s="209" t="s">
        <v>180</v>
      </c>
      <c r="AC1237" s="209" t="s">
        <v>182</v>
      </c>
      <c r="AD1237" s="209">
        <v>8</v>
      </c>
      <c r="AE1237" s="209">
        <v>2025</v>
      </c>
      <c r="AF1237" s="227">
        <v>45870</v>
      </c>
      <c r="AG1237" s="227">
        <v>45874</v>
      </c>
      <c r="AH1237" s="227">
        <v>45874</v>
      </c>
      <c r="AI1237" s="228">
        <v>328320</v>
      </c>
      <c r="AJ1237" s="228">
        <v>40</v>
      </c>
      <c r="AK1237" s="228">
        <v>328320</v>
      </c>
      <c r="AL1237" s="228">
        <v>40</v>
      </c>
      <c r="AM1237" s="228">
        <v>0</v>
      </c>
      <c r="AN1237" s="228">
        <v>0</v>
      </c>
      <c r="AO1237" s="229">
        <v>32</v>
      </c>
      <c r="AP1237" s="231">
        <v>8</v>
      </c>
      <c r="AQ1237" s="231">
        <v>2025</v>
      </c>
      <c r="AR1237" s="231" t="str">
        <f t="shared" si="184"/>
        <v>08/2025</v>
      </c>
      <c r="AS1237" s="231">
        <f t="shared" si="185"/>
        <v>46.6</v>
      </c>
      <c r="AT1237" s="239">
        <f>IF(G1237="CERVECERIA Y MALTERIA",(AS1237*AK1237/1000000)*(1-VLOOKUP(N1237,FCST!D:I,6,FALSE)),0)</f>
        <v>15.299712</v>
      </c>
      <c r="AU1237" s="232">
        <v>5.0000000000000001E-3</v>
      </c>
      <c r="AV1237" s="239">
        <f t="shared" si="186"/>
        <v>15.376210559999999</v>
      </c>
      <c r="AW1237" s="239">
        <f>(AS1237*AK1237/1000000)*(VLOOKUP(N1237,FCST!D:I,6,FALSE))</f>
        <v>0</v>
      </c>
      <c r="AX1237" s="239">
        <f t="shared" si="187"/>
        <v>0</v>
      </c>
      <c r="AY1237" s="239">
        <f>IF($G1237="CERVECERIA Y MALTERIA.",($AS1237*$AK1237/1000000)*(1-VLOOKUP($N1237,FCST!D:I,6,FALSE)),0)</f>
        <v>0</v>
      </c>
      <c r="AZ1237" s="239">
        <f t="shared" si="188"/>
        <v>0</v>
      </c>
    </row>
    <row r="1238" spans="1:52" x14ac:dyDescent="0.25">
      <c r="A1238" s="209">
        <v>1132109</v>
      </c>
      <c r="B1238" s="209">
        <v>40</v>
      </c>
      <c r="C1238" s="209">
        <v>89531219</v>
      </c>
      <c r="D1238" s="209">
        <v>10</v>
      </c>
      <c r="E1238" s="209">
        <v>10000002</v>
      </c>
      <c r="F1238" s="209">
        <v>20000335</v>
      </c>
      <c r="G1238" s="209" t="s">
        <v>105</v>
      </c>
      <c r="H1238" s="209">
        <v>20000335</v>
      </c>
      <c r="I1238" s="209">
        <v>2</v>
      </c>
      <c r="J1238" s="209" t="s">
        <v>169</v>
      </c>
      <c r="K1238" s="209" t="s">
        <v>2623</v>
      </c>
      <c r="L1238" s="209" t="s">
        <v>171</v>
      </c>
      <c r="M1238" s="209" t="s">
        <v>199</v>
      </c>
      <c r="N1238" s="209">
        <v>50025345</v>
      </c>
      <c r="O1238" s="209" t="s">
        <v>1998</v>
      </c>
      <c r="P1238" s="209">
        <v>5121</v>
      </c>
      <c r="Q1238" s="209" t="s">
        <v>200</v>
      </c>
      <c r="R1238" s="209" t="s">
        <v>201</v>
      </c>
      <c r="S1238" s="209" t="s">
        <v>202</v>
      </c>
      <c r="T1238" s="209" t="s">
        <v>203</v>
      </c>
      <c r="U1238" s="209" t="s">
        <v>201</v>
      </c>
      <c r="V1238" s="209" t="s">
        <v>179</v>
      </c>
      <c r="W1238" s="209" t="s">
        <v>179</v>
      </c>
      <c r="X1238" s="209" t="s">
        <v>180</v>
      </c>
      <c r="Y1238" s="209" t="s">
        <v>180</v>
      </c>
      <c r="Z1238" s="209">
        <v>9521069280</v>
      </c>
      <c r="AA1238" s="209" t="s">
        <v>2624</v>
      </c>
      <c r="AB1238" s="209" t="s">
        <v>180</v>
      </c>
      <c r="AC1238" s="209" t="s">
        <v>182</v>
      </c>
      <c r="AD1238" s="209">
        <v>8</v>
      </c>
      <c r="AE1238" s="209">
        <v>2025</v>
      </c>
      <c r="AF1238" s="227">
        <v>45870</v>
      </c>
      <c r="AG1238" s="227">
        <v>45874</v>
      </c>
      <c r="AH1238" s="227">
        <v>45874</v>
      </c>
      <c r="AI1238" s="228">
        <v>426816</v>
      </c>
      <c r="AJ1238" s="228">
        <v>52</v>
      </c>
      <c r="AK1238" s="228">
        <v>426816</v>
      </c>
      <c r="AL1238" s="228">
        <v>52</v>
      </c>
      <c r="AM1238" s="228">
        <v>0</v>
      </c>
      <c r="AN1238" s="228">
        <v>0</v>
      </c>
      <c r="AO1238" s="229">
        <v>31</v>
      </c>
      <c r="AP1238" s="231">
        <v>8</v>
      </c>
      <c r="AQ1238" s="231">
        <v>2025</v>
      </c>
      <c r="AR1238" s="231" t="str">
        <f t="shared" si="184"/>
        <v>08/2025</v>
      </c>
      <c r="AS1238" s="231">
        <f t="shared" si="185"/>
        <v>46.6</v>
      </c>
      <c r="AT1238" s="239">
        <f>IF(G1238="CERVECERIA Y MALTERIA",(AS1238*AK1238/1000000)*(1-VLOOKUP(N1238,FCST!D:I,6,FALSE)),0)</f>
        <v>19.889625600000002</v>
      </c>
      <c r="AU1238" s="232">
        <v>5.0000000000000001E-3</v>
      </c>
      <c r="AV1238" s="239">
        <f t="shared" si="186"/>
        <v>19.989073728000001</v>
      </c>
      <c r="AW1238" s="239">
        <f>(AS1238*AK1238/1000000)*(VLOOKUP(N1238,FCST!D:I,6,FALSE))</f>
        <v>0</v>
      </c>
      <c r="AX1238" s="239">
        <f t="shared" si="187"/>
        <v>0</v>
      </c>
      <c r="AY1238" s="239">
        <f>IF($G1238="CERVECERIA Y MALTERIA.",($AS1238*$AK1238/1000000)*(1-VLOOKUP($N1238,FCST!D:I,6,FALSE)),0)</f>
        <v>0</v>
      </c>
      <c r="AZ1238" s="239">
        <f t="shared" si="188"/>
        <v>0</v>
      </c>
    </row>
    <row r="1239" spans="1:52" x14ac:dyDescent="0.25">
      <c r="A1239" s="209">
        <v>1132109</v>
      </c>
      <c r="B1239" s="209">
        <v>20</v>
      </c>
      <c r="C1239" s="209">
        <v>89530955</v>
      </c>
      <c r="D1239" s="209">
        <v>10</v>
      </c>
      <c r="E1239" s="209">
        <v>10000002</v>
      </c>
      <c r="F1239" s="209">
        <v>20000335</v>
      </c>
      <c r="G1239" s="209" t="s">
        <v>105</v>
      </c>
      <c r="H1239" s="209">
        <v>20000335</v>
      </c>
      <c r="I1239" s="209">
        <v>2</v>
      </c>
      <c r="J1239" s="209" t="s">
        <v>169</v>
      </c>
      <c r="K1239" s="209" t="s">
        <v>2625</v>
      </c>
      <c r="L1239" s="209" t="s">
        <v>171</v>
      </c>
      <c r="M1239" s="209" t="s">
        <v>199</v>
      </c>
      <c r="N1239" s="209">
        <v>50036915</v>
      </c>
      <c r="O1239" s="209" t="s">
        <v>541</v>
      </c>
      <c r="P1239" s="209">
        <v>5121</v>
      </c>
      <c r="Q1239" s="209" t="s">
        <v>200</v>
      </c>
      <c r="R1239" s="209" t="s">
        <v>201</v>
      </c>
      <c r="S1239" s="209" t="s">
        <v>202</v>
      </c>
      <c r="T1239" s="209" t="s">
        <v>203</v>
      </c>
      <c r="U1239" s="209" t="s">
        <v>201</v>
      </c>
      <c r="V1239" s="209" t="s">
        <v>179</v>
      </c>
      <c r="W1239" s="209" t="s">
        <v>179</v>
      </c>
      <c r="X1239" s="209" t="s">
        <v>180</v>
      </c>
      <c r="Y1239" s="209" t="s">
        <v>180</v>
      </c>
      <c r="Z1239" s="209">
        <v>9521069288</v>
      </c>
      <c r="AA1239" s="209" t="s">
        <v>2618</v>
      </c>
      <c r="AB1239" s="209" t="s">
        <v>180</v>
      </c>
      <c r="AC1239" s="209" t="s">
        <v>182</v>
      </c>
      <c r="AD1239" s="209">
        <v>8</v>
      </c>
      <c r="AE1239" s="209">
        <v>2025</v>
      </c>
      <c r="AF1239" s="227">
        <v>45870</v>
      </c>
      <c r="AG1239" s="227">
        <v>45874</v>
      </c>
      <c r="AH1239" s="227">
        <v>45874</v>
      </c>
      <c r="AI1239" s="228">
        <v>426816</v>
      </c>
      <c r="AJ1239" s="228">
        <v>52</v>
      </c>
      <c r="AK1239" s="228">
        <v>426816</v>
      </c>
      <c r="AL1239" s="228">
        <v>52</v>
      </c>
      <c r="AM1239" s="228">
        <v>0</v>
      </c>
      <c r="AN1239" s="228">
        <v>0</v>
      </c>
      <c r="AO1239" s="229">
        <v>31</v>
      </c>
      <c r="AP1239" s="231">
        <v>8</v>
      </c>
      <c r="AQ1239" s="231">
        <v>2025</v>
      </c>
      <c r="AR1239" s="231" t="str">
        <f t="shared" si="184"/>
        <v>08/2025</v>
      </c>
      <c r="AS1239" s="231">
        <f t="shared" si="185"/>
        <v>46.6</v>
      </c>
      <c r="AT1239" s="239">
        <f>IF(G1239="CERVECERIA Y MALTERIA",(AS1239*AK1239/1000000)*(1-VLOOKUP(N1239,FCST!D:I,6,FALSE)),0)</f>
        <v>15.911700480000002</v>
      </c>
      <c r="AU1239" s="232">
        <v>5.0000000000000001E-3</v>
      </c>
      <c r="AV1239" s="239">
        <f t="shared" si="186"/>
        <v>15.9912589824</v>
      </c>
      <c r="AW1239" s="239">
        <f>(AS1239*AK1239/1000000)*(VLOOKUP(N1239,FCST!D:I,6,FALSE))</f>
        <v>3.9779251200000005</v>
      </c>
      <c r="AX1239" s="239">
        <f t="shared" si="187"/>
        <v>3.9978147455999999</v>
      </c>
      <c r="AY1239" s="239">
        <f>IF($G1239="CERVECERIA Y MALTERIA.",($AS1239*$AK1239/1000000)*(1-VLOOKUP($N1239,FCST!D:I,6,FALSE)),0)</f>
        <v>0</v>
      </c>
      <c r="AZ1239" s="239">
        <f t="shared" si="188"/>
        <v>0</v>
      </c>
    </row>
    <row r="1240" spans="1:52" x14ac:dyDescent="0.25">
      <c r="A1240" s="209">
        <v>1132436</v>
      </c>
      <c r="B1240" s="209">
        <v>10</v>
      </c>
      <c r="C1240" s="209">
        <v>89532368</v>
      </c>
      <c r="D1240" s="209">
        <v>10</v>
      </c>
      <c r="E1240" s="209">
        <v>10000002</v>
      </c>
      <c r="F1240" s="209">
        <v>20000336</v>
      </c>
      <c r="G1240" s="209" t="s">
        <v>105</v>
      </c>
      <c r="H1240" s="209">
        <v>20000336</v>
      </c>
      <c r="I1240" s="209">
        <v>2</v>
      </c>
      <c r="J1240" s="209" t="s">
        <v>169</v>
      </c>
      <c r="K1240" s="209" t="s">
        <v>2626</v>
      </c>
      <c r="L1240" s="209" t="s">
        <v>2610</v>
      </c>
      <c r="M1240" s="209" t="s">
        <v>172</v>
      </c>
      <c r="N1240" s="209">
        <v>50024497</v>
      </c>
      <c r="O1240" s="209" t="s">
        <v>1352</v>
      </c>
      <c r="P1240" s="209">
        <v>5121</v>
      </c>
      <c r="Q1240" s="209" t="s">
        <v>174</v>
      </c>
      <c r="R1240" s="209" t="s">
        <v>175</v>
      </c>
      <c r="S1240" s="209" t="s">
        <v>176</v>
      </c>
      <c r="T1240" s="209" t="s">
        <v>177</v>
      </c>
      <c r="U1240" s="209" t="s">
        <v>178</v>
      </c>
      <c r="V1240" s="209" t="s">
        <v>179</v>
      </c>
      <c r="W1240" s="209" t="s">
        <v>179</v>
      </c>
      <c r="X1240" s="209" t="s">
        <v>180</v>
      </c>
      <c r="Y1240" s="209" t="s">
        <v>180</v>
      </c>
      <c r="Z1240" s="209">
        <v>9521069289</v>
      </c>
      <c r="AA1240" s="209" t="s">
        <v>2627</v>
      </c>
      <c r="AB1240" s="209" t="s">
        <v>180</v>
      </c>
      <c r="AC1240" s="209" t="s">
        <v>182</v>
      </c>
      <c r="AD1240" s="209">
        <v>8</v>
      </c>
      <c r="AE1240" s="209">
        <v>2025</v>
      </c>
      <c r="AF1240" s="227">
        <v>45874</v>
      </c>
      <c r="AG1240" s="227">
        <v>45875</v>
      </c>
      <c r="AH1240" s="227">
        <v>45875</v>
      </c>
      <c r="AI1240" s="228">
        <v>351936</v>
      </c>
      <c r="AJ1240" s="228">
        <v>52</v>
      </c>
      <c r="AK1240" s="228">
        <v>351936</v>
      </c>
      <c r="AL1240" s="228">
        <v>52</v>
      </c>
      <c r="AM1240" s="228">
        <v>0</v>
      </c>
      <c r="AN1240" s="228">
        <v>0</v>
      </c>
      <c r="AO1240" s="229">
        <v>32</v>
      </c>
      <c r="AP1240" s="231">
        <v>8</v>
      </c>
      <c r="AQ1240" s="231">
        <v>2025</v>
      </c>
      <c r="AR1240" s="231" t="str">
        <f t="shared" si="184"/>
        <v>08/2025</v>
      </c>
      <c r="AS1240" s="231">
        <f t="shared" si="185"/>
        <v>54.7</v>
      </c>
      <c r="AT1240" s="239">
        <f>IF(G1240="CERVECERIA Y MALTERIA",(AS1240*AK1240/1000000)*(1-VLOOKUP(N1240,FCST!D:I,6,FALSE)),0)</f>
        <v>19.250899199999999</v>
      </c>
      <c r="AU1240" s="232">
        <v>5.0000000000000001E-3</v>
      </c>
      <c r="AV1240" s="239">
        <f t="shared" si="186"/>
        <v>19.347153695999996</v>
      </c>
      <c r="AW1240" s="239">
        <f>(AS1240*AK1240/1000000)*(VLOOKUP(N1240,FCST!D:I,6,FALSE))</f>
        <v>0</v>
      </c>
      <c r="AX1240" s="239">
        <f t="shared" si="187"/>
        <v>0</v>
      </c>
      <c r="AY1240" s="239">
        <f>IF($G1240="CERVECERIA Y MALTERIA.",($AS1240*$AK1240/1000000)*(1-VLOOKUP($N1240,FCST!D:I,6,FALSE)),0)</f>
        <v>0</v>
      </c>
      <c r="AZ1240" s="239">
        <f t="shared" si="188"/>
        <v>0</v>
      </c>
    </row>
    <row r="1241" spans="1:52" x14ac:dyDescent="0.25">
      <c r="A1241" s="209">
        <v>1132112</v>
      </c>
      <c r="B1241" s="209">
        <v>30</v>
      </c>
      <c r="C1241" s="209">
        <v>89532565</v>
      </c>
      <c r="D1241" s="209">
        <v>20</v>
      </c>
      <c r="E1241" s="209">
        <v>10000002</v>
      </c>
      <c r="F1241" s="209">
        <v>20000337</v>
      </c>
      <c r="G1241" s="209" t="s">
        <v>105</v>
      </c>
      <c r="H1241" s="209">
        <v>20000337</v>
      </c>
      <c r="I1241" s="209">
        <v>2</v>
      </c>
      <c r="J1241" s="209" t="s">
        <v>169</v>
      </c>
      <c r="K1241" s="209" t="s">
        <v>2628</v>
      </c>
      <c r="L1241" s="209" t="s">
        <v>171</v>
      </c>
      <c r="M1241" s="209" t="s">
        <v>199</v>
      </c>
      <c r="N1241" s="209">
        <v>50034616</v>
      </c>
      <c r="O1241" s="209" t="s">
        <v>191</v>
      </c>
      <c r="P1241" s="209">
        <v>5121</v>
      </c>
      <c r="Q1241" s="209" t="s">
        <v>200</v>
      </c>
      <c r="R1241" s="209" t="s">
        <v>201</v>
      </c>
      <c r="S1241" s="209" t="s">
        <v>202</v>
      </c>
      <c r="T1241" s="209" t="s">
        <v>203</v>
      </c>
      <c r="U1241" s="209" t="s">
        <v>201</v>
      </c>
      <c r="V1241" s="209" t="s">
        <v>179</v>
      </c>
      <c r="W1241" s="209" t="s">
        <v>179</v>
      </c>
      <c r="X1241" s="209" t="s">
        <v>180</v>
      </c>
      <c r="Y1241" s="209" t="s">
        <v>180</v>
      </c>
      <c r="Z1241" s="209">
        <v>9521069276</v>
      </c>
      <c r="AA1241" s="209" t="s">
        <v>2629</v>
      </c>
      <c r="AB1241" s="209" t="s">
        <v>180</v>
      </c>
      <c r="AC1241" s="209" t="s">
        <v>182</v>
      </c>
      <c r="AD1241" s="209">
        <v>8</v>
      </c>
      <c r="AE1241" s="209">
        <v>2025</v>
      </c>
      <c r="AF1241" s="227">
        <v>45870</v>
      </c>
      <c r="AG1241" s="227">
        <v>45875</v>
      </c>
      <c r="AH1241" s="227">
        <v>45875</v>
      </c>
      <c r="AI1241" s="228">
        <v>196992</v>
      </c>
      <c r="AJ1241" s="228">
        <v>24</v>
      </c>
      <c r="AK1241" s="228">
        <v>196992</v>
      </c>
      <c r="AL1241" s="228">
        <v>24</v>
      </c>
      <c r="AM1241" s="228">
        <v>0</v>
      </c>
      <c r="AN1241" s="228">
        <v>0</v>
      </c>
      <c r="AO1241" s="229">
        <v>32</v>
      </c>
      <c r="AP1241" s="231">
        <v>8</v>
      </c>
      <c r="AQ1241" s="231">
        <v>2025</v>
      </c>
      <c r="AR1241" s="231" t="str">
        <f t="shared" si="184"/>
        <v>08/2025</v>
      </c>
      <c r="AS1241" s="231">
        <f t="shared" si="185"/>
        <v>46.6</v>
      </c>
      <c r="AT1241" s="239">
        <f>IF(G1241="CERVECERIA Y MALTERIA",(AS1241*AK1241/1000000)*(1-VLOOKUP(N1241,FCST!D:I,6,FALSE)),0)</f>
        <v>9.1798272000000019</v>
      </c>
      <c r="AU1241" s="232">
        <v>5.0000000000000001E-3</v>
      </c>
      <c r="AV1241" s="239">
        <f t="shared" si="186"/>
        <v>9.225726336000001</v>
      </c>
      <c r="AW1241" s="239">
        <f>(AS1241*AK1241/1000000)*(VLOOKUP(N1241,FCST!D:I,6,FALSE))</f>
        <v>0</v>
      </c>
      <c r="AX1241" s="239">
        <f t="shared" si="187"/>
        <v>0</v>
      </c>
      <c r="AY1241" s="239">
        <f>IF($G1241="CERVECERIA Y MALTERIA.",($AS1241*$AK1241/1000000)*(1-VLOOKUP($N1241,FCST!D:I,6,FALSE)),0)</f>
        <v>0</v>
      </c>
      <c r="AZ1241" s="239">
        <f t="shared" si="188"/>
        <v>0</v>
      </c>
    </row>
    <row r="1242" spans="1:52" x14ac:dyDescent="0.25">
      <c r="A1242" s="209">
        <v>1132112</v>
      </c>
      <c r="B1242" s="209">
        <v>20</v>
      </c>
      <c r="C1242" s="209">
        <v>89532565</v>
      </c>
      <c r="D1242" s="209">
        <v>10</v>
      </c>
      <c r="E1242" s="209">
        <v>10000002</v>
      </c>
      <c r="F1242" s="209">
        <v>20000337</v>
      </c>
      <c r="G1242" s="209" t="s">
        <v>105</v>
      </c>
      <c r="H1242" s="209">
        <v>20000337</v>
      </c>
      <c r="I1242" s="209">
        <v>2</v>
      </c>
      <c r="J1242" s="209" t="s">
        <v>169</v>
      </c>
      <c r="K1242" s="209" t="s">
        <v>2628</v>
      </c>
      <c r="L1242" s="209" t="s">
        <v>171</v>
      </c>
      <c r="M1242" s="209" t="s">
        <v>199</v>
      </c>
      <c r="N1242" s="209">
        <v>50021818</v>
      </c>
      <c r="O1242" s="209" t="s">
        <v>2170</v>
      </c>
      <c r="P1242" s="209">
        <v>5121</v>
      </c>
      <c r="Q1242" s="209" t="s">
        <v>200</v>
      </c>
      <c r="R1242" s="209" t="s">
        <v>201</v>
      </c>
      <c r="S1242" s="209" t="s">
        <v>202</v>
      </c>
      <c r="T1242" s="209" t="s">
        <v>203</v>
      </c>
      <c r="U1242" s="209" t="s">
        <v>201</v>
      </c>
      <c r="V1242" s="209" t="s">
        <v>179</v>
      </c>
      <c r="W1242" s="209" t="s">
        <v>179</v>
      </c>
      <c r="X1242" s="209" t="s">
        <v>180</v>
      </c>
      <c r="Y1242" s="209" t="s">
        <v>180</v>
      </c>
      <c r="Z1242" s="209">
        <v>9521069276</v>
      </c>
      <c r="AA1242" s="209" t="s">
        <v>2629</v>
      </c>
      <c r="AB1242" s="209" t="s">
        <v>180</v>
      </c>
      <c r="AC1242" s="209" t="s">
        <v>182</v>
      </c>
      <c r="AD1242" s="209">
        <v>8</v>
      </c>
      <c r="AE1242" s="209">
        <v>2025</v>
      </c>
      <c r="AF1242" s="227">
        <v>45870</v>
      </c>
      <c r="AG1242" s="227">
        <v>45875</v>
      </c>
      <c r="AH1242" s="227">
        <v>45875</v>
      </c>
      <c r="AI1242" s="228">
        <v>196992</v>
      </c>
      <c r="AJ1242" s="228">
        <v>24</v>
      </c>
      <c r="AK1242" s="228">
        <v>196992</v>
      </c>
      <c r="AL1242" s="228">
        <v>24</v>
      </c>
      <c r="AM1242" s="228">
        <v>0</v>
      </c>
      <c r="AN1242" s="228">
        <v>0</v>
      </c>
      <c r="AO1242" s="229">
        <v>32</v>
      </c>
      <c r="AP1242" s="231">
        <v>8</v>
      </c>
      <c r="AQ1242" s="231">
        <v>2025</v>
      </c>
      <c r="AR1242" s="231" t="str">
        <f t="shared" si="184"/>
        <v>08/2025</v>
      </c>
      <c r="AS1242" s="231">
        <f t="shared" si="185"/>
        <v>46.6</v>
      </c>
      <c r="AT1242" s="239">
        <f>IF(G1242="CERVECERIA Y MALTERIA",(AS1242*AK1242/1000000)*(1-VLOOKUP(N1242,FCST!D:I,6,FALSE)),0)</f>
        <v>9.1798272000000019</v>
      </c>
      <c r="AU1242" s="232">
        <v>5.0000000000000001E-3</v>
      </c>
      <c r="AV1242" s="239">
        <f t="shared" si="186"/>
        <v>9.225726336000001</v>
      </c>
      <c r="AW1242" s="239">
        <f>(AS1242*AK1242/1000000)*(VLOOKUP(N1242,FCST!D:I,6,FALSE))</f>
        <v>0</v>
      </c>
      <c r="AX1242" s="239">
        <f t="shared" si="187"/>
        <v>0</v>
      </c>
      <c r="AY1242" s="239">
        <f>IF($G1242="CERVECERIA Y MALTERIA.",($AS1242*$AK1242/1000000)*(1-VLOOKUP($N1242,FCST!D:I,6,FALSE)),0)</f>
        <v>0</v>
      </c>
      <c r="AZ1242" s="239">
        <f t="shared" si="188"/>
        <v>0</v>
      </c>
    </row>
    <row r="1243" spans="1:52" x14ac:dyDescent="0.25">
      <c r="A1243" s="209">
        <v>1132109</v>
      </c>
      <c r="B1243" s="209">
        <v>50</v>
      </c>
      <c r="C1243" s="209">
        <v>89532143</v>
      </c>
      <c r="D1243" s="209">
        <v>10</v>
      </c>
      <c r="E1243" s="209">
        <v>10000002</v>
      </c>
      <c r="F1243" s="209">
        <v>20000335</v>
      </c>
      <c r="G1243" s="209" t="s">
        <v>105</v>
      </c>
      <c r="H1243" s="209">
        <v>20000335</v>
      </c>
      <c r="I1243" s="209">
        <v>2</v>
      </c>
      <c r="J1243" s="209" t="s">
        <v>169</v>
      </c>
      <c r="K1243" s="209" t="s">
        <v>2630</v>
      </c>
      <c r="L1243" s="209" t="s">
        <v>171</v>
      </c>
      <c r="M1243" s="209" t="s">
        <v>199</v>
      </c>
      <c r="N1243" s="209">
        <v>50025345</v>
      </c>
      <c r="O1243" s="209" t="s">
        <v>1998</v>
      </c>
      <c r="P1243" s="209">
        <v>5121</v>
      </c>
      <c r="Q1243" s="209" t="s">
        <v>200</v>
      </c>
      <c r="R1243" s="209" t="s">
        <v>201</v>
      </c>
      <c r="S1243" s="209" t="s">
        <v>202</v>
      </c>
      <c r="T1243" s="209" t="s">
        <v>203</v>
      </c>
      <c r="U1243" s="209" t="s">
        <v>201</v>
      </c>
      <c r="V1243" s="209" t="s">
        <v>179</v>
      </c>
      <c r="W1243" s="209" t="s">
        <v>179</v>
      </c>
      <c r="X1243" s="209" t="s">
        <v>180</v>
      </c>
      <c r="Y1243" s="209" t="s">
        <v>180</v>
      </c>
      <c r="Z1243" s="209">
        <v>9521069280</v>
      </c>
      <c r="AA1243" s="209" t="s">
        <v>2624</v>
      </c>
      <c r="AB1243" s="209" t="s">
        <v>180</v>
      </c>
      <c r="AC1243" s="209" t="s">
        <v>182</v>
      </c>
      <c r="AD1243" s="209">
        <v>8</v>
      </c>
      <c r="AE1243" s="209">
        <v>2025</v>
      </c>
      <c r="AF1243" s="227">
        <v>45870</v>
      </c>
      <c r="AG1243" s="227">
        <v>45875</v>
      </c>
      <c r="AH1243" s="227">
        <v>45875</v>
      </c>
      <c r="AI1243" s="228">
        <v>426816</v>
      </c>
      <c r="AJ1243" s="228">
        <v>52</v>
      </c>
      <c r="AK1243" s="228">
        <v>426816</v>
      </c>
      <c r="AL1243" s="228">
        <v>52</v>
      </c>
      <c r="AM1243" s="228">
        <v>0</v>
      </c>
      <c r="AN1243" s="228">
        <v>0</v>
      </c>
      <c r="AO1243" s="229">
        <v>31</v>
      </c>
      <c r="AP1243" s="231">
        <v>8</v>
      </c>
      <c r="AQ1243" s="231">
        <v>2025</v>
      </c>
      <c r="AR1243" s="231" t="str">
        <f t="shared" si="184"/>
        <v>08/2025</v>
      </c>
      <c r="AS1243" s="231">
        <f t="shared" si="185"/>
        <v>46.6</v>
      </c>
      <c r="AT1243" s="239">
        <f>IF(G1243="CERVECERIA Y MALTERIA",(AS1243*AK1243/1000000)*(1-VLOOKUP(N1243,FCST!D:I,6,FALSE)),0)</f>
        <v>19.889625600000002</v>
      </c>
      <c r="AU1243" s="232">
        <v>5.0000000000000001E-3</v>
      </c>
      <c r="AV1243" s="239">
        <f t="shared" si="186"/>
        <v>19.989073728000001</v>
      </c>
      <c r="AW1243" s="239">
        <f>(AS1243*AK1243/1000000)*(VLOOKUP(N1243,FCST!D:I,6,FALSE))</f>
        <v>0</v>
      </c>
      <c r="AX1243" s="239">
        <f t="shared" si="187"/>
        <v>0</v>
      </c>
      <c r="AY1243" s="239">
        <f>IF($G1243="CERVECERIA Y MALTERIA.",($AS1243*$AK1243/1000000)*(1-VLOOKUP($N1243,FCST!D:I,6,FALSE)),0)</f>
        <v>0</v>
      </c>
      <c r="AZ1243" s="239">
        <f t="shared" si="188"/>
        <v>0</v>
      </c>
    </row>
    <row r="1244" spans="1:52" x14ac:dyDescent="0.25">
      <c r="A1244" s="209">
        <v>1132110</v>
      </c>
      <c r="B1244" s="209">
        <v>50</v>
      </c>
      <c r="C1244" s="209">
        <v>89533213</v>
      </c>
      <c r="D1244" s="209">
        <v>10</v>
      </c>
      <c r="E1244" s="209">
        <v>10000002</v>
      </c>
      <c r="F1244" s="209">
        <v>20000340</v>
      </c>
      <c r="G1244" s="209" t="s">
        <v>117</v>
      </c>
      <c r="H1244" s="209">
        <v>20000340</v>
      </c>
      <c r="I1244" s="209">
        <v>2</v>
      </c>
      <c r="J1244" s="209" t="s">
        <v>169</v>
      </c>
      <c r="K1244" s="209" t="s">
        <v>2631</v>
      </c>
      <c r="L1244" s="209" t="s">
        <v>171</v>
      </c>
      <c r="M1244" s="209" t="s">
        <v>172</v>
      </c>
      <c r="N1244" s="209">
        <v>50038523</v>
      </c>
      <c r="O1244" s="209" t="s">
        <v>249</v>
      </c>
      <c r="P1244" s="209">
        <v>5101</v>
      </c>
      <c r="Q1244" s="209" t="s">
        <v>186</v>
      </c>
      <c r="R1244" s="209" t="s">
        <v>175</v>
      </c>
      <c r="S1244" s="209" t="s">
        <v>176</v>
      </c>
      <c r="T1244" s="209" t="s">
        <v>187</v>
      </c>
      <c r="U1244" s="209" t="s">
        <v>188</v>
      </c>
      <c r="V1244" s="209" t="s">
        <v>179</v>
      </c>
      <c r="W1244" s="209" t="s">
        <v>179</v>
      </c>
      <c r="X1244" s="209" t="s">
        <v>180</v>
      </c>
      <c r="Y1244" s="209" t="s">
        <v>180</v>
      </c>
      <c r="Z1244" s="209">
        <v>9511048269</v>
      </c>
      <c r="AA1244" s="209" t="s">
        <v>2608</v>
      </c>
      <c r="AB1244" s="209" t="s">
        <v>180</v>
      </c>
      <c r="AC1244" s="209" t="s">
        <v>182</v>
      </c>
      <c r="AD1244" s="209">
        <v>8</v>
      </c>
      <c r="AE1244" s="209">
        <v>2025</v>
      </c>
      <c r="AF1244" s="227">
        <v>45870</v>
      </c>
      <c r="AG1244" s="227">
        <v>45876</v>
      </c>
      <c r="AH1244" s="227">
        <v>45876</v>
      </c>
      <c r="AI1244" s="228">
        <v>151632</v>
      </c>
      <c r="AJ1244" s="228">
        <v>13</v>
      </c>
      <c r="AK1244" s="228">
        <v>151632</v>
      </c>
      <c r="AL1244" s="228">
        <v>13</v>
      </c>
      <c r="AM1244" s="228">
        <v>0</v>
      </c>
      <c r="AN1244" s="228">
        <v>0</v>
      </c>
      <c r="AO1244" s="229">
        <v>32</v>
      </c>
      <c r="AP1244" s="231">
        <v>8</v>
      </c>
      <c r="AQ1244" s="231">
        <v>2025</v>
      </c>
      <c r="AR1244" s="231" t="str">
        <f t="shared" si="184"/>
        <v>08/2025</v>
      </c>
      <c r="AS1244" s="231">
        <f t="shared" si="185"/>
        <v>30</v>
      </c>
      <c r="AT1244" s="239">
        <f>IF(G1244="CERVECERIA Y MALTERIA",(AS1244*AK1244/1000000)*(1-VLOOKUP(N1244,FCST!D:I,6,FALSE)),0)</f>
        <v>0</v>
      </c>
      <c r="AU1244" s="232">
        <v>5.0000000000000001E-3</v>
      </c>
      <c r="AV1244" s="239">
        <f t="shared" si="186"/>
        <v>0</v>
      </c>
      <c r="AW1244" s="239">
        <f>(AS1244*AK1244/1000000)*(VLOOKUP(N1244,FCST!D:I,6,FALSE))</f>
        <v>0</v>
      </c>
      <c r="AX1244" s="239">
        <f t="shared" si="187"/>
        <v>0</v>
      </c>
      <c r="AY1244" s="239">
        <f>IF($G1244="CERVECERIA Y MALTERIA.",($AS1244*$AK1244/1000000)*(1-VLOOKUP($N1244,FCST!D:I,6,FALSE)),0)</f>
        <v>4.5489600000000001</v>
      </c>
      <c r="AZ1244" s="239">
        <f t="shared" si="188"/>
        <v>4.5717048</v>
      </c>
    </row>
    <row r="1245" spans="1:52" x14ac:dyDescent="0.25">
      <c r="A1245" s="209">
        <v>1132109</v>
      </c>
      <c r="B1245" s="209">
        <v>70</v>
      </c>
      <c r="C1245" s="209">
        <v>89533214</v>
      </c>
      <c r="D1245" s="209">
        <v>10</v>
      </c>
      <c r="E1245" s="209">
        <v>10000002</v>
      </c>
      <c r="F1245" s="209">
        <v>20000335</v>
      </c>
      <c r="G1245" s="209" t="s">
        <v>105</v>
      </c>
      <c r="H1245" s="209">
        <v>20000335</v>
      </c>
      <c r="I1245" s="209">
        <v>2</v>
      </c>
      <c r="J1245" s="209" t="s">
        <v>169</v>
      </c>
      <c r="K1245" s="209" t="s">
        <v>2632</v>
      </c>
      <c r="L1245" s="209" t="s">
        <v>171</v>
      </c>
      <c r="M1245" s="209" t="s">
        <v>172</v>
      </c>
      <c r="N1245" s="209">
        <v>50034561</v>
      </c>
      <c r="O1245" s="209" t="s">
        <v>307</v>
      </c>
      <c r="P1245" s="209">
        <v>5121</v>
      </c>
      <c r="Q1245" s="209" t="s">
        <v>174</v>
      </c>
      <c r="R1245" s="209" t="s">
        <v>175</v>
      </c>
      <c r="S1245" s="209" t="s">
        <v>176</v>
      </c>
      <c r="T1245" s="209" t="s">
        <v>177</v>
      </c>
      <c r="U1245" s="209" t="s">
        <v>178</v>
      </c>
      <c r="V1245" s="209" t="s">
        <v>179</v>
      </c>
      <c r="W1245" s="209" t="s">
        <v>179</v>
      </c>
      <c r="X1245" s="209" t="s">
        <v>180</v>
      </c>
      <c r="Y1245" s="209" t="s">
        <v>180</v>
      </c>
      <c r="Z1245" s="209">
        <v>9521069284</v>
      </c>
      <c r="AA1245" s="209" t="s">
        <v>2633</v>
      </c>
      <c r="AB1245" s="209" t="s">
        <v>180</v>
      </c>
      <c r="AC1245" s="209" t="s">
        <v>182</v>
      </c>
      <c r="AD1245" s="209">
        <v>8</v>
      </c>
      <c r="AE1245" s="209">
        <v>2025</v>
      </c>
      <c r="AF1245" s="227">
        <v>45870</v>
      </c>
      <c r="AG1245" s="227">
        <v>45876</v>
      </c>
      <c r="AH1245" s="227">
        <v>45876</v>
      </c>
      <c r="AI1245" s="228">
        <v>714096</v>
      </c>
      <c r="AJ1245" s="228">
        <v>38</v>
      </c>
      <c r="AK1245" s="228">
        <v>714096</v>
      </c>
      <c r="AL1245" s="228">
        <v>38</v>
      </c>
      <c r="AM1245" s="228">
        <v>0</v>
      </c>
      <c r="AN1245" s="228">
        <v>0</v>
      </c>
      <c r="AO1245" s="229">
        <v>31</v>
      </c>
      <c r="AP1245" s="231">
        <v>8</v>
      </c>
      <c r="AQ1245" s="231">
        <v>2025</v>
      </c>
      <c r="AR1245" s="231" t="str">
        <f t="shared" si="184"/>
        <v>08/2025</v>
      </c>
      <c r="AS1245" s="231">
        <f t="shared" si="185"/>
        <v>19.5</v>
      </c>
      <c r="AT1245" s="239">
        <f>IF(G1245="CERVECERIA Y MALTERIA",(AS1245*AK1245/1000000)*(1-VLOOKUP(N1245,FCST!D:I,6,FALSE)),0)</f>
        <v>13.924872000000001</v>
      </c>
      <c r="AU1245" s="232">
        <v>5.0000000000000001E-3</v>
      </c>
      <c r="AV1245" s="239">
        <f t="shared" si="186"/>
        <v>13.994496359999999</v>
      </c>
      <c r="AW1245" s="239">
        <f>(AS1245*AK1245/1000000)*(VLOOKUP(N1245,FCST!D:I,6,FALSE))</f>
        <v>0</v>
      </c>
      <c r="AX1245" s="239">
        <f t="shared" si="187"/>
        <v>0</v>
      </c>
      <c r="AY1245" s="239">
        <f>IF($G1245="CERVECERIA Y MALTERIA.",($AS1245*$AK1245/1000000)*(1-VLOOKUP($N1245,FCST!D:I,6,FALSE)),0)</f>
        <v>0</v>
      </c>
      <c r="AZ1245" s="239">
        <f t="shared" si="188"/>
        <v>0</v>
      </c>
    </row>
    <row r="1246" spans="1:52" x14ac:dyDescent="0.25">
      <c r="A1246" s="209">
        <v>1132109</v>
      </c>
      <c r="B1246" s="209">
        <v>80</v>
      </c>
      <c r="C1246" s="209">
        <v>89534103</v>
      </c>
      <c r="D1246" s="209">
        <v>10</v>
      </c>
      <c r="E1246" s="209">
        <v>10000002</v>
      </c>
      <c r="F1246" s="209">
        <v>20000335</v>
      </c>
      <c r="G1246" s="209" t="s">
        <v>105</v>
      </c>
      <c r="H1246" s="209">
        <v>20000335</v>
      </c>
      <c r="I1246" s="209">
        <v>2</v>
      </c>
      <c r="J1246" s="209" t="s">
        <v>169</v>
      </c>
      <c r="K1246" s="209" t="s">
        <v>2634</v>
      </c>
      <c r="L1246" s="209" t="s">
        <v>171</v>
      </c>
      <c r="M1246" s="209" t="s">
        <v>172</v>
      </c>
      <c r="N1246" s="209">
        <v>50025345</v>
      </c>
      <c r="O1246" s="209" t="s">
        <v>1998</v>
      </c>
      <c r="P1246" s="209">
        <v>5121</v>
      </c>
      <c r="Q1246" s="209" t="s">
        <v>174</v>
      </c>
      <c r="R1246" s="209" t="s">
        <v>175</v>
      </c>
      <c r="S1246" s="209" t="s">
        <v>176</v>
      </c>
      <c r="T1246" s="209" t="s">
        <v>177</v>
      </c>
      <c r="U1246" s="209" t="s">
        <v>178</v>
      </c>
      <c r="V1246" s="209" t="s">
        <v>179</v>
      </c>
      <c r="W1246" s="209" t="s">
        <v>179</v>
      </c>
      <c r="X1246" s="209" t="s">
        <v>180</v>
      </c>
      <c r="Y1246" s="209" t="s">
        <v>180</v>
      </c>
      <c r="Z1246" s="209">
        <v>9521069280</v>
      </c>
      <c r="AA1246" s="209" t="s">
        <v>2624</v>
      </c>
      <c r="AB1246" s="209" t="s">
        <v>180</v>
      </c>
      <c r="AC1246" s="209" t="s">
        <v>182</v>
      </c>
      <c r="AD1246" s="209">
        <v>8</v>
      </c>
      <c r="AE1246" s="209">
        <v>2025</v>
      </c>
      <c r="AF1246" s="227">
        <v>45870</v>
      </c>
      <c r="AG1246" s="227">
        <v>45876</v>
      </c>
      <c r="AH1246" s="227">
        <v>45876</v>
      </c>
      <c r="AI1246" s="228">
        <v>426816</v>
      </c>
      <c r="AJ1246" s="228">
        <v>52</v>
      </c>
      <c r="AK1246" s="228">
        <v>426816</v>
      </c>
      <c r="AL1246" s="228">
        <v>52</v>
      </c>
      <c r="AM1246" s="228">
        <v>0</v>
      </c>
      <c r="AN1246" s="228">
        <v>0</v>
      </c>
      <c r="AO1246" s="229">
        <v>31</v>
      </c>
      <c r="AP1246" s="231">
        <v>8</v>
      </c>
      <c r="AQ1246" s="231">
        <v>2025</v>
      </c>
      <c r="AR1246" s="231" t="str">
        <f t="shared" si="184"/>
        <v>08/2025</v>
      </c>
      <c r="AS1246" s="231">
        <f t="shared" si="185"/>
        <v>46.6</v>
      </c>
      <c r="AT1246" s="239">
        <f>IF(G1246="CERVECERIA Y MALTERIA",(AS1246*AK1246/1000000)*(1-VLOOKUP(N1246,FCST!D:I,6,FALSE)),0)</f>
        <v>19.889625600000002</v>
      </c>
      <c r="AU1246" s="232">
        <v>5.0000000000000001E-3</v>
      </c>
      <c r="AV1246" s="239">
        <f t="shared" si="186"/>
        <v>19.989073728000001</v>
      </c>
      <c r="AW1246" s="239">
        <f>(AS1246*AK1246/1000000)*(VLOOKUP(N1246,FCST!D:I,6,FALSE))</f>
        <v>0</v>
      </c>
      <c r="AX1246" s="239">
        <f t="shared" si="187"/>
        <v>0</v>
      </c>
      <c r="AY1246" s="239">
        <f>IF($G1246="CERVECERIA Y MALTERIA.",($AS1246*$AK1246/1000000)*(1-VLOOKUP($N1246,FCST!D:I,6,FALSE)),0)</f>
        <v>0</v>
      </c>
      <c r="AZ1246" s="239">
        <f t="shared" si="188"/>
        <v>0</v>
      </c>
    </row>
    <row r="1247" spans="1:52" x14ac:dyDescent="0.25">
      <c r="A1247" s="209">
        <v>1132109</v>
      </c>
      <c r="B1247" s="209">
        <v>60</v>
      </c>
      <c r="C1247" s="209">
        <v>89533779</v>
      </c>
      <c r="D1247" s="209">
        <v>10</v>
      </c>
      <c r="E1247" s="209">
        <v>10000002</v>
      </c>
      <c r="F1247" s="209">
        <v>20000335</v>
      </c>
      <c r="G1247" s="209" t="s">
        <v>105</v>
      </c>
      <c r="H1247" s="209">
        <v>20000335</v>
      </c>
      <c r="I1247" s="209">
        <v>2</v>
      </c>
      <c r="J1247" s="209" t="s">
        <v>169</v>
      </c>
      <c r="K1247" s="209" t="s">
        <v>2635</v>
      </c>
      <c r="L1247" s="209" t="s">
        <v>171</v>
      </c>
      <c r="M1247" s="209" t="s">
        <v>172</v>
      </c>
      <c r="N1247" s="209">
        <v>50034561</v>
      </c>
      <c r="O1247" s="209" t="s">
        <v>307</v>
      </c>
      <c r="P1247" s="209">
        <v>5121</v>
      </c>
      <c r="Q1247" s="209" t="s">
        <v>174</v>
      </c>
      <c r="R1247" s="209" t="s">
        <v>175</v>
      </c>
      <c r="S1247" s="209" t="s">
        <v>176</v>
      </c>
      <c r="T1247" s="209" t="s">
        <v>177</v>
      </c>
      <c r="U1247" s="209" t="s">
        <v>178</v>
      </c>
      <c r="V1247" s="209" t="s">
        <v>179</v>
      </c>
      <c r="W1247" s="209" t="s">
        <v>179</v>
      </c>
      <c r="X1247" s="209" t="s">
        <v>180</v>
      </c>
      <c r="Y1247" s="209" t="s">
        <v>180</v>
      </c>
      <c r="Z1247" s="209">
        <v>9521069284</v>
      </c>
      <c r="AA1247" s="209" t="s">
        <v>2633</v>
      </c>
      <c r="AB1247" s="209" t="s">
        <v>180</v>
      </c>
      <c r="AC1247" s="209" t="s">
        <v>182</v>
      </c>
      <c r="AD1247" s="209">
        <v>8</v>
      </c>
      <c r="AE1247" s="209">
        <v>2025</v>
      </c>
      <c r="AF1247" s="227">
        <v>45870</v>
      </c>
      <c r="AG1247" s="227">
        <v>45876</v>
      </c>
      <c r="AH1247" s="227">
        <v>45876</v>
      </c>
      <c r="AI1247" s="228">
        <v>244296</v>
      </c>
      <c r="AJ1247" s="228">
        <v>13</v>
      </c>
      <c r="AK1247" s="228">
        <v>244296</v>
      </c>
      <c r="AL1247" s="228">
        <v>13</v>
      </c>
      <c r="AM1247" s="228">
        <v>0</v>
      </c>
      <c r="AN1247" s="228">
        <v>0</v>
      </c>
      <c r="AO1247" s="229">
        <v>31</v>
      </c>
      <c r="AP1247" s="231">
        <v>8</v>
      </c>
      <c r="AQ1247" s="231">
        <v>2025</v>
      </c>
      <c r="AR1247" s="231" t="str">
        <f t="shared" si="184"/>
        <v>08/2025</v>
      </c>
      <c r="AS1247" s="231">
        <f t="shared" si="185"/>
        <v>19.5</v>
      </c>
      <c r="AT1247" s="239">
        <f>IF(G1247="CERVECERIA Y MALTERIA",(AS1247*AK1247/1000000)*(1-VLOOKUP(N1247,FCST!D:I,6,FALSE)),0)</f>
        <v>4.7637720000000003</v>
      </c>
      <c r="AU1247" s="232">
        <v>5.0000000000000001E-3</v>
      </c>
      <c r="AV1247" s="239">
        <f t="shared" si="186"/>
        <v>4.7875908599999999</v>
      </c>
      <c r="AW1247" s="239">
        <f>(AS1247*AK1247/1000000)*(VLOOKUP(N1247,FCST!D:I,6,FALSE))</f>
        <v>0</v>
      </c>
      <c r="AX1247" s="239">
        <f t="shared" si="187"/>
        <v>0</v>
      </c>
      <c r="AY1247" s="239">
        <f>IF($G1247="CERVECERIA Y MALTERIA.",($AS1247*$AK1247/1000000)*(1-VLOOKUP($N1247,FCST!D:I,6,FALSE)),0)</f>
        <v>0</v>
      </c>
      <c r="AZ1247" s="239">
        <f t="shared" si="188"/>
        <v>0</v>
      </c>
    </row>
    <row r="1248" spans="1:52" x14ac:dyDescent="0.25">
      <c r="A1248" s="209">
        <v>1132110</v>
      </c>
      <c r="B1248" s="209">
        <v>40</v>
      </c>
      <c r="C1248" s="209">
        <v>89533754</v>
      </c>
      <c r="D1248" s="209">
        <v>10</v>
      </c>
      <c r="E1248" s="209">
        <v>10000002</v>
      </c>
      <c r="F1248" s="209">
        <v>20000340</v>
      </c>
      <c r="G1248" s="209" t="s">
        <v>117</v>
      </c>
      <c r="H1248" s="209">
        <v>20000340</v>
      </c>
      <c r="I1248" s="209">
        <v>2</v>
      </c>
      <c r="J1248" s="209" t="s">
        <v>169</v>
      </c>
      <c r="K1248" s="209" t="s">
        <v>2636</v>
      </c>
      <c r="L1248" s="209" t="s">
        <v>171</v>
      </c>
      <c r="M1248" s="209" t="s">
        <v>172</v>
      </c>
      <c r="N1248" s="209">
        <v>50038523</v>
      </c>
      <c r="O1248" s="209" t="s">
        <v>249</v>
      </c>
      <c r="P1248" s="209">
        <v>5101</v>
      </c>
      <c r="Q1248" s="209" t="s">
        <v>186</v>
      </c>
      <c r="R1248" s="209" t="s">
        <v>175</v>
      </c>
      <c r="S1248" s="209" t="s">
        <v>176</v>
      </c>
      <c r="T1248" s="209" t="s">
        <v>187</v>
      </c>
      <c r="U1248" s="209" t="s">
        <v>188</v>
      </c>
      <c r="V1248" s="209" t="s">
        <v>179</v>
      </c>
      <c r="W1248" s="209" t="s">
        <v>179</v>
      </c>
      <c r="X1248" s="209" t="s">
        <v>180</v>
      </c>
      <c r="Y1248" s="209" t="s">
        <v>180</v>
      </c>
      <c r="Z1248" s="209">
        <v>9511048269</v>
      </c>
      <c r="AA1248" s="209" t="s">
        <v>2608</v>
      </c>
      <c r="AB1248" s="209" t="s">
        <v>180</v>
      </c>
      <c r="AC1248" s="209" t="s">
        <v>182</v>
      </c>
      <c r="AD1248" s="209">
        <v>8</v>
      </c>
      <c r="AE1248" s="209">
        <v>2025</v>
      </c>
      <c r="AF1248" s="227">
        <v>45870</v>
      </c>
      <c r="AG1248" s="227">
        <v>45876</v>
      </c>
      <c r="AH1248" s="227">
        <v>45876</v>
      </c>
      <c r="AI1248" s="228">
        <v>443232</v>
      </c>
      <c r="AJ1248" s="228">
        <v>38</v>
      </c>
      <c r="AK1248" s="228">
        <v>443232</v>
      </c>
      <c r="AL1248" s="228">
        <v>38</v>
      </c>
      <c r="AM1248" s="228">
        <v>0</v>
      </c>
      <c r="AN1248" s="228">
        <v>0</v>
      </c>
      <c r="AO1248" s="229">
        <v>32</v>
      </c>
      <c r="AP1248" s="231">
        <v>8</v>
      </c>
      <c r="AQ1248" s="231">
        <v>2025</v>
      </c>
      <c r="AR1248" s="231" t="str">
        <f t="shared" si="184"/>
        <v>08/2025</v>
      </c>
      <c r="AS1248" s="231">
        <f t="shared" si="185"/>
        <v>30</v>
      </c>
      <c r="AT1248" s="239">
        <f>IF(G1248="CERVECERIA Y MALTERIA",(AS1248*AK1248/1000000)*(1-VLOOKUP(N1248,FCST!D:I,6,FALSE)),0)</f>
        <v>0</v>
      </c>
      <c r="AU1248" s="232">
        <v>5.0000000000000001E-3</v>
      </c>
      <c r="AV1248" s="239">
        <f t="shared" si="186"/>
        <v>0</v>
      </c>
      <c r="AW1248" s="239">
        <f>(AS1248*AK1248/1000000)*(VLOOKUP(N1248,FCST!D:I,6,FALSE))</f>
        <v>0</v>
      </c>
      <c r="AX1248" s="239">
        <f t="shared" si="187"/>
        <v>0</v>
      </c>
      <c r="AY1248" s="239">
        <f>IF($G1248="CERVECERIA Y MALTERIA.",($AS1248*$AK1248/1000000)*(1-VLOOKUP($N1248,FCST!D:I,6,FALSE)),0)</f>
        <v>13.29696</v>
      </c>
      <c r="AZ1248" s="239">
        <f t="shared" si="188"/>
        <v>13.363444799999998</v>
      </c>
    </row>
    <row r="1249" spans="1:52" x14ac:dyDescent="0.25">
      <c r="A1249" s="209">
        <v>1132112</v>
      </c>
      <c r="B1249" s="209">
        <v>40</v>
      </c>
      <c r="C1249" s="209">
        <v>89533376</v>
      </c>
      <c r="D1249" s="209">
        <v>10</v>
      </c>
      <c r="E1249" s="209">
        <v>10000002</v>
      </c>
      <c r="F1249" s="209">
        <v>20000337</v>
      </c>
      <c r="G1249" s="209" t="s">
        <v>105</v>
      </c>
      <c r="H1249" s="209">
        <v>20000337</v>
      </c>
      <c r="I1249" s="209">
        <v>2</v>
      </c>
      <c r="J1249" s="209" t="s">
        <v>169</v>
      </c>
      <c r="K1249" s="209" t="s">
        <v>2637</v>
      </c>
      <c r="L1249" s="209" t="s">
        <v>171</v>
      </c>
      <c r="M1249" s="209" t="s">
        <v>199</v>
      </c>
      <c r="N1249" s="209">
        <v>50024497</v>
      </c>
      <c r="O1249" s="209" t="s">
        <v>1352</v>
      </c>
      <c r="P1249" s="209">
        <v>5121</v>
      </c>
      <c r="Q1249" s="209" t="s">
        <v>200</v>
      </c>
      <c r="R1249" s="209" t="s">
        <v>201</v>
      </c>
      <c r="S1249" s="209" t="s">
        <v>202</v>
      </c>
      <c r="T1249" s="209" t="s">
        <v>203</v>
      </c>
      <c r="U1249" s="209" t="s">
        <v>201</v>
      </c>
      <c r="V1249" s="209" t="s">
        <v>179</v>
      </c>
      <c r="W1249" s="209" t="s">
        <v>179</v>
      </c>
      <c r="X1249" s="209" t="s">
        <v>180</v>
      </c>
      <c r="Y1249" s="209" t="s">
        <v>180</v>
      </c>
      <c r="Z1249" s="209">
        <v>9521069293</v>
      </c>
      <c r="AA1249" s="209" t="s">
        <v>2638</v>
      </c>
      <c r="AB1249" s="209" t="s">
        <v>180</v>
      </c>
      <c r="AC1249" s="209" t="s">
        <v>182</v>
      </c>
      <c r="AD1249" s="209">
        <v>8</v>
      </c>
      <c r="AE1249" s="209">
        <v>2025</v>
      </c>
      <c r="AF1249" s="227">
        <v>45870</v>
      </c>
      <c r="AG1249" s="227">
        <v>45877</v>
      </c>
      <c r="AH1249" s="227">
        <v>45876</v>
      </c>
      <c r="AI1249" s="228">
        <v>351936</v>
      </c>
      <c r="AJ1249" s="228">
        <v>52</v>
      </c>
      <c r="AK1249" s="228">
        <v>351936</v>
      </c>
      <c r="AL1249" s="228">
        <v>52</v>
      </c>
      <c r="AM1249" s="228">
        <v>0</v>
      </c>
      <c r="AN1249" s="228">
        <v>0</v>
      </c>
      <c r="AO1249" s="229">
        <v>32</v>
      </c>
      <c r="AP1249" s="231">
        <v>8</v>
      </c>
      <c r="AQ1249" s="231">
        <v>2025</v>
      </c>
      <c r="AR1249" s="231" t="str">
        <f t="shared" si="184"/>
        <v>08/2025</v>
      </c>
      <c r="AS1249" s="231">
        <f t="shared" si="185"/>
        <v>54.7</v>
      </c>
      <c r="AT1249" s="239">
        <f>IF(G1249="CERVECERIA Y MALTERIA",(AS1249*AK1249/1000000)*(1-VLOOKUP(N1249,FCST!D:I,6,FALSE)),0)</f>
        <v>19.250899199999999</v>
      </c>
      <c r="AU1249" s="232">
        <v>5.0000000000000001E-3</v>
      </c>
      <c r="AV1249" s="239">
        <f t="shared" si="186"/>
        <v>19.347153695999996</v>
      </c>
      <c r="AW1249" s="239">
        <f>(AS1249*AK1249/1000000)*(VLOOKUP(N1249,FCST!D:I,6,FALSE))</f>
        <v>0</v>
      </c>
      <c r="AX1249" s="239">
        <f t="shared" si="187"/>
        <v>0</v>
      </c>
      <c r="AY1249" s="239">
        <f>IF($G1249="CERVECERIA Y MALTERIA.",($AS1249*$AK1249/1000000)*(1-VLOOKUP($N1249,FCST!D:I,6,FALSE)),0)</f>
        <v>0</v>
      </c>
      <c r="AZ1249" s="239">
        <f t="shared" si="188"/>
        <v>0</v>
      </c>
    </row>
    <row r="1250" spans="1:52" x14ac:dyDescent="0.25">
      <c r="A1250" s="209">
        <v>1132109</v>
      </c>
      <c r="B1250" s="209">
        <v>90</v>
      </c>
      <c r="C1250" s="209">
        <v>89534297</v>
      </c>
      <c r="D1250" s="209">
        <v>10</v>
      </c>
      <c r="E1250" s="209">
        <v>10000002</v>
      </c>
      <c r="F1250" s="209">
        <v>20000335</v>
      </c>
      <c r="G1250" s="209" t="s">
        <v>105</v>
      </c>
      <c r="H1250" s="209">
        <v>20000335</v>
      </c>
      <c r="I1250" s="209">
        <v>2</v>
      </c>
      <c r="J1250" s="209" t="s">
        <v>169</v>
      </c>
      <c r="K1250" s="209" t="s">
        <v>2639</v>
      </c>
      <c r="L1250" s="209" t="s">
        <v>171</v>
      </c>
      <c r="M1250" s="209" t="s">
        <v>172</v>
      </c>
      <c r="N1250" s="209">
        <v>50025345</v>
      </c>
      <c r="O1250" s="209" t="s">
        <v>1998</v>
      </c>
      <c r="P1250" s="209">
        <v>5121</v>
      </c>
      <c r="Q1250" s="209" t="s">
        <v>174</v>
      </c>
      <c r="R1250" s="209" t="s">
        <v>175</v>
      </c>
      <c r="S1250" s="209" t="s">
        <v>176</v>
      </c>
      <c r="T1250" s="209" t="s">
        <v>177</v>
      </c>
      <c r="U1250" s="209" t="s">
        <v>178</v>
      </c>
      <c r="V1250" s="209" t="s">
        <v>179</v>
      </c>
      <c r="W1250" s="209" t="s">
        <v>179</v>
      </c>
      <c r="X1250" s="209" t="s">
        <v>180</v>
      </c>
      <c r="Y1250" s="209" t="s">
        <v>180</v>
      </c>
      <c r="Z1250" s="209">
        <v>9521069280</v>
      </c>
      <c r="AA1250" s="209" t="s">
        <v>2624</v>
      </c>
      <c r="AB1250" s="209" t="s">
        <v>180</v>
      </c>
      <c r="AC1250" s="209" t="s">
        <v>182</v>
      </c>
      <c r="AD1250" s="209">
        <v>8</v>
      </c>
      <c r="AE1250" s="209">
        <v>2025</v>
      </c>
      <c r="AF1250" s="227">
        <v>45870</v>
      </c>
      <c r="AG1250" s="227">
        <v>45877</v>
      </c>
      <c r="AH1250" s="227">
        <v>45877</v>
      </c>
      <c r="AI1250" s="228">
        <v>402192</v>
      </c>
      <c r="AJ1250" s="228">
        <v>49</v>
      </c>
      <c r="AK1250" s="228">
        <v>402192</v>
      </c>
      <c r="AL1250" s="228">
        <v>49</v>
      </c>
      <c r="AM1250" s="228">
        <v>0</v>
      </c>
      <c r="AN1250" s="228">
        <v>0</v>
      </c>
      <c r="AO1250" s="229">
        <v>31</v>
      </c>
      <c r="AP1250" s="231">
        <v>8</v>
      </c>
      <c r="AQ1250" s="231">
        <v>2025</v>
      </c>
      <c r="AR1250" s="231" t="str">
        <f t="shared" si="184"/>
        <v>08/2025</v>
      </c>
      <c r="AS1250" s="231">
        <f t="shared" si="185"/>
        <v>46.6</v>
      </c>
      <c r="AT1250" s="239">
        <f>IF(G1250="CERVECERIA Y MALTERIA",(AS1250*AK1250/1000000)*(1-VLOOKUP(N1250,FCST!D:I,6,FALSE)),0)</f>
        <v>18.742147199999998</v>
      </c>
      <c r="AU1250" s="232">
        <v>5.0000000000000001E-3</v>
      </c>
      <c r="AV1250" s="239">
        <f t="shared" si="186"/>
        <v>18.835857935999996</v>
      </c>
      <c r="AW1250" s="239">
        <f>(AS1250*AK1250/1000000)*(VLOOKUP(N1250,FCST!D:I,6,FALSE))</f>
        <v>0</v>
      </c>
      <c r="AX1250" s="239">
        <f t="shared" si="187"/>
        <v>0</v>
      </c>
      <c r="AY1250" s="239">
        <f>IF($G1250="CERVECERIA Y MALTERIA.",($AS1250*$AK1250/1000000)*(1-VLOOKUP($N1250,FCST!D:I,6,FALSE)),0)</f>
        <v>0</v>
      </c>
      <c r="AZ1250" s="239">
        <f t="shared" si="188"/>
        <v>0</v>
      </c>
    </row>
    <row r="1251" spans="1:52" x14ac:dyDescent="0.25">
      <c r="A1251" s="209">
        <v>1132110</v>
      </c>
      <c r="B1251" s="209">
        <v>60</v>
      </c>
      <c r="C1251" s="209">
        <v>89534232</v>
      </c>
      <c r="D1251" s="209">
        <v>10</v>
      </c>
      <c r="E1251" s="209">
        <v>10000002</v>
      </c>
      <c r="F1251" s="209">
        <v>20000340</v>
      </c>
      <c r="G1251" s="209" t="s">
        <v>117</v>
      </c>
      <c r="H1251" s="209">
        <v>20000340</v>
      </c>
      <c r="I1251" s="209">
        <v>2</v>
      </c>
      <c r="J1251" s="209" t="s">
        <v>169</v>
      </c>
      <c r="K1251" s="209" t="s">
        <v>2640</v>
      </c>
      <c r="L1251" s="209" t="s">
        <v>171</v>
      </c>
      <c r="M1251" s="209" t="s">
        <v>172</v>
      </c>
      <c r="N1251" s="209">
        <v>50038523</v>
      </c>
      <c r="O1251" s="209" t="s">
        <v>249</v>
      </c>
      <c r="P1251" s="209">
        <v>5101</v>
      </c>
      <c r="Q1251" s="209" t="s">
        <v>186</v>
      </c>
      <c r="R1251" s="209" t="s">
        <v>175</v>
      </c>
      <c r="S1251" s="209" t="s">
        <v>176</v>
      </c>
      <c r="T1251" s="209" t="s">
        <v>187</v>
      </c>
      <c r="U1251" s="209" t="s">
        <v>188</v>
      </c>
      <c r="V1251" s="209" t="s">
        <v>179</v>
      </c>
      <c r="W1251" s="209" t="s">
        <v>179</v>
      </c>
      <c r="X1251" s="209" t="s">
        <v>180</v>
      </c>
      <c r="Y1251" s="209" t="s">
        <v>180</v>
      </c>
      <c r="Z1251" s="209">
        <v>9511048269</v>
      </c>
      <c r="AA1251" s="209" t="s">
        <v>2608</v>
      </c>
      <c r="AB1251" s="209" t="s">
        <v>180</v>
      </c>
      <c r="AC1251" s="209" t="s">
        <v>182</v>
      </c>
      <c r="AD1251" s="209">
        <v>8</v>
      </c>
      <c r="AE1251" s="209">
        <v>2025</v>
      </c>
      <c r="AF1251" s="227">
        <v>45870</v>
      </c>
      <c r="AG1251" s="227">
        <v>45877</v>
      </c>
      <c r="AH1251" s="227">
        <v>45877</v>
      </c>
      <c r="AI1251" s="228">
        <v>606528</v>
      </c>
      <c r="AJ1251" s="228">
        <v>52</v>
      </c>
      <c r="AK1251" s="228">
        <v>606528</v>
      </c>
      <c r="AL1251" s="228">
        <v>52</v>
      </c>
      <c r="AM1251" s="228">
        <v>0</v>
      </c>
      <c r="AN1251" s="228">
        <v>0</v>
      </c>
      <c r="AO1251" s="229">
        <v>32</v>
      </c>
      <c r="AP1251" s="231">
        <v>8</v>
      </c>
      <c r="AQ1251" s="231">
        <v>2025</v>
      </c>
      <c r="AR1251" s="231" t="str">
        <f t="shared" si="184"/>
        <v>08/2025</v>
      </c>
      <c r="AS1251" s="231">
        <f t="shared" si="185"/>
        <v>30</v>
      </c>
      <c r="AT1251" s="239">
        <f>IF(G1251="CERVECERIA Y MALTERIA",(AS1251*AK1251/1000000)*(1-VLOOKUP(N1251,FCST!D:I,6,FALSE)),0)</f>
        <v>0</v>
      </c>
      <c r="AU1251" s="232">
        <v>5.0000000000000001E-3</v>
      </c>
      <c r="AV1251" s="239">
        <f t="shared" si="186"/>
        <v>0</v>
      </c>
      <c r="AW1251" s="239">
        <f>(AS1251*AK1251/1000000)*(VLOOKUP(N1251,FCST!D:I,6,FALSE))</f>
        <v>0</v>
      </c>
      <c r="AX1251" s="239">
        <f t="shared" si="187"/>
        <v>0</v>
      </c>
      <c r="AY1251" s="239">
        <f>IF($G1251="CERVECERIA Y MALTERIA.",($AS1251*$AK1251/1000000)*(1-VLOOKUP($N1251,FCST!D:I,6,FALSE)),0)</f>
        <v>18.19584</v>
      </c>
      <c r="AZ1251" s="239">
        <f t="shared" si="188"/>
        <v>18.2868192</v>
      </c>
    </row>
    <row r="1252" spans="1:52" x14ac:dyDescent="0.25">
      <c r="A1252" s="209">
        <v>1132436</v>
      </c>
      <c r="B1252" s="209">
        <v>20</v>
      </c>
      <c r="C1252" s="209">
        <v>89534980</v>
      </c>
      <c r="D1252" s="209">
        <v>10</v>
      </c>
      <c r="E1252" s="209">
        <v>10000002</v>
      </c>
      <c r="F1252" s="209">
        <v>20000336</v>
      </c>
      <c r="G1252" s="209" t="s">
        <v>105</v>
      </c>
      <c r="H1252" s="209">
        <v>20000336</v>
      </c>
      <c r="I1252" s="209">
        <v>2</v>
      </c>
      <c r="J1252" s="209" t="s">
        <v>169</v>
      </c>
      <c r="K1252" s="209" t="s">
        <v>2641</v>
      </c>
      <c r="L1252" s="209" t="s">
        <v>2610</v>
      </c>
      <c r="M1252" s="209" t="s">
        <v>199</v>
      </c>
      <c r="N1252" s="209">
        <v>50034616</v>
      </c>
      <c r="O1252" s="209" t="s">
        <v>191</v>
      </c>
      <c r="P1252" s="209">
        <v>5121</v>
      </c>
      <c r="Q1252" s="209" t="s">
        <v>200</v>
      </c>
      <c r="R1252" s="209" t="s">
        <v>201</v>
      </c>
      <c r="S1252" s="209" t="s">
        <v>202</v>
      </c>
      <c r="T1252" s="209" t="s">
        <v>203</v>
      </c>
      <c r="U1252" s="209" t="s">
        <v>201</v>
      </c>
      <c r="V1252" s="209" t="s">
        <v>179</v>
      </c>
      <c r="W1252" s="209" t="s">
        <v>179</v>
      </c>
      <c r="X1252" s="209" t="s">
        <v>180</v>
      </c>
      <c r="Y1252" s="209" t="s">
        <v>180</v>
      </c>
      <c r="Z1252" s="209">
        <v>9521069290</v>
      </c>
      <c r="AA1252" s="209" t="s">
        <v>2642</v>
      </c>
      <c r="AB1252" s="209" t="s">
        <v>180</v>
      </c>
      <c r="AC1252" s="209" t="s">
        <v>182</v>
      </c>
      <c r="AD1252" s="209">
        <v>8</v>
      </c>
      <c r="AE1252" s="209">
        <v>2025</v>
      </c>
      <c r="AF1252" s="227">
        <v>45874</v>
      </c>
      <c r="AG1252" s="227">
        <v>45877</v>
      </c>
      <c r="AH1252" s="227">
        <v>45877</v>
      </c>
      <c r="AI1252" s="228">
        <v>426816</v>
      </c>
      <c r="AJ1252" s="228">
        <v>52</v>
      </c>
      <c r="AK1252" s="228">
        <v>426816</v>
      </c>
      <c r="AL1252" s="228">
        <v>52</v>
      </c>
      <c r="AM1252" s="228">
        <v>0</v>
      </c>
      <c r="AN1252" s="228">
        <v>0</v>
      </c>
      <c r="AO1252" s="229">
        <v>32</v>
      </c>
      <c r="AP1252" s="231">
        <v>8</v>
      </c>
      <c r="AQ1252" s="231">
        <v>2025</v>
      </c>
      <c r="AR1252" s="231" t="str">
        <f t="shared" si="184"/>
        <v>08/2025</v>
      </c>
      <c r="AS1252" s="231">
        <f t="shared" si="185"/>
        <v>46.6</v>
      </c>
      <c r="AT1252" s="239">
        <f>IF(G1252="CERVECERIA Y MALTERIA",(AS1252*AK1252/1000000)*(1-VLOOKUP(N1252,FCST!D:I,6,FALSE)),0)</f>
        <v>19.889625600000002</v>
      </c>
      <c r="AU1252" s="232">
        <v>5.0000000000000001E-3</v>
      </c>
      <c r="AV1252" s="239">
        <f t="shared" si="186"/>
        <v>19.989073728000001</v>
      </c>
      <c r="AW1252" s="239">
        <f>(AS1252*AK1252/1000000)*(VLOOKUP(N1252,FCST!D:I,6,FALSE))</f>
        <v>0</v>
      </c>
      <c r="AX1252" s="239">
        <f t="shared" si="187"/>
        <v>0</v>
      </c>
      <c r="AY1252" s="239">
        <f>IF($G1252="CERVECERIA Y MALTERIA.",($AS1252*$AK1252/1000000)*(1-VLOOKUP($N1252,FCST!D:I,6,FALSE)),0)</f>
        <v>0</v>
      </c>
      <c r="AZ1252" s="239">
        <f t="shared" si="188"/>
        <v>0</v>
      </c>
    </row>
    <row r="1253" spans="1:52" x14ac:dyDescent="0.25">
      <c r="A1253" s="209">
        <v>1132109</v>
      </c>
      <c r="B1253" s="209">
        <v>100</v>
      </c>
      <c r="C1253" s="209">
        <v>89534345</v>
      </c>
      <c r="D1253" s="209">
        <v>10</v>
      </c>
      <c r="E1253" s="209">
        <v>10000002</v>
      </c>
      <c r="F1253" s="209">
        <v>20000335</v>
      </c>
      <c r="G1253" s="209" t="s">
        <v>105</v>
      </c>
      <c r="H1253" s="209">
        <v>20000335</v>
      </c>
      <c r="I1253" s="209">
        <v>2</v>
      </c>
      <c r="J1253" s="209" t="s">
        <v>169</v>
      </c>
      <c r="K1253" s="209" t="s">
        <v>2643</v>
      </c>
      <c r="L1253" s="209" t="s">
        <v>171</v>
      </c>
      <c r="M1253" s="209" t="s">
        <v>199</v>
      </c>
      <c r="N1253" s="209">
        <v>50024497</v>
      </c>
      <c r="O1253" s="209" t="s">
        <v>1352</v>
      </c>
      <c r="P1253" s="209">
        <v>5121</v>
      </c>
      <c r="Q1253" s="209" t="s">
        <v>200</v>
      </c>
      <c r="R1253" s="209" t="s">
        <v>201</v>
      </c>
      <c r="S1253" s="209" t="s">
        <v>202</v>
      </c>
      <c r="T1253" s="209" t="s">
        <v>203</v>
      </c>
      <c r="U1253" s="209" t="s">
        <v>201</v>
      </c>
      <c r="V1253" s="209" t="s">
        <v>179</v>
      </c>
      <c r="W1253" s="209" t="s">
        <v>179</v>
      </c>
      <c r="X1253" s="209" t="s">
        <v>180</v>
      </c>
      <c r="Y1253" s="209" t="s">
        <v>180</v>
      </c>
      <c r="Z1253" s="209">
        <v>9521069281</v>
      </c>
      <c r="AA1253" s="209" t="s">
        <v>2644</v>
      </c>
      <c r="AB1253" s="209" t="s">
        <v>180</v>
      </c>
      <c r="AC1253" s="209" t="s">
        <v>182</v>
      </c>
      <c r="AD1253" s="209">
        <v>8</v>
      </c>
      <c r="AE1253" s="209">
        <v>2025</v>
      </c>
      <c r="AF1253" s="227">
        <v>45870</v>
      </c>
      <c r="AG1253" s="227">
        <v>45877</v>
      </c>
      <c r="AH1253" s="227">
        <v>45877</v>
      </c>
      <c r="AI1253" s="228">
        <v>351936</v>
      </c>
      <c r="AJ1253" s="228">
        <v>52</v>
      </c>
      <c r="AK1253" s="228">
        <v>351936</v>
      </c>
      <c r="AL1253" s="228">
        <v>52</v>
      </c>
      <c r="AM1253" s="228">
        <v>0</v>
      </c>
      <c r="AN1253" s="228">
        <v>0</v>
      </c>
      <c r="AO1253" s="229">
        <v>31</v>
      </c>
      <c r="AP1253" s="231">
        <v>8</v>
      </c>
      <c r="AQ1253" s="231">
        <v>2025</v>
      </c>
      <c r="AR1253" s="231" t="str">
        <f t="shared" si="184"/>
        <v>08/2025</v>
      </c>
      <c r="AS1253" s="231">
        <f t="shared" si="185"/>
        <v>54.7</v>
      </c>
      <c r="AT1253" s="239">
        <f>IF(G1253="CERVECERIA Y MALTERIA",(AS1253*AK1253/1000000)*(1-VLOOKUP(N1253,FCST!D:I,6,FALSE)),0)</f>
        <v>19.250899199999999</v>
      </c>
      <c r="AU1253" s="232">
        <v>5.0000000000000001E-3</v>
      </c>
      <c r="AV1253" s="239">
        <f t="shared" si="186"/>
        <v>19.347153695999996</v>
      </c>
      <c r="AW1253" s="239">
        <f>(AS1253*AK1253/1000000)*(VLOOKUP(N1253,FCST!D:I,6,FALSE))</f>
        <v>0</v>
      </c>
      <c r="AX1253" s="239">
        <f t="shared" si="187"/>
        <v>0</v>
      </c>
      <c r="AY1253" s="239">
        <f>IF($G1253="CERVECERIA Y MALTERIA.",($AS1253*$AK1253/1000000)*(1-VLOOKUP($N1253,FCST!D:I,6,FALSE)),0)</f>
        <v>0</v>
      </c>
      <c r="AZ1253" s="239">
        <f t="shared" si="188"/>
        <v>0</v>
      </c>
    </row>
    <row r="1254" spans="1:52" x14ac:dyDescent="0.25">
      <c r="A1254" s="209">
        <v>1133484</v>
      </c>
      <c r="B1254" s="209">
        <v>10</v>
      </c>
      <c r="C1254" s="209">
        <v>89536196</v>
      </c>
      <c r="D1254" s="209">
        <v>10</v>
      </c>
      <c r="E1254" s="209">
        <v>10000002</v>
      </c>
      <c r="F1254" s="209">
        <v>20000340</v>
      </c>
      <c r="G1254" s="209" t="s">
        <v>117</v>
      </c>
      <c r="H1254" s="209">
        <v>20000340</v>
      </c>
      <c r="I1254" s="209">
        <v>2</v>
      </c>
      <c r="J1254" s="209" t="s">
        <v>169</v>
      </c>
      <c r="K1254" s="209" t="s">
        <v>2645</v>
      </c>
      <c r="L1254" s="209" t="s">
        <v>171</v>
      </c>
      <c r="M1254" s="209" t="s">
        <v>172</v>
      </c>
      <c r="N1254" s="209">
        <v>50038523</v>
      </c>
      <c r="O1254" s="209" t="s">
        <v>249</v>
      </c>
      <c r="P1254" s="209">
        <v>5101</v>
      </c>
      <c r="Q1254" s="209" t="s">
        <v>186</v>
      </c>
      <c r="R1254" s="209" t="s">
        <v>175</v>
      </c>
      <c r="S1254" s="209" t="s">
        <v>176</v>
      </c>
      <c r="T1254" s="209" t="s">
        <v>187</v>
      </c>
      <c r="U1254" s="209" t="s">
        <v>188</v>
      </c>
      <c r="V1254" s="209" t="s">
        <v>179</v>
      </c>
      <c r="W1254" s="209" t="s">
        <v>179</v>
      </c>
      <c r="X1254" s="209" t="s">
        <v>180</v>
      </c>
      <c r="Y1254" s="209" t="s">
        <v>180</v>
      </c>
      <c r="Z1254" s="209">
        <v>9511048269</v>
      </c>
      <c r="AA1254" s="209" t="s">
        <v>2608</v>
      </c>
      <c r="AB1254" s="209" t="s">
        <v>180</v>
      </c>
      <c r="AC1254" s="209" t="s">
        <v>182</v>
      </c>
      <c r="AD1254" s="209">
        <v>8</v>
      </c>
      <c r="AE1254" s="209">
        <v>2025</v>
      </c>
      <c r="AF1254" s="227">
        <v>45877</v>
      </c>
      <c r="AG1254" s="227">
        <v>45880</v>
      </c>
      <c r="AH1254" s="227">
        <v>45880</v>
      </c>
      <c r="AI1254" s="228">
        <v>606528</v>
      </c>
      <c r="AJ1254" s="228">
        <v>52</v>
      </c>
      <c r="AK1254" s="228">
        <v>606528</v>
      </c>
      <c r="AL1254" s="228">
        <v>52</v>
      </c>
      <c r="AM1254" s="228">
        <v>0</v>
      </c>
      <c r="AN1254" s="228">
        <v>0</v>
      </c>
      <c r="AO1254" s="229">
        <v>33</v>
      </c>
      <c r="AP1254" s="231">
        <v>8</v>
      </c>
      <c r="AQ1254" s="231">
        <v>2025</v>
      </c>
      <c r="AR1254" s="231" t="str">
        <f t="shared" si="184"/>
        <v>08/2025</v>
      </c>
      <c r="AS1254" s="231">
        <f t="shared" si="185"/>
        <v>30</v>
      </c>
      <c r="AT1254" s="239">
        <f>IF(G1254="CERVECERIA Y MALTERIA",(AS1254*AK1254/1000000)*(1-VLOOKUP(N1254,FCST!D:I,6,FALSE)),0)</f>
        <v>0</v>
      </c>
      <c r="AU1254" s="232">
        <v>5.0000000000000001E-3</v>
      </c>
      <c r="AV1254" s="239">
        <f t="shared" si="186"/>
        <v>0</v>
      </c>
      <c r="AW1254" s="239">
        <f>(AS1254*AK1254/1000000)*(VLOOKUP(N1254,FCST!D:I,6,FALSE))</f>
        <v>0</v>
      </c>
      <c r="AX1254" s="239">
        <f t="shared" si="187"/>
        <v>0</v>
      </c>
      <c r="AY1254" s="239">
        <f>IF($G1254="CERVECERIA Y MALTERIA.",($AS1254*$AK1254/1000000)*(1-VLOOKUP($N1254,FCST!D:I,6,FALSE)),0)</f>
        <v>18.19584</v>
      </c>
      <c r="AZ1254" s="239">
        <f t="shared" si="188"/>
        <v>18.2868192</v>
      </c>
    </row>
    <row r="1255" spans="1:52" x14ac:dyDescent="0.25">
      <c r="A1255" s="209">
        <v>1133481</v>
      </c>
      <c r="B1255" s="209">
        <v>20</v>
      </c>
      <c r="C1255" s="209">
        <v>89536191</v>
      </c>
      <c r="D1255" s="209">
        <v>10</v>
      </c>
      <c r="E1255" s="209">
        <v>10000002</v>
      </c>
      <c r="F1255" s="209">
        <v>20000335</v>
      </c>
      <c r="G1255" s="209" t="s">
        <v>105</v>
      </c>
      <c r="H1255" s="209">
        <v>20000335</v>
      </c>
      <c r="I1255" s="209">
        <v>2</v>
      </c>
      <c r="J1255" s="209" t="s">
        <v>169</v>
      </c>
      <c r="K1255" s="209" t="s">
        <v>2646</v>
      </c>
      <c r="L1255" s="209" t="s">
        <v>171</v>
      </c>
      <c r="M1255" s="209" t="s">
        <v>172</v>
      </c>
      <c r="N1255" s="209">
        <v>50024497</v>
      </c>
      <c r="O1255" s="209" t="s">
        <v>1352</v>
      </c>
      <c r="P1255" s="209">
        <v>5121</v>
      </c>
      <c r="Q1255" s="209" t="s">
        <v>174</v>
      </c>
      <c r="R1255" s="209" t="s">
        <v>175</v>
      </c>
      <c r="S1255" s="209" t="s">
        <v>176</v>
      </c>
      <c r="T1255" s="209" t="s">
        <v>177</v>
      </c>
      <c r="U1255" s="209" t="s">
        <v>178</v>
      </c>
      <c r="V1255" s="209" t="s">
        <v>179</v>
      </c>
      <c r="W1255" s="209" t="s">
        <v>179</v>
      </c>
      <c r="X1255" s="209" t="s">
        <v>180</v>
      </c>
      <c r="Y1255" s="209" t="s">
        <v>180</v>
      </c>
      <c r="Z1255" s="209">
        <v>9521069281</v>
      </c>
      <c r="AA1255" s="209" t="s">
        <v>2644</v>
      </c>
      <c r="AB1255" s="209" t="s">
        <v>180</v>
      </c>
      <c r="AC1255" s="209" t="s">
        <v>182</v>
      </c>
      <c r="AD1255" s="209">
        <v>8</v>
      </c>
      <c r="AE1255" s="209">
        <v>2025</v>
      </c>
      <c r="AF1255" s="227">
        <v>45877</v>
      </c>
      <c r="AG1255" s="227">
        <v>45880</v>
      </c>
      <c r="AH1255" s="227">
        <v>45880</v>
      </c>
      <c r="AI1255" s="228">
        <v>351936</v>
      </c>
      <c r="AJ1255" s="228">
        <v>52</v>
      </c>
      <c r="AK1255" s="228">
        <v>351936</v>
      </c>
      <c r="AL1255" s="228">
        <v>52</v>
      </c>
      <c r="AM1255" s="228">
        <v>0</v>
      </c>
      <c r="AN1255" s="228">
        <v>0</v>
      </c>
      <c r="AO1255" s="229">
        <v>33</v>
      </c>
      <c r="AP1255" s="231">
        <v>8</v>
      </c>
      <c r="AQ1255" s="231">
        <v>2025</v>
      </c>
      <c r="AR1255" s="231" t="str">
        <f t="shared" si="184"/>
        <v>08/2025</v>
      </c>
      <c r="AS1255" s="231">
        <f t="shared" si="185"/>
        <v>54.7</v>
      </c>
      <c r="AT1255" s="239">
        <f>IF(G1255="CERVECERIA Y MALTERIA",(AS1255*AK1255/1000000)*(1-VLOOKUP(N1255,FCST!D:I,6,FALSE)),0)</f>
        <v>19.250899199999999</v>
      </c>
      <c r="AU1255" s="232">
        <v>5.0000000000000001E-3</v>
      </c>
      <c r="AV1255" s="239">
        <f t="shared" si="186"/>
        <v>19.347153695999996</v>
      </c>
      <c r="AW1255" s="239">
        <f>(AS1255*AK1255/1000000)*(VLOOKUP(N1255,FCST!D:I,6,FALSE))</f>
        <v>0</v>
      </c>
      <c r="AX1255" s="239">
        <f t="shared" si="187"/>
        <v>0</v>
      </c>
      <c r="AY1255" s="239">
        <f>IF($G1255="CERVECERIA Y MALTERIA.",($AS1255*$AK1255/1000000)*(1-VLOOKUP($N1255,FCST!D:I,6,FALSE)),0)</f>
        <v>0</v>
      </c>
      <c r="AZ1255" s="239">
        <f t="shared" si="188"/>
        <v>0</v>
      </c>
    </row>
    <row r="1256" spans="1:52" x14ac:dyDescent="0.25">
      <c r="A1256" s="209">
        <v>1132436</v>
      </c>
      <c r="B1256" s="209">
        <v>30</v>
      </c>
      <c r="C1256" s="209">
        <v>89536685</v>
      </c>
      <c r="D1256" s="209">
        <v>10</v>
      </c>
      <c r="E1256" s="209">
        <v>10000002</v>
      </c>
      <c r="F1256" s="209">
        <v>20000336</v>
      </c>
      <c r="G1256" s="209" t="s">
        <v>105</v>
      </c>
      <c r="H1256" s="209">
        <v>20000336</v>
      </c>
      <c r="I1256" s="209">
        <v>2</v>
      </c>
      <c r="J1256" s="209" t="s">
        <v>169</v>
      </c>
      <c r="K1256" s="209" t="s">
        <v>2647</v>
      </c>
      <c r="L1256" s="209" t="s">
        <v>2610</v>
      </c>
      <c r="M1256" s="209" t="s">
        <v>184</v>
      </c>
      <c r="N1256" s="209">
        <v>50034616</v>
      </c>
      <c r="O1256" s="209" t="s">
        <v>191</v>
      </c>
      <c r="P1256" s="209">
        <v>5121</v>
      </c>
      <c r="Q1256" s="209" t="s">
        <v>174</v>
      </c>
      <c r="R1256" s="209" t="s">
        <v>175</v>
      </c>
      <c r="S1256" s="209" t="s">
        <v>176</v>
      </c>
      <c r="T1256" s="209" t="s">
        <v>177</v>
      </c>
      <c r="U1256" s="209" t="s">
        <v>178</v>
      </c>
      <c r="V1256" s="209" t="s">
        <v>179</v>
      </c>
      <c r="W1256" s="209" t="s">
        <v>179</v>
      </c>
      <c r="X1256" s="209" t="s">
        <v>180</v>
      </c>
      <c r="Y1256" s="209" t="s">
        <v>180</v>
      </c>
      <c r="Z1256" s="209">
        <v>9521069290</v>
      </c>
      <c r="AA1256" s="209" t="s">
        <v>2642</v>
      </c>
      <c r="AB1256" s="209" t="s">
        <v>180</v>
      </c>
      <c r="AC1256" s="209" t="s">
        <v>182</v>
      </c>
      <c r="AD1256" s="209">
        <v>8</v>
      </c>
      <c r="AE1256" s="209">
        <v>2025</v>
      </c>
      <c r="AF1256" s="227">
        <v>45874</v>
      </c>
      <c r="AG1256" s="227">
        <v>45880</v>
      </c>
      <c r="AH1256" s="227">
        <v>45880</v>
      </c>
      <c r="AI1256" s="228">
        <v>426816</v>
      </c>
      <c r="AJ1256" s="228">
        <v>52</v>
      </c>
      <c r="AK1256" s="228">
        <v>426816</v>
      </c>
      <c r="AL1256" s="228">
        <v>52</v>
      </c>
      <c r="AM1256" s="228">
        <v>0</v>
      </c>
      <c r="AN1256" s="228">
        <v>0</v>
      </c>
      <c r="AO1256" s="229">
        <v>32</v>
      </c>
      <c r="AP1256" s="231">
        <v>8</v>
      </c>
      <c r="AQ1256" s="231">
        <v>2025</v>
      </c>
      <c r="AR1256" s="231" t="str">
        <f t="shared" si="184"/>
        <v>08/2025</v>
      </c>
      <c r="AS1256" s="231">
        <f t="shared" si="185"/>
        <v>46.6</v>
      </c>
      <c r="AT1256" s="239">
        <f>IF(G1256="CERVECERIA Y MALTERIA",(AS1256*AK1256/1000000)*(1-VLOOKUP(N1256,FCST!D:I,6,FALSE)),0)</f>
        <v>19.889625600000002</v>
      </c>
      <c r="AU1256" s="232">
        <v>5.0000000000000001E-3</v>
      </c>
      <c r="AV1256" s="239">
        <f t="shared" si="186"/>
        <v>19.989073728000001</v>
      </c>
      <c r="AW1256" s="239">
        <f>(AS1256*AK1256/1000000)*(VLOOKUP(N1256,FCST!D:I,6,FALSE))</f>
        <v>0</v>
      </c>
      <c r="AX1256" s="239">
        <f t="shared" si="187"/>
        <v>0</v>
      </c>
      <c r="AY1256" s="239">
        <f>IF($G1256="CERVECERIA Y MALTERIA.",($AS1256*$AK1256/1000000)*(1-VLOOKUP($N1256,FCST!D:I,6,FALSE)),0)</f>
        <v>0</v>
      </c>
      <c r="AZ1256" s="239">
        <f t="shared" si="188"/>
        <v>0</v>
      </c>
    </row>
    <row r="1257" spans="1:52" x14ac:dyDescent="0.25">
      <c r="A1257" s="209">
        <v>1133481</v>
      </c>
      <c r="B1257" s="209">
        <v>10</v>
      </c>
      <c r="C1257" s="209">
        <v>89536413</v>
      </c>
      <c r="D1257" s="209">
        <v>10</v>
      </c>
      <c r="E1257" s="209">
        <v>10000002</v>
      </c>
      <c r="F1257" s="209">
        <v>20000335</v>
      </c>
      <c r="G1257" s="209" t="s">
        <v>105</v>
      </c>
      <c r="H1257" s="209">
        <v>20000335</v>
      </c>
      <c r="I1257" s="209">
        <v>2</v>
      </c>
      <c r="J1257" s="209" t="s">
        <v>169</v>
      </c>
      <c r="K1257" s="209" t="s">
        <v>2648</v>
      </c>
      <c r="L1257" s="209" t="s">
        <v>171</v>
      </c>
      <c r="M1257" s="209" t="s">
        <v>184</v>
      </c>
      <c r="N1257" s="209">
        <v>50037887</v>
      </c>
      <c r="O1257" s="209" t="s">
        <v>679</v>
      </c>
      <c r="P1257" s="209">
        <v>5121</v>
      </c>
      <c r="Q1257" s="209" t="s">
        <v>174</v>
      </c>
      <c r="R1257" s="209" t="s">
        <v>175</v>
      </c>
      <c r="S1257" s="209" t="s">
        <v>176</v>
      </c>
      <c r="T1257" s="209" t="s">
        <v>177</v>
      </c>
      <c r="U1257" s="209" t="s">
        <v>178</v>
      </c>
      <c r="V1257" s="209" t="s">
        <v>179</v>
      </c>
      <c r="W1257" s="209" t="s">
        <v>179</v>
      </c>
      <c r="X1257" s="209" t="s">
        <v>180</v>
      </c>
      <c r="Y1257" s="209" t="s">
        <v>180</v>
      </c>
      <c r="Z1257" s="209">
        <v>9521069291</v>
      </c>
      <c r="AA1257" s="209" t="s">
        <v>2604</v>
      </c>
      <c r="AB1257" s="209" t="s">
        <v>180</v>
      </c>
      <c r="AC1257" s="209" t="s">
        <v>182</v>
      </c>
      <c r="AD1257" s="209">
        <v>8</v>
      </c>
      <c r="AE1257" s="209">
        <v>2025</v>
      </c>
      <c r="AF1257" s="227">
        <v>45877</v>
      </c>
      <c r="AG1257" s="227">
        <v>45880</v>
      </c>
      <c r="AH1257" s="227">
        <v>45880</v>
      </c>
      <c r="AI1257" s="228">
        <v>531648</v>
      </c>
      <c r="AJ1257" s="228">
        <v>52</v>
      </c>
      <c r="AK1257" s="228">
        <v>531648</v>
      </c>
      <c r="AL1257" s="228">
        <v>52</v>
      </c>
      <c r="AM1257" s="228">
        <v>0</v>
      </c>
      <c r="AN1257" s="228">
        <v>0</v>
      </c>
      <c r="AO1257" s="229">
        <v>33</v>
      </c>
      <c r="AP1257" s="231">
        <v>8</v>
      </c>
      <c r="AQ1257" s="231">
        <v>2025</v>
      </c>
      <c r="AR1257" s="231" t="str">
        <f t="shared" si="184"/>
        <v>08/2025</v>
      </c>
      <c r="AS1257" s="231">
        <f t="shared" si="185"/>
        <v>37.200000000000003</v>
      </c>
      <c r="AT1257" s="239">
        <f>IF(G1257="CERVECERIA Y MALTERIA",(AS1257*AK1257/1000000)*(1-VLOOKUP(N1257,FCST!D:I,6,FALSE)),0)</f>
        <v>19.777305600000002</v>
      </c>
      <c r="AU1257" s="232">
        <v>5.0000000000000001E-3</v>
      </c>
      <c r="AV1257" s="239">
        <f t="shared" si="186"/>
        <v>19.876192128</v>
      </c>
      <c r="AW1257" s="239">
        <f>(AS1257*AK1257/1000000)*(VLOOKUP(N1257,FCST!D:I,6,FALSE))</f>
        <v>0</v>
      </c>
      <c r="AX1257" s="239">
        <f t="shared" si="187"/>
        <v>0</v>
      </c>
      <c r="AY1257" s="239">
        <f>IF($G1257="CERVECERIA Y MALTERIA.",($AS1257*$AK1257/1000000)*(1-VLOOKUP($N1257,FCST!D:I,6,FALSE)),0)</f>
        <v>0</v>
      </c>
      <c r="AZ1257" s="239">
        <f t="shared" si="188"/>
        <v>0</v>
      </c>
    </row>
    <row r="1258" spans="1:52" x14ac:dyDescent="0.25">
      <c r="A1258" s="209">
        <v>1132112</v>
      </c>
      <c r="B1258" s="209">
        <v>50</v>
      </c>
      <c r="C1258" s="209">
        <v>89536231</v>
      </c>
      <c r="D1258" s="209">
        <v>10</v>
      </c>
      <c r="E1258" s="209">
        <v>10000002</v>
      </c>
      <c r="F1258" s="209">
        <v>20000337</v>
      </c>
      <c r="G1258" s="209" t="s">
        <v>105</v>
      </c>
      <c r="H1258" s="209">
        <v>20000337</v>
      </c>
      <c r="I1258" s="209">
        <v>2</v>
      </c>
      <c r="J1258" s="209" t="s">
        <v>169</v>
      </c>
      <c r="K1258" s="209" t="s">
        <v>2649</v>
      </c>
      <c r="L1258" s="209" t="s">
        <v>171</v>
      </c>
      <c r="M1258" s="209" t="s">
        <v>199</v>
      </c>
      <c r="N1258" s="209">
        <v>50024497</v>
      </c>
      <c r="O1258" s="209" t="s">
        <v>1352</v>
      </c>
      <c r="P1258" s="209">
        <v>5121</v>
      </c>
      <c r="Q1258" s="209" t="s">
        <v>200</v>
      </c>
      <c r="R1258" s="209" t="s">
        <v>201</v>
      </c>
      <c r="S1258" s="209" t="s">
        <v>202</v>
      </c>
      <c r="T1258" s="209" t="s">
        <v>203</v>
      </c>
      <c r="U1258" s="209" t="s">
        <v>201</v>
      </c>
      <c r="V1258" s="209" t="s">
        <v>179</v>
      </c>
      <c r="W1258" s="209" t="s">
        <v>179</v>
      </c>
      <c r="X1258" s="209" t="s">
        <v>180</v>
      </c>
      <c r="Y1258" s="209" t="s">
        <v>180</v>
      </c>
      <c r="Z1258" s="209">
        <v>9521069296</v>
      </c>
      <c r="AA1258" s="209" t="s">
        <v>2650</v>
      </c>
      <c r="AB1258" s="209" t="s">
        <v>180</v>
      </c>
      <c r="AC1258" s="209" t="s">
        <v>182</v>
      </c>
      <c r="AD1258" s="209">
        <v>8</v>
      </c>
      <c r="AE1258" s="209">
        <v>2025</v>
      </c>
      <c r="AF1258" s="227">
        <v>45870</v>
      </c>
      <c r="AG1258" s="227">
        <v>45880</v>
      </c>
      <c r="AH1258" s="227">
        <v>45880</v>
      </c>
      <c r="AI1258" s="228">
        <v>324864</v>
      </c>
      <c r="AJ1258" s="228">
        <v>48</v>
      </c>
      <c r="AK1258" s="228">
        <v>324864</v>
      </c>
      <c r="AL1258" s="228">
        <v>48</v>
      </c>
      <c r="AM1258" s="228">
        <v>0</v>
      </c>
      <c r="AN1258" s="228">
        <v>0</v>
      </c>
      <c r="AO1258" s="229">
        <v>32</v>
      </c>
      <c r="AP1258" s="231">
        <v>8</v>
      </c>
      <c r="AQ1258" s="231">
        <v>2025</v>
      </c>
      <c r="AR1258" s="231" t="str">
        <f t="shared" si="184"/>
        <v>08/2025</v>
      </c>
      <c r="AS1258" s="231">
        <f t="shared" si="185"/>
        <v>54.7</v>
      </c>
      <c r="AT1258" s="239">
        <f>IF(G1258="CERVECERIA Y MALTERIA",(AS1258*AK1258/1000000)*(1-VLOOKUP(N1258,FCST!D:I,6,FALSE)),0)</f>
        <v>17.7700608</v>
      </c>
      <c r="AU1258" s="232">
        <v>5.0000000000000001E-3</v>
      </c>
      <c r="AV1258" s="239">
        <f t="shared" si="186"/>
        <v>17.858911103999997</v>
      </c>
      <c r="AW1258" s="239">
        <f>(AS1258*AK1258/1000000)*(VLOOKUP(N1258,FCST!D:I,6,FALSE))</f>
        <v>0</v>
      </c>
      <c r="AX1258" s="239">
        <f t="shared" si="187"/>
        <v>0</v>
      </c>
      <c r="AY1258" s="239">
        <f>IF($G1258="CERVECERIA Y MALTERIA.",($AS1258*$AK1258/1000000)*(1-VLOOKUP($N1258,FCST!D:I,6,FALSE)),0)</f>
        <v>0</v>
      </c>
      <c r="AZ1258" s="239">
        <f t="shared" si="188"/>
        <v>0</v>
      </c>
    </row>
    <row r="1259" spans="1:52" x14ac:dyDescent="0.25">
      <c r="A1259" s="209">
        <v>1133484</v>
      </c>
      <c r="B1259" s="209">
        <v>40</v>
      </c>
      <c r="C1259" s="209">
        <v>89536920</v>
      </c>
      <c r="D1259" s="209">
        <v>10</v>
      </c>
      <c r="E1259" s="209">
        <v>10000002</v>
      </c>
      <c r="F1259" s="209">
        <v>20000340</v>
      </c>
      <c r="G1259" s="209" t="s">
        <v>117</v>
      </c>
      <c r="H1259" s="209">
        <v>20000340</v>
      </c>
      <c r="I1259" s="209">
        <v>2</v>
      </c>
      <c r="J1259" s="209" t="s">
        <v>169</v>
      </c>
      <c r="K1259" s="209" t="s">
        <v>2651</v>
      </c>
      <c r="L1259" s="209" t="s">
        <v>171</v>
      </c>
      <c r="M1259" s="209" t="s">
        <v>172</v>
      </c>
      <c r="N1259" s="209">
        <v>50025163</v>
      </c>
      <c r="O1259" s="209" t="s">
        <v>185</v>
      </c>
      <c r="P1259" s="209">
        <v>5101</v>
      </c>
      <c r="Q1259" s="209" t="s">
        <v>186</v>
      </c>
      <c r="R1259" s="209" t="s">
        <v>175</v>
      </c>
      <c r="S1259" s="209" t="s">
        <v>176</v>
      </c>
      <c r="T1259" s="209" t="s">
        <v>187</v>
      </c>
      <c r="U1259" s="209" t="s">
        <v>188</v>
      </c>
      <c r="V1259" s="209" t="s">
        <v>179</v>
      </c>
      <c r="W1259" s="209" t="s">
        <v>179</v>
      </c>
      <c r="X1259" s="209" t="s">
        <v>180</v>
      </c>
      <c r="Y1259" s="209" t="s">
        <v>180</v>
      </c>
      <c r="Z1259" s="209">
        <v>9511048266</v>
      </c>
      <c r="AA1259" s="209" t="s">
        <v>2652</v>
      </c>
      <c r="AB1259" s="209" t="s">
        <v>180</v>
      </c>
      <c r="AC1259" s="209" t="s">
        <v>182</v>
      </c>
      <c r="AD1259" s="209">
        <v>8</v>
      </c>
      <c r="AE1259" s="209">
        <v>2025</v>
      </c>
      <c r="AF1259" s="227">
        <v>45877</v>
      </c>
      <c r="AG1259" s="227">
        <v>45881</v>
      </c>
      <c r="AH1259" s="227">
        <v>45881</v>
      </c>
      <c r="AI1259" s="228">
        <v>606528</v>
      </c>
      <c r="AJ1259" s="228">
        <v>52</v>
      </c>
      <c r="AK1259" s="228">
        <v>606528</v>
      </c>
      <c r="AL1259" s="228">
        <v>52</v>
      </c>
      <c r="AM1259" s="228">
        <v>0</v>
      </c>
      <c r="AN1259" s="228">
        <v>0</v>
      </c>
      <c r="AO1259" s="229">
        <v>33</v>
      </c>
      <c r="AP1259" s="231">
        <v>8</v>
      </c>
      <c r="AQ1259" s="231">
        <v>2025</v>
      </c>
      <c r="AR1259" s="231" t="str">
        <f t="shared" si="184"/>
        <v>08/2025</v>
      </c>
      <c r="AS1259" s="231">
        <f t="shared" si="185"/>
        <v>30</v>
      </c>
      <c r="AT1259" s="239">
        <f>IF(G1259="CERVECERIA Y MALTERIA",(AS1259*AK1259/1000000)*(1-VLOOKUP(N1259,FCST!D:I,6,FALSE)),0)</f>
        <v>0</v>
      </c>
      <c r="AU1259" s="232">
        <v>5.0000000000000001E-3</v>
      </c>
      <c r="AV1259" s="239">
        <f t="shared" si="186"/>
        <v>0</v>
      </c>
      <c r="AW1259" s="239">
        <f>(AS1259*AK1259/1000000)*(VLOOKUP(N1259,FCST!D:I,6,FALSE))</f>
        <v>0</v>
      </c>
      <c r="AX1259" s="239">
        <f t="shared" si="187"/>
        <v>0</v>
      </c>
      <c r="AY1259" s="239">
        <f>IF($G1259="CERVECERIA Y MALTERIA.",($AS1259*$AK1259/1000000)*(1-VLOOKUP($N1259,FCST!D:I,6,FALSE)),0)</f>
        <v>18.19584</v>
      </c>
      <c r="AZ1259" s="239">
        <f t="shared" si="188"/>
        <v>18.2868192</v>
      </c>
    </row>
    <row r="1260" spans="1:52" x14ac:dyDescent="0.25">
      <c r="A1260" s="209">
        <v>1133484</v>
      </c>
      <c r="B1260" s="209">
        <v>30</v>
      </c>
      <c r="C1260" s="209">
        <v>89537094</v>
      </c>
      <c r="D1260" s="209">
        <v>10</v>
      </c>
      <c r="E1260" s="209">
        <v>10000002</v>
      </c>
      <c r="F1260" s="209">
        <v>20000340</v>
      </c>
      <c r="G1260" s="209" t="s">
        <v>117</v>
      </c>
      <c r="H1260" s="209">
        <v>20000340</v>
      </c>
      <c r="I1260" s="209">
        <v>2</v>
      </c>
      <c r="J1260" s="209" t="s">
        <v>169</v>
      </c>
      <c r="K1260" s="209" t="s">
        <v>2653</v>
      </c>
      <c r="L1260" s="209" t="s">
        <v>171</v>
      </c>
      <c r="M1260" s="209" t="s">
        <v>172</v>
      </c>
      <c r="N1260" s="209">
        <v>50025163</v>
      </c>
      <c r="O1260" s="209" t="s">
        <v>185</v>
      </c>
      <c r="P1260" s="209">
        <v>5101</v>
      </c>
      <c r="Q1260" s="209" t="s">
        <v>186</v>
      </c>
      <c r="R1260" s="209" t="s">
        <v>175</v>
      </c>
      <c r="S1260" s="209" t="s">
        <v>176</v>
      </c>
      <c r="T1260" s="209" t="s">
        <v>187</v>
      </c>
      <c r="U1260" s="209" t="s">
        <v>188</v>
      </c>
      <c r="V1260" s="209" t="s">
        <v>179</v>
      </c>
      <c r="W1260" s="209" t="s">
        <v>179</v>
      </c>
      <c r="X1260" s="209" t="s">
        <v>180</v>
      </c>
      <c r="Y1260" s="209" t="s">
        <v>180</v>
      </c>
      <c r="Z1260" s="209">
        <v>9511048266</v>
      </c>
      <c r="AA1260" s="209" t="s">
        <v>2652</v>
      </c>
      <c r="AB1260" s="209" t="s">
        <v>180</v>
      </c>
      <c r="AC1260" s="209" t="s">
        <v>182</v>
      </c>
      <c r="AD1260" s="209">
        <v>8</v>
      </c>
      <c r="AE1260" s="209">
        <v>2025</v>
      </c>
      <c r="AF1260" s="227">
        <v>45877</v>
      </c>
      <c r="AG1260" s="227">
        <v>45881</v>
      </c>
      <c r="AH1260" s="227">
        <v>45881</v>
      </c>
      <c r="AI1260" s="228">
        <v>606528</v>
      </c>
      <c r="AJ1260" s="228">
        <v>52</v>
      </c>
      <c r="AK1260" s="228">
        <v>606528</v>
      </c>
      <c r="AL1260" s="228">
        <v>52</v>
      </c>
      <c r="AM1260" s="228">
        <v>0</v>
      </c>
      <c r="AN1260" s="228">
        <v>0</v>
      </c>
      <c r="AO1260" s="229">
        <v>33</v>
      </c>
      <c r="AP1260" s="231">
        <v>8</v>
      </c>
      <c r="AQ1260" s="231">
        <v>2025</v>
      </c>
      <c r="AR1260" s="231" t="str">
        <f t="shared" si="184"/>
        <v>08/2025</v>
      </c>
      <c r="AS1260" s="231">
        <f t="shared" si="185"/>
        <v>30</v>
      </c>
      <c r="AT1260" s="239">
        <f>IF(G1260="CERVECERIA Y MALTERIA",(AS1260*AK1260/1000000)*(1-VLOOKUP(N1260,FCST!D:I,6,FALSE)),0)</f>
        <v>0</v>
      </c>
      <c r="AU1260" s="232">
        <v>5.0000000000000001E-3</v>
      </c>
      <c r="AV1260" s="239">
        <f t="shared" si="186"/>
        <v>0</v>
      </c>
      <c r="AW1260" s="239">
        <f>(AS1260*AK1260/1000000)*(VLOOKUP(N1260,FCST!D:I,6,FALSE))</f>
        <v>0</v>
      </c>
      <c r="AX1260" s="239">
        <f t="shared" si="187"/>
        <v>0</v>
      </c>
      <c r="AY1260" s="239">
        <f>IF($G1260="CERVECERIA Y MALTERIA.",($AS1260*$AK1260/1000000)*(1-VLOOKUP($N1260,FCST!D:I,6,FALSE)),0)</f>
        <v>18.19584</v>
      </c>
      <c r="AZ1260" s="239">
        <f t="shared" si="188"/>
        <v>18.2868192</v>
      </c>
    </row>
    <row r="1261" spans="1:52" x14ac:dyDescent="0.25">
      <c r="A1261" s="209">
        <v>1133484</v>
      </c>
      <c r="B1261" s="209">
        <v>20</v>
      </c>
      <c r="C1261" s="209">
        <v>89537036</v>
      </c>
      <c r="D1261" s="209">
        <v>10</v>
      </c>
      <c r="E1261" s="209">
        <v>10000002</v>
      </c>
      <c r="F1261" s="209">
        <v>20000340</v>
      </c>
      <c r="G1261" s="209" t="s">
        <v>117</v>
      </c>
      <c r="H1261" s="209">
        <v>20000340</v>
      </c>
      <c r="I1261" s="209">
        <v>2</v>
      </c>
      <c r="J1261" s="209" t="s">
        <v>169</v>
      </c>
      <c r="K1261" s="209" t="s">
        <v>2654</v>
      </c>
      <c r="L1261" s="209" t="s">
        <v>171</v>
      </c>
      <c r="M1261" s="209" t="s">
        <v>172</v>
      </c>
      <c r="N1261" s="209">
        <v>50038523</v>
      </c>
      <c r="O1261" s="209" t="s">
        <v>249</v>
      </c>
      <c r="P1261" s="209">
        <v>5101</v>
      </c>
      <c r="Q1261" s="209" t="s">
        <v>186</v>
      </c>
      <c r="R1261" s="209" t="s">
        <v>175</v>
      </c>
      <c r="S1261" s="209" t="s">
        <v>176</v>
      </c>
      <c r="T1261" s="209" t="s">
        <v>187</v>
      </c>
      <c r="U1261" s="209" t="s">
        <v>188</v>
      </c>
      <c r="V1261" s="209" t="s">
        <v>179</v>
      </c>
      <c r="W1261" s="209" t="s">
        <v>179</v>
      </c>
      <c r="X1261" s="209" t="s">
        <v>180</v>
      </c>
      <c r="Y1261" s="209" t="s">
        <v>180</v>
      </c>
      <c r="Z1261" s="209">
        <v>9511048269</v>
      </c>
      <c r="AA1261" s="209" t="s">
        <v>2608</v>
      </c>
      <c r="AB1261" s="209" t="s">
        <v>180</v>
      </c>
      <c r="AC1261" s="209" t="s">
        <v>182</v>
      </c>
      <c r="AD1261" s="209">
        <v>8</v>
      </c>
      <c r="AE1261" s="209">
        <v>2025</v>
      </c>
      <c r="AF1261" s="227">
        <v>45877</v>
      </c>
      <c r="AG1261" s="227">
        <v>45881</v>
      </c>
      <c r="AH1261" s="227">
        <v>45881</v>
      </c>
      <c r="AI1261" s="228">
        <v>139968</v>
      </c>
      <c r="AJ1261" s="228">
        <v>12</v>
      </c>
      <c r="AK1261" s="228">
        <v>139968</v>
      </c>
      <c r="AL1261" s="228">
        <v>12</v>
      </c>
      <c r="AM1261" s="228">
        <v>0</v>
      </c>
      <c r="AN1261" s="228">
        <v>0</v>
      </c>
      <c r="AO1261" s="229">
        <v>33</v>
      </c>
      <c r="AP1261" s="231">
        <v>8</v>
      </c>
      <c r="AQ1261" s="231">
        <v>2025</v>
      </c>
      <c r="AR1261" s="231" t="str">
        <f t="shared" si="184"/>
        <v>08/2025</v>
      </c>
      <c r="AS1261" s="231">
        <f t="shared" si="185"/>
        <v>30</v>
      </c>
      <c r="AT1261" s="239">
        <f>IF(G1261="CERVECERIA Y MALTERIA",(AS1261*AK1261/1000000)*(1-VLOOKUP(N1261,FCST!D:I,6,FALSE)),0)</f>
        <v>0</v>
      </c>
      <c r="AU1261" s="232">
        <v>5.0000000000000001E-3</v>
      </c>
      <c r="AV1261" s="239">
        <f t="shared" si="186"/>
        <v>0</v>
      </c>
      <c r="AW1261" s="239">
        <f>(AS1261*AK1261/1000000)*(VLOOKUP(N1261,FCST!D:I,6,FALSE))</f>
        <v>0</v>
      </c>
      <c r="AX1261" s="239">
        <f t="shared" si="187"/>
        <v>0</v>
      </c>
      <c r="AY1261" s="239">
        <f>IF($G1261="CERVECERIA Y MALTERIA.",($AS1261*$AK1261/1000000)*(1-VLOOKUP($N1261,FCST!D:I,6,FALSE)),0)</f>
        <v>4.1990400000000001</v>
      </c>
      <c r="AZ1261" s="239">
        <f t="shared" si="188"/>
        <v>4.2200351999999999</v>
      </c>
    </row>
    <row r="1262" spans="1:52" x14ac:dyDescent="0.25">
      <c r="A1262" s="209">
        <v>1133481</v>
      </c>
      <c r="B1262" s="209">
        <v>30</v>
      </c>
      <c r="C1262" s="209">
        <v>89537035</v>
      </c>
      <c r="D1262" s="209">
        <v>10</v>
      </c>
      <c r="E1262" s="209">
        <v>10000002</v>
      </c>
      <c r="F1262" s="209">
        <v>20000335</v>
      </c>
      <c r="G1262" s="209" t="s">
        <v>105</v>
      </c>
      <c r="H1262" s="209">
        <v>20000335</v>
      </c>
      <c r="I1262" s="209">
        <v>2</v>
      </c>
      <c r="J1262" s="209" t="s">
        <v>169</v>
      </c>
      <c r="K1262" s="209" t="s">
        <v>2655</v>
      </c>
      <c r="L1262" s="209" t="s">
        <v>171</v>
      </c>
      <c r="M1262" s="209" t="s">
        <v>172</v>
      </c>
      <c r="N1262" s="209">
        <v>50037887</v>
      </c>
      <c r="O1262" s="209" t="s">
        <v>679</v>
      </c>
      <c r="P1262" s="209">
        <v>5121</v>
      </c>
      <c r="Q1262" s="209" t="s">
        <v>174</v>
      </c>
      <c r="R1262" s="209" t="s">
        <v>175</v>
      </c>
      <c r="S1262" s="209" t="s">
        <v>176</v>
      </c>
      <c r="T1262" s="209" t="s">
        <v>177</v>
      </c>
      <c r="U1262" s="209" t="s">
        <v>178</v>
      </c>
      <c r="V1262" s="209" t="s">
        <v>179</v>
      </c>
      <c r="W1262" s="209" t="s">
        <v>179</v>
      </c>
      <c r="X1262" s="209" t="s">
        <v>180</v>
      </c>
      <c r="Y1262" s="209" t="s">
        <v>180</v>
      </c>
      <c r="Z1262" s="209">
        <v>9521069291</v>
      </c>
      <c r="AA1262" s="209" t="s">
        <v>2604</v>
      </c>
      <c r="AB1262" s="209" t="s">
        <v>180</v>
      </c>
      <c r="AC1262" s="209" t="s">
        <v>182</v>
      </c>
      <c r="AD1262" s="209">
        <v>8</v>
      </c>
      <c r="AE1262" s="209">
        <v>2025</v>
      </c>
      <c r="AF1262" s="227">
        <v>45877</v>
      </c>
      <c r="AG1262" s="227">
        <v>45881</v>
      </c>
      <c r="AH1262" s="227">
        <v>45881</v>
      </c>
      <c r="AI1262" s="228">
        <v>408960</v>
      </c>
      <c r="AJ1262" s="228">
        <v>40</v>
      </c>
      <c r="AK1262" s="228">
        <v>408960</v>
      </c>
      <c r="AL1262" s="228">
        <v>40</v>
      </c>
      <c r="AM1262" s="228">
        <v>0</v>
      </c>
      <c r="AN1262" s="228">
        <v>0</v>
      </c>
      <c r="AO1262" s="229">
        <v>33</v>
      </c>
      <c r="AP1262" s="231">
        <v>8</v>
      </c>
      <c r="AQ1262" s="231">
        <v>2025</v>
      </c>
      <c r="AR1262" s="231" t="str">
        <f t="shared" si="184"/>
        <v>08/2025</v>
      </c>
      <c r="AS1262" s="231">
        <f t="shared" si="185"/>
        <v>37.200000000000003</v>
      </c>
      <c r="AT1262" s="239">
        <f>IF(G1262="CERVECERIA Y MALTERIA",(AS1262*AK1262/1000000)*(1-VLOOKUP(N1262,FCST!D:I,6,FALSE)),0)</f>
        <v>15.213312000000002</v>
      </c>
      <c r="AU1262" s="232">
        <v>5.0000000000000001E-3</v>
      </c>
      <c r="AV1262" s="239">
        <f t="shared" si="186"/>
        <v>15.289378560000001</v>
      </c>
      <c r="AW1262" s="239">
        <f>(AS1262*AK1262/1000000)*(VLOOKUP(N1262,FCST!D:I,6,FALSE))</f>
        <v>0</v>
      </c>
      <c r="AX1262" s="239">
        <f t="shared" si="187"/>
        <v>0</v>
      </c>
      <c r="AY1262" s="239">
        <f>IF($G1262="CERVECERIA Y MALTERIA.",($AS1262*$AK1262/1000000)*(1-VLOOKUP($N1262,FCST!D:I,6,FALSE)),0)</f>
        <v>0</v>
      </c>
      <c r="AZ1262" s="239">
        <f t="shared" si="188"/>
        <v>0</v>
      </c>
    </row>
    <row r="1263" spans="1:52" x14ac:dyDescent="0.25">
      <c r="A1263" s="209">
        <v>1133931</v>
      </c>
      <c r="B1263" s="209">
        <v>20</v>
      </c>
      <c r="C1263" s="209">
        <v>89537465</v>
      </c>
      <c r="D1263" s="209">
        <v>20</v>
      </c>
      <c r="E1263" s="209">
        <v>10000002</v>
      </c>
      <c r="F1263" s="209">
        <v>20000337</v>
      </c>
      <c r="G1263" s="209" t="s">
        <v>105</v>
      </c>
      <c r="H1263" s="209">
        <v>20000337</v>
      </c>
      <c r="I1263" s="209">
        <v>2</v>
      </c>
      <c r="J1263" s="209" t="s">
        <v>169</v>
      </c>
      <c r="K1263" s="209" t="s">
        <v>2656</v>
      </c>
      <c r="L1263" s="209" t="s">
        <v>2610</v>
      </c>
      <c r="M1263" s="209" t="s">
        <v>199</v>
      </c>
      <c r="N1263" s="209">
        <v>50024497</v>
      </c>
      <c r="O1263" s="209" t="s">
        <v>1352</v>
      </c>
      <c r="P1263" s="209">
        <v>5121</v>
      </c>
      <c r="Q1263" s="209" t="s">
        <v>200</v>
      </c>
      <c r="R1263" s="209" t="s">
        <v>201</v>
      </c>
      <c r="S1263" s="209" t="s">
        <v>202</v>
      </c>
      <c r="T1263" s="209" t="s">
        <v>203</v>
      </c>
      <c r="U1263" s="209" t="s">
        <v>201</v>
      </c>
      <c r="V1263" s="209" t="s">
        <v>179</v>
      </c>
      <c r="W1263" s="209" t="s">
        <v>179</v>
      </c>
      <c r="X1263" s="209" t="s">
        <v>180</v>
      </c>
      <c r="Y1263" s="209" t="s">
        <v>180</v>
      </c>
      <c r="Z1263" s="209">
        <v>9521069277</v>
      </c>
      <c r="AA1263" s="209" t="s">
        <v>2657</v>
      </c>
      <c r="AB1263" s="209" t="s">
        <v>180</v>
      </c>
      <c r="AC1263" s="209" t="s">
        <v>182</v>
      </c>
      <c r="AD1263" s="209">
        <v>8</v>
      </c>
      <c r="AE1263" s="209">
        <v>2025</v>
      </c>
      <c r="AF1263" s="227">
        <v>45881</v>
      </c>
      <c r="AG1263" s="227">
        <v>45882</v>
      </c>
      <c r="AH1263" s="227">
        <v>45881</v>
      </c>
      <c r="AI1263" s="228">
        <v>135360</v>
      </c>
      <c r="AJ1263" s="228">
        <v>20</v>
      </c>
      <c r="AK1263" s="228">
        <v>135360</v>
      </c>
      <c r="AL1263" s="228">
        <v>20</v>
      </c>
      <c r="AM1263" s="228">
        <v>0</v>
      </c>
      <c r="AN1263" s="228">
        <v>0</v>
      </c>
      <c r="AO1263" s="229">
        <v>33</v>
      </c>
      <c r="AP1263" s="231">
        <v>8</v>
      </c>
      <c r="AQ1263" s="231">
        <v>2025</v>
      </c>
      <c r="AR1263" s="231" t="str">
        <f t="shared" si="184"/>
        <v>08/2025</v>
      </c>
      <c r="AS1263" s="231">
        <f t="shared" si="185"/>
        <v>54.7</v>
      </c>
      <c r="AT1263" s="239">
        <f>IF(G1263="CERVECERIA Y MALTERIA",(AS1263*AK1263/1000000)*(1-VLOOKUP(N1263,FCST!D:I,6,FALSE)),0)</f>
        <v>7.4041920000000001</v>
      </c>
      <c r="AU1263" s="232">
        <v>5.0000000000000001E-3</v>
      </c>
      <c r="AV1263" s="239">
        <f t="shared" si="186"/>
        <v>7.4412129599999997</v>
      </c>
      <c r="AW1263" s="239">
        <f>(AS1263*AK1263/1000000)*(VLOOKUP(N1263,FCST!D:I,6,FALSE))</f>
        <v>0</v>
      </c>
      <c r="AX1263" s="239">
        <f t="shared" si="187"/>
        <v>0</v>
      </c>
      <c r="AY1263" s="239">
        <f>IF($G1263="CERVECERIA Y MALTERIA.",($AS1263*$AK1263/1000000)*(1-VLOOKUP($N1263,FCST!D:I,6,FALSE)),0)</f>
        <v>0</v>
      </c>
      <c r="AZ1263" s="239">
        <f t="shared" si="188"/>
        <v>0</v>
      </c>
    </row>
    <row r="1264" spans="1:52" x14ac:dyDescent="0.25">
      <c r="A1264" s="209">
        <v>1133931</v>
      </c>
      <c r="B1264" s="209">
        <v>10</v>
      </c>
      <c r="C1264" s="209">
        <v>89537465</v>
      </c>
      <c r="D1264" s="209">
        <v>10</v>
      </c>
      <c r="E1264" s="209">
        <v>10000002</v>
      </c>
      <c r="F1264" s="209">
        <v>20000337</v>
      </c>
      <c r="G1264" s="209" t="s">
        <v>105</v>
      </c>
      <c r="H1264" s="209">
        <v>20000337</v>
      </c>
      <c r="I1264" s="209">
        <v>2</v>
      </c>
      <c r="J1264" s="209" t="s">
        <v>169</v>
      </c>
      <c r="K1264" s="209" t="s">
        <v>2656</v>
      </c>
      <c r="L1264" s="209" t="s">
        <v>2610</v>
      </c>
      <c r="M1264" s="209" t="s">
        <v>199</v>
      </c>
      <c r="N1264" s="209">
        <v>50025345</v>
      </c>
      <c r="O1264" s="209" t="s">
        <v>1998</v>
      </c>
      <c r="P1264" s="209">
        <v>5121</v>
      </c>
      <c r="Q1264" s="209" t="s">
        <v>200</v>
      </c>
      <c r="R1264" s="209" t="s">
        <v>201</v>
      </c>
      <c r="S1264" s="209" t="s">
        <v>202</v>
      </c>
      <c r="T1264" s="209" t="s">
        <v>203</v>
      </c>
      <c r="U1264" s="209" t="s">
        <v>201</v>
      </c>
      <c r="V1264" s="209" t="s">
        <v>179</v>
      </c>
      <c r="W1264" s="209" t="s">
        <v>179</v>
      </c>
      <c r="X1264" s="209" t="s">
        <v>180</v>
      </c>
      <c r="Y1264" s="209" t="s">
        <v>180</v>
      </c>
      <c r="Z1264" s="209">
        <v>9521069277</v>
      </c>
      <c r="AA1264" s="209" t="s">
        <v>2657</v>
      </c>
      <c r="AB1264" s="209" t="s">
        <v>180</v>
      </c>
      <c r="AC1264" s="209" t="s">
        <v>182</v>
      </c>
      <c r="AD1264" s="209">
        <v>8</v>
      </c>
      <c r="AE1264" s="209">
        <v>2025</v>
      </c>
      <c r="AF1264" s="227">
        <v>45881</v>
      </c>
      <c r="AG1264" s="227">
        <v>45882</v>
      </c>
      <c r="AH1264" s="227">
        <v>45881</v>
      </c>
      <c r="AI1264" s="228">
        <v>262656</v>
      </c>
      <c r="AJ1264" s="228">
        <v>32</v>
      </c>
      <c r="AK1264" s="228">
        <v>262656</v>
      </c>
      <c r="AL1264" s="228">
        <v>32</v>
      </c>
      <c r="AM1264" s="228">
        <v>0</v>
      </c>
      <c r="AN1264" s="228">
        <v>0</v>
      </c>
      <c r="AO1264" s="229">
        <v>33</v>
      </c>
      <c r="AP1264" s="231">
        <v>8</v>
      </c>
      <c r="AQ1264" s="231">
        <v>2025</v>
      </c>
      <c r="AR1264" s="231" t="str">
        <f t="shared" si="184"/>
        <v>08/2025</v>
      </c>
      <c r="AS1264" s="231">
        <f t="shared" si="185"/>
        <v>46.6</v>
      </c>
      <c r="AT1264" s="239">
        <f>IF(G1264="CERVECERIA Y MALTERIA",(AS1264*AK1264/1000000)*(1-VLOOKUP(N1264,FCST!D:I,6,FALSE)),0)</f>
        <v>12.239769599999999</v>
      </c>
      <c r="AU1264" s="232">
        <v>5.0000000000000001E-3</v>
      </c>
      <c r="AV1264" s="239">
        <f t="shared" si="186"/>
        <v>12.300968447999997</v>
      </c>
      <c r="AW1264" s="239">
        <f>(AS1264*AK1264/1000000)*(VLOOKUP(N1264,FCST!D:I,6,FALSE))</f>
        <v>0</v>
      </c>
      <c r="AX1264" s="239">
        <f t="shared" si="187"/>
        <v>0</v>
      </c>
      <c r="AY1264" s="239">
        <f>IF($G1264="CERVECERIA Y MALTERIA.",($AS1264*$AK1264/1000000)*(1-VLOOKUP($N1264,FCST!D:I,6,FALSE)),0)</f>
        <v>0</v>
      </c>
      <c r="AZ1264" s="239">
        <f t="shared" si="188"/>
        <v>0</v>
      </c>
    </row>
    <row r="1265" spans="1:52" x14ac:dyDescent="0.25">
      <c r="A1265" s="209">
        <v>1133772</v>
      </c>
      <c r="B1265" s="209">
        <v>20</v>
      </c>
      <c r="C1265" s="209">
        <v>89537348</v>
      </c>
      <c r="D1265" s="209">
        <v>20</v>
      </c>
      <c r="E1265" s="209">
        <v>10000002</v>
      </c>
      <c r="F1265" s="209">
        <v>20000336</v>
      </c>
      <c r="G1265" s="209" t="s">
        <v>105</v>
      </c>
      <c r="H1265" s="209">
        <v>20000336</v>
      </c>
      <c r="I1265" s="209">
        <v>2</v>
      </c>
      <c r="J1265" s="209" t="s">
        <v>169</v>
      </c>
      <c r="K1265" s="209" t="s">
        <v>2658</v>
      </c>
      <c r="L1265" s="209" t="s">
        <v>2610</v>
      </c>
      <c r="M1265" s="209" t="s">
        <v>184</v>
      </c>
      <c r="N1265" s="209">
        <v>50034616</v>
      </c>
      <c r="O1265" s="209" t="s">
        <v>191</v>
      </c>
      <c r="P1265" s="209">
        <v>5121</v>
      </c>
      <c r="Q1265" s="209" t="s">
        <v>174</v>
      </c>
      <c r="R1265" s="209" t="s">
        <v>175</v>
      </c>
      <c r="S1265" s="209" t="s">
        <v>176</v>
      </c>
      <c r="T1265" s="209" t="s">
        <v>177</v>
      </c>
      <c r="U1265" s="209" t="s">
        <v>178</v>
      </c>
      <c r="V1265" s="209" t="s">
        <v>179</v>
      </c>
      <c r="W1265" s="209" t="s">
        <v>179</v>
      </c>
      <c r="X1265" s="209" t="s">
        <v>180</v>
      </c>
      <c r="Y1265" s="209" t="s">
        <v>180</v>
      </c>
      <c r="Z1265" s="209">
        <v>9521069278</v>
      </c>
      <c r="AA1265" s="209" t="s">
        <v>2659</v>
      </c>
      <c r="AB1265" s="209" t="s">
        <v>180</v>
      </c>
      <c r="AC1265" s="209" t="s">
        <v>182</v>
      </c>
      <c r="AD1265" s="209">
        <v>8</v>
      </c>
      <c r="AE1265" s="209">
        <v>2025</v>
      </c>
      <c r="AF1265" s="227">
        <v>45880</v>
      </c>
      <c r="AG1265" s="227">
        <v>45881</v>
      </c>
      <c r="AH1265" s="227">
        <v>45881</v>
      </c>
      <c r="AI1265" s="228">
        <v>164160</v>
      </c>
      <c r="AJ1265" s="228">
        <v>20</v>
      </c>
      <c r="AK1265" s="228">
        <v>164160</v>
      </c>
      <c r="AL1265" s="228">
        <v>20</v>
      </c>
      <c r="AM1265" s="228">
        <v>0</v>
      </c>
      <c r="AN1265" s="228">
        <v>0</v>
      </c>
      <c r="AO1265" s="229">
        <v>33</v>
      </c>
      <c r="AP1265" s="231">
        <v>8</v>
      </c>
      <c r="AQ1265" s="231">
        <v>2025</v>
      </c>
      <c r="AR1265" s="231" t="str">
        <f t="shared" si="184"/>
        <v>08/2025</v>
      </c>
      <c r="AS1265" s="231">
        <f t="shared" si="185"/>
        <v>46.6</v>
      </c>
      <c r="AT1265" s="239">
        <f>IF(G1265="CERVECERIA Y MALTERIA",(AS1265*AK1265/1000000)*(1-VLOOKUP(N1265,FCST!D:I,6,FALSE)),0)</f>
        <v>7.6498559999999998</v>
      </c>
      <c r="AU1265" s="232">
        <v>5.0000000000000001E-3</v>
      </c>
      <c r="AV1265" s="239">
        <f t="shared" si="186"/>
        <v>7.6881052799999994</v>
      </c>
      <c r="AW1265" s="239">
        <f>(AS1265*AK1265/1000000)*(VLOOKUP(N1265,FCST!D:I,6,FALSE))</f>
        <v>0</v>
      </c>
      <c r="AX1265" s="239">
        <f t="shared" si="187"/>
        <v>0</v>
      </c>
      <c r="AY1265" s="239">
        <f>IF($G1265="CERVECERIA Y MALTERIA.",($AS1265*$AK1265/1000000)*(1-VLOOKUP($N1265,FCST!D:I,6,FALSE)),0)</f>
        <v>0</v>
      </c>
      <c r="AZ1265" s="239">
        <f t="shared" si="188"/>
        <v>0</v>
      </c>
    </row>
    <row r="1266" spans="1:52" x14ac:dyDescent="0.25">
      <c r="A1266" s="209">
        <v>1133772</v>
      </c>
      <c r="B1266" s="209">
        <v>10</v>
      </c>
      <c r="C1266" s="209">
        <v>89537348</v>
      </c>
      <c r="D1266" s="209">
        <v>10</v>
      </c>
      <c r="E1266" s="209">
        <v>10000002</v>
      </c>
      <c r="F1266" s="209">
        <v>20000336</v>
      </c>
      <c r="G1266" s="209" t="s">
        <v>105</v>
      </c>
      <c r="H1266" s="209">
        <v>20000336</v>
      </c>
      <c r="I1266" s="209">
        <v>2</v>
      </c>
      <c r="J1266" s="209" t="s">
        <v>169</v>
      </c>
      <c r="K1266" s="209" t="s">
        <v>2658</v>
      </c>
      <c r="L1266" s="209" t="s">
        <v>2610</v>
      </c>
      <c r="M1266" s="209" t="s">
        <v>184</v>
      </c>
      <c r="N1266" s="209">
        <v>50037887</v>
      </c>
      <c r="O1266" s="209" t="s">
        <v>679</v>
      </c>
      <c r="P1266" s="209">
        <v>5121</v>
      </c>
      <c r="Q1266" s="209" t="s">
        <v>174</v>
      </c>
      <c r="R1266" s="209" t="s">
        <v>175</v>
      </c>
      <c r="S1266" s="209" t="s">
        <v>176</v>
      </c>
      <c r="T1266" s="209" t="s">
        <v>177</v>
      </c>
      <c r="U1266" s="209" t="s">
        <v>178</v>
      </c>
      <c r="V1266" s="209" t="s">
        <v>179</v>
      </c>
      <c r="W1266" s="209" t="s">
        <v>179</v>
      </c>
      <c r="X1266" s="209" t="s">
        <v>180</v>
      </c>
      <c r="Y1266" s="209" t="s">
        <v>180</v>
      </c>
      <c r="Z1266" s="209">
        <v>9521069278</v>
      </c>
      <c r="AA1266" s="209" t="s">
        <v>2659</v>
      </c>
      <c r="AB1266" s="209" t="s">
        <v>180</v>
      </c>
      <c r="AC1266" s="209" t="s">
        <v>182</v>
      </c>
      <c r="AD1266" s="209">
        <v>8</v>
      </c>
      <c r="AE1266" s="209">
        <v>2025</v>
      </c>
      <c r="AF1266" s="227">
        <v>45880</v>
      </c>
      <c r="AG1266" s="227">
        <v>45881</v>
      </c>
      <c r="AH1266" s="227">
        <v>45881</v>
      </c>
      <c r="AI1266" s="228">
        <v>327168</v>
      </c>
      <c r="AJ1266" s="228">
        <v>32</v>
      </c>
      <c r="AK1266" s="228">
        <v>327168</v>
      </c>
      <c r="AL1266" s="228">
        <v>32</v>
      </c>
      <c r="AM1266" s="228">
        <v>0</v>
      </c>
      <c r="AN1266" s="228">
        <v>0</v>
      </c>
      <c r="AO1266" s="229">
        <v>33</v>
      </c>
      <c r="AP1266" s="231">
        <v>8</v>
      </c>
      <c r="AQ1266" s="231">
        <v>2025</v>
      </c>
      <c r="AR1266" s="231" t="str">
        <f t="shared" si="184"/>
        <v>08/2025</v>
      </c>
      <c r="AS1266" s="231">
        <f t="shared" si="185"/>
        <v>37.200000000000003</v>
      </c>
      <c r="AT1266" s="239">
        <f>IF(G1266="CERVECERIA Y MALTERIA",(AS1266*AK1266/1000000)*(1-VLOOKUP(N1266,FCST!D:I,6,FALSE)),0)</f>
        <v>12.170649600000001</v>
      </c>
      <c r="AU1266" s="232">
        <v>5.0000000000000001E-3</v>
      </c>
      <c r="AV1266" s="239">
        <f t="shared" si="186"/>
        <v>12.231502848</v>
      </c>
      <c r="AW1266" s="239">
        <f>(AS1266*AK1266/1000000)*(VLOOKUP(N1266,FCST!D:I,6,FALSE))</f>
        <v>0</v>
      </c>
      <c r="AX1266" s="239">
        <f t="shared" si="187"/>
        <v>0</v>
      </c>
      <c r="AY1266" s="239">
        <f>IF($G1266="CERVECERIA Y MALTERIA.",($AS1266*$AK1266/1000000)*(1-VLOOKUP($N1266,FCST!D:I,6,FALSE)),0)</f>
        <v>0</v>
      </c>
      <c r="AZ1266" s="239">
        <f t="shared" si="188"/>
        <v>0</v>
      </c>
    </row>
    <row r="1267" spans="1:52" x14ac:dyDescent="0.25">
      <c r="A1267" s="209">
        <v>1133481</v>
      </c>
      <c r="B1267" s="209">
        <v>40</v>
      </c>
      <c r="C1267" s="209">
        <v>89538489</v>
      </c>
      <c r="D1267" s="209">
        <v>10</v>
      </c>
      <c r="E1267" s="209">
        <v>10000002</v>
      </c>
      <c r="F1267" s="209">
        <v>20000335</v>
      </c>
      <c r="G1267" s="209" t="s">
        <v>105</v>
      </c>
      <c r="H1267" s="209">
        <v>20000335</v>
      </c>
      <c r="I1267" s="209">
        <v>2</v>
      </c>
      <c r="J1267" s="209" t="s">
        <v>169</v>
      </c>
      <c r="K1267" s="209" t="s">
        <v>2660</v>
      </c>
      <c r="L1267" s="209" t="s">
        <v>171</v>
      </c>
      <c r="M1267" s="209" t="s">
        <v>172</v>
      </c>
      <c r="N1267" s="209">
        <v>50035184</v>
      </c>
      <c r="O1267" s="209" t="s">
        <v>672</v>
      </c>
      <c r="P1267" s="209">
        <v>5121</v>
      </c>
      <c r="Q1267" s="209" t="s">
        <v>174</v>
      </c>
      <c r="R1267" s="209" t="s">
        <v>175</v>
      </c>
      <c r="S1267" s="209" t="s">
        <v>176</v>
      </c>
      <c r="T1267" s="209" t="s">
        <v>177</v>
      </c>
      <c r="U1267" s="209" t="s">
        <v>178</v>
      </c>
      <c r="V1267" s="209" t="s">
        <v>179</v>
      </c>
      <c r="W1267" s="209" t="s">
        <v>179</v>
      </c>
      <c r="X1267" s="209" t="s">
        <v>180</v>
      </c>
      <c r="Y1267" s="209" t="s">
        <v>180</v>
      </c>
      <c r="Z1267" s="209">
        <v>9521069287</v>
      </c>
      <c r="AA1267" s="209" t="s">
        <v>2661</v>
      </c>
      <c r="AB1267" s="209" t="s">
        <v>180</v>
      </c>
      <c r="AC1267" s="209" t="s">
        <v>182</v>
      </c>
      <c r="AD1267" s="209">
        <v>8</v>
      </c>
      <c r="AE1267" s="209">
        <v>2025</v>
      </c>
      <c r="AF1267" s="227">
        <v>45877</v>
      </c>
      <c r="AG1267" s="227">
        <v>45882</v>
      </c>
      <c r="AH1267" s="227">
        <v>45882</v>
      </c>
      <c r="AI1267" s="228">
        <v>977184</v>
      </c>
      <c r="AJ1267" s="228">
        <v>52</v>
      </c>
      <c r="AK1267" s="228">
        <v>977184</v>
      </c>
      <c r="AL1267" s="228">
        <v>52</v>
      </c>
      <c r="AM1267" s="228">
        <v>0</v>
      </c>
      <c r="AN1267" s="228">
        <v>0</v>
      </c>
      <c r="AO1267" s="229">
        <v>33</v>
      </c>
      <c r="AP1267" s="231">
        <v>8</v>
      </c>
      <c r="AQ1267" s="231">
        <v>2025</v>
      </c>
      <c r="AR1267" s="231" t="str">
        <f t="shared" si="184"/>
        <v>08/2025</v>
      </c>
      <c r="AS1267" s="231">
        <f t="shared" si="185"/>
        <v>19.5</v>
      </c>
      <c r="AT1267" s="239">
        <f>IF(G1267="CERVECERIA Y MALTERIA",(AS1267*AK1267/1000000)*(1-VLOOKUP(N1267,FCST!D:I,6,FALSE)),0)</f>
        <v>19.055088000000001</v>
      </c>
      <c r="AU1267" s="232">
        <v>5.0000000000000001E-3</v>
      </c>
      <c r="AV1267" s="239">
        <f t="shared" si="186"/>
        <v>19.15036344</v>
      </c>
      <c r="AW1267" s="239">
        <f>(AS1267*AK1267/1000000)*(VLOOKUP(N1267,FCST!D:I,6,FALSE))</f>
        <v>0</v>
      </c>
      <c r="AX1267" s="239">
        <f t="shared" si="187"/>
        <v>0</v>
      </c>
      <c r="AY1267" s="239">
        <f>IF($G1267="CERVECERIA Y MALTERIA.",($AS1267*$AK1267/1000000)*(1-VLOOKUP($N1267,FCST!D:I,6,FALSE)),0)</f>
        <v>0</v>
      </c>
      <c r="AZ1267" s="239">
        <f t="shared" si="188"/>
        <v>0</v>
      </c>
    </row>
    <row r="1268" spans="1:52" x14ac:dyDescent="0.25">
      <c r="A1268" s="209">
        <v>1133484</v>
      </c>
      <c r="B1268" s="209">
        <v>50</v>
      </c>
      <c r="C1268" s="209">
        <v>89537724</v>
      </c>
      <c r="D1268" s="209">
        <v>10</v>
      </c>
      <c r="E1268" s="209">
        <v>10000002</v>
      </c>
      <c r="F1268" s="209">
        <v>20000340</v>
      </c>
      <c r="G1268" s="209" t="s">
        <v>117</v>
      </c>
      <c r="H1268" s="209">
        <v>20000340</v>
      </c>
      <c r="I1268" s="209">
        <v>2</v>
      </c>
      <c r="J1268" s="209" t="s">
        <v>169</v>
      </c>
      <c r="K1268" s="209" t="s">
        <v>2662</v>
      </c>
      <c r="L1268" s="209" t="s">
        <v>171</v>
      </c>
      <c r="M1268" s="209" t="s">
        <v>172</v>
      </c>
      <c r="N1268" s="209">
        <v>50025163</v>
      </c>
      <c r="O1268" s="209" t="s">
        <v>185</v>
      </c>
      <c r="P1268" s="209">
        <v>5101</v>
      </c>
      <c r="Q1268" s="209" t="s">
        <v>186</v>
      </c>
      <c r="R1268" s="209" t="s">
        <v>175</v>
      </c>
      <c r="S1268" s="209" t="s">
        <v>176</v>
      </c>
      <c r="T1268" s="209" t="s">
        <v>187</v>
      </c>
      <c r="U1268" s="209" t="s">
        <v>188</v>
      </c>
      <c r="V1268" s="209" t="s">
        <v>179</v>
      </c>
      <c r="W1268" s="209" t="s">
        <v>179</v>
      </c>
      <c r="X1268" s="209" t="s">
        <v>180</v>
      </c>
      <c r="Y1268" s="209" t="s">
        <v>180</v>
      </c>
      <c r="Z1268" s="209">
        <v>9511048266</v>
      </c>
      <c r="AA1268" s="209" t="s">
        <v>2652</v>
      </c>
      <c r="AB1268" s="209" t="s">
        <v>180</v>
      </c>
      <c r="AC1268" s="209" t="s">
        <v>182</v>
      </c>
      <c r="AD1268" s="209">
        <v>8</v>
      </c>
      <c r="AE1268" s="209">
        <v>2025</v>
      </c>
      <c r="AF1268" s="227">
        <v>45877</v>
      </c>
      <c r="AG1268" s="227">
        <v>45882</v>
      </c>
      <c r="AH1268" s="227">
        <v>45882</v>
      </c>
      <c r="AI1268" s="228">
        <v>606528</v>
      </c>
      <c r="AJ1268" s="228">
        <v>52</v>
      </c>
      <c r="AK1268" s="228">
        <v>606528</v>
      </c>
      <c r="AL1268" s="228">
        <v>52</v>
      </c>
      <c r="AM1268" s="228">
        <v>0</v>
      </c>
      <c r="AN1268" s="228">
        <v>0</v>
      </c>
      <c r="AO1268" s="229">
        <v>33</v>
      </c>
      <c r="AP1268" s="231">
        <v>8</v>
      </c>
      <c r="AQ1268" s="231">
        <v>2025</v>
      </c>
      <c r="AR1268" s="231" t="str">
        <f t="shared" si="184"/>
        <v>08/2025</v>
      </c>
      <c r="AS1268" s="231">
        <f t="shared" si="185"/>
        <v>30</v>
      </c>
      <c r="AT1268" s="239">
        <f>IF(G1268="CERVECERIA Y MALTERIA",(AS1268*AK1268/1000000)*(1-VLOOKUP(N1268,FCST!D:I,6,FALSE)),0)</f>
        <v>0</v>
      </c>
      <c r="AU1268" s="232">
        <v>5.0000000000000001E-3</v>
      </c>
      <c r="AV1268" s="239">
        <f t="shared" si="186"/>
        <v>0</v>
      </c>
      <c r="AW1268" s="239">
        <f>(AS1268*AK1268/1000000)*(VLOOKUP(N1268,FCST!D:I,6,FALSE))</f>
        <v>0</v>
      </c>
      <c r="AX1268" s="239">
        <f t="shared" si="187"/>
        <v>0</v>
      </c>
      <c r="AY1268" s="239">
        <f>IF($G1268="CERVECERIA Y MALTERIA.",($AS1268*$AK1268/1000000)*(1-VLOOKUP($N1268,FCST!D:I,6,FALSE)),0)</f>
        <v>18.19584</v>
      </c>
      <c r="AZ1268" s="239">
        <f t="shared" si="188"/>
        <v>18.2868192</v>
      </c>
    </row>
    <row r="1269" spans="1:52" x14ac:dyDescent="0.25">
      <c r="A1269" s="209">
        <v>1133481</v>
      </c>
      <c r="B1269" s="209">
        <v>50</v>
      </c>
      <c r="C1269" s="209">
        <v>89537815</v>
      </c>
      <c r="D1269" s="209">
        <v>10</v>
      </c>
      <c r="E1269" s="209">
        <v>10000002</v>
      </c>
      <c r="F1269" s="209">
        <v>20000335</v>
      </c>
      <c r="G1269" s="209" t="s">
        <v>105</v>
      </c>
      <c r="H1269" s="209">
        <v>20000335</v>
      </c>
      <c r="I1269" s="209">
        <v>2</v>
      </c>
      <c r="J1269" s="209" t="s">
        <v>169</v>
      </c>
      <c r="K1269" s="209" t="s">
        <v>2663</v>
      </c>
      <c r="L1269" s="209" t="s">
        <v>171</v>
      </c>
      <c r="M1269" s="209" t="s">
        <v>199</v>
      </c>
      <c r="N1269" s="209">
        <v>50037887</v>
      </c>
      <c r="O1269" s="209" t="s">
        <v>679</v>
      </c>
      <c r="P1269" s="209">
        <v>5121</v>
      </c>
      <c r="Q1269" s="209" t="s">
        <v>200</v>
      </c>
      <c r="R1269" s="209" t="s">
        <v>201</v>
      </c>
      <c r="S1269" s="209" t="s">
        <v>202</v>
      </c>
      <c r="T1269" s="209" t="s">
        <v>203</v>
      </c>
      <c r="U1269" s="209" t="s">
        <v>201</v>
      </c>
      <c r="V1269" s="209" t="s">
        <v>179</v>
      </c>
      <c r="W1269" s="209" t="s">
        <v>179</v>
      </c>
      <c r="X1269" s="209" t="s">
        <v>180</v>
      </c>
      <c r="Y1269" s="209" t="s">
        <v>180</v>
      </c>
      <c r="Z1269" s="209">
        <v>9521069291</v>
      </c>
      <c r="AA1269" s="209" t="s">
        <v>2604</v>
      </c>
      <c r="AB1269" s="209" t="s">
        <v>180</v>
      </c>
      <c r="AC1269" s="209" t="s">
        <v>182</v>
      </c>
      <c r="AD1269" s="209">
        <v>8</v>
      </c>
      <c r="AE1269" s="209">
        <v>2025</v>
      </c>
      <c r="AF1269" s="227">
        <v>45877</v>
      </c>
      <c r="AG1269" s="227">
        <v>45882</v>
      </c>
      <c r="AH1269" s="227">
        <v>45882</v>
      </c>
      <c r="AI1269" s="228">
        <v>531648</v>
      </c>
      <c r="AJ1269" s="228">
        <v>52</v>
      </c>
      <c r="AK1269" s="228">
        <v>531648</v>
      </c>
      <c r="AL1269" s="228">
        <v>52</v>
      </c>
      <c r="AM1269" s="228">
        <v>0</v>
      </c>
      <c r="AN1269" s="228">
        <v>0</v>
      </c>
      <c r="AO1269" s="229">
        <v>33</v>
      </c>
      <c r="AP1269" s="231">
        <v>8</v>
      </c>
      <c r="AQ1269" s="231">
        <v>2025</v>
      </c>
      <c r="AR1269" s="231" t="str">
        <f t="shared" si="184"/>
        <v>08/2025</v>
      </c>
      <c r="AS1269" s="231">
        <f t="shared" si="185"/>
        <v>37.200000000000003</v>
      </c>
      <c r="AT1269" s="239">
        <f>IF(G1269="CERVECERIA Y MALTERIA",(AS1269*AK1269/1000000)*(1-VLOOKUP(N1269,FCST!D:I,6,FALSE)),0)</f>
        <v>19.777305600000002</v>
      </c>
      <c r="AU1269" s="232">
        <v>5.0000000000000001E-3</v>
      </c>
      <c r="AV1269" s="239">
        <f t="shared" si="186"/>
        <v>19.876192128</v>
      </c>
      <c r="AW1269" s="239">
        <f>(AS1269*AK1269/1000000)*(VLOOKUP(N1269,FCST!D:I,6,FALSE))</f>
        <v>0</v>
      </c>
      <c r="AX1269" s="239">
        <f t="shared" si="187"/>
        <v>0</v>
      </c>
      <c r="AY1269" s="239">
        <f>IF($G1269="CERVECERIA Y MALTERIA.",($AS1269*$AK1269/1000000)*(1-VLOOKUP($N1269,FCST!D:I,6,FALSE)),0)</f>
        <v>0</v>
      </c>
      <c r="AZ1269" s="239">
        <f t="shared" si="188"/>
        <v>0</v>
      </c>
    </row>
    <row r="1270" spans="1:52" x14ac:dyDescent="0.25">
      <c r="A1270" s="209">
        <v>1133484</v>
      </c>
      <c r="B1270" s="209">
        <v>60</v>
      </c>
      <c r="C1270" s="209">
        <v>89539432</v>
      </c>
      <c r="D1270" s="209">
        <v>10</v>
      </c>
      <c r="E1270" s="209">
        <v>10000002</v>
      </c>
      <c r="F1270" s="209">
        <v>20000340</v>
      </c>
      <c r="G1270" s="209" t="s">
        <v>117</v>
      </c>
      <c r="H1270" s="209">
        <v>20000340</v>
      </c>
      <c r="I1270" s="209">
        <v>2</v>
      </c>
      <c r="J1270" s="209" t="s">
        <v>169</v>
      </c>
      <c r="K1270" s="209" t="s">
        <v>2664</v>
      </c>
      <c r="L1270" s="209" t="s">
        <v>171</v>
      </c>
      <c r="M1270" s="209" t="s">
        <v>184</v>
      </c>
      <c r="N1270" s="209">
        <v>50027468</v>
      </c>
      <c r="O1270" s="209" t="s">
        <v>285</v>
      </c>
      <c r="P1270" s="209">
        <v>5101</v>
      </c>
      <c r="Q1270" s="209" t="s">
        <v>186</v>
      </c>
      <c r="R1270" s="209" t="s">
        <v>175</v>
      </c>
      <c r="S1270" s="209" t="s">
        <v>176</v>
      </c>
      <c r="T1270" s="209" t="s">
        <v>187</v>
      </c>
      <c r="U1270" s="209" t="s">
        <v>188</v>
      </c>
      <c r="V1270" s="209" t="s">
        <v>179</v>
      </c>
      <c r="W1270" s="209" t="s">
        <v>179</v>
      </c>
      <c r="X1270" s="209" t="s">
        <v>180</v>
      </c>
      <c r="Y1270" s="209" t="s">
        <v>180</v>
      </c>
      <c r="Z1270" s="209">
        <v>9511048268</v>
      </c>
      <c r="AA1270" s="209" t="s">
        <v>2665</v>
      </c>
      <c r="AB1270" s="209" t="s">
        <v>180</v>
      </c>
      <c r="AC1270" s="209" t="s">
        <v>182</v>
      </c>
      <c r="AD1270" s="209">
        <v>8</v>
      </c>
      <c r="AE1270" s="209">
        <v>2025</v>
      </c>
      <c r="AF1270" s="227">
        <v>45877</v>
      </c>
      <c r="AG1270" s="227">
        <v>45883</v>
      </c>
      <c r="AH1270" s="227">
        <v>45883</v>
      </c>
      <c r="AI1270" s="228">
        <v>399360</v>
      </c>
      <c r="AJ1270" s="228">
        <v>52</v>
      </c>
      <c r="AK1270" s="228">
        <v>399360</v>
      </c>
      <c r="AL1270" s="228">
        <v>52</v>
      </c>
      <c r="AM1270" s="228">
        <v>0</v>
      </c>
      <c r="AN1270" s="228">
        <v>0</v>
      </c>
      <c r="AO1270" s="229">
        <v>33</v>
      </c>
      <c r="AP1270" s="231">
        <v>8</v>
      </c>
      <c r="AQ1270" s="231">
        <v>2025</v>
      </c>
      <c r="AR1270" s="231" t="str">
        <f t="shared" si="184"/>
        <v>08/2025</v>
      </c>
      <c r="AS1270" s="231">
        <f t="shared" si="185"/>
        <v>52</v>
      </c>
      <c r="AT1270" s="239">
        <f>IF(G1270="CERVECERIA Y MALTERIA",(AS1270*AK1270/1000000)*(1-VLOOKUP(N1270,FCST!D:I,6,FALSE)),0)</f>
        <v>0</v>
      </c>
      <c r="AU1270" s="232">
        <v>5.0000000000000001E-3</v>
      </c>
      <c r="AV1270" s="239">
        <f t="shared" si="186"/>
        <v>0</v>
      </c>
      <c r="AW1270" s="239">
        <f>(AS1270*AK1270/1000000)*(VLOOKUP(N1270,FCST!D:I,6,FALSE))</f>
        <v>0</v>
      </c>
      <c r="AX1270" s="239">
        <f t="shared" si="187"/>
        <v>0</v>
      </c>
      <c r="AY1270" s="239">
        <f>IF($G1270="CERVECERIA Y MALTERIA.",($AS1270*$AK1270/1000000)*(1-VLOOKUP($N1270,FCST!D:I,6,FALSE)),0)</f>
        <v>20.766719999999999</v>
      </c>
      <c r="AZ1270" s="239">
        <f t="shared" si="188"/>
        <v>20.870553599999997</v>
      </c>
    </row>
    <row r="1271" spans="1:52" x14ac:dyDescent="0.25">
      <c r="A1271" s="209">
        <v>1134367</v>
      </c>
      <c r="B1271" s="209">
        <v>10</v>
      </c>
      <c r="C1271" s="209">
        <v>89541547</v>
      </c>
      <c r="D1271" s="209">
        <v>10</v>
      </c>
      <c r="E1271" s="209">
        <v>10000002</v>
      </c>
      <c r="F1271" s="209">
        <v>20000340</v>
      </c>
      <c r="G1271" s="209" t="s">
        <v>117</v>
      </c>
      <c r="H1271" s="209">
        <v>20000340</v>
      </c>
      <c r="I1271" s="209">
        <v>2</v>
      </c>
      <c r="J1271" s="209" t="s">
        <v>169</v>
      </c>
      <c r="K1271" s="209" t="s">
        <v>2666</v>
      </c>
      <c r="L1271" s="209" t="s">
        <v>2610</v>
      </c>
      <c r="M1271" s="209" t="s">
        <v>172</v>
      </c>
      <c r="N1271" s="209">
        <v>50027468</v>
      </c>
      <c r="O1271" s="209" t="s">
        <v>285</v>
      </c>
      <c r="P1271" s="209">
        <v>5101</v>
      </c>
      <c r="Q1271" s="209" t="s">
        <v>186</v>
      </c>
      <c r="R1271" s="209" t="s">
        <v>175</v>
      </c>
      <c r="S1271" s="209" t="s">
        <v>176</v>
      </c>
      <c r="T1271" s="209" t="s">
        <v>187</v>
      </c>
      <c r="U1271" s="209" t="s">
        <v>188</v>
      </c>
      <c r="V1271" s="209" t="s">
        <v>179</v>
      </c>
      <c r="W1271" s="209" t="s">
        <v>179</v>
      </c>
      <c r="X1271" s="209" t="s">
        <v>180</v>
      </c>
      <c r="Y1271" s="209" t="s">
        <v>180</v>
      </c>
      <c r="Z1271" s="209">
        <v>9511048268</v>
      </c>
      <c r="AA1271" s="209" t="s">
        <v>2665</v>
      </c>
      <c r="AB1271" s="209" t="s">
        <v>180</v>
      </c>
      <c r="AC1271" s="209" t="s">
        <v>182</v>
      </c>
      <c r="AD1271" s="209">
        <v>8</v>
      </c>
      <c r="AE1271" s="209">
        <v>2025</v>
      </c>
      <c r="AF1271" s="227">
        <v>45883</v>
      </c>
      <c r="AG1271" s="227">
        <v>45887</v>
      </c>
      <c r="AH1271" s="227">
        <v>45887</v>
      </c>
      <c r="AI1271" s="228">
        <v>399360</v>
      </c>
      <c r="AJ1271" s="228">
        <v>52</v>
      </c>
      <c r="AK1271" s="228">
        <v>399360</v>
      </c>
      <c r="AL1271" s="228">
        <v>52</v>
      </c>
      <c r="AM1271" s="228">
        <v>0</v>
      </c>
      <c r="AN1271" s="228">
        <v>0</v>
      </c>
      <c r="AO1271" s="229">
        <v>34</v>
      </c>
      <c r="AP1271" s="231">
        <v>8</v>
      </c>
      <c r="AQ1271" s="231">
        <v>2025</v>
      </c>
      <c r="AR1271" s="231" t="str">
        <f t="shared" si="184"/>
        <v>08/2025</v>
      </c>
      <c r="AS1271" s="231">
        <f t="shared" si="185"/>
        <v>52</v>
      </c>
      <c r="AT1271" s="239">
        <f>IF(G1271="CERVECERIA Y MALTERIA",(AS1271*AK1271/1000000)*(1-VLOOKUP(N1271,FCST!D:I,6,FALSE)),0)</f>
        <v>0</v>
      </c>
      <c r="AU1271" s="232">
        <v>5.0000000000000001E-3</v>
      </c>
      <c r="AV1271" s="239">
        <f t="shared" si="186"/>
        <v>0</v>
      </c>
      <c r="AW1271" s="239">
        <f>(AS1271*AK1271/1000000)*(VLOOKUP(N1271,FCST!D:I,6,FALSE))</f>
        <v>0</v>
      </c>
      <c r="AX1271" s="239">
        <f t="shared" si="187"/>
        <v>0</v>
      </c>
      <c r="AY1271" s="239">
        <f>IF($G1271="CERVECERIA Y MALTERIA.",($AS1271*$AK1271/1000000)*(1-VLOOKUP($N1271,FCST!D:I,6,FALSE)),0)</f>
        <v>20.766719999999999</v>
      </c>
      <c r="AZ1271" s="239">
        <f t="shared" si="188"/>
        <v>20.870553599999997</v>
      </c>
    </row>
    <row r="1272" spans="1:52" x14ac:dyDescent="0.25">
      <c r="A1272" s="209">
        <v>1134565</v>
      </c>
      <c r="B1272" s="209">
        <v>10</v>
      </c>
      <c r="C1272" s="209">
        <v>89542099</v>
      </c>
      <c r="D1272" s="209">
        <v>10</v>
      </c>
      <c r="E1272" s="209">
        <v>10000002</v>
      </c>
      <c r="F1272" s="209">
        <v>20000335</v>
      </c>
      <c r="G1272" s="209" t="s">
        <v>105</v>
      </c>
      <c r="H1272" s="209">
        <v>20000335</v>
      </c>
      <c r="I1272" s="209">
        <v>2</v>
      </c>
      <c r="J1272" s="209" t="s">
        <v>169</v>
      </c>
      <c r="K1272" s="209" t="s">
        <v>2667</v>
      </c>
      <c r="L1272" s="209" t="s">
        <v>2610</v>
      </c>
      <c r="M1272" s="209" t="s">
        <v>199</v>
      </c>
      <c r="N1272" s="209">
        <v>50037887</v>
      </c>
      <c r="O1272" s="209" t="s">
        <v>679</v>
      </c>
      <c r="P1272" s="209">
        <v>5121</v>
      </c>
      <c r="Q1272" s="209" t="s">
        <v>200</v>
      </c>
      <c r="R1272" s="209" t="s">
        <v>201</v>
      </c>
      <c r="S1272" s="209" t="s">
        <v>202</v>
      </c>
      <c r="T1272" s="209" t="s">
        <v>203</v>
      </c>
      <c r="U1272" s="209" t="s">
        <v>201</v>
      </c>
      <c r="V1272" s="209" t="s">
        <v>179</v>
      </c>
      <c r="W1272" s="209" t="s">
        <v>179</v>
      </c>
      <c r="X1272" s="209" t="s">
        <v>180</v>
      </c>
      <c r="Y1272" s="209" t="s">
        <v>180</v>
      </c>
      <c r="Z1272" s="209">
        <v>9521069291</v>
      </c>
      <c r="AA1272" s="209" t="s">
        <v>2604</v>
      </c>
      <c r="AB1272" s="209" t="s">
        <v>180</v>
      </c>
      <c r="AC1272" s="209" t="s">
        <v>182</v>
      </c>
      <c r="AD1272" s="209">
        <v>8</v>
      </c>
      <c r="AE1272" s="209">
        <v>2025</v>
      </c>
      <c r="AF1272" s="227">
        <v>45883</v>
      </c>
      <c r="AG1272" s="227">
        <v>45887</v>
      </c>
      <c r="AH1272" s="227">
        <v>45887</v>
      </c>
      <c r="AI1272" s="228">
        <v>531648</v>
      </c>
      <c r="AJ1272" s="228">
        <v>52</v>
      </c>
      <c r="AK1272" s="228">
        <v>531648</v>
      </c>
      <c r="AL1272" s="228">
        <v>52</v>
      </c>
      <c r="AM1272" s="228">
        <v>0</v>
      </c>
      <c r="AN1272" s="228">
        <v>0</v>
      </c>
      <c r="AO1272" s="229">
        <v>34</v>
      </c>
      <c r="AP1272" s="231">
        <v>8</v>
      </c>
      <c r="AQ1272" s="231">
        <v>2025</v>
      </c>
      <c r="AR1272" s="231" t="str">
        <f t="shared" si="184"/>
        <v>08/2025</v>
      </c>
      <c r="AS1272" s="231">
        <f t="shared" si="185"/>
        <v>37.200000000000003</v>
      </c>
      <c r="AT1272" s="239">
        <f>IF(G1272="CERVECERIA Y MALTERIA",(AS1272*AK1272/1000000)*(1-VLOOKUP(N1272,FCST!D:I,6,FALSE)),0)</f>
        <v>19.777305600000002</v>
      </c>
      <c r="AU1272" s="232">
        <v>5.0000000000000001E-3</v>
      </c>
      <c r="AV1272" s="239">
        <f t="shared" si="186"/>
        <v>19.876192128</v>
      </c>
      <c r="AW1272" s="239">
        <f>(AS1272*AK1272/1000000)*(VLOOKUP(N1272,FCST!D:I,6,FALSE))</f>
        <v>0</v>
      </c>
      <c r="AX1272" s="239">
        <f t="shared" si="187"/>
        <v>0</v>
      </c>
      <c r="AY1272" s="239">
        <f>IF($G1272="CERVECERIA Y MALTERIA.",($AS1272*$AK1272/1000000)*(1-VLOOKUP($N1272,FCST!D:I,6,FALSE)),0)</f>
        <v>0</v>
      </c>
      <c r="AZ1272" s="239">
        <f t="shared" si="188"/>
        <v>0</v>
      </c>
    </row>
    <row r="1273" spans="1:52" x14ac:dyDescent="0.25">
      <c r="A1273" s="209">
        <v>1134565</v>
      </c>
      <c r="B1273" s="209">
        <v>60</v>
      </c>
      <c r="C1273" s="209">
        <v>89541534</v>
      </c>
      <c r="D1273" s="209">
        <v>10</v>
      </c>
      <c r="E1273" s="209">
        <v>10000002</v>
      </c>
      <c r="F1273" s="209">
        <v>20000335</v>
      </c>
      <c r="G1273" s="209" t="s">
        <v>105</v>
      </c>
      <c r="H1273" s="209">
        <v>20000335</v>
      </c>
      <c r="I1273" s="209">
        <v>2</v>
      </c>
      <c r="J1273" s="209" t="s">
        <v>169</v>
      </c>
      <c r="K1273" s="209" t="s">
        <v>2668</v>
      </c>
      <c r="L1273" s="209" t="s">
        <v>2610</v>
      </c>
      <c r="M1273" s="209" t="s">
        <v>199</v>
      </c>
      <c r="N1273" s="209">
        <v>50034616</v>
      </c>
      <c r="O1273" s="209" t="s">
        <v>191</v>
      </c>
      <c r="P1273" s="209">
        <v>5121</v>
      </c>
      <c r="Q1273" s="209" t="s">
        <v>200</v>
      </c>
      <c r="R1273" s="209" t="s">
        <v>201</v>
      </c>
      <c r="S1273" s="209" t="s">
        <v>202</v>
      </c>
      <c r="T1273" s="209" t="s">
        <v>203</v>
      </c>
      <c r="U1273" s="209" t="s">
        <v>201</v>
      </c>
      <c r="V1273" s="209" t="s">
        <v>179</v>
      </c>
      <c r="W1273" s="209" t="s">
        <v>179</v>
      </c>
      <c r="X1273" s="209" t="s">
        <v>180</v>
      </c>
      <c r="Y1273" s="209" t="s">
        <v>180</v>
      </c>
      <c r="Z1273" s="209">
        <v>9521069285</v>
      </c>
      <c r="AA1273" s="209" t="s">
        <v>2669</v>
      </c>
      <c r="AB1273" s="209" t="s">
        <v>180</v>
      </c>
      <c r="AC1273" s="209" t="s">
        <v>182</v>
      </c>
      <c r="AD1273" s="209">
        <v>8</v>
      </c>
      <c r="AE1273" s="209">
        <v>2025</v>
      </c>
      <c r="AF1273" s="227">
        <v>45883</v>
      </c>
      <c r="AG1273" s="227">
        <v>45887</v>
      </c>
      <c r="AH1273" s="227">
        <v>45887</v>
      </c>
      <c r="AI1273" s="228">
        <v>426816</v>
      </c>
      <c r="AJ1273" s="228">
        <v>52</v>
      </c>
      <c r="AK1273" s="228">
        <v>426816</v>
      </c>
      <c r="AL1273" s="228">
        <v>52</v>
      </c>
      <c r="AM1273" s="228">
        <v>0</v>
      </c>
      <c r="AN1273" s="228">
        <v>0</v>
      </c>
      <c r="AO1273" s="229">
        <v>34</v>
      </c>
      <c r="AP1273" s="231">
        <v>8</v>
      </c>
      <c r="AQ1273" s="231">
        <v>2025</v>
      </c>
      <c r="AR1273" s="231" t="str">
        <f t="shared" si="184"/>
        <v>08/2025</v>
      </c>
      <c r="AS1273" s="231">
        <f t="shared" si="185"/>
        <v>46.6</v>
      </c>
      <c r="AT1273" s="239">
        <f>IF(G1273="CERVECERIA Y MALTERIA",(AS1273*AK1273/1000000)*(1-VLOOKUP(N1273,FCST!D:I,6,FALSE)),0)</f>
        <v>19.889625600000002</v>
      </c>
      <c r="AU1273" s="232">
        <v>5.0000000000000001E-3</v>
      </c>
      <c r="AV1273" s="239">
        <f t="shared" si="186"/>
        <v>19.989073728000001</v>
      </c>
      <c r="AW1273" s="239">
        <f>(AS1273*AK1273/1000000)*(VLOOKUP(N1273,FCST!D:I,6,FALSE))</f>
        <v>0</v>
      </c>
      <c r="AX1273" s="239">
        <f t="shared" si="187"/>
        <v>0</v>
      </c>
      <c r="AY1273" s="239">
        <f>IF($G1273="CERVECERIA Y MALTERIA.",($AS1273*$AK1273/1000000)*(1-VLOOKUP($N1273,FCST!D:I,6,FALSE)),0)</f>
        <v>0</v>
      </c>
      <c r="AZ1273" s="239">
        <f t="shared" si="188"/>
        <v>0</v>
      </c>
    </row>
    <row r="1274" spans="1:52" x14ac:dyDescent="0.25">
      <c r="A1274" s="209">
        <v>1134367</v>
      </c>
      <c r="B1274" s="209">
        <v>20</v>
      </c>
      <c r="C1274" s="209">
        <v>89542408</v>
      </c>
      <c r="D1274" s="209">
        <v>10</v>
      </c>
      <c r="E1274" s="209">
        <v>10000002</v>
      </c>
      <c r="F1274" s="209">
        <v>20000340</v>
      </c>
      <c r="G1274" s="209" t="s">
        <v>117</v>
      </c>
      <c r="H1274" s="209">
        <v>20000340</v>
      </c>
      <c r="I1274" s="209">
        <v>2</v>
      </c>
      <c r="J1274" s="209" t="s">
        <v>169</v>
      </c>
      <c r="K1274" s="209" t="s">
        <v>2670</v>
      </c>
      <c r="L1274" s="209" t="s">
        <v>2610</v>
      </c>
      <c r="M1274" s="209" t="s">
        <v>172</v>
      </c>
      <c r="N1274" s="209">
        <v>50027468</v>
      </c>
      <c r="O1274" s="209" t="s">
        <v>285</v>
      </c>
      <c r="P1274" s="209">
        <v>5101</v>
      </c>
      <c r="Q1274" s="209" t="s">
        <v>186</v>
      </c>
      <c r="R1274" s="209" t="s">
        <v>175</v>
      </c>
      <c r="S1274" s="209" t="s">
        <v>176</v>
      </c>
      <c r="T1274" s="209" t="s">
        <v>187</v>
      </c>
      <c r="U1274" s="209" t="s">
        <v>188</v>
      </c>
      <c r="V1274" s="209" t="s">
        <v>179</v>
      </c>
      <c r="W1274" s="209" t="s">
        <v>179</v>
      </c>
      <c r="X1274" s="209" t="s">
        <v>180</v>
      </c>
      <c r="Y1274" s="209" t="s">
        <v>180</v>
      </c>
      <c r="Z1274" s="209">
        <v>9511048268</v>
      </c>
      <c r="AA1274" s="209" t="s">
        <v>2665</v>
      </c>
      <c r="AB1274" s="209" t="s">
        <v>180</v>
      </c>
      <c r="AC1274" s="209" t="s">
        <v>182</v>
      </c>
      <c r="AD1274" s="209">
        <v>8</v>
      </c>
      <c r="AE1274" s="209">
        <v>2025</v>
      </c>
      <c r="AF1274" s="227">
        <v>45883</v>
      </c>
      <c r="AG1274" s="227">
        <v>45888</v>
      </c>
      <c r="AH1274" s="227">
        <v>45888</v>
      </c>
      <c r="AI1274" s="228">
        <v>399360</v>
      </c>
      <c r="AJ1274" s="228">
        <v>52</v>
      </c>
      <c r="AK1274" s="228">
        <v>399360</v>
      </c>
      <c r="AL1274" s="228">
        <v>52</v>
      </c>
      <c r="AM1274" s="228">
        <v>0</v>
      </c>
      <c r="AN1274" s="228">
        <v>0</v>
      </c>
      <c r="AO1274" s="229">
        <v>34</v>
      </c>
      <c r="AP1274" s="231">
        <v>8</v>
      </c>
      <c r="AQ1274" s="231">
        <v>2025</v>
      </c>
      <c r="AR1274" s="231" t="str">
        <f t="shared" si="184"/>
        <v>08/2025</v>
      </c>
      <c r="AS1274" s="231">
        <f t="shared" si="185"/>
        <v>52</v>
      </c>
      <c r="AT1274" s="239">
        <f>IF(G1274="CERVECERIA Y MALTERIA",(AS1274*AK1274/1000000)*(1-VLOOKUP(N1274,FCST!D:I,6,FALSE)),0)</f>
        <v>0</v>
      </c>
      <c r="AU1274" s="232">
        <v>5.0000000000000001E-3</v>
      </c>
      <c r="AV1274" s="239">
        <f t="shared" si="186"/>
        <v>0</v>
      </c>
      <c r="AW1274" s="239">
        <f>(AS1274*AK1274/1000000)*(VLOOKUP(N1274,FCST!D:I,6,FALSE))</f>
        <v>0</v>
      </c>
      <c r="AX1274" s="239">
        <f t="shared" si="187"/>
        <v>0</v>
      </c>
      <c r="AY1274" s="239">
        <f>IF($G1274="CERVECERIA Y MALTERIA.",($AS1274*$AK1274/1000000)*(1-VLOOKUP($N1274,FCST!D:I,6,FALSE)),0)</f>
        <v>20.766719999999999</v>
      </c>
      <c r="AZ1274" s="239">
        <f t="shared" si="188"/>
        <v>20.870553599999997</v>
      </c>
    </row>
    <row r="1275" spans="1:52" x14ac:dyDescent="0.25">
      <c r="A1275" s="209">
        <v>1134367</v>
      </c>
      <c r="B1275" s="209">
        <v>30</v>
      </c>
      <c r="C1275" s="209">
        <v>89543335</v>
      </c>
      <c r="D1275" s="209">
        <v>10</v>
      </c>
      <c r="E1275" s="209">
        <v>10000002</v>
      </c>
      <c r="F1275" s="209">
        <v>20000340</v>
      </c>
      <c r="G1275" s="209" t="s">
        <v>117</v>
      </c>
      <c r="H1275" s="209">
        <v>20000340</v>
      </c>
      <c r="I1275" s="209">
        <v>2</v>
      </c>
      <c r="J1275" s="209" t="s">
        <v>169</v>
      </c>
      <c r="K1275" s="209" t="s">
        <v>2671</v>
      </c>
      <c r="L1275" s="209" t="s">
        <v>2610</v>
      </c>
      <c r="M1275" s="209" t="s">
        <v>172</v>
      </c>
      <c r="N1275" s="209">
        <v>50027468</v>
      </c>
      <c r="O1275" s="209" t="s">
        <v>285</v>
      </c>
      <c r="P1275" s="209">
        <v>5101</v>
      </c>
      <c r="Q1275" s="209" t="s">
        <v>186</v>
      </c>
      <c r="R1275" s="209" t="s">
        <v>175</v>
      </c>
      <c r="S1275" s="209" t="s">
        <v>176</v>
      </c>
      <c r="T1275" s="209" t="s">
        <v>187</v>
      </c>
      <c r="U1275" s="209" t="s">
        <v>188</v>
      </c>
      <c r="V1275" s="209" t="s">
        <v>179</v>
      </c>
      <c r="W1275" s="209" t="s">
        <v>179</v>
      </c>
      <c r="X1275" s="209" t="s">
        <v>180</v>
      </c>
      <c r="Y1275" s="209" t="s">
        <v>180</v>
      </c>
      <c r="Z1275" s="209">
        <v>9511048268</v>
      </c>
      <c r="AA1275" s="209" t="s">
        <v>2665</v>
      </c>
      <c r="AB1275" s="209" t="s">
        <v>180</v>
      </c>
      <c r="AC1275" s="209" t="s">
        <v>182</v>
      </c>
      <c r="AD1275" s="209">
        <v>8</v>
      </c>
      <c r="AE1275" s="209">
        <v>2025</v>
      </c>
      <c r="AF1275" s="227">
        <v>45883</v>
      </c>
      <c r="AG1275" s="227">
        <v>45888</v>
      </c>
      <c r="AH1275" s="227">
        <v>45888</v>
      </c>
      <c r="AI1275" s="228">
        <v>399360</v>
      </c>
      <c r="AJ1275" s="228">
        <v>52</v>
      </c>
      <c r="AK1275" s="228">
        <v>399360</v>
      </c>
      <c r="AL1275" s="228">
        <v>52</v>
      </c>
      <c r="AM1275" s="228">
        <v>0</v>
      </c>
      <c r="AN1275" s="228">
        <v>0</v>
      </c>
      <c r="AO1275" s="229">
        <v>34</v>
      </c>
      <c r="AP1275" s="231">
        <v>8</v>
      </c>
      <c r="AQ1275" s="231">
        <v>2025</v>
      </c>
      <c r="AR1275" s="231" t="str">
        <f t="shared" si="184"/>
        <v>08/2025</v>
      </c>
      <c r="AS1275" s="231">
        <f t="shared" si="185"/>
        <v>52</v>
      </c>
      <c r="AT1275" s="239">
        <f>IF(G1275="CERVECERIA Y MALTERIA",(AS1275*AK1275/1000000)*(1-VLOOKUP(N1275,FCST!D:I,6,FALSE)),0)</f>
        <v>0</v>
      </c>
      <c r="AU1275" s="232">
        <v>5.0000000000000001E-3</v>
      </c>
      <c r="AV1275" s="239">
        <f t="shared" si="186"/>
        <v>0</v>
      </c>
      <c r="AW1275" s="239">
        <f>(AS1275*AK1275/1000000)*(VLOOKUP(N1275,FCST!D:I,6,FALSE))</f>
        <v>0</v>
      </c>
      <c r="AX1275" s="239">
        <f t="shared" si="187"/>
        <v>0</v>
      </c>
      <c r="AY1275" s="239">
        <f>IF($G1275="CERVECERIA Y MALTERIA.",($AS1275*$AK1275/1000000)*(1-VLOOKUP($N1275,FCST!D:I,6,FALSE)),0)</f>
        <v>20.766719999999999</v>
      </c>
      <c r="AZ1275" s="239">
        <f t="shared" si="188"/>
        <v>20.870553599999997</v>
      </c>
    </row>
    <row r="1276" spans="1:52" x14ac:dyDescent="0.25">
      <c r="A1276" s="209">
        <v>1134565</v>
      </c>
      <c r="B1276" s="209">
        <v>70</v>
      </c>
      <c r="C1276" s="209">
        <v>89542664</v>
      </c>
      <c r="D1276" s="209">
        <v>10</v>
      </c>
      <c r="E1276" s="209">
        <v>10000002</v>
      </c>
      <c r="F1276" s="209">
        <v>20000335</v>
      </c>
      <c r="G1276" s="209" t="s">
        <v>105</v>
      </c>
      <c r="H1276" s="209">
        <v>20000335</v>
      </c>
      <c r="I1276" s="209">
        <v>2</v>
      </c>
      <c r="J1276" s="209" t="s">
        <v>169</v>
      </c>
      <c r="K1276" s="209" t="s">
        <v>2672</v>
      </c>
      <c r="L1276" s="209" t="s">
        <v>2610</v>
      </c>
      <c r="M1276" s="209" t="s">
        <v>172</v>
      </c>
      <c r="N1276" s="209">
        <v>50034616</v>
      </c>
      <c r="O1276" s="209" t="s">
        <v>191</v>
      </c>
      <c r="P1276" s="209">
        <v>5121</v>
      </c>
      <c r="Q1276" s="209" t="s">
        <v>174</v>
      </c>
      <c r="R1276" s="209" t="s">
        <v>175</v>
      </c>
      <c r="S1276" s="209" t="s">
        <v>176</v>
      </c>
      <c r="T1276" s="209" t="s">
        <v>177</v>
      </c>
      <c r="U1276" s="209" t="s">
        <v>178</v>
      </c>
      <c r="V1276" s="209" t="s">
        <v>179</v>
      </c>
      <c r="W1276" s="209" t="s">
        <v>179</v>
      </c>
      <c r="X1276" s="209" t="s">
        <v>180</v>
      </c>
      <c r="Y1276" s="209" t="s">
        <v>180</v>
      </c>
      <c r="Z1276" s="209">
        <v>9521069285</v>
      </c>
      <c r="AA1276" s="209" t="s">
        <v>2669</v>
      </c>
      <c r="AB1276" s="209" t="s">
        <v>180</v>
      </c>
      <c r="AC1276" s="209" t="s">
        <v>182</v>
      </c>
      <c r="AD1276" s="209">
        <v>8</v>
      </c>
      <c r="AE1276" s="209">
        <v>2025</v>
      </c>
      <c r="AF1276" s="227">
        <v>45883</v>
      </c>
      <c r="AG1276" s="227">
        <v>45888</v>
      </c>
      <c r="AH1276" s="227">
        <v>45888</v>
      </c>
      <c r="AI1276" s="228">
        <v>426816</v>
      </c>
      <c r="AJ1276" s="228">
        <v>52</v>
      </c>
      <c r="AK1276" s="228">
        <v>426816</v>
      </c>
      <c r="AL1276" s="228">
        <v>52</v>
      </c>
      <c r="AM1276" s="228">
        <v>0</v>
      </c>
      <c r="AN1276" s="228">
        <v>0</v>
      </c>
      <c r="AO1276" s="229">
        <v>34</v>
      </c>
      <c r="AP1276" s="231">
        <v>8</v>
      </c>
      <c r="AQ1276" s="231">
        <v>2025</v>
      </c>
      <c r="AR1276" s="231" t="str">
        <f t="shared" si="184"/>
        <v>08/2025</v>
      </c>
      <c r="AS1276" s="231">
        <f t="shared" si="185"/>
        <v>46.6</v>
      </c>
      <c r="AT1276" s="239">
        <f>IF(G1276="CERVECERIA Y MALTERIA",(AS1276*AK1276/1000000)*(1-VLOOKUP(N1276,FCST!D:I,6,FALSE)),0)</f>
        <v>19.889625600000002</v>
      </c>
      <c r="AU1276" s="232">
        <v>5.0000000000000001E-3</v>
      </c>
      <c r="AV1276" s="239">
        <f t="shared" si="186"/>
        <v>19.989073728000001</v>
      </c>
      <c r="AW1276" s="239">
        <f>(AS1276*AK1276/1000000)*(VLOOKUP(N1276,FCST!D:I,6,FALSE))</f>
        <v>0</v>
      </c>
      <c r="AX1276" s="239">
        <f t="shared" si="187"/>
        <v>0</v>
      </c>
      <c r="AY1276" s="239">
        <f>IF($G1276="CERVECERIA Y MALTERIA.",($AS1276*$AK1276/1000000)*(1-VLOOKUP($N1276,FCST!D:I,6,FALSE)),0)</f>
        <v>0</v>
      </c>
      <c r="AZ1276" s="239">
        <f t="shared" si="188"/>
        <v>0</v>
      </c>
    </row>
    <row r="1277" spans="1:52" x14ac:dyDescent="0.25">
      <c r="A1277" s="209">
        <v>1134571</v>
      </c>
      <c r="B1277" s="209">
        <v>10</v>
      </c>
      <c r="C1277" s="209">
        <v>89542515</v>
      </c>
      <c r="D1277" s="209">
        <v>10</v>
      </c>
      <c r="E1277" s="209">
        <v>10000002</v>
      </c>
      <c r="F1277" s="209">
        <v>20000339</v>
      </c>
      <c r="G1277" s="209" t="s">
        <v>105</v>
      </c>
      <c r="H1277" s="209">
        <v>20000339</v>
      </c>
      <c r="I1277" s="209">
        <v>2</v>
      </c>
      <c r="J1277" s="209" t="s">
        <v>169</v>
      </c>
      <c r="K1277" s="209" t="s">
        <v>2673</v>
      </c>
      <c r="L1277" s="209" t="s">
        <v>2610</v>
      </c>
      <c r="M1277" s="209" t="s">
        <v>227</v>
      </c>
      <c r="N1277" s="209">
        <v>50036287</v>
      </c>
      <c r="O1277" s="209" t="s">
        <v>2191</v>
      </c>
      <c r="P1277" s="209">
        <v>5121</v>
      </c>
      <c r="Q1277" s="209" t="s">
        <v>228</v>
      </c>
      <c r="R1277" s="209" t="s">
        <v>229</v>
      </c>
      <c r="S1277" s="209" t="s">
        <v>230</v>
      </c>
      <c r="T1277" s="209" t="s">
        <v>231</v>
      </c>
      <c r="U1277" s="209" t="s">
        <v>232</v>
      </c>
      <c r="V1277" s="209" t="s">
        <v>179</v>
      </c>
      <c r="W1277" s="209" t="s">
        <v>179</v>
      </c>
      <c r="X1277" s="209" t="s">
        <v>180</v>
      </c>
      <c r="Y1277" s="209" t="s">
        <v>180</v>
      </c>
      <c r="Z1277" s="209">
        <v>9521069294</v>
      </c>
      <c r="AA1277" s="209" t="s">
        <v>2611</v>
      </c>
      <c r="AB1277" s="209" t="s">
        <v>180</v>
      </c>
      <c r="AC1277" s="209" t="s">
        <v>182</v>
      </c>
      <c r="AD1277" s="209">
        <v>8</v>
      </c>
      <c r="AE1277" s="209">
        <v>2025</v>
      </c>
      <c r="AF1277" s="227">
        <v>45883</v>
      </c>
      <c r="AG1277" s="227">
        <v>45888</v>
      </c>
      <c r="AH1277" s="227">
        <v>45888</v>
      </c>
      <c r="AI1277" s="228">
        <v>363168</v>
      </c>
      <c r="AJ1277" s="228">
        <v>52</v>
      </c>
      <c r="AK1277" s="228">
        <v>363168</v>
      </c>
      <c r="AL1277" s="228">
        <v>52</v>
      </c>
      <c r="AM1277" s="228">
        <v>0</v>
      </c>
      <c r="AN1277" s="228">
        <v>0</v>
      </c>
      <c r="AO1277" s="229">
        <v>34</v>
      </c>
      <c r="AP1277" s="231">
        <v>8</v>
      </c>
      <c r="AQ1277" s="231">
        <v>2025</v>
      </c>
      <c r="AR1277" s="231" t="str">
        <f t="shared" si="184"/>
        <v>08/2025</v>
      </c>
      <c r="AS1277" s="231">
        <f t="shared" si="185"/>
        <v>52</v>
      </c>
      <c r="AT1277" s="239">
        <f>IF(G1277="CERVECERIA Y MALTERIA",(AS1277*AK1277/1000000)*(1-VLOOKUP(N1277,FCST!D:I,6,FALSE)),0)</f>
        <v>18.884736</v>
      </c>
      <c r="AU1277" s="232">
        <v>5.0000000000000001E-3</v>
      </c>
      <c r="AV1277" s="239">
        <f t="shared" si="186"/>
        <v>18.979159679999999</v>
      </c>
      <c r="AW1277" s="239">
        <f>(AS1277*AK1277/1000000)*(VLOOKUP(N1277,FCST!D:I,6,FALSE))</f>
        <v>0</v>
      </c>
      <c r="AX1277" s="239">
        <f t="shared" si="187"/>
        <v>0</v>
      </c>
      <c r="AY1277" s="239">
        <f>IF($G1277="CERVECERIA Y MALTERIA.",($AS1277*$AK1277/1000000)*(1-VLOOKUP($N1277,FCST!D:I,6,FALSE)),0)</f>
        <v>0</v>
      </c>
      <c r="AZ1277" s="239">
        <f t="shared" si="188"/>
        <v>0</v>
      </c>
    </row>
    <row r="1278" spans="1:52" x14ac:dyDescent="0.25">
      <c r="A1278" s="209">
        <v>1134565</v>
      </c>
      <c r="B1278" s="209">
        <v>20</v>
      </c>
      <c r="C1278" s="209">
        <v>89542449</v>
      </c>
      <c r="D1278" s="209">
        <v>10</v>
      </c>
      <c r="E1278" s="209">
        <v>10000002</v>
      </c>
      <c r="F1278" s="209">
        <v>20000335</v>
      </c>
      <c r="G1278" s="209" t="s">
        <v>105</v>
      </c>
      <c r="H1278" s="209">
        <v>20000335</v>
      </c>
      <c r="I1278" s="209">
        <v>2</v>
      </c>
      <c r="J1278" s="209" t="s">
        <v>169</v>
      </c>
      <c r="K1278" s="209" t="s">
        <v>2674</v>
      </c>
      <c r="L1278" s="209" t="s">
        <v>2610</v>
      </c>
      <c r="M1278" s="209" t="s">
        <v>199</v>
      </c>
      <c r="N1278" s="209">
        <v>50037887</v>
      </c>
      <c r="O1278" s="209" t="s">
        <v>679</v>
      </c>
      <c r="P1278" s="209">
        <v>5121</v>
      </c>
      <c r="Q1278" s="209" t="s">
        <v>200</v>
      </c>
      <c r="R1278" s="209" t="s">
        <v>201</v>
      </c>
      <c r="S1278" s="209" t="s">
        <v>202</v>
      </c>
      <c r="T1278" s="209" t="s">
        <v>203</v>
      </c>
      <c r="U1278" s="209" t="s">
        <v>201</v>
      </c>
      <c r="V1278" s="209" t="s">
        <v>179</v>
      </c>
      <c r="W1278" s="209" t="s">
        <v>179</v>
      </c>
      <c r="X1278" s="209" t="s">
        <v>180</v>
      </c>
      <c r="Y1278" s="209" t="s">
        <v>180</v>
      </c>
      <c r="Z1278" s="209">
        <v>9521069291</v>
      </c>
      <c r="AA1278" s="209" t="s">
        <v>2604</v>
      </c>
      <c r="AB1278" s="209" t="s">
        <v>180</v>
      </c>
      <c r="AC1278" s="209" t="s">
        <v>182</v>
      </c>
      <c r="AD1278" s="209">
        <v>8</v>
      </c>
      <c r="AE1278" s="209">
        <v>2025</v>
      </c>
      <c r="AF1278" s="227">
        <v>45883</v>
      </c>
      <c r="AG1278" s="227">
        <v>45888</v>
      </c>
      <c r="AH1278" s="227">
        <v>45888</v>
      </c>
      <c r="AI1278" s="228">
        <v>531648</v>
      </c>
      <c r="AJ1278" s="228">
        <v>52</v>
      </c>
      <c r="AK1278" s="228">
        <v>531648</v>
      </c>
      <c r="AL1278" s="228">
        <v>52</v>
      </c>
      <c r="AM1278" s="228">
        <v>0</v>
      </c>
      <c r="AN1278" s="228">
        <v>0</v>
      </c>
      <c r="AO1278" s="229">
        <v>34</v>
      </c>
      <c r="AP1278" s="231">
        <v>8</v>
      </c>
      <c r="AQ1278" s="231">
        <v>2025</v>
      </c>
      <c r="AR1278" s="231" t="str">
        <f t="shared" si="184"/>
        <v>08/2025</v>
      </c>
      <c r="AS1278" s="231">
        <f t="shared" si="185"/>
        <v>37.200000000000003</v>
      </c>
      <c r="AT1278" s="239">
        <f>IF(G1278="CERVECERIA Y MALTERIA",(AS1278*AK1278/1000000)*(1-VLOOKUP(N1278,FCST!D:I,6,FALSE)),0)</f>
        <v>19.777305600000002</v>
      </c>
      <c r="AU1278" s="232">
        <v>5.0000000000000001E-3</v>
      </c>
      <c r="AV1278" s="239">
        <f t="shared" si="186"/>
        <v>19.876192128</v>
      </c>
      <c r="AW1278" s="239">
        <f>(AS1278*AK1278/1000000)*(VLOOKUP(N1278,FCST!D:I,6,FALSE))</f>
        <v>0</v>
      </c>
      <c r="AX1278" s="239">
        <f t="shared" si="187"/>
        <v>0</v>
      </c>
      <c r="AY1278" s="239">
        <f>IF($G1278="CERVECERIA Y MALTERIA.",($AS1278*$AK1278/1000000)*(1-VLOOKUP($N1278,FCST!D:I,6,FALSE)),0)</f>
        <v>0</v>
      </c>
      <c r="AZ1278" s="239">
        <f t="shared" si="188"/>
        <v>0</v>
      </c>
    </row>
    <row r="1279" spans="1:52" x14ac:dyDescent="0.25">
      <c r="A1279" s="209">
        <v>1134591</v>
      </c>
      <c r="B1279" s="209">
        <v>20</v>
      </c>
      <c r="C1279" s="209">
        <v>89542751</v>
      </c>
      <c r="D1279" s="209">
        <v>20</v>
      </c>
      <c r="E1279" s="209">
        <v>10000002</v>
      </c>
      <c r="F1279" s="209">
        <v>20000337</v>
      </c>
      <c r="G1279" s="209" t="s">
        <v>105</v>
      </c>
      <c r="H1279" s="209">
        <v>20000337</v>
      </c>
      <c r="I1279" s="209">
        <v>2</v>
      </c>
      <c r="J1279" s="209" t="s">
        <v>169</v>
      </c>
      <c r="K1279" s="209" t="s">
        <v>2675</v>
      </c>
      <c r="L1279" s="209" t="s">
        <v>2610</v>
      </c>
      <c r="M1279" s="209" t="s">
        <v>199</v>
      </c>
      <c r="N1279" s="209">
        <v>50035183</v>
      </c>
      <c r="O1279" s="209" t="s">
        <v>215</v>
      </c>
      <c r="P1279" s="209">
        <v>5121</v>
      </c>
      <c r="Q1279" s="209" t="s">
        <v>200</v>
      </c>
      <c r="R1279" s="209" t="s">
        <v>201</v>
      </c>
      <c r="S1279" s="209" t="s">
        <v>202</v>
      </c>
      <c r="T1279" s="209" t="s">
        <v>203</v>
      </c>
      <c r="U1279" s="209" t="s">
        <v>201</v>
      </c>
      <c r="V1279" s="209" t="s">
        <v>179</v>
      </c>
      <c r="W1279" s="209" t="s">
        <v>179</v>
      </c>
      <c r="X1279" s="209" t="s">
        <v>180</v>
      </c>
      <c r="Y1279" s="209" t="s">
        <v>180</v>
      </c>
      <c r="Z1279" s="209">
        <v>9521069279</v>
      </c>
      <c r="AA1279" s="209" t="s">
        <v>2676</v>
      </c>
      <c r="AB1279" s="209" t="s">
        <v>180</v>
      </c>
      <c r="AC1279" s="209" t="s">
        <v>182</v>
      </c>
      <c r="AD1279" s="209">
        <v>8</v>
      </c>
      <c r="AE1279" s="209">
        <v>2025</v>
      </c>
      <c r="AF1279" s="227">
        <v>45883</v>
      </c>
      <c r="AG1279" s="227">
        <v>45889</v>
      </c>
      <c r="AH1279" s="227">
        <v>45888</v>
      </c>
      <c r="AI1279" s="228">
        <v>73872</v>
      </c>
      <c r="AJ1279" s="228">
        <v>9</v>
      </c>
      <c r="AK1279" s="228">
        <v>73872</v>
      </c>
      <c r="AL1279" s="228">
        <v>9</v>
      </c>
      <c r="AM1279" s="228">
        <v>0</v>
      </c>
      <c r="AN1279" s="228">
        <v>0</v>
      </c>
      <c r="AO1279" s="229">
        <v>34</v>
      </c>
      <c r="AP1279" s="231">
        <v>8</v>
      </c>
      <c r="AQ1279" s="231">
        <v>2025</v>
      </c>
      <c r="AR1279" s="231" t="str">
        <f t="shared" si="184"/>
        <v>08/2025</v>
      </c>
      <c r="AS1279" s="231">
        <f t="shared" si="185"/>
        <v>46.6</v>
      </c>
      <c r="AT1279" s="239">
        <f>IF(G1279="CERVECERIA Y MALTERIA",(AS1279*AK1279/1000000)*(1-VLOOKUP(N1279,FCST!D:I,6,FALSE)),0)</f>
        <v>3.4424352000000003</v>
      </c>
      <c r="AU1279" s="232">
        <v>5.0000000000000001E-3</v>
      </c>
      <c r="AV1279" s="239">
        <f t="shared" si="186"/>
        <v>3.4596473759999999</v>
      </c>
      <c r="AW1279" s="239">
        <f>(AS1279*AK1279/1000000)*(VLOOKUP(N1279,FCST!D:I,6,FALSE))</f>
        <v>0</v>
      </c>
      <c r="AX1279" s="239">
        <f t="shared" si="187"/>
        <v>0</v>
      </c>
      <c r="AY1279" s="239">
        <f>IF($G1279="CERVECERIA Y MALTERIA.",($AS1279*$AK1279/1000000)*(1-VLOOKUP($N1279,FCST!D:I,6,FALSE)),0)</f>
        <v>0</v>
      </c>
      <c r="AZ1279" s="239">
        <f t="shared" si="188"/>
        <v>0</v>
      </c>
    </row>
    <row r="1280" spans="1:52" x14ac:dyDescent="0.25">
      <c r="A1280" s="209">
        <v>1134591</v>
      </c>
      <c r="B1280" s="209">
        <v>10</v>
      </c>
      <c r="C1280" s="209">
        <v>89542751</v>
      </c>
      <c r="D1280" s="209">
        <v>10</v>
      </c>
      <c r="E1280" s="209">
        <v>10000002</v>
      </c>
      <c r="F1280" s="209">
        <v>20000337</v>
      </c>
      <c r="G1280" s="209" t="s">
        <v>105</v>
      </c>
      <c r="H1280" s="209">
        <v>20000337</v>
      </c>
      <c r="I1280" s="209">
        <v>2</v>
      </c>
      <c r="J1280" s="209" t="s">
        <v>169</v>
      </c>
      <c r="K1280" s="209" t="s">
        <v>2675</v>
      </c>
      <c r="L1280" s="209" t="s">
        <v>2610</v>
      </c>
      <c r="M1280" s="209" t="s">
        <v>199</v>
      </c>
      <c r="N1280" s="209">
        <v>50025345</v>
      </c>
      <c r="O1280" s="209" t="s">
        <v>1998</v>
      </c>
      <c r="P1280" s="209">
        <v>5121</v>
      </c>
      <c r="Q1280" s="209" t="s">
        <v>200</v>
      </c>
      <c r="R1280" s="209" t="s">
        <v>201</v>
      </c>
      <c r="S1280" s="209" t="s">
        <v>202</v>
      </c>
      <c r="T1280" s="209" t="s">
        <v>203</v>
      </c>
      <c r="U1280" s="209" t="s">
        <v>201</v>
      </c>
      <c r="V1280" s="209" t="s">
        <v>179</v>
      </c>
      <c r="W1280" s="209" t="s">
        <v>179</v>
      </c>
      <c r="X1280" s="209" t="s">
        <v>180</v>
      </c>
      <c r="Y1280" s="209" t="s">
        <v>180</v>
      </c>
      <c r="Z1280" s="209">
        <v>9521069279</v>
      </c>
      <c r="AA1280" s="209" t="s">
        <v>2676</v>
      </c>
      <c r="AB1280" s="209" t="s">
        <v>180</v>
      </c>
      <c r="AC1280" s="209" t="s">
        <v>182</v>
      </c>
      <c r="AD1280" s="209">
        <v>8</v>
      </c>
      <c r="AE1280" s="209">
        <v>2025</v>
      </c>
      <c r="AF1280" s="227">
        <v>45883</v>
      </c>
      <c r="AG1280" s="227">
        <v>45889</v>
      </c>
      <c r="AH1280" s="227">
        <v>45888</v>
      </c>
      <c r="AI1280" s="228">
        <v>352944</v>
      </c>
      <c r="AJ1280" s="228">
        <v>43</v>
      </c>
      <c r="AK1280" s="228">
        <v>352944</v>
      </c>
      <c r="AL1280" s="228">
        <v>43</v>
      </c>
      <c r="AM1280" s="228">
        <v>0</v>
      </c>
      <c r="AN1280" s="228">
        <v>0</v>
      </c>
      <c r="AO1280" s="229">
        <v>34</v>
      </c>
      <c r="AP1280" s="231">
        <v>8</v>
      </c>
      <c r="AQ1280" s="231">
        <v>2025</v>
      </c>
      <c r="AR1280" s="231" t="str">
        <f t="shared" si="184"/>
        <v>08/2025</v>
      </c>
      <c r="AS1280" s="231">
        <f t="shared" si="185"/>
        <v>46.6</v>
      </c>
      <c r="AT1280" s="239">
        <f>IF(G1280="CERVECERIA Y MALTERIA",(AS1280*AK1280/1000000)*(1-VLOOKUP(N1280,FCST!D:I,6,FALSE)),0)</f>
        <v>16.4471904</v>
      </c>
      <c r="AU1280" s="232">
        <v>5.0000000000000001E-3</v>
      </c>
      <c r="AV1280" s="239">
        <f t="shared" si="186"/>
        <v>16.529426351999998</v>
      </c>
      <c r="AW1280" s="239">
        <f>(AS1280*AK1280/1000000)*(VLOOKUP(N1280,FCST!D:I,6,FALSE))</f>
        <v>0</v>
      </c>
      <c r="AX1280" s="239">
        <f t="shared" si="187"/>
        <v>0</v>
      </c>
      <c r="AY1280" s="239">
        <f>IF($G1280="CERVECERIA Y MALTERIA.",($AS1280*$AK1280/1000000)*(1-VLOOKUP($N1280,FCST!D:I,6,FALSE)),0)</f>
        <v>0</v>
      </c>
      <c r="AZ1280" s="239">
        <f t="shared" si="188"/>
        <v>0</v>
      </c>
    </row>
    <row r="1281" spans="1:52" x14ac:dyDescent="0.25">
      <c r="A1281" s="209">
        <v>1134591</v>
      </c>
      <c r="B1281" s="209">
        <v>40</v>
      </c>
      <c r="C1281" s="209">
        <v>89544118</v>
      </c>
      <c r="D1281" s="209">
        <v>20</v>
      </c>
      <c r="E1281" s="209">
        <v>10000002</v>
      </c>
      <c r="F1281" s="209">
        <v>20000337</v>
      </c>
      <c r="G1281" s="209" t="s">
        <v>105</v>
      </c>
      <c r="H1281" s="209">
        <v>20000337</v>
      </c>
      <c r="I1281" s="209">
        <v>2</v>
      </c>
      <c r="J1281" s="209" t="s">
        <v>169</v>
      </c>
      <c r="K1281" s="209" t="s">
        <v>2677</v>
      </c>
      <c r="L1281" s="209" t="s">
        <v>2610</v>
      </c>
      <c r="M1281" s="209" t="s">
        <v>172</v>
      </c>
      <c r="N1281" s="209">
        <v>50035183</v>
      </c>
      <c r="O1281" s="209" t="s">
        <v>215</v>
      </c>
      <c r="P1281" s="209">
        <v>5121</v>
      </c>
      <c r="Q1281" s="209" t="s">
        <v>174</v>
      </c>
      <c r="R1281" s="209" t="s">
        <v>175</v>
      </c>
      <c r="S1281" s="209" t="s">
        <v>176</v>
      </c>
      <c r="T1281" s="209" t="s">
        <v>177</v>
      </c>
      <c r="U1281" s="209" t="s">
        <v>178</v>
      </c>
      <c r="V1281" s="209" t="s">
        <v>179</v>
      </c>
      <c r="W1281" s="209" t="s">
        <v>179</v>
      </c>
      <c r="X1281" s="209" t="s">
        <v>180</v>
      </c>
      <c r="Y1281" s="209" t="s">
        <v>180</v>
      </c>
      <c r="Z1281" s="209">
        <v>9521069275</v>
      </c>
      <c r="AA1281" s="209" t="s">
        <v>2678</v>
      </c>
      <c r="AB1281" s="209" t="s">
        <v>180</v>
      </c>
      <c r="AC1281" s="209" t="s">
        <v>182</v>
      </c>
      <c r="AD1281" s="209">
        <v>8</v>
      </c>
      <c r="AE1281" s="209">
        <v>2025</v>
      </c>
      <c r="AF1281" s="227">
        <v>45883</v>
      </c>
      <c r="AG1281" s="227">
        <v>45889</v>
      </c>
      <c r="AH1281" s="227">
        <v>45889</v>
      </c>
      <c r="AI1281" s="228">
        <v>164160</v>
      </c>
      <c r="AJ1281" s="228">
        <v>20</v>
      </c>
      <c r="AK1281" s="228">
        <v>164160</v>
      </c>
      <c r="AL1281" s="228">
        <v>20</v>
      </c>
      <c r="AM1281" s="228">
        <v>0</v>
      </c>
      <c r="AN1281" s="228">
        <v>0</v>
      </c>
      <c r="AO1281" s="229">
        <v>34</v>
      </c>
      <c r="AP1281" s="231">
        <v>8</v>
      </c>
      <c r="AQ1281" s="231">
        <v>2025</v>
      </c>
      <c r="AR1281" s="231" t="str">
        <f t="shared" si="184"/>
        <v>08/2025</v>
      </c>
      <c r="AS1281" s="231">
        <f t="shared" si="185"/>
        <v>46.6</v>
      </c>
      <c r="AT1281" s="239">
        <f>IF(G1281="CERVECERIA Y MALTERIA",(AS1281*AK1281/1000000)*(1-VLOOKUP(N1281,FCST!D:I,6,FALSE)),0)</f>
        <v>7.6498559999999998</v>
      </c>
      <c r="AU1281" s="232">
        <v>5.0000000000000001E-3</v>
      </c>
      <c r="AV1281" s="239">
        <f t="shared" si="186"/>
        <v>7.6881052799999994</v>
      </c>
      <c r="AW1281" s="239">
        <f>(AS1281*AK1281/1000000)*(VLOOKUP(N1281,FCST!D:I,6,FALSE))</f>
        <v>0</v>
      </c>
      <c r="AX1281" s="239">
        <f t="shared" si="187"/>
        <v>0</v>
      </c>
      <c r="AY1281" s="239">
        <f>IF($G1281="CERVECERIA Y MALTERIA.",($AS1281*$AK1281/1000000)*(1-VLOOKUP($N1281,FCST!D:I,6,FALSE)),0)</f>
        <v>0</v>
      </c>
      <c r="AZ1281" s="239">
        <f t="shared" si="188"/>
        <v>0</v>
      </c>
    </row>
    <row r="1282" spans="1:52" x14ac:dyDescent="0.25">
      <c r="A1282" s="209">
        <v>1134591</v>
      </c>
      <c r="B1282" s="209">
        <v>30</v>
      </c>
      <c r="C1282" s="209">
        <v>89544118</v>
      </c>
      <c r="D1282" s="209">
        <v>10</v>
      </c>
      <c r="E1282" s="209">
        <v>10000002</v>
      </c>
      <c r="F1282" s="209">
        <v>20000337</v>
      </c>
      <c r="G1282" s="209" t="s">
        <v>105</v>
      </c>
      <c r="H1282" s="209">
        <v>20000337</v>
      </c>
      <c r="I1282" s="209">
        <v>2</v>
      </c>
      <c r="J1282" s="209" t="s">
        <v>169</v>
      </c>
      <c r="K1282" s="209" t="s">
        <v>2677</v>
      </c>
      <c r="L1282" s="209" t="s">
        <v>2610</v>
      </c>
      <c r="M1282" s="209" t="s">
        <v>172</v>
      </c>
      <c r="N1282" s="209">
        <v>50024497</v>
      </c>
      <c r="O1282" s="209" t="s">
        <v>1352</v>
      </c>
      <c r="P1282" s="209">
        <v>5121</v>
      </c>
      <c r="Q1282" s="209" t="s">
        <v>174</v>
      </c>
      <c r="R1282" s="209" t="s">
        <v>175</v>
      </c>
      <c r="S1282" s="209" t="s">
        <v>176</v>
      </c>
      <c r="T1282" s="209" t="s">
        <v>177</v>
      </c>
      <c r="U1282" s="209" t="s">
        <v>178</v>
      </c>
      <c r="V1282" s="209" t="s">
        <v>179</v>
      </c>
      <c r="W1282" s="209" t="s">
        <v>179</v>
      </c>
      <c r="X1282" s="209" t="s">
        <v>180</v>
      </c>
      <c r="Y1282" s="209" t="s">
        <v>180</v>
      </c>
      <c r="Z1282" s="209">
        <v>9521069275</v>
      </c>
      <c r="AA1282" s="209" t="s">
        <v>2678</v>
      </c>
      <c r="AB1282" s="209" t="s">
        <v>180</v>
      </c>
      <c r="AC1282" s="209" t="s">
        <v>182</v>
      </c>
      <c r="AD1282" s="209">
        <v>8</v>
      </c>
      <c r="AE1282" s="209">
        <v>2025</v>
      </c>
      <c r="AF1282" s="227">
        <v>45883</v>
      </c>
      <c r="AG1282" s="227">
        <v>45889</v>
      </c>
      <c r="AH1282" s="227">
        <v>45889</v>
      </c>
      <c r="AI1282" s="228">
        <v>216576</v>
      </c>
      <c r="AJ1282" s="228">
        <v>32</v>
      </c>
      <c r="AK1282" s="228">
        <v>216576</v>
      </c>
      <c r="AL1282" s="228">
        <v>32</v>
      </c>
      <c r="AM1282" s="228">
        <v>0</v>
      </c>
      <c r="AN1282" s="228">
        <v>0</v>
      </c>
      <c r="AO1282" s="229">
        <v>34</v>
      </c>
      <c r="AP1282" s="231">
        <v>8</v>
      </c>
      <c r="AQ1282" s="231">
        <v>2025</v>
      </c>
      <c r="AR1282" s="231" t="str">
        <f t="shared" si="184"/>
        <v>08/2025</v>
      </c>
      <c r="AS1282" s="231">
        <f t="shared" si="185"/>
        <v>54.7</v>
      </c>
      <c r="AT1282" s="239">
        <f>IF(G1282="CERVECERIA Y MALTERIA",(AS1282*AK1282/1000000)*(1-VLOOKUP(N1282,FCST!D:I,6,FALSE)),0)</f>
        <v>11.846707200000001</v>
      </c>
      <c r="AU1282" s="232">
        <v>5.0000000000000001E-3</v>
      </c>
      <c r="AV1282" s="239">
        <f t="shared" si="186"/>
        <v>11.905940736</v>
      </c>
      <c r="AW1282" s="239">
        <f>(AS1282*AK1282/1000000)*(VLOOKUP(N1282,FCST!D:I,6,FALSE))</f>
        <v>0</v>
      </c>
      <c r="AX1282" s="239">
        <f t="shared" si="187"/>
        <v>0</v>
      </c>
      <c r="AY1282" s="239">
        <f>IF($G1282="CERVECERIA Y MALTERIA.",($AS1282*$AK1282/1000000)*(1-VLOOKUP($N1282,FCST!D:I,6,FALSE)),0)</f>
        <v>0</v>
      </c>
      <c r="AZ1282" s="239">
        <f t="shared" si="188"/>
        <v>0</v>
      </c>
    </row>
    <row r="1283" spans="1:52" x14ac:dyDescent="0.25">
      <c r="A1283" s="209">
        <v>1134598</v>
      </c>
      <c r="B1283" s="209">
        <v>10</v>
      </c>
      <c r="C1283" s="209">
        <v>89544114</v>
      </c>
      <c r="D1283" s="209">
        <v>10</v>
      </c>
      <c r="E1283" s="209">
        <v>10000002</v>
      </c>
      <c r="F1283" s="209">
        <v>20000336</v>
      </c>
      <c r="G1283" s="209" t="s">
        <v>105</v>
      </c>
      <c r="H1283" s="209">
        <v>20000336</v>
      </c>
      <c r="I1283" s="209">
        <v>2</v>
      </c>
      <c r="J1283" s="209" t="s">
        <v>169</v>
      </c>
      <c r="K1283" s="209" t="s">
        <v>2679</v>
      </c>
      <c r="L1283" s="209" t="s">
        <v>2610</v>
      </c>
      <c r="M1283" s="209" t="s">
        <v>172</v>
      </c>
      <c r="N1283" s="209">
        <v>50037887</v>
      </c>
      <c r="O1283" s="209" t="s">
        <v>679</v>
      </c>
      <c r="P1283" s="209">
        <v>5121</v>
      </c>
      <c r="Q1283" s="209" t="s">
        <v>174</v>
      </c>
      <c r="R1283" s="209" t="s">
        <v>175</v>
      </c>
      <c r="S1283" s="209" t="s">
        <v>176</v>
      </c>
      <c r="T1283" s="209" t="s">
        <v>177</v>
      </c>
      <c r="U1283" s="209" t="s">
        <v>178</v>
      </c>
      <c r="V1283" s="209" t="s">
        <v>179</v>
      </c>
      <c r="W1283" s="209" t="s">
        <v>179</v>
      </c>
      <c r="X1283" s="209" t="s">
        <v>180</v>
      </c>
      <c r="Y1283" s="209" t="s">
        <v>180</v>
      </c>
      <c r="Z1283" s="209">
        <v>9521069292</v>
      </c>
      <c r="AA1283" s="209" t="s">
        <v>2680</v>
      </c>
      <c r="AB1283" s="209" t="s">
        <v>180</v>
      </c>
      <c r="AC1283" s="209" t="s">
        <v>182</v>
      </c>
      <c r="AD1283" s="209">
        <v>8</v>
      </c>
      <c r="AE1283" s="209">
        <v>2025</v>
      </c>
      <c r="AF1283" s="227">
        <v>45883</v>
      </c>
      <c r="AG1283" s="227">
        <v>45889</v>
      </c>
      <c r="AH1283" s="227">
        <v>45889</v>
      </c>
      <c r="AI1283" s="228">
        <v>531648</v>
      </c>
      <c r="AJ1283" s="228">
        <v>52</v>
      </c>
      <c r="AK1283" s="228">
        <v>531648</v>
      </c>
      <c r="AL1283" s="228">
        <v>52</v>
      </c>
      <c r="AM1283" s="228">
        <v>0</v>
      </c>
      <c r="AN1283" s="228">
        <v>0</v>
      </c>
      <c r="AO1283" s="229">
        <v>34</v>
      </c>
      <c r="AP1283" s="231">
        <v>8</v>
      </c>
      <c r="AQ1283" s="231">
        <v>2025</v>
      </c>
      <c r="AR1283" s="231" t="str">
        <f t="shared" si="184"/>
        <v>08/2025</v>
      </c>
      <c r="AS1283" s="231">
        <f t="shared" si="185"/>
        <v>37.200000000000003</v>
      </c>
      <c r="AT1283" s="239">
        <f>IF(G1283="CERVECERIA Y MALTERIA",(AS1283*AK1283/1000000)*(1-VLOOKUP(N1283,FCST!D:I,6,FALSE)),0)</f>
        <v>19.777305600000002</v>
      </c>
      <c r="AU1283" s="232">
        <v>5.0000000000000001E-3</v>
      </c>
      <c r="AV1283" s="239">
        <f t="shared" si="186"/>
        <v>19.876192128</v>
      </c>
      <c r="AW1283" s="239">
        <f>(AS1283*AK1283/1000000)*(VLOOKUP(N1283,FCST!D:I,6,FALSE))</f>
        <v>0</v>
      </c>
      <c r="AX1283" s="239">
        <f t="shared" si="187"/>
        <v>0</v>
      </c>
      <c r="AY1283" s="239">
        <f>IF($G1283="CERVECERIA Y MALTERIA.",($AS1283*$AK1283/1000000)*(1-VLOOKUP($N1283,FCST!D:I,6,FALSE)),0)</f>
        <v>0</v>
      </c>
      <c r="AZ1283" s="239">
        <f t="shared" si="188"/>
        <v>0</v>
      </c>
    </row>
    <row r="1284" spans="1:52" x14ac:dyDescent="0.25">
      <c r="A1284" s="209">
        <v>1134565</v>
      </c>
      <c r="B1284" s="209">
        <v>80</v>
      </c>
      <c r="C1284" s="209">
        <v>89543538</v>
      </c>
      <c r="D1284" s="209">
        <v>10</v>
      </c>
      <c r="E1284" s="209">
        <v>10000002</v>
      </c>
      <c r="F1284" s="209">
        <v>20000335</v>
      </c>
      <c r="G1284" s="209" t="s">
        <v>105</v>
      </c>
      <c r="H1284" s="209">
        <v>20000335</v>
      </c>
      <c r="I1284" s="209">
        <v>2</v>
      </c>
      <c r="J1284" s="209" t="s">
        <v>169</v>
      </c>
      <c r="K1284" s="209" t="s">
        <v>2681</v>
      </c>
      <c r="L1284" s="209" t="s">
        <v>2610</v>
      </c>
      <c r="M1284" s="209" t="s">
        <v>172</v>
      </c>
      <c r="N1284" s="209">
        <v>50024497</v>
      </c>
      <c r="O1284" s="209" t="s">
        <v>1352</v>
      </c>
      <c r="P1284" s="209">
        <v>5121</v>
      </c>
      <c r="Q1284" s="209" t="s">
        <v>174</v>
      </c>
      <c r="R1284" s="209" t="s">
        <v>175</v>
      </c>
      <c r="S1284" s="209" t="s">
        <v>176</v>
      </c>
      <c r="T1284" s="209" t="s">
        <v>177</v>
      </c>
      <c r="U1284" s="209" t="s">
        <v>178</v>
      </c>
      <c r="V1284" s="209" t="s">
        <v>179</v>
      </c>
      <c r="W1284" s="209" t="s">
        <v>179</v>
      </c>
      <c r="X1284" s="209" t="s">
        <v>180</v>
      </c>
      <c r="Y1284" s="209" t="s">
        <v>180</v>
      </c>
      <c r="Z1284" s="209">
        <v>9521069281</v>
      </c>
      <c r="AA1284" s="209" t="s">
        <v>2644</v>
      </c>
      <c r="AB1284" s="209" t="s">
        <v>180</v>
      </c>
      <c r="AC1284" s="209" t="s">
        <v>182</v>
      </c>
      <c r="AD1284" s="209">
        <v>8</v>
      </c>
      <c r="AE1284" s="209">
        <v>2025</v>
      </c>
      <c r="AF1284" s="227">
        <v>45883</v>
      </c>
      <c r="AG1284" s="227">
        <v>45889</v>
      </c>
      <c r="AH1284" s="227">
        <v>45889</v>
      </c>
      <c r="AI1284" s="228">
        <v>351936</v>
      </c>
      <c r="AJ1284" s="228">
        <v>52</v>
      </c>
      <c r="AK1284" s="228">
        <v>351936</v>
      </c>
      <c r="AL1284" s="228">
        <v>52</v>
      </c>
      <c r="AM1284" s="228">
        <v>0</v>
      </c>
      <c r="AN1284" s="228">
        <v>0</v>
      </c>
      <c r="AO1284" s="229">
        <v>34</v>
      </c>
      <c r="AP1284" s="231">
        <v>8</v>
      </c>
      <c r="AQ1284" s="231">
        <v>2025</v>
      </c>
      <c r="AR1284" s="231" t="str">
        <f t="shared" si="184"/>
        <v>08/2025</v>
      </c>
      <c r="AS1284" s="231">
        <f t="shared" si="185"/>
        <v>54.7</v>
      </c>
      <c r="AT1284" s="239">
        <f>IF(G1284="CERVECERIA Y MALTERIA",(AS1284*AK1284/1000000)*(1-VLOOKUP(N1284,FCST!D:I,6,FALSE)),0)</f>
        <v>19.250899199999999</v>
      </c>
      <c r="AU1284" s="232">
        <v>5.0000000000000001E-3</v>
      </c>
      <c r="AV1284" s="239">
        <f t="shared" si="186"/>
        <v>19.347153695999996</v>
      </c>
      <c r="AW1284" s="239">
        <f>(AS1284*AK1284/1000000)*(VLOOKUP(N1284,FCST!D:I,6,FALSE))</f>
        <v>0</v>
      </c>
      <c r="AX1284" s="239">
        <f t="shared" si="187"/>
        <v>0</v>
      </c>
      <c r="AY1284" s="239">
        <f>IF($G1284="CERVECERIA Y MALTERIA.",($AS1284*$AK1284/1000000)*(1-VLOOKUP($N1284,FCST!D:I,6,FALSE)),0)</f>
        <v>0</v>
      </c>
      <c r="AZ1284" s="239">
        <f t="shared" si="188"/>
        <v>0</v>
      </c>
    </row>
    <row r="1285" spans="1:52" x14ac:dyDescent="0.25">
      <c r="A1285" s="209">
        <v>1134565</v>
      </c>
      <c r="B1285" s="209">
        <v>30</v>
      </c>
      <c r="C1285" s="209">
        <v>89544016</v>
      </c>
      <c r="D1285" s="209">
        <v>10</v>
      </c>
      <c r="E1285" s="209">
        <v>10000002</v>
      </c>
      <c r="F1285" s="209">
        <v>20000335</v>
      </c>
      <c r="G1285" s="209" t="s">
        <v>105</v>
      </c>
      <c r="H1285" s="209">
        <v>20000335</v>
      </c>
      <c r="I1285" s="209">
        <v>2</v>
      </c>
      <c r="J1285" s="209" t="s">
        <v>169</v>
      </c>
      <c r="K1285" s="209" t="s">
        <v>2682</v>
      </c>
      <c r="L1285" s="209" t="s">
        <v>2610</v>
      </c>
      <c r="M1285" s="209" t="s">
        <v>199</v>
      </c>
      <c r="N1285" s="209">
        <v>50035184</v>
      </c>
      <c r="O1285" s="209" t="s">
        <v>672</v>
      </c>
      <c r="P1285" s="209">
        <v>5121</v>
      </c>
      <c r="Q1285" s="209" t="s">
        <v>200</v>
      </c>
      <c r="R1285" s="209" t="s">
        <v>201</v>
      </c>
      <c r="S1285" s="209" t="s">
        <v>202</v>
      </c>
      <c r="T1285" s="209" t="s">
        <v>203</v>
      </c>
      <c r="U1285" s="209" t="s">
        <v>201</v>
      </c>
      <c r="V1285" s="209" t="s">
        <v>179</v>
      </c>
      <c r="W1285" s="209" t="s">
        <v>179</v>
      </c>
      <c r="X1285" s="209" t="s">
        <v>180</v>
      </c>
      <c r="Y1285" s="209" t="s">
        <v>180</v>
      </c>
      <c r="Z1285" s="209">
        <v>9521069287</v>
      </c>
      <c r="AA1285" s="209" t="s">
        <v>2661</v>
      </c>
      <c r="AB1285" s="209" t="s">
        <v>180</v>
      </c>
      <c r="AC1285" s="209" t="s">
        <v>182</v>
      </c>
      <c r="AD1285" s="209">
        <v>8</v>
      </c>
      <c r="AE1285" s="209">
        <v>2025</v>
      </c>
      <c r="AF1285" s="227">
        <v>45883</v>
      </c>
      <c r="AG1285" s="227">
        <v>45889</v>
      </c>
      <c r="AH1285" s="227">
        <v>45889</v>
      </c>
      <c r="AI1285" s="228">
        <v>977184</v>
      </c>
      <c r="AJ1285" s="228">
        <v>52</v>
      </c>
      <c r="AK1285" s="228">
        <v>977184</v>
      </c>
      <c r="AL1285" s="228">
        <v>52</v>
      </c>
      <c r="AM1285" s="228">
        <v>0</v>
      </c>
      <c r="AN1285" s="228">
        <v>0</v>
      </c>
      <c r="AO1285" s="229">
        <v>34</v>
      </c>
      <c r="AP1285" s="231">
        <v>8</v>
      </c>
      <c r="AQ1285" s="231">
        <v>2025</v>
      </c>
      <c r="AR1285" s="231" t="str">
        <f t="shared" si="184"/>
        <v>08/2025</v>
      </c>
      <c r="AS1285" s="231">
        <f t="shared" si="185"/>
        <v>19.5</v>
      </c>
      <c r="AT1285" s="239">
        <f>IF(G1285="CERVECERIA Y MALTERIA",(AS1285*AK1285/1000000)*(1-VLOOKUP(N1285,FCST!D:I,6,FALSE)),0)</f>
        <v>19.055088000000001</v>
      </c>
      <c r="AU1285" s="232">
        <v>5.0000000000000001E-3</v>
      </c>
      <c r="AV1285" s="239">
        <f t="shared" si="186"/>
        <v>19.15036344</v>
      </c>
      <c r="AW1285" s="239">
        <f>(AS1285*AK1285/1000000)*(VLOOKUP(N1285,FCST!D:I,6,FALSE))</f>
        <v>0</v>
      </c>
      <c r="AX1285" s="239">
        <f t="shared" si="187"/>
        <v>0</v>
      </c>
      <c r="AY1285" s="239">
        <f>IF($G1285="CERVECERIA Y MALTERIA.",($AS1285*$AK1285/1000000)*(1-VLOOKUP($N1285,FCST!D:I,6,FALSE)),0)</f>
        <v>0</v>
      </c>
      <c r="AZ1285" s="239">
        <f t="shared" si="188"/>
        <v>0</v>
      </c>
    </row>
    <row r="1286" spans="1:52" x14ac:dyDescent="0.25">
      <c r="A1286" s="209">
        <v>1134367</v>
      </c>
      <c r="B1286" s="209">
        <v>40</v>
      </c>
      <c r="C1286" s="209">
        <v>89545002</v>
      </c>
      <c r="D1286" s="209">
        <v>10</v>
      </c>
      <c r="E1286" s="209">
        <v>10000002</v>
      </c>
      <c r="F1286" s="209">
        <v>20000340</v>
      </c>
      <c r="G1286" s="209" t="s">
        <v>117</v>
      </c>
      <c r="H1286" s="209">
        <v>20000340</v>
      </c>
      <c r="I1286" s="209">
        <v>2</v>
      </c>
      <c r="J1286" s="209" t="s">
        <v>169</v>
      </c>
      <c r="K1286" s="209" t="s">
        <v>2683</v>
      </c>
      <c r="L1286" s="209" t="s">
        <v>2610</v>
      </c>
      <c r="M1286" s="209" t="s">
        <v>172</v>
      </c>
      <c r="N1286" s="209">
        <v>50027468</v>
      </c>
      <c r="O1286" s="209" t="s">
        <v>285</v>
      </c>
      <c r="P1286" s="209">
        <v>5101</v>
      </c>
      <c r="Q1286" s="209" t="s">
        <v>186</v>
      </c>
      <c r="R1286" s="209" t="s">
        <v>175</v>
      </c>
      <c r="S1286" s="209" t="s">
        <v>176</v>
      </c>
      <c r="T1286" s="209" t="s">
        <v>187</v>
      </c>
      <c r="U1286" s="209" t="s">
        <v>188</v>
      </c>
      <c r="V1286" s="209" t="s">
        <v>179</v>
      </c>
      <c r="W1286" s="209" t="s">
        <v>179</v>
      </c>
      <c r="X1286" s="209" t="s">
        <v>180</v>
      </c>
      <c r="Y1286" s="209" t="s">
        <v>180</v>
      </c>
      <c r="Z1286" s="209">
        <v>9511048268</v>
      </c>
      <c r="AA1286" s="209" t="s">
        <v>2665</v>
      </c>
      <c r="AB1286" s="209" t="s">
        <v>180</v>
      </c>
      <c r="AC1286" s="209" t="s">
        <v>182</v>
      </c>
      <c r="AD1286" s="209">
        <v>8</v>
      </c>
      <c r="AE1286" s="209">
        <v>2025</v>
      </c>
      <c r="AF1286" s="227">
        <v>45883</v>
      </c>
      <c r="AG1286" s="227">
        <v>45890</v>
      </c>
      <c r="AH1286" s="227">
        <v>45890</v>
      </c>
      <c r="AI1286" s="228">
        <v>399360</v>
      </c>
      <c r="AJ1286" s="228">
        <v>52</v>
      </c>
      <c r="AK1286" s="228">
        <v>399360</v>
      </c>
      <c r="AL1286" s="228">
        <v>52</v>
      </c>
      <c r="AM1286" s="228">
        <v>0</v>
      </c>
      <c r="AN1286" s="228">
        <v>0</v>
      </c>
      <c r="AO1286" s="229">
        <v>34</v>
      </c>
      <c r="AP1286" s="231">
        <v>8</v>
      </c>
      <c r="AQ1286" s="231">
        <v>2025</v>
      </c>
      <c r="AR1286" s="231" t="str">
        <f t="shared" si="184"/>
        <v>08/2025</v>
      </c>
      <c r="AS1286" s="231">
        <f t="shared" si="185"/>
        <v>52</v>
      </c>
      <c r="AT1286" s="239">
        <f>IF(G1286="CERVECERIA Y MALTERIA",(AS1286*AK1286/1000000)*(1-VLOOKUP(N1286,FCST!D:I,6,FALSE)),0)</f>
        <v>0</v>
      </c>
      <c r="AU1286" s="232">
        <v>5.0000000000000001E-3</v>
      </c>
      <c r="AV1286" s="239">
        <f t="shared" si="186"/>
        <v>0</v>
      </c>
      <c r="AW1286" s="239">
        <f>(AS1286*AK1286/1000000)*(VLOOKUP(N1286,FCST!D:I,6,FALSE))</f>
        <v>0</v>
      </c>
      <c r="AX1286" s="239">
        <f t="shared" si="187"/>
        <v>0</v>
      </c>
      <c r="AY1286" s="239">
        <f>IF($G1286="CERVECERIA Y MALTERIA.",($AS1286*$AK1286/1000000)*(1-VLOOKUP($N1286,FCST!D:I,6,FALSE)),0)</f>
        <v>20.766719999999999</v>
      </c>
      <c r="AZ1286" s="239">
        <f t="shared" si="188"/>
        <v>20.870553599999997</v>
      </c>
    </row>
    <row r="1287" spans="1:52" x14ac:dyDescent="0.25">
      <c r="A1287" s="209">
        <v>1134565</v>
      </c>
      <c r="B1287" s="209">
        <v>90</v>
      </c>
      <c r="C1287" s="209">
        <v>89544557</v>
      </c>
      <c r="D1287" s="209">
        <v>10</v>
      </c>
      <c r="E1287" s="209">
        <v>10000002</v>
      </c>
      <c r="F1287" s="209">
        <v>20000335</v>
      </c>
      <c r="G1287" s="209" t="s">
        <v>105</v>
      </c>
      <c r="H1287" s="209">
        <v>20000335</v>
      </c>
      <c r="I1287" s="209">
        <v>2</v>
      </c>
      <c r="J1287" s="209" t="s">
        <v>169</v>
      </c>
      <c r="K1287" s="209" t="s">
        <v>2684</v>
      </c>
      <c r="L1287" s="209" t="s">
        <v>2610</v>
      </c>
      <c r="M1287" s="209" t="s">
        <v>172</v>
      </c>
      <c r="N1287" s="209">
        <v>50024497</v>
      </c>
      <c r="O1287" s="209" t="s">
        <v>1352</v>
      </c>
      <c r="P1287" s="209">
        <v>5121</v>
      </c>
      <c r="Q1287" s="209" t="s">
        <v>174</v>
      </c>
      <c r="R1287" s="209" t="s">
        <v>175</v>
      </c>
      <c r="S1287" s="209" t="s">
        <v>176</v>
      </c>
      <c r="T1287" s="209" t="s">
        <v>177</v>
      </c>
      <c r="U1287" s="209" t="s">
        <v>178</v>
      </c>
      <c r="V1287" s="209" t="s">
        <v>179</v>
      </c>
      <c r="W1287" s="209" t="s">
        <v>179</v>
      </c>
      <c r="X1287" s="209" t="s">
        <v>180</v>
      </c>
      <c r="Y1287" s="209" t="s">
        <v>180</v>
      </c>
      <c r="Z1287" s="209">
        <v>9521069281</v>
      </c>
      <c r="AA1287" s="209" t="s">
        <v>2644</v>
      </c>
      <c r="AB1287" s="209" t="s">
        <v>180</v>
      </c>
      <c r="AC1287" s="209" t="s">
        <v>182</v>
      </c>
      <c r="AD1287" s="209">
        <v>8</v>
      </c>
      <c r="AE1287" s="209">
        <v>2025</v>
      </c>
      <c r="AF1287" s="227">
        <v>45883</v>
      </c>
      <c r="AG1287" s="227">
        <v>45890</v>
      </c>
      <c r="AH1287" s="227">
        <v>45890</v>
      </c>
      <c r="AI1287" s="228">
        <v>351936</v>
      </c>
      <c r="AJ1287" s="228">
        <v>52</v>
      </c>
      <c r="AK1287" s="228">
        <v>351936</v>
      </c>
      <c r="AL1287" s="228">
        <v>52</v>
      </c>
      <c r="AM1287" s="228">
        <v>0</v>
      </c>
      <c r="AN1287" s="228">
        <v>0</v>
      </c>
      <c r="AO1287" s="229">
        <v>34</v>
      </c>
      <c r="AP1287" s="231">
        <v>8</v>
      </c>
      <c r="AQ1287" s="231">
        <v>2025</v>
      </c>
      <c r="AR1287" s="231" t="str">
        <f t="shared" si="184"/>
        <v>08/2025</v>
      </c>
      <c r="AS1287" s="231">
        <f t="shared" si="185"/>
        <v>54.7</v>
      </c>
      <c r="AT1287" s="239">
        <f>IF(G1287="CERVECERIA Y MALTERIA",(AS1287*AK1287/1000000)*(1-VLOOKUP(N1287,FCST!D:I,6,FALSE)),0)</f>
        <v>19.250899199999999</v>
      </c>
      <c r="AU1287" s="232">
        <v>5.0000000000000001E-3</v>
      </c>
      <c r="AV1287" s="239">
        <f t="shared" si="186"/>
        <v>19.347153695999996</v>
      </c>
      <c r="AW1287" s="239">
        <f>(AS1287*AK1287/1000000)*(VLOOKUP(N1287,FCST!D:I,6,FALSE))</f>
        <v>0</v>
      </c>
      <c r="AX1287" s="239">
        <f t="shared" si="187"/>
        <v>0</v>
      </c>
      <c r="AY1287" s="239">
        <f>IF($G1287="CERVECERIA Y MALTERIA.",($AS1287*$AK1287/1000000)*(1-VLOOKUP($N1287,FCST!D:I,6,FALSE)),0)</f>
        <v>0</v>
      </c>
      <c r="AZ1287" s="239">
        <f t="shared" si="188"/>
        <v>0</v>
      </c>
    </row>
    <row r="1288" spans="1:52" x14ac:dyDescent="0.25">
      <c r="A1288" s="209">
        <v>1134565</v>
      </c>
      <c r="B1288" s="209">
        <v>40</v>
      </c>
      <c r="C1288" s="209">
        <v>89544556</v>
      </c>
      <c r="D1288" s="209">
        <v>10</v>
      </c>
      <c r="E1288" s="209">
        <v>10000002</v>
      </c>
      <c r="F1288" s="209">
        <v>20000335</v>
      </c>
      <c r="G1288" s="209" t="s">
        <v>105</v>
      </c>
      <c r="H1288" s="209">
        <v>20000335</v>
      </c>
      <c r="I1288" s="209">
        <v>2</v>
      </c>
      <c r="J1288" s="209" t="s">
        <v>169</v>
      </c>
      <c r="K1288" s="209" t="s">
        <v>2685</v>
      </c>
      <c r="L1288" s="209" t="s">
        <v>2610</v>
      </c>
      <c r="M1288" s="209" t="s">
        <v>172</v>
      </c>
      <c r="N1288" s="209">
        <v>50035184</v>
      </c>
      <c r="O1288" s="209" t="s">
        <v>672</v>
      </c>
      <c r="P1288" s="209">
        <v>5121</v>
      </c>
      <c r="Q1288" s="209" t="s">
        <v>174</v>
      </c>
      <c r="R1288" s="209" t="s">
        <v>175</v>
      </c>
      <c r="S1288" s="209" t="s">
        <v>176</v>
      </c>
      <c r="T1288" s="209" t="s">
        <v>177</v>
      </c>
      <c r="U1288" s="209" t="s">
        <v>178</v>
      </c>
      <c r="V1288" s="209" t="s">
        <v>179</v>
      </c>
      <c r="W1288" s="209" t="s">
        <v>179</v>
      </c>
      <c r="X1288" s="209" t="s">
        <v>180</v>
      </c>
      <c r="Y1288" s="209" t="s">
        <v>180</v>
      </c>
      <c r="Z1288" s="209">
        <v>9521069287</v>
      </c>
      <c r="AA1288" s="209" t="s">
        <v>2661</v>
      </c>
      <c r="AB1288" s="209" t="s">
        <v>180</v>
      </c>
      <c r="AC1288" s="209" t="s">
        <v>182</v>
      </c>
      <c r="AD1288" s="209">
        <v>8</v>
      </c>
      <c r="AE1288" s="209">
        <v>2025</v>
      </c>
      <c r="AF1288" s="227">
        <v>45883</v>
      </c>
      <c r="AG1288" s="227">
        <v>45890</v>
      </c>
      <c r="AH1288" s="227">
        <v>45890</v>
      </c>
      <c r="AI1288" s="228">
        <v>977184</v>
      </c>
      <c r="AJ1288" s="228">
        <v>52</v>
      </c>
      <c r="AK1288" s="228">
        <v>977184</v>
      </c>
      <c r="AL1288" s="228">
        <v>52</v>
      </c>
      <c r="AM1288" s="228">
        <v>0</v>
      </c>
      <c r="AN1288" s="228">
        <v>0</v>
      </c>
      <c r="AO1288" s="229">
        <v>34</v>
      </c>
      <c r="AP1288" s="231">
        <v>8</v>
      </c>
      <c r="AQ1288" s="231">
        <v>2025</v>
      </c>
      <c r="AR1288" s="231" t="str">
        <f t="shared" si="184"/>
        <v>08/2025</v>
      </c>
      <c r="AS1288" s="231">
        <f t="shared" si="185"/>
        <v>19.5</v>
      </c>
      <c r="AT1288" s="239">
        <f>IF(G1288="CERVECERIA Y MALTERIA",(AS1288*AK1288/1000000)*(1-VLOOKUP(N1288,FCST!D:I,6,FALSE)),0)</f>
        <v>19.055088000000001</v>
      </c>
      <c r="AU1288" s="232">
        <v>5.0000000000000001E-3</v>
      </c>
      <c r="AV1288" s="239">
        <f t="shared" si="186"/>
        <v>19.15036344</v>
      </c>
      <c r="AW1288" s="239">
        <f>(AS1288*AK1288/1000000)*(VLOOKUP(N1288,FCST!D:I,6,FALSE))</f>
        <v>0</v>
      </c>
      <c r="AX1288" s="239">
        <f t="shared" si="187"/>
        <v>0</v>
      </c>
      <c r="AY1288" s="239">
        <f>IF($G1288="CERVECERIA Y MALTERIA.",($AS1288*$AK1288/1000000)*(1-VLOOKUP($N1288,FCST!D:I,6,FALSE)),0)</f>
        <v>0</v>
      </c>
      <c r="AZ1288" s="239">
        <f t="shared" si="188"/>
        <v>0</v>
      </c>
    </row>
    <row r="1289" spans="1:52" x14ac:dyDescent="0.25">
      <c r="A1289" s="209">
        <v>1134565</v>
      </c>
      <c r="B1289" s="209">
        <v>50</v>
      </c>
      <c r="C1289" s="209">
        <v>89545806</v>
      </c>
      <c r="D1289" s="209">
        <v>10</v>
      </c>
      <c r="E1289" s="209">
        <v>10000002</v>
      </c>
      <c r="F1289" s="209">
        <v>20000335</v>
      </c>
      <c r="G1289" s="209" t="s">
        <v>105</v>
      </c>
      <c r="H1289" s="209">
        <v>20000335</v>
      </c>
      <c r="I1289" s="209">
        <v>2</v>
      </c>
      <c r="J1289" s="209" t="s">
        <v>169</v>
      </c>
      <c r="K1289" s="209" t="s">
        <v>2686</v>
      </c>
      <c r="L1289" s="209" t="s">
        <v>2610</v>
      </c>
      <c r="M1289" s="209" t="s">
        <v>172</v>
      </c>
      <c r="N1289" s="209">
        <v>50035184</v>
      </c>
      <c r="O1289" s="209" t="s">
        <v>672</v>
      </c>
      <c r="P1289" s="209">
        <v>5121</v>
      </c>
      <c r="Q1289" s="209" t="s">
        <v>174</v>
      </c>
      <c r="R1289" s="209" t="s">
        <v>175</v>
      </c>
      <c r="S1289" s="209" t="s">
        <v>176</v>
      </c>
      <c r="T1289" s="209" t="s">
        <v>177</v>
      </c>
      <c r="U1289" s="209" t="s">
        <v>178</v>
      </c>
      <c r="V1289" s="209" t="s">
        <v>179</v>
      </c>
      <c r="W1289" s="209" t="s">
        <v>179</v>
      </c>
      <c r="X1289" s="209" t="s">
        <v>180</v>
      </c>
      <c r="Y1289" s="209" t="s">
        <v>180</v>
      </c>
      <c r="Z1289" s="209">
        <v>9521069287</v>
      </c>
      <c r="AA1289" s="209" t="s">
        <v>2661</v>
      </c>
      <c r="AB1289" s="209" t="s">
        <v>180</v>
      </c>
      <c r="AC1289" s="209" t="s">
        <v>182</v>
      </c>
      <c r="AD1289" s="209">
        <v>8</v>
      </c>
      <c r="AE1289" s="209">
        <v>2025</v>
      </c>
      <c r="AF1289" s="227">
        <v>45883</v>
      </c>
      <c r="AG1289" s="227">
        <v>45891</v>
      </c>
      <c r="AH1289" s="227">
        <v>45891</v>
      </c>
      <c r="AI1289" s="228">
        <v>977184</v>
      </c>
      <c r="AJ1289" s="228">
        <v>52</v>
      </c>
      <c r="AK1289" s="228">
        <v>977184</v>
      </c>
      <c r="AL1289" s="228">
        <v>52</v>
      </c>
      <c r="AM1289" s="228">
        <v>0</v>
      </c>
      <c r="AN1289" s="228">
        <v>0</v>
      </c>
      <c r="AO1289" s="229">
        <v>34</v>
      </c>
      <c r="AP1289" s="231">
        <v>8</v>
      </c>
      <c r="AQ1289" s="231">
        <v>2025</v>
      </c>
      <c r="AR1289" s="231" t="str">
        <f t="shared" si="184"/>
        <v>08/2025</v>
      </c>
      <c r="AS1289" s="231">
        <f t="shared" si="185"/>
        <v>19.5</v>
      </c>
      <c r="AT1289" s="239">
        <f>IF(G1289="CERVECERIA Y MALTERIA",(AS1289*AK1289/1000000)*(1-VLOOKUP(N1289,FCST!D:I,6,FALSE)),0)</f>
        <v>19.055088000000001</v>
      </c>
      <c r="AU1289" s="232">
        <v>5.0000000000000001E-3</v>
      </c>
      <c r="AV1289" s="239">
        <f t="shared" si="186"/>
        <v>19.15036344</v>
      </c>
      <c r="AW1289" s="239">
        <f>(AS1289*AK1289/1000000)*(VLOOKUP(N1289,FCST!D:I,6,FALSE))</f>
        <v>0</v>
      </c>
      <c r="AX1289" s="239">
        <f t="shared" si="187"/>
        <v>0</v>
      </c>
      <c r="AY1289" s="239">
        <f>IF($G1289="CERVECERIA Y MALTERIA.",($AS1289*$AK1289/1000000)*(1-VLOOKUP($N1289,FCST!D:I,6,FALSE)),0)</f>
        <v>0</v>
      </c>
      <c r="AZ1289" s="239">
        <f t="shared" si="188"/>
        <v>0</v>
      </c>
    </row>
    <row r="1290" spans="1:52" x14ac:dyDescent="0.25">
      <c r="A1290" s="209">
        <v>1134565</v>
      </c>
      <c r="B1290" s="209">
        <v>100</v>
      </c>
      <c r="C1290" s="209">
        <v>89545866</v>
      </c>
      <c r="D1290" s="209">
        <v>10</v>
      </c>
      <c r="E1290" s="209">
        <v>10000002</v>
      </c>
      <c r="F1290" s="209">
        <v>20000335</v>
      </c>
      <c r="G1290" s="209" t="s">
        <v>105</v>
      </c>
      <c r="H1290" s="209">
        <v>20000335</v>
      </c>
      <c r="I1290" s="209">
        <v>2</v>
      </c>
      <c r="J1290" s="209" t="s">
        <v>169</v>
      </c>
      <c r="K1290" s="209" t="s">
        <v>2687</v>
      </c>
      <c r="L1290" s="209" t="s">
        <v>2610</v>
      </c>
      <c r="M1290" s="209" t="s">
        <v>172</v>
      </c>
      <c r="N1290" s="209">
        <v>50024497</v>
      </c>
      <c r="O1290" s="209" t="s">
        <v>1352</v>
      </c>
      <c r="P1290" s="209">
        <v>5121</v>
      </c>
      <c r="Q1290" s="209" t="s">
        <v>174</v>
      </c>
      <c r="R1290" s="209" t="s">
        <v>175</v>
      </c>
      <c r="S1290" s="209" t="s">
        <v>176</v>
      </c>
      <c r="T1290" s="209" t="s">
        <v>177</v>
      </c>
      <c r="U1290" s="209" t="s">
        <v>178</v>
      </c>
      <c r="V1290" s="209" t="s">
        <v>179</v>
      </c>
      <c r="W1290" s="209" t="s">
        <v>179</v>
      </c>
      <c r="X1290" s="209" t="s">
        <v>180</v>
      </c>
      <c r="Y1290" s="209" t="s">
        <v>180</v>
      </c>
      <c r="Z1290" s="209">
        <v>9521069281</v>
      </c>
      <c r="AA1290" s="209" t="s">
        <v>2644</v>
      </c>
      <c r="AB1290" s="209" t="s">
        <v>180</v>
      </c>
      <c r="AC1290" s="209" t="s">
        <v>182</v>
      </c>
      <c r="AD1290" s="209">
        <v>8</v>
      </c>
      <c r="AE1290" s="209">
        <v>2025</v>
      </c>
      <c r="AF1290" s="227">
        <v>45883</v>
      </c>
      <c r="AG1290" s="227">
        <v>45891</v>
      </c>
      <c r="AH1290" s="227">
        <v>45891</v>
      </c>
      <c r="AI1290" s="228">
        <v>351936</v>
      </c>
      <c r="AJ1290" s="228">
        <v>52</v>
      </c>
      <c r="AK1290" s="228">
        <v>351936</v>
      </c>
      <c r="AL1290" s="228">
        <v>52</v>
      </c>
      <c r="AM1290" s="228">
        <v>0</v>
      </c>
      <c r="AN1290" s="228">
        <v>0</v>
      </c>
      <c r="AO1290" s="229">
        <v>34</v>
      </c>
      <c r="AP1290" s="231">
        <v>8</v>
      </c>
      <c r="AQ1290" s="231">
        <v>2025</v>
      </c>
      <c r="AR1290" s="231" t="str">
        <f t="shared" si="184"/>
        <v>08/2025</v>
      </c>
      <c r="AS1290" s="231">
        <f t="shared" si="185"/>
        <v>54.7</v>
      </c>
      <c r="AT1290" s="239">
        <f>IF(G1290="CERVECERIA Y MALTERIA",(AS1290*AK1290/1000000)*(1-VLOOKUP(N1290,FCST!D:I,6,FALSE)),0)</f>
        <v>19.250899199999999</v>
      </c>
      <c r="AU1290" s="232">
        <v>5.0000000000000001E-3</v>
      </c>
      <c r="AV1290" s="239">
        <f t="shared" si="186"/>
        <v>19.347153695999996</v>
      </c>
      <c r="AW1290" s="239">
        <f>(AS1290*AK1290/1000000)*(VLOOKUP(N1290,FCST!D:I,6,FALSE))</f>
        <v>0</v>
      </c>
      <c r="AX1290" s="239">
        <f t="shared" si="187"/>
        <v>0</v>
      </c>
      <c r="AY1290" s="239">
        <f>IF($G1290="CERVECERIA Y MALTERIA.",($AS1290*$AK1290/1000000)*(1-VLOOKUP($N1290,FCST!D:I,6,FALSE)),0)</f>
        <v>0</v>
      </c>
      <c r="AZ1290" s="239">
        <f t="shared" si="188"/>
        <v>0</v>
      </c>
    </row>
    <row r="1291" spans="1:52" x14ac:dyDescent="0.25">
      <c r="A1291" s="209">
        <v>1135890</v>
      </c>
      <c r="B1291" s="209">
        <v>20</v>
      </c>
      <c r="C1291" s="209">
        <v>89546063</v>
      </c>
      <c r="D1291" s="209">
        <v>20</v>
      </c>
      <c r="E1291" s="209">
        <v>10000002</v>
      </c>
      <c r="F1291" s="209">
        <v>20001057</v>
      </c>
      <c r="G1291" s="209" t="s">
        <v>105</v>
      </c>
      <c r="H1291" s="209">
        <v>20001057</v>
      </c>
      <c r="I1291" s="209">
        <v>2</v>
      </c>
      <c r="J1291" s="209" t="s">
        <v>169</v>
      </c>
      <c r="K1291" s="209" t="s">
        <v>2688</v>
      </c>
      <c r="L1291" s="209" t="s">
        <v>2610</v>
      </c>
      <c r="M1291" s="209" t="s">
        <v>172</v>
      </c>
      <c r="N1291" s="209">
        <v>50034616</v>
      </c>
      <c r="O1291" s="209" t="s">
        <v>191</v>
      </c>
      <c r="P1291" s="209">
        <v>5121</v>
      </c>
      <c r="Q1291" s="209" t="s">
        <v>174</v>
      </c>
      <c r="R1291" s="209" t="s">
        <v>175</v>
      </c>
      <c r="S1291" s="209" t="s">
        <v>176</v>
      </c>
      <c r="T1291" s="209" t="s">
        <v>177</v>
      </c>
      <c r="U1291" s="209" t="s">
        <v>178</v>
      </c>
      <c r="V1291" s="209" t="s">
        <v>179</v>
      </c>
      <c r="W1291" s="209" t="s">
        <v>179</v>
      </c>
      <c r="X1291" s="209" t="s">
        <v>180</v>
      </c>
      <c r="Y1291" s="209" t="s">
        <v>180</v>
      </c>
      <c r="Z1291" s="209">
        <v>9521069282</v>
      </c>
      <c r="AA1291" s="209" t="s">
        <v>2689</v>
      </c>
      <c r="AB1291" s="209" t="s">
        <v>180</v>
      </c>
      <c r="AC1291" s="209" t="s">
        <v>182</v>
      </c>
      <c r="AD1291" s="209">
        <v>8</v>
      </c>
      <c r="AE1291" s="209">
        <v>2025</v>
      </c>
      <c r="AF1291" s="227">
        <v>45891</v>
      </c>
      <c r="AG1291" s="227">
        <v>45891</v>
      </c>
      <c r="AH1291" s="227">
        <v>45891</v>
      </c>
      <c r="AI1291" s="228">
        <v>336528</v>
      </c>
      <c r="AJ1291" s="228">
        <v>41</v>
      </c>
      <c r="AK1291" s="228">
        <v>336528</v>
      </c>
      <c r="AL1291" s="228">
        <v>41</v>
      </c>
      <c r="AM1291" s="228">
        <v>0</v>
      </c>
      <c r="AN1291" s="228">
        <v>0</v>
      </c>
      <c r="AO1291" s="229">
        <v>34</v>
      </c>
      <c r="AP1291" s="231">
        <v>8</v>
      </c>
      <c r="AQ1291" s="231">
        <v>2025</v>
      </c>
      <c r="AR1291" s="231" t="str">
        <f t="shared" ref="AR1291:AR1313" si="189">+IF(AP1291&lt;10,"0"&amp;AP1291&amp; "/"&amp;AQ1291,AP1291&amp; "/"&amp;AQ1291)</f>
        <v>08/2025</v>
      </c>
      <c r="AS1291" s="231">
        <f t="shared" ref="AS1291:AS1313" si="190">VALUE(MID(INDEX(_xlfn.TEXTSPLIT(O1291, ","), 1, 3), 1,FIND("G", INDEX(_xlfn.TEXTSPLIT(O1291, ","), 1, 3))-1))</f>
        <v>46.6</v>
      </c>
      <c r="AT1291" s="239">
        <f>IF(G1291="CERVECERIA Y MALTERIA",(AS1291*AK1291/1000000)*(1-VLOOKUP(N1291,FCST!D:I,6,FALSE)),0)</f>
        <v>15.682204800000001</v>
      </c>
      <c r="AU1291" s="232">
        <v>5.0000000000000001E-3</v>
      </c>
      <c r="AV1291" s="239">
        <f t="shared" ref="AV1291:AV1313" si="191">+AT1291*(1+AU1291)</f>
        <v>15.760615823999998</v>
      </c>
      <c r="AW1291" s="239">
        <f>(AS1291*AK1291/1000000)*(VLOOKUP(N1291,FCST!D:I,6,FALSE))</f>
        <v>0</v>
      </c>
      <c r="AX1291" s="239">
        <f t="shared" ref="AX1291:AX1313" si="192">+AW1291*(1+AU1291)</f>
        <v>0</v>
      </c>
      <c r="AY1291" s="239">
        <f>IF($G1291="CERVECERIA Y MALTERIA.",($AS1291*$AK1291/1000000)*(1-VLOOKUP($N1291,FCST!D:I,6,FALSE)),0)</f>
        <v>0</v>
      </c>
      <c r="AZ1291" s="239">
        <f t="shared" ref="AZ1291:AZ1313" si="193">+AY1291*(1+AU1291)</f>
        <v>0</v>
      </c>
    </row>
    <row r="1292" spans="1:52" x14ac:dyDescent="0.25">
      <c r="A1292" s="209">
        <v>1135890</v>
      </c>
      <c r="B1292" s="209">
        <v>10</v>
      </c>
      <c r="C1292" s="209">
        <v>89546063</v>
      </c>
      <c r="D1292" s="209">
        <v>10</v>
      </c>
      <c r="E1292" s="209">
        <v>10000002</v>
      </c>
      <c r="F1292" s="209">
        <v>20001057</v>
      </c>
      <c r="G1292" s="209" t="s">
        <v>105</v>
      </c>
      <c r="H1292" s="209">
        <v>20001057</v>
      </c>
      <c r="I1292" s="209">
        <v>2</v>
      </c>
      <c r="J1292" s="209" t="s">
        <v>169</v>
      </c>
      <c r="K1292" s="209" t="s">
        <v>2688</v>
      </c>
      <c r="L1292" s="209" t="s">
        <v>2610</v>
      </c>
      <c r="M1292" s="209" t="s">
        <v>172</v>
      </c>
      <c r="N1292" s="209">
        <v>50021818</v>
      </c>
      <c r="O1292" s="209" t="s">
        <v>2170</v>
      </c>
      <c r="P1292" s="209">
        <v>5121</v>
      </c>
      <c r="Q1292" s="209" t="s">
        <v>174</v>
      </c>
      <c r="R1292" s="209" t="s">
        <v>175</v>
      </c>
      <c r="S1292" s="209" t="s">
        <v>176</v>
      </c>
      <c r="T1292" s="209" t="s">
        <v>177</v>
      </c>
      <c r="U1292" s="209" t="s">
        <v>178</v>
      </c>
      <c r="V1292" s="209" t="s">
        <v>179</v>
      </c>
      <c r="W1292" s="209" t="s">
        <v>179</v>
      </c>
      <c r="X1292" s="209" t="s">
        <v>180</v>
      </c>
      <c r="Y1292" s="209" t="s">
        <v>180</v>
      </c>
      <c r="Z1292" s="209">
        <v>9521069282</v>
      </c>
      <c r="AA1292" s="209" t="s">
        <v>2689</v>
      </c>
      <c r="AB1292" s="209" t="s">
        <v>180</v>
      </c>
      <c r="AC1292" s="209" t="s">
        <v>182</v>
      </c>
      <c r="AD1292" s="209">
        <v>8</v>
      </c>
      <c r="AE1292" s="209">
        <v>2025</v>
      </c>
      <c r="AF1292" s="227">
        <v>45891</v>
      </c>
      <c r="AG1292" s="227">
        <v>45891</v>
      </c>
      <c r="AH1292" s="227">
        <v>45891</v>
      </c>
      <c r="AI1292" s="228">
        <v>90288</v>
      </c>
      <c r="AJ1292" s="228">
        <v>11</v>
      </c>
      <c r="AK1292" s="228">
        <v>90288</v>
      </c>
      <c r="AL1292" s="228">
        <v>11</v>
      </c>
      <c r="AM1292" s="228">
        <v>0</v>
      </c>
      <c r="AN1292" s="228">
        <v>0</v>
      </c>
      <c r="AO1292" s="229">
        <v>34</v>
      </c>
      <c r="AP1292" s="231">
        <v>8</v>
      </c>
      <c r="AQ1292" s="231">
        <v>2025</v>
      </c>
      <c r="AR1292" s="231" t="str">
        <f t="shared" si="189"/>
        <v>08/2025</v>
      </c>
      <c r="AS1292" s="231">
        <f t="shared" si="190"/>
        <v>46.6</v>
      </c>
      <c r="AT1292" s="239">
        <f>IF(G1292="CERVECERIA Y MALTERIA",(AS1292*AK1292/1000000)*(1-VLOOKUP(N1292,FCST!D:I,6,FALSE)),0)</f>
        <v>4.2074207999999995</v>
      </c>
      <c r="AU1292" s="232">
        <v>5.0000000000000001E-3</v>
      </c>
      <c r="AV1292" s="239">
        <f t="shared" si="191"/>
        <v>4.228457903999999</v>
      </c>
      <c r="AW1292" s="239">
        <f>(AS1292*AK1292/1000000)*(VLOOKUP(N1292,FCST!D:I,6,FALSE))</f>
        <v>0</v>
      </c>
      <c r="AX1292" s="239">
        <f t="shared" si="192"/>
        <v>0</v>
      </c>
      <c r="AY1292" s="239">
        <f>IF($G1292="CERVECERIA Y MALTERIA.",($AS1292*$AK1292/1000000)*(1-VLOOKUP($N1292,FCST!D:I,6,FALSE)),0)</f>
        <v>0</v>
      </c>
      <c r="AZ1292" s="239">
        <f t="shared" si="193"/>
        <v>0</v>
      </c>
    </row>
    <row r="1293" spans="1:52" x14ac:dyDescent="0.25">
      <c r="A1293" s="209">
        <v>1135669</v>
      </c>
      <c r="B1293" s="209">
        <v>10</v>
      </c>
      <c r="C1293" s="209">
        <v>89545900</v>
      </c>
      <c r="D1293" s="209">
        <v>10</v>
      </c>
      <c r="E1293" s="209">
        <v>10000002</v>
      </c>
      <c r="F1293" s="209">
        <v>20000339</v>
      </c>
      <c r="G1293" s="209" t="s">
        <v>105</v>
      </c>
      <c r="H1293" s="209">
        <v>20000339</v>
      </c>
      <c r="I1293" s="209">
        <v>2</v>
      </c>
      <c r="J1293" s="209" t="s">
        <v>169</v>
      </c>
      <c r="K1293" s="209" t="s">
        <v>2690</v>
      </c>
      <c r="L1293" s="209" t="s">
        <v>2610</v>
      </c>
      <c r="M1293" s="209" t="s">
        <v>227</v>
      </c>
      <c r="N1293" s="209">
        <v>50030542</v>
      </c>
      <c r="O1293" s="209" t="s">
        <v>2453</v>
      </c>
      <c r="P1293" s="209">
        <v>5121</v>
      </c>
      <c r="Q1293" s="209" t="s">
        <v>228</v>
      </c>
      <c r="R1293" s="209" t="s">
        <v>229</v>
      </c>
      <c r="S1293" s="209" t="s">
        <v>230</v>
      </c>
      <c r="T1293" s="209" t="s">
        <v>231</v>
      </c>
      <c r="U1293" s="209" t="s">
        <v>232</v>
      </c>
      <c r="V1293" s="209" t="s">
        <v>179</v>
      </c>
      <c r="W1293" s="209" t="s">
        <v>179</v>
      </c>
      <c r="X1293" s="209" t="s">
        <v>180</v>
      </c>
      <c r="Y1293" s="209" t="s">
        <v>180</v>
      </c>
      <c r="Z1293" s="209">
        <v>9521069283</v>
      </c>
      <c r="AA1293" s="209" t="s">
        <v>2691</v>
      </c>
      <c r="AB1293" s="209" t="s">
        <v>180</v>
      </c>
      <c r="AC1293" s="209" t="s">
        <v>182</v>
      </c>
      <c r="AD1293" s="209">
        <v>8</v>
      </c>
      <c r="AE1293" s="209">
        <v>2025</v>
      </c>
      <c r="AF1293" s="227">
        <v>45890</v>
      </c>
      <c r="AG1293" s="227">
        <v>45891</v>
      </c>
      <c r="AH1293" s="227">
        <v>45891</v>
      </c>
      <c r="AI1293" s="228">
        <v>203424</v>
      </c>
      <c r="AJ1293" s="228">
        <v>26</v>
      </c>
      <c r="AK1293" s="228">
        <v>203424</v>
      </c>
      <c r="AL1293" s="228">
        <v>26</v>
      </c>
      <c r="AM1293" s="228">
        <v>0</v>
      </c>
      <c r="AN1293" s="228">
        <v>0</v>
      </c>
      <c r="AO1293" s="229">
        <v>34</v>
      </c>
      <c r="AP1293" s="231">
        <v>8</v>
      </c>
      <c r="AQ1293" s="231">
        <v>2025</v>
      </c>
      <c r="AR1293" s="231" t="str">
        <f t="shared" si="189"/>
        <v>08/2025</v>
      </c>
      <c r="AS1293" s="231">
        <f t="shared" si="190"/>
        <v>44</v>
      </c>
      <c r="AT1293" s="239">
        <f>IF(G1293="CERVECERIA Y MALTERIA",(AS1293*AK1293/1000000)*(1-VLOOKUP(N1293,FCST!D:I,6,FALSE)),0)</f>
        <v>8.9506560000000004</v>
      </c>
      <c r="AU1293" s="232">
        <v>5.0000000000000001E-3</v>
      </c>
      <c r="AV1293" s="239">
        <f t="shared" si="191"/>
        <v>8.9954092799999987</v>
      </c>
      <c r="AW1293" s="239">
        <f>(AS1293*AK1293/1000000)*(VLOOKUP(N1293,FCST!D:I,6,FALSE))</f>
        <v>0</v>
      </c>
      <c r="AX1293" s="239">
        <f t="shared" si="192"/>
        <v>0</v>
      </c>
      <c r="AY1293" s="239">
        <f>IF($G1293="CERVECERIA Y MALTERIA.",($AS1293*$AK1293/1000000)*(1-VLOOKUP($N1293,FCST!D:I,6,FALSE)),0)</f>
        <v>0</v>
      </c>
      <c r="AZ1293" s="239">
        <f t="shared" si="193"/>
        <v>0</v>
      </c>
    </row>
    <row r="1294" spans="1:52" x14ac:dyDescent="0.25">
      <c r="A1294" s="209">
        <v>1135669</v>
      </c>
      <c r="B1294" s="209">
        <v>20</v>
      </c>
      <c r="C1294" s="209">
        <v>89545900</v>
      </c>
      <c r="D1294" s="209">
        <v>20</v>
      </c>
      <c r="E1294" s="209">
        <v>10000002</v>
      </c>
      <c r="F1294" s="209">
        <v>20000339</v>
      </c>
      <c r="G1294" s="209" t="s">
        <v>105</v>
      </c>
      <c r="H1294" s="209">
        <v>20000339</v>
      </c>
      <c r="I1294" s="209">
        <v>2</v>
      </c>
      <c r="J1294" s="209" t="s">
        <v>169</v>
      </c>
      <c r="K1294" s="209" t="s">
        <v>2690</v>
      </c>
      <c r="L1294" s="209" t="s">
        <v>2610</v>
      </c>
      <c r="M1294" s="209" t="s">
        <v>227</v>
      </c>
      <c r="N1294" s="209">
        <v>50036287</v>
      </c>
      <c r="O1294" s="209" t="s">
        <v>2191</v>
      </c>
      <c r="P1294" s="209">
        <v>5121</v>
      </c>
      <c r="Q1294" s="209" t="s">
        <v>228</v>
      </c>
      <c r="R1294" s="209" t="s">
        <v>229</v>
      </c>
      <c r="S1294" s="209" t="s">
        <v>230</v>
      </c>
      <c r="T1294" s="209" t="s">
        <v>231</v>
      </c>
      <c r="U1294" s="209" t="s">
        <v>232</v>
      </c>
      <c r="V1294" s="209" t="s">
        <v>179</v>
      </c>
      <c r="W1294" s="209" t="s">
        <v>179</v>
      </c>
      <c r="X1294" s="209" t="s">
        <v>180</v>
      </c>
      <c r="Y1294" s="209" t="s">
        <v>180</v>
      </c>
      <c r="Z1294" s="209">
        <v>9521069283</v>
      </c>
      <c r="AA1294" s="209" t="s">
        <v>2691</v>
      </c>
      <c r="AB1294" s="209" t="s">
        <v>180</v>
      </c>
      <c r="AC1294" s="209" t="s">
        <v>182</v>
      </c>
      <c r="AD1294" s="209">
        <v>8</v>
      </c>
      <c r="AE1294" s="209">
        <v>2025</v>
      </c>
      <c r="AF1294" s="227">
        <v>45890</v>
      </c>
      <c r="AG1294" s="227">
        <v>45891</v>
      </c>
      <c r="AH1294" s="227">
        <v>45891</v>
      </c>
      <c r="AI1294" s="228">
        <v>181584</v>
      </c>
      <c r="AJ1294" s="228">
        <v>26</v>
      </c>
      <c r="AK1294" s="228">
        <v>181584</v>
      </c>
      <c r="AL1294" s="228">
        <v>26</v>
      </c>
      <c r="AM1294" s="228">
        <v>0</v>
      </c>
      <c r="AN1294" s="228">
        <v>0</v>
      </c>
      <c r="AO1294" s="229">
        <v>34</v>
      </c>
      <c r="AP1294" s="231">
        <v>8</v>
      </c>
      <c r="AQ1294" s="231">
        <v>2025</v>
      </c>
      <c r="AR1294" s="231" t="str">
        <f t="shared" si="189"/>
        <v>08/2025</v>
      </c>
      <c r="AS1294" s="231">
        <f t="shared" si="190"/>
        <v>52</v>
      </c>
      <c r="AT1294" s="239">
        <f>IF(G1294="CERVECERIA Y MALTERIA",(AS1294*AK1294/1000000)*(1-VLOOKUP(N1294,FCST!D:I,6,FALSE)),0)</f>
        <v>9.4423680000000001</v>
      </c>
      <c r="AU1294" s="232">
        <v>5.0000000000000001E-3</v>
      </c>
      <c r="AV1294" s="239">
        <f t="shared" si="191"/>
        <v>9.4895798399999993</v>
      </c>
      <c r="AW1294" s="239">
        <f>(AS1294*AK1294/1000000)*(VLOOKUP(N1294,FCST!D:I,6,FALSE))</f>
        <v>0</v>
      </c>
      <c r="AX1294" s="239">
        <f t="shared" si="192"/>
        <v>0</v>
      </c>
      <c r="AY1294" s="239">
        <f>IF($G1294="CERVECERIA Y MALTERIA.",($AS1294*$AK1294/1000000)*(1-VLOOKUP($N1294,FCST!D:I,6,FALSE)),0)</f>
        <v>0</v>
      </c>
      <c r="AZ1294" s="239">
        <f t="shared" si="193"/>
        <v>0</v>
      </c>
    </row>
    <row r="1295" spans="1:52" x14ac:dyDescent="0.25">
      <c r="A1295" s="209">
        <v>1136093</v>
      </c>
      <c r="B1295" s="209">
        <v>10</v>
      </c>
      <c r="C1295" s="209">
        <v>89546559</v>
      </c>
      <c r="D1295" s="209">
        <v>10</v>
      </c>
      <c r="E1295" s="209">
        <v>10000002</v>
      </c>
      <c r="F1295" s="209">
        <v>20000337</v>
      </c>
      <c r="G1295" s="209" t="s">
        <v>105</v>
      </c>
      <c r="H1295" s="209">
        <v>20000337</v>
      </c>
      <c r="I1295" s="209">
        <v>2</v>
      </c>
      <c r="J1295" s="209" t="s">
        <v>169</v>
      </c>
      <c r="K1295" s="209" t="s">
        <v>2692</v>
      </c>
      <c r="L1295" s="209" t="s">
        <v>2610</v>
      </c>
      <c r="M1295" s="209" t="s">
        <v>172</v>
      </c>
      <c r="N1295" s="209">
        <v>50034616</v>
      </c>
      <c r="O1295" s="209" t="s">
        <v>191</v>
      </c>
      <c r="P1295" s="209">
        <v>5121</v>
      </c>
      <c r="Q1295" s="209" t="s">
        <v>174</v>
      </c>
      <c r="R1295" s="209" t="s">
        <v>175</v>
      </c>
      <c r="S1295" s="209" t="s">
        <v>176</v>
      </c>
      <c r="T1295" s="209" t="s">
        <v>177</v>
      </c>
      <c r="U1295" s="209" t="s">
        <v>178</v>
      </c>
      <c r="V1295" s="209" t="s">
        <v>179</v>
      </c>
      <c r="W1295" s="209" t="s">
        <v>179</v>
      </c>
      <c r="X1295" s="209" t="s">
        <v>180</v>
      </c>
      <c r="Y1295" s="209" t="s">
        <v>180</v>
      </c>
      <c r="Z1295" s="209">
        <v>9521069297</v>
      </c>
      <c r="AA1295" s="209" t="s">
        <v>2693</v>
      </c>
      <c r="AB1295" s="209" t="s">
        <v>180</v>
      </c>
      <c r="AC1295" s="209" t="s">
        <v>182</v>
      </c>
      <c r="AD1295" s="209">
        <v>8</v>
      </c>
      <c r="AE1295" s="209">
        <v>2025</v>
      </c>
      <c r="AF1295" s="227">
        <v>45891</v>
      </c>
      <c r="AG1295" s="227">
        <v>45892</v>
      </c>
      <c r="AH1295" s="227">
        <v>45892</v>
      </c>
      <c r="AI1295" s="228">
        <v>426816</v>
      </c>
      <c r="AJ1295" s="228">
        <v>52</v>
      </c>
      <c r="AK1295" s="228">
        <v>426816</v>
      </c>
      <c r="AL1295" s="228">
        <v>52</v>
      </c>
      <c r="AM1295" s="228">
        <v>0</v>
      </c>
      <c r="AN1295" s="228">
        <v>0</v>
      </c>
      <c r="AO1295" s="229">
        <v>34</v>
      </c>
      <c r="AP1295" s="231">
        <v>8</v>
      </c>
      <c r="AQ1295" s="231">
        <v>2025</v>
      </c>
      <c r="AR1295" s="231" t="str">
        <f t="shared" si="189"/>
        <v>08/2025</v>
      </c>
      <c r="AS1295" s="231">
        <f t="shared" si="190"/>
        <v>46.6</v>
      </c>
      <c r="AT1295" s="239">
        <f>IF(G1295="CERVECERIA Y MALTERIA",(AS1295*AK1295/1000000)*(1-VLOOKUP(N1295,FCST!D:I,6,FALSE)),0)</f>
        <v>19.889625600000002</v>
      </c>
      <c r="AU1295" s="232">
        <v>5.0000000000000001E-3</v>
      </c>
      <c r="AV1295" s="239">
        <f t="shared" si="191"/>
        <v>19.989073728000001</v>
      </c>
      <c r="AW1295" s="239">
        <f>(AS1295*AK1295/1000000)*(VLOOKUP(N1295,FCST!D:I,6,FALSE))</f>
        <v>0</v>
      </c>
      <c r="AX1295" s="239">
        <f t="shared" si="192"/>
        <v>0</v>
      </c>
      <c r="AY1295" s="239">
        <f>IF($G1295="CERVECERIA Y MALTERIA.",($AS1295*$AK1295/1000000)*(1-VLOOKUP($N1295,FCST!D:I,6,FALSE)),0)</f>
        <v>0</v>
      </c>
      <c r="AZ1295" s="239">
        <f t="shared" si="193"/>
        <v>0</v>
      </c>
    </row>
    <row r="1296" spans="1:52" x14ac:dyDescent="0.25">
      <c r="A1296" s="209">
        <v>1135908</v>
      </c>
      <c r="B1296" s="209">
        <v>10</v>
      </c>
      <c r="C1296" s="209">
        <v>89547078</v>
      </c>
      <c r="D1296" s="209">
        <v>10</v>
      </c>
      <c r="E1296" s="209">
        <v>10000002</v>
      </c>
      <c r="F1296" s="209">
        <v>20000335</v>
      </c>
      <c r="G1296" s="209" t="s">
        <v>105</v>
      </c>
      <c r="H1296" s="209">
        <v>20000335</v>
      </c>
      <c r="I1296" s="209">
        <v>2</v>
      </c>
      <c r="J1296" s="209" t="s">
        <v>169</v>
      </c>
      <c r="K1296" s="209" t="s">
        <v>2694</v>
      </c>
      <c r="L1296" s="209" t="s">
        <v>2610</v>
      </c>
      <c r="M1296" s="209" t="s">
        <v>172</v>
      </c>
      <c r="N1296" s="209">
        <v>50036915</v>
      </c>
      <c r="O1296" s="209" t="s">
        <v>541</v>
      </c>
      <c r="P1296" s="209">
        <v>5121</v>
      </c>
      <c r="Q1296" s="209" t="s">
        <v>174</v>
      </c>
      <c r="R1296" s="209" t="s">
        <v>175</v>
      </c>
      <c r="S1296" s="209" t="s">
        <v>176</v>
      </c>
      <c r="T1296" s="209" t="s">
        <v>177</v>
      </c>
      <c r="U1296" s="209" t="s">
        <v>178</v>
      </c>
      <c r="V1296" s="209" t="s">
        <v>179</v>
      </c>
      <c r="W1296" s="209" t="s">
        <v>179</v>
      </c>
      <c r="X1296" s="209" t="s">
        <v>180</v>
      </c>
      <c r="Y1296" s="209" t="s">
        <v>180</v>
      </c>
      <c r="Z1296" s="209">
        <v>9521069288</v>
      </c>
      <c r="AA1296" s="209" t="s">
        <v>2618</v>
      </c>
      <c r="AB1296" s="209" t="s">
        <v>180</v>
      </c>
      <c r="AC1296" s="209" t="s">
        <v>182</v>
      </c>
      <c r="AD1296" s="209">
        <v>8</v>
      </c>
      <c r="AE1296" s="209">
        <v>2025</v>
      </c>
      <c r="AF1296" s="227">
        <v>45891</v>
      </c>
      <c r="AG1296" s="227">
        <v>45894</v>
      </c>
      <c r="AH1296" s="227">
        <v>45894</v>
      </c>
      <c r="AI1296" s="228">
        <v>426816</v>
      </c>
      <c r="AJ1296" s="228">
        <v>52</v>
      </c>
      <c r="AK1296" s="228">
        <v>426816</v>
      </c>
      <c r="AL1296" s="228">
        <v>52</v>
      </c>
      <c r="AM1296" s="228">
        <v>0</v>
      </c>
      <c r="AN1296" s="228">
        <v>0</v>
      </c>
      <c r="AO1296" s="229">
        <v>35</v>
      </c>
      <c r="AP1296" s="231">
        <v>8</v>
      </c>
      <c r="AQ1296" s="231">
        <v>2025</v>
      </c>
      <c r="AR1296" s="231" t="str">
        <f t="shared" si="189"/>
        <v>08/2025</v>
      </c>
      <c r="AS1296" s="231">
        <f t="shared" si="190"/>
        <v>46.6</v>
      </c>
      <c r="AT1296" s="239">
        <f>IF(G1296="CERVECERIA Y MALTERIA",(AS1296*AK1296/1000000)*(1-VLOOKUP(N1296,FCST!D:I,6,FALSE)),0)</f>
        <v>15.911700480000002</v>
      </c>
      <c r="AU1296" s="232">
        <v>5.0000000000000001E-3</v>
      </c>
      <c r="AV1296" s="239">
        <f t="shared" si="191"/>
        <v>15.9912589824</v>
      </c>
      <c r="AW1296" s="239">
        <f>(AS1296*AK1296/1000000)*(VLOOKUP(N1296,FCST!D:I,6,FALSE))</f>
        <v>3.9779251200000005</v>
      </c>
      <c r="AX1296" s="239">
        <f t="shared" si="192"/>
        <v>3.9978147455999999</v>
      </c>
      <c r="AY1296" s="239">
        <f>IF($G1296="CERVECERIA Y MALTERIA.",($AS1296*$AK1296/1000000)*(1-VLOOKUP($N1296,FCST!D:I,6,FALSE)),0)</f>
        <v>0</v>
      </c>
      <c r="AZ1296" s="239">
        <f t="shared" si="193"/>
        <v>0</v>
      </c>
    </row>
    <row r="1297" spans="1:52" x14ac:dyDescent="0.25">
      <c r="A1297" s="209">
        <v>1135908</v>
      </c>
      <c r="B1297" s="209">
        <v>20</v>
      </c>
      <c r="C1297" s="209">
        <v>89546928</v>
      </c>
      <c r="D1297" s="209">
        <v>10</v>
      </c>
      <c r="E1297" s="209">
        <v>10000002</v>
      </c>
      <c r="F1297" s="209">
        <v>20000335</v>
      </c>
      <c r="G1297" s="209" t="s">
        <v>105</v>
      </c>
      <c r="H1297" s="209">
        <v>20000335</v>
      </c>
      <c r="I1297" s="209">
        <v>2</v>
      </c>
      <c r="J1297" s="209" t="s">
        <v>169</v>
      </c>
      <c r="K1297" s="209" t="s">
        <v>2695</v>
      </c>
      <c r="L1297" s="209" t="s">
        <v>2610</v>
      </c>
      <c r="M1297" s="209" t="s">
        <v>172</v>
      </c>
      <c r="N1297" s="209">
        <v>50035183</v>
      </c>
      <c r="O1297" s="209" t="s">
        <v>215</v>
      </c>
      <c r="P1297" s="209">
        <v>5121</v>
      </c>
      <c r="Q1297" s="209" t="s">
        <v>174</v>
      </c>
      <c r="R1297" s="209" t="s">
        <v>175</v>
      </c>
      <c r="S1297" s="209" t="s">
        <v>176</v>
      </c>
      <c r="T1297" s="209" t="s">
        <v>177</v>
      </c>
      <c r="U1297" s="209" t="s">
        <v>178</v>
      </c>
      <c r="V1297" s="209" t="s">
        <v>179</v>
      </c>
      <c r="W1297" s="209" t="s">
        <v>179</v>
      </c>
      <c r="X1297" s="209" t="s">
        <v>180</v>
      </c>
      <c r="Y1297" s="209" t="s">
        <v>180</v>
      </c>
      <c r="Z1297" s="209">
        <v>9521069286</v>
      </c>
      <c r="AA1297" s="209" t="s">
        <v>2696</v>
      </c>
      <c r="AB1297" s="209" t="s">
        <v>180</v>
      </c>
      <c r="AC1297" s="209" t="s">
        <v>182</v>
      </c>
      <c r="AD1297" s="209">
        <v>8</v>
      </c>
      <c r="AE1297" s="209">
        <v>2025</v>
      </c>
      <c r="AF1297" s="227">
        <v>45891</v>
      </c>
      <c r="AG1297" s="227">
        <v>45894</v>
      </c>
      <c r="AH1297" s="227">
        <v>45894</v>
      </c>
      <c r="AI1297" s="228">
        <v>426816</v>
      </c>
      <c r="AJ1297" s="228">
        <v>52</v>
      </c>
      <c r="AK1297" s="228">
        <v>426816</v>
      </c>
      <c r="AL1297" s="228">
        <v>52</v>
      </c>
      <c r="AM1297" s="228">
        <v>0</v>
      </c>
      <c r="AN1297" s="228">
        <v>0</v>
      </c>
      <c r="AO1297" s="229">
        <v>35</v>
      </c>
      <c r="AP1297" s="231">
        <v>8</v>
      </c>
      <c r="AQ1297" s="231">
        <v>2025</v>
      </c>
      <c r="AR1297" s="231" t="str">
        <f t="shared" si="189"/>
        <v>08/2025</v>
      </c>
      <c r="AS1297" s="231">
        <f t="shared" si="190"/>
        <v>46.6</v>
      </c>
      <c r="AT1297" s="239">
        <f>IF(G1297="CERVECERIA Y MALTERIA",(AS1297*AK1297/1000000)*(1-VLOOKUP(N1297,FCST!D:I,6,FALSE)),0)</f>
        <v>19.889625600000002</v>
      </c>
      <c r="AU1297" s="232">
        <v>5.0000000000000001E-3</v>
      </c>
      <c r="AV1297" s="239">
        <f t="shared" si="191"/>
        <v>19.989073728000001</v>
      </c>
      <c r="AW1297" s="239">
        <f>(AS1297*AK1297/1000000)*(VLOOKUP(N1297,FCST!D:I,6,FALSE))</f>
        <v>0</v>
      </c>
      <c r="AX1297" s="239">
        <f t="shared" si="192"/>
        <v>0</v>
      </c>
      <c r="AY1297" s="239">
        <f>IF($G1297="CERVECERIA Y MALTERIA.",($AS1297*$AK1297/1000000)*(1-VLOOKUP($N1297,FCST!D:I,6,FALSE)),0)</f>
        <v>0</v>
      </c>
      <c r="AZ1297" s="239">
        <f t="shared" si="193"/>
        <v>0</v>
      </c>
    </row>
    <row r="1298" spans="1:52" x14ac:dyDescent="0.25">
      <c r="A1298" s="209">
        <v>1135902</v>
      </c>
      <c r="B1298" s="209">
        <v>10</v>
      </c>
      <c r="C1298" s="209">
        <v>89548151</v>
      </c>
      <c r="D1298" s="209">
        <v>10</v>
      </c>
      <c r="E1298" s="209">
        <v>10000002</v>
      </c>
      <c r="F1298" s="209">
        <v>20000340</v>
      </c>
      <c r="G1298" s="209" t="s">
        <v>117</v>
      </c>
      <c r="H1298" s="209">
        <v>20000340</v>
      </c>
      <c r="I1298" s="209">
        <v>2</v>
      </c>
      <c r="J1298" s="209" t="s">
        <v>169</v>
      </c>
      <c r="K1298" s="209" t="s">
        <v>2697</v>
      </c>
      <c r="L1298" s="209" t="s">
        <v>2610</v>
      </c>
      <c r="M1298" s="209" t="s">
        <v>172</v>
      </c>
      <c r="N1298" s="209">
        <v>50027468</v>
      </c>
      <c r="O1298" s="209" t="s">
        <v>285</v>
      </c>
      <c r="P1298" s="209">
        <v>5101</v>
      </c>
      <c r="Q1298" s="209" t="s">
        <v>186</v>
      </c>
      <c r="R1298" s="209" t="s">
        <v>175</v>
      </c>
      <c r="S1298" s="209" t="s">
        <v>176</v>
      </c>
      <c r="T1298" s="209" t="s">
        <v>187</v>
      </c>
      <c r="U1298" s="209" t="s">
        <v>188</v>
      </c>
      <c r="V1298" s="209" t="s">
        <v>179</v>
      </c>
      <c r="W1298" s="209" t="s">
        <v>179</v>
      </c>
      <c r="X1298" s="209" t="s">
        <v>180</v>
      </c>
      <c r="Y1298" s="209" t="s">
        <v>180</v>
      </c>
      <c r="Z1298" s="209">
        <v>9511048268</v>
      </c>
      <c r="AA1298" s="209" t="s">
        <v>2665</v>
      </c>
      <c r="AB1298" s="209" t="s">
        <v>180</v>
      </c>
      <c r="AC1298" s="209" t="s">
        <v>182</v>
      </c>
      <c r="AD1298" s="209">
        <v>8</v>
      </c>
      <c r="AE1298" s="209">
        <v>2025</v>
      </c>
      <c r="AF1298" s="227">
        <v>45891</v>
      </c>
      <c r="AG1298" s="227">
        <v>45894</v>
      </c>
      <c r="AH1298" s="227">
        <v>45894</v>
      </c>
      <c r="AI1298" s="228">
        <v>399360</v>
      </c>
      <c r="AJ1298" s="228">
        <v>52</v>
      </c>
      <c r="AK1298" s="228">
        <v>399360</v>
      </c>
      <c r="AL1298" s="228">
        <v>52</v>
      </c>
      <c r="AM1298" s="228">
        <v>0</v>
      </c>
      <c r="AN1298" s="228">
        <v>0</v>
      </c>
      <c r="AO1298" s="229">
        <v>35</v>
      </c>
      <c r="AP1298" s="231">
        <v>8</v>
      </c>
      <c r="AQ1298" s="231">
        <v>2025</v>
      </c>
      <c r="AR1298" s="231" t="str">
        <f t="shared" si="189"/>
        <v>08/2025</v>
      </c>
      <c r="AS1298" s="231">
        <f t="shared" si="190"/>
        <v>52</v>
      </c>
      <c r="AT1298" s="239">
        <f>IF(G1298="CERVECERIA Y MALTERIA",(AS1298*AK1298/1000000)*(1-VLOOKUP(N1298,FCST!D:I,6,FALSE)),0)</f>
        <v>0</v>
      </c>
      <c r="AU1298" s="232">
        <v>5.0000000000000001E-3</v>
      </c>
      <c r="AV1298" s="239">
        <f t="shared" si="191"/>
        <v>0</v>
      </c>
      <c r="AW1298" s="239">
        <f>(AS1298*AK1298/1000000)*(VLOOKUP(N1298,FCST!D:I,6,FALSE))</f>
        <v>0</v>
      </c>
      <c r="AX1298" s="239">
        <f t="shared" si="192"/>
        <v>0</v>
      </c>
      <c r="AY1298" s="239">
        <f>IF($G1298="CERVECERIA Y MALTERIA.",($AS1298*$AK1298/1000000)*(1-VLOOKUP($N1298,FCST!D:I,6,FALSE)),0)</f>
        <v>20.766719999999999</v>
      </c>
      <c r="AZ1298" s="239">
        <f t="shared" si="193"/>
        <v>20.870553599999997</v>
      </c>
    </row>
    <row r="1299" spans="1:52" x14ac:dyDescent="0.25">
      <c r="A1299" s="209">
        <v>1135908</v>
      </c>
      <c r="B1299" s="209">
        <v>70</v>
      </c>
      <c r="C1299" s="209">
        <v>89547867</v>
      </c>
      <c r="D1299" s="209">
        <v>10</v>
      </c>
      <c r="E1299" s="209">
        <v>10000002</v>
      </c>
      <c r="F1299" s="209">
        <v>20000335</v>
      </c>
      <c r="G1299" s="209" t="s">
        <v>105</v>
      </c>
      <c r="H1299" s="209">
        <v>20000335</v>
      </c>
      <c r="I1299" s="209">
        <v>2</v>
      </c>
      <c r="J1299" s="209" t="s">
        <v>169</v>
      </c>
      <c r="K1299" s="209" t="s">
        <v>2698</v>
      </c>
      <c r="L1299" s="209" t="s">
        <v>2610</v>
      </c>
      <c r="M1299" s="209" t="s">
        <v>172</v>
      </c>
      <c r="N1299" s="209">
        <v>50035184</v>
      </c>
      <c r="O1299" s="209" t="s">
        <v>672</v>
      </c>
      <c r="P1299" s="209">
        <v>5121</v>
      </c>
      <c r="Q1299" s="209" t="s">
        <v>174</v>
      </c>
      <c r="R1299" s="209" t="s">
        <v>175</v>
      </c>
      <c r="S1299" s="209" t="s">
        <v>176</v>
      </c>
      <c r="T1299" s="209" t="s">
        <v>177</v>
      </c>
      <c r="U1299" s="209" t="s">
        <v>178</v>
      </c>
      <c r="V1299" s="209" t="s">
        <v>179</v>
      </c>
      <c r="W1299" s="209" t="s">
        <v>179</v>
      </c>
      <c r="X1299" s="209" t="s">
        <v>180</v>
      </c>
      <c r="Y1299" s="209" t="s">
        <v>180</v>
      </c>
      <c r="Z1299" s="209">
        <v>9521069287</v>
      </c>
      <c r="AA1299" s="209" t="s">
        <v>2661</v>
      </c>
      <c r="AB1299" s="209" t="s">
        <v>180</v>
      </c>
      <c r="AC1299" s="209" t="s">
        <v>182</v>
      </c>
      <c r="AD1299" s="209">
        <v>8</v>
      </c>
      <c r="AE1299" s="209">
        <v>2025</v>
      </c>
      <c r="AF1299" s="227">
        <v>45891</v>
      </c>
      <c r="AG1299" s="227">
        <v>45894</v>
      </c>
      <c r="AH1299" s="227">
        <v>45894</v>
      </c>
      <c r="AI1299" s="228">
        <v>977184</v>
      </c>
      <c r="AJ1299" s="228">
        <v>52</v>
      </c>
      <c r="AK1299" s="228">
        <v>977184</v>
      </c>
      <c r="AL1299" s="228">
        <v>52</v>
      </c>
      <c r="AM1299" s="228">
        <v>0</v>
      </c>
      <c r="AN1299" s="228">
        <v>0</v>
      </c>
      <c r="AO1299" s="229">
        <v>35</v>
      </c>
      <c r="AP1299" s="231">
        <v>8</v>
      </c>
      <c r="AQ1299" s="231">
        <v>2025</v>
      </c>
      <c r="AR1299" s="231" t="str">
        <f t="shared" si="189"/>
        <v>08/2025</v>
      </c>
      <c r="AS1299" s="231">
        <f t="shared" si="190"/>
        <v>19.5</v>
      </c>
      <c r="AT1299" s="239">
        <f>IF(G1299="CERVECERIA Y MALTERIA",(AS1299*AK1299/1000000)*(1-VLOOKUP(N1299,FCST!D:I,6,FALSE)),0)</f>
        <v>19.055088000000001</v>
      </c>
      <c r="AU1299" s="232">
        <v>5.0000000000000001E-3</v>
      </c>
      <c r="AV1299" s="239">
        <f t="shared" si="191"/>
        <v>19.15036344</v>
      </c>
      <c r="AW1299" s="239">
        <f>(AS1299*AK1299/1000000)*(VLOOKUP(N1299,FCST!D:I,6,FALSE))</f>
        <v>0</v>
      </c>
      <c r="AX1299" s="239">
        <f t="shared" si="192"/>
        <v>0</v>
      </c>
      <c r="AY1299" s="239">
        <f>IF($G1299="CERVECERIA Y MALTERIA.",($AS1299*$AK1299/1000000)*(1-VLOOKUP($N1299,FCST!D:I,6,FALSE)),0)</f>
        <v>0</v>
      </c>
      <c r="AZ1299" s="239">
        <f t="shared" si="193"/>
        <v>0</v>
      </c>
    </row>
    <row r="1300" spans="1:52" x14ac:dyDescent="0.25">
      <c r="A1300" s="209">
        <v>1136004</v>
      </c>
      <c r="B1300" s="209">
        <v>10</v>
      </c>
      <c r="C1300" s="209">
        <v>89547277</v>
      </c>
      <c r="D1300" s="209">
        <v>10</v>
      </c>
      <c r="E1300" s="209">
        <v>10000002</v>
      </c>
      <c r="F1300" s="209">
        <v>20000339</v>
      </c>
      <c r="G1300" s="209" t="s">
        <v>105</v>
      </c>
      <c r="H1300" s="209">
        <v>20000339</v>
      </c>
      <c r="I1300" s="209">
        <v>2</v>
      </c>
      <c r="J1300" s="209" t="s">
        <v>169</v>
      </c>
      <c r="K1300" s="209" t="s">
        <v>2699</v>
      </c>
      <c r="L1300" s="209" t="s">
        <v>2610</v>
      </c>
      <c r="M1300" s="209" t="s">
        <v>227</v>
      </c>
      <c r="N1300" s="209">
        <v>50036287</v>
      </c>
      <c r="O1300" s="209" t="s">
        <v>2191</v>
      </c>
      <c r="P1300" s="209">
        <v>5121</v>
      </c>
      <c r="Q1300" s="209" t="s">
        <v>228</v>
      </c>
      <c r="R1300" s="209" t="s">
        <v>229</v>
      </c>
      <c r="S1300" s="209" t="s">
        <v>230</v>
      </c>
      <c r="T1300" s="209" t="s">
        <v>231</v>
      </c>
      <c r="U1300" s="209" t="s">
        <v>232</v>
      </c>
      <c r="V1300" s="209" t="s">
        <v>179</v>
      </c>
      <c r="W1300" s="209" t="s">
        <v>179</v>
      </c>
      <c r="X1300" s="209" t="s">
        <v>180</v>
      </c>
      <c r="Y1300" s="209" t="s">
        <v>180</v>
      </c>
      <c r="Z1300" s="209">
        <v>9521069294</v>
      </c>
      <c r="AA1300" s="209" t="s">
        <v>2611</v>
      </c>
      <c r="AB1300" s="209" t="s">
        <v>180</v>
      </c>
      <c r="AC1300" s="209" t="s">
        <v>182</v>
      </c>
      <c r="AD1300" s="209">
        <v>8</v>
      </c>
      <c r="AE1300" s="209">
        <v>2025</v>
      </c>
      <c r="AF1300" s="227">
        <v>45891</v>
      </c>
      <c r="AG1300" s="227">
        <v>45894</v>
      </c>
      <c r="AH1300" s="227">
        <v>45894</v>
      </c>
      <c r="AI1300" s="228">
        <v>356184</v>
      </c>
      <c r="AJ1300" s="228">
        <v>51</v>
      </c>
      <c r="AK1300" s="228">
        <v>356184</v>
      </c>
      <c r="AL1300" s="228">
        <v>51</v>
      </c>
      <c r="AM1300" s="228">
        <v>0</v>
      </c>
      <c r="AN1300" s="228">
        <v>0</v>
      </c>
      <c r="AO1300" s="229">
        <v>35</v>
      </c>
      <c r="AP1300" s="231">
        <v>8</v>
      </c>
      <c r="AQ1300" s="231">
        <v>2025</v>
      </c>
      <c r="AR1300" s="231" t="str">
        <f t="shared" si="189"/>
        <v>08/2025</v>
      </c>
      <c r="AS1300" s="231">
        <f t="shared" si="190"/>
        <v>52</v>
      </c>
      <c r="AT1300" s="239">
        <f>IF(G1300="CERVECERIA Y MALTERIA",(AS1300*AK1300/1000000)*(1-VLOOKUP(N1300,FCST!D:I,6,FALSE)),0)</f>
        <v>18.521567999999998</v>
      </c>
      <c r="AU1300" s="232">
        <v>5.0000000000000001E-3</v>
      </c>
      <c r="AV1300" s="239">
        <f t="shared" si="191"/>
        <v>18.614175839999998</v>
      </c>
      <c r="AW1300" s="239">
        <f>(AS1300*AK1300/1000000)*(VLOOKUP(N1300,FCST!D:I,6,FALSE))</f>
        <v>0</v>
      </c>
      <c r="AX1300" s="239">
        <f t="shared" si="192"/>
        <v>0</v>
      </c>
      <c r="AY1300" s="239">
        <f>IF($G1300="CERVECERIA Y MALTERIA.",($AS1300*$AK1300/1000000)*(1-VLOOKUP($N1300,FCST!D:I,6,FALSE)),0)</f>
        <v>0</v>
      </c>
      <c r="AZ1300" s="239">
        <f t="shared" si="193"/>
        <v>0</v>
      </c>
    </row>
    <row r="1301" spans="1:52" x14ac:dyDescent="0.25">
      <c r="A1301" s="209">
        <v>1136059</v>
      </c>
      <c r="B1301" s="209">
        <v>30</v>
      </c>
      <c r="C1301" s="209">
        <v>89548426</v>
      </c>
      <c r="D1301" s="209">
        <v>10</v>
      </c>
      <c r="E1301" s="209">
        <v>10000002</v>
      </c>
      <c r="F1301" s="209">
        <v>20000337</v>
      </c>
      <c r="G1301" s="209" t="s">
        <v>105</v>
      </c>
      <c r="H1301" s="209">
        <v>20000337</v>
      </c>
      <c r="I1301" s="209">
        <v>2</v>
      </c>
      <c r="J1301" s="209" t="s">
        <v>169</v>
      </c>
      <c r="K1301" s="209" t="s">
        <v>2700</v>
      </c>
      <c r="L1301" s="209" t="s">
        <v>2610</v>
      </c>
      <c r="M1301" s="209" t="s">
        <v>172</v>
      </c>
      <c r="N1301" s="209">
        <v>50034616</v>
      </c>
      <c r="O1301" s="209" t="s">
        <v>191</v>
      </c>
      <c r="P1301" s="209">
        <v>5121</v>
      </c>
      <c r="Q1301" s="209" t="s">
        <v>174</v>
      </c>
      <c r="R1301" s="209" t="s">
        <v>175</v>
      </c>
      <c r="S1301" s="209" t="s">
        <v>176</v>
      </c>
      <c r="T1301" s="209" t="s">
        <v>177</v>
      </c>
      <c r="U1301" s="209" t="s">
        <v>178</v>
      </c>
      <c r="V1301" s="209" t="s">
        <v>179</v>
      </c>
      <c r="W1301" s="209" t="s">
        <v>179</v>
      </c>
      <c r="X1301" s="209" t="s">
        <v>180</v>
      </c>
      <c r="Y1301" s="209" t="s">
        <v>180</v>
      </c>
      <c r="Z1301" s="209">
        <v>9521069325</v>
      </c>
      <c r="AA1301" s="209" t="s">
        <v>2701</v>
      </c>
      <c r="AB1301" s="209" t="s">
        <v>180</v>
      </c>
      <c r="AC1301" s="209" t="s">
        <v>182</v>
      </c>
      <c r="AD1301" s="209">
        <v>8</v>
      </c>
      <c r="AE1301" s="209">
        <v>2025</v>
      </c>
      <c r="AF1301" s="227">
        <v>45891</v>
      </c>
      <c r="AG1301" s="227">
        <v>45895</v>
      </c>
      <c r="AH1301" s="227">
        <v>45895</v>
      </c>
      <c r="AI1301" s="228">
        <v>426816</v>
      </c>
      <c r="AJ1301" s="228">
        <v>52</v>
      </c>
      <c r="AK1301" s="228">
        <v>426816</v>
      </c>
      <c r="AL1301" s="228">
        <v>52</v>
      </c>
      <c r="AM1301" s="228">
        <v>0</v>
      </c>
      <c r="AN1301" s="228">
        <v>0</v>
      </c>
      <c r="AO1301" s="229">
        <v>35</v>
      </c>
      <c r="AP1301" s="231">
        <v>8</v>
      </c>
      <c r="AQ1301" s="231">
        <v>2025</v>
      </c>
      <c r="AR1301" s="231" t="str">
        <f t="shared" si="189"/>
        <v>08/2025</v>
      </c>
      <c r="AS1301" s="231">
        <f t="shared" si="190"/>
        <v>46.6</v>
      </c>
      <c r="AT1301" s="239">
        <f>IF(G1301="CERVECERIA Y MALTERIA",(AS1301*AK1301/1000000)*(1-VLOOKUP(N1301,FCST!D:I,6,FALSE)),0)</f>
        <v>19.889625600000002</v>
      </c>
      <c r="AU1301" s="232">
        <v>5.0000000000000001E-3</v>
      </c>
      <c r="AV1301" s="239">
        <f t="shared" si="191"/>
        <v>19.989073728000001</v>
      </c>
      <c r="AW1301" s="239">
        <f>(AS1301*AK1301/1000000)*(VLOOKUP(N1301,FCST!D:I,6,FALSE))</f>
        <v>0</v>
      </c>
      <c r="AX1301" s="239">
        <f t="shared" si="192"/>
        <v>0</v>
      </c>
      <c r="AY1301" s="239">
        <f>IF($G1301="CERVECERIA Y MALTERIA.",($AS1301*$AK1301/1000000)*(1-VLOOKUP($N1301,FCST!D:I,6,FALSE)),0)</f>
        <v>0</v>
      </c>
      <c r="AZ1301" s="239">
        <f t="shared" si="193"/>
        <v>0</v>
      </c>
    </row>
    <row r="1302" spans="1:52" x14ac:dyDescent="0.25">
      <c r="A1302" s="209">
        <v>1136062</v>
      </c>
      <c r="B1302" s="209">
        <v>20</v>
      </c>
      <c r="C1302" s="209">
        <v>89549158</v>
      </c>
      <c r="D1302" s="209">
        <v>10</v>
      </c>
      <c r="E1302" s="209">
        <v>10000002</v>
      </c>
      <c r="F1302" s="209">
        <v>20000336</v>
      </c>
      <c r="G1302" s="209" t="s">
        <v>105</v>
      </c>
      <c r="H1302" s="209">
        <v>20000336</v>
      </c>
      <c r="I1302" s="209">
        <v>2</v>
      </c>
      <c r="J1302" s="209" t="s">
        <v>169</v>
      </c>
      <c r="K1302" s="209" t="s">
        <v>2702</v>
      </c>
      <c r="L1302" s="209" t="s">
        <v>2610</v>
      </c>
      <c r="M1302" s="209" t="s">
        <v>172</v>
      </c>
      <c r="N1302" s="209">
        <v>50034616</v>
      </c>
      <c r="O1302" s="209" t="s">
        <v>191</v>
      </c>
      <c r="P1302" s="209">
        <v>5121</v>
      </c>
      <c r="Q1302" s="209" t="s">
        <v>174</v>
      </c>
      <c r="R1302" s="209" t="s">
        <v>175</v>
      </c>
      <c r="S1302" s="209" t="s">
        <v>176</v>
      </c>
      <c r="T1302" s="209" t="s">
        <v>177</v>
      </c>
      <c r="U1302" s="209" t="s">
        <v>178</v>
      </c>
      <c r="V1302" s="209" t="s">
        <v>179</v>
      </c>
      <c r="W1302" s="209" t="s">
        <v>179</v>
      </c>
      <c r="X1302" s="209" t="s">
        <v>180</v>
      </c>
      <c r="Y1302" s="209" t="s">
        <v>180</v>
      </c>
      <c r="Z1302" s="209">
        <v>9521069324</v>
      </c>
      <c r="AA1302" s="209" t="s">
        <v>2703</v>
      </c>
      <c r="AB1302" s="209" t="s">
        <v>180</v>
      </c>
      <c r="AC1302" s="209" t="s">
        <v>182</v>
      </c>
      <c r="AD1302" s="209">
        <v>8</v>
      </c>
      <c r="AE1302" s="209">
        <v>2025</v>
      </c>
      <c r="AF1302" s="227">
        <v>45891</v>
      </c>
      <c r="AG1302" s="227">
        <v>45896</v>
      </c>
      <c r="AH1302" s="227">
        <v>45895</v>
      </c>
      <c r="AI1302" s="228">
        <v>426816</v>
      </c>
      <c r="AJ1302" s="228">
        <v>52</v>
      </c>
      <c r="AK1302" s="228">
        <v>426816</v>
      </c>
      <c r="AL1302" s="228">
        <v>52</v>
      </c>
      <c r="AM1302" s="228">
        <v>0</v>
      </c>
      <c r="AN1302" s="228">
        <v>0</v>
      </c>
      <c r="AO1302" s="229">
        <v>35</v>
      </c>
      <c r="AP1302" s="231">
        <v>8</v>
      </c>
      <c r="AQ1302" s="231">
        <v>2025</v>
      </c>
      <c r="AR1302" s="231" t="str">
        <f t="shared" si="189"/>
        <v>08/2025</v>
      </c>
      <c r="AS1302" s="231">
        <f t="shared" si="190"/>
        <v>46.6</v>
      </c>
      <c r="AT1302" s="239">
        <f>IF(G1302="CERVECERIA Y MALTERIA",(AS1302*AK1302/1000000)*(1-VLOOKUP(N1302,FCST!D:I,6,FALSE)),0)</f>
        <v>19.889625600000002</v>
      </c>
      <c r="AU1302" s="232">
        <v>5.0000000000000001E-3</v>
      </c>
      <c r="AV1302" s="239">
        <f t="shared" si="191"/>
        <v>19.989073728000001</v>
      </c>
      <c r="AW1302" s="239">
        <f>(AS1302*AK1302/1000000)*(VLOOKUP(N1302,FCST!D:I,6,FALSE))</f>
        <v>0</v>
      </c>
      <c r="AX1302" s="239">
        <f t="shared" si="192"/>
        <v>0</v>
      </c>
      <c r="AY1302" s="239">
        <f>IF($G1302="CERVECERIA Y MALTERIA.",($AS1302*$AK1302/1000000)*(1-VLOOKUP($N1302,FCST!D:I,6,FALSE)),0)</f>
        <v>0</v>
      </c>
      <c r="AZ1302" s="239">
        <f t="shared" si="193"/>
        <v>0</v>
      </c>
    </row>
    <row r="1303" spans="1:52" x14ac:dyDescent="0.25">
      <c r="A1303" s="209">
        <v>1135908</v>
      </c>
      <c r="B1303" s="209">
        <v>40</v>
      </c>
      <c r="C1303" s="209">
        <v>89550239</v>
      </c>
      <c r="D1303" s="209">
        <v>10</v>
      </c>
      <c r="E1303" s="209">
        <v>10000002</v>
      </c>
      <c r="F1303" s="209">
        <v>20000335</v>
      </c>
      <c r="G1303" s="209" t="s">
        <v>105</v>
      </c>
      <c r="H1303" s="209">
        <v>20000335</v>
      </c>
      <c r="I1303" s="209">
        <v>2</v>
      </c>
      <c r="J1303" s="209" t="s">
        <v>169</v>
      </c>
      <c r="K1303" s="209" t="s">
        <v>2704</v>
      </c>
      <c r="L1303" s="209" t="s">
        <v>2610</v>
      </c>
      <c r="M1303" s="209" t="s">
        <v>172</v>
      </c>
      <c r="N1303" s="209">
        <v>50035183</v>
      </c>
      <c r="O1303" s="209" t="s">
        <v>215</v>
      </c>
      <c r="P1303" s="209">
        <v>5121</v>
      </c>
      <c r="Q1303" s="209" t="s">
        <v>174</v>
      </c>
      <c r="R1303" s="209" t="s">
        <v>175</v>
      </c>
      <c r="S1303" s="209" t="s">
        <v>176</v>
      </c>
      <c r="T1303" s="209" t="s">
        <v>177</v>
      </c>
      <c r="U1303" s="209" t="s">
        <v>178</v>
      </c>
      <c r="V1303" s="209" t="s">
        <v>179</v>
      </c>
      <c r="W1303" s="209" t="s">
        <v>179</v>
      </c>
      <c r="X1303" s="209" t="s">
        <v>180</v>
      </c>
      <c r="Y1303" s="209" t="s">
        <v>180</v>
      </c>
      <c r="Z1303" s="209">
        <v>9521069358</v>
      </c>
      <c r="AA1303" s="209" t="s">
        <v>2705</v>
      </c>
      <c r="AB1303" s="209" t="s">
        <v>180</v>
      </c>
      <c r="AC1303" s="209" t="s">
        <v>182</v>
      </c>
      <c r="AD1303" s="209">
        <v>8</v>
      </c>
      <c r="AE1303" s="209">
        <v>2025</v>
      </c>
      <c r="AF1303" s="227">
        <v>45891</v>
      </c>
      <c r="AG1303" s="227">
        <v>45896</v>
      </c>
      <c r="AH1303" s="227">
        <v>45896</v>
      </c>
      <c r="AI1303" s="228">
        <v>426816</v>
      </c>
      <c r="AJ1303" s="228">
        <v>52</v>
      </c>
      <c r="AK1303" s="228">
        <v>426816</v>
      </c>
      <c r="AL1303" s="228">
        <v>52</v>
      </c>
      <c r="AM1303" s="228">
        <v>0</v>
      </c>
      <c r="AN1303" s="228">
        <v>0</v>
      </c>
      <c r="AO1303" s="229">
        <v>35</v>
      </c>
      <c r="AP1303" s="231">
        <v>8</v>
      </c>
      <c r="AQ1303" s="231">
        <v>2025</v>
      </c>
      <c r="AR1303" s="231" t="str">
        <f t="shared" si="189"/>
        <v>08/2025</v>
      </c>
      <c r="AS1303" s="231">
        <f t="shared" si="190"/>
        <v>46.6</v>
      </c>
      <c r="AT1303" s="239">
        <f>IF(G1303="CERVECERIA Y MALTERIA",(AS1303*AK1303/1000000)*(1-VLOOKUP(N1303,FCST!D:I,6,FALSE)),0)</f>
        <v>19.889625600000002</v>
      </c>
      <c r="AU1303" s="232">
        <v>5.0000000000000001E-3</v>
      </c>
      <c r="AV1303" s="239">
        <f t="shared" si="191"/>
        <v>19.989073728000001</v>
      </c>
      <c r="AW1303" s="239">
        <f>(AS1303*AK1303/1000000)*(VLOOKUP(N1303,FCST!D:I,6,FALSE))</f>
        <v>0</v>
      </c>
      <c r="AX1303" s="239">
        <f t="shared" si="192"/>
        <v>0</v>
      </c>
      <c r="AY1303" s="239">
        <f>IF($G1303="CERVECERIA Y MALTERIA.",($AS1303*$AK1303/1000000)*(1-VLOOKUP($N1303,FCST!D:I,6,FALSE)),0)</f>
        <v>0</v>
      </c>
      <c r="AZ1303" s="239">
        <f t="shared" si="193"/>
        <v>0</v>
      </c>
    </row>
    <row r="1304" spans="1:52" x14ac:dyDescent="0.25">
      <c r="A1304" s="209">
        <v>1135908</v>
      </c>
      <c r="B1304" s="209">
        <v>80</v>
      </c>
      <c r="C1304" s="209">
        <v>89549548</v>
      </c>
      <c r="D1304" s="209">
        <v>10</v>
      </c>
      <c r="E1304" s="209">
        <v>10000002</v>
      </c>
      <c r="F1304" s="209">
        <v>20000335</v>
      </c>
      <c r="G1304" s="209" t="s">
        <v>105</v>
      </c>
      <c r="H1304" s="209">
        <v>20000335</v>
      </c>
      <c r="I1304" s="209">
        <v>2</v>
      </c>
      <c r="J1304" s="209" t="s">
        <v>169</v>
      </c>
      <c r="K1304" s="209" t="s">
        <v>2706</v>
      </c>
      <c r="L1304" s="209" t="s">
        <v>2610</v>
      </c>
      <c r="M1304" s="209" t="s">
        <v>172</v>
      </c>
      <c r="N1304" s="209">
        <v>50035184</v>
      </c>
      <c r="O1304" s="209" t="s">
        <v>672</v>
      </c>
      <c r="P1304" s="209">
        <v>5121</v>
      </c>
      <c r="Q1304" s="209" t="s">
        <v>174</v>
      </c>
      <c r="R1304" s="209" t="s">
        <v>175</v>
      </c>
      <c r="S1304" s="209" t="s">
        <v>176</v>
      </c>
      <c r="T1304" s="209" t="s">
        <v>177</v>
      </c>
      <c r="U1304" s="209" t="s">
        <v>178</v>
      </c>
      <c r="V1304" s="209" t="s">
        <v>179</v>
      </c>
      <c r="W1304" s="209" t="s">
        <v>179</v>
      </c>
      <c r="X1304" s="209" t="s">
        <v>180</v>
      </c>
      <c r="Y1304" s="209" t="s">
        <v>180</v>
      </c>
      <c r="Z1304" s="209">
        <v>9521069353</v>
      </c>
      <c r="AA1304" s="209" t="s">
        <v>2707</v>
      </c>
      <c r="AB1304" s="209" t="s">
        <v>180</v>
      </c>
      <c r="AC1304" s="209" t="s">
        <v>182</v>
      </c>
      <c r="AD1304" s="209">
        <v>8</v>
      </c>
      <c r="AE1304" s="209">
        <v>2025</v>
      </c>
      <c r="AF1304" s="227">
        <v>45891</v>
      </c>
      <c r="AG1304" s="227">
        <v>45896</v>
      </c>
      <c r="AH1304" s="227">
        <v>45896</v>
      </c>
      <c r="AI1304" s="228">
        <v>977184</v>
      </c>
      <c r="AJ1304" s="228">
        <v>52</v>
      </c>
      <c r="AK1304" s="228">
        <v>977184</v>
      </c>
      <c r="AL1304" s="228">
        <v>52</v>
      </c>
      <c r="AM1304" s="228">
        <v>0</v>
      </c>
      <c r="AN1304" s="228">
        <v>0</v>
      </c>
      <c r="AO1304" s="229">
        <v>35</v>
      </c>
      <c r="AP1304" s="231">
        <v>8</v>
      </c>
      <c r="AQ1304" s="231">
        <v>2025</v>
      </c>
      <c r="AR1304" s="231" t="str">
        <f t="shared" si="189"/>
        <v>08/2025</v>
      </c>
      <c r="AS1304" s="231">
        <f t="shared" si="190"/>
        <v>19.5</v>
      </c>
      <c r="AT1304" s="239">
        <f>IF(G1304="CERVECERIA Y MALTERIA",(AS1304*AK1304/1000000)*(1-VLOOKUP(N1304,FCST!D:I,6,FALSE)),0)</f>
        <v>19.055088000000001</v>
      </c>
      <c r="AU1304" s="232">
        <v>5.0000000000000001E-3</v>
      </c>
      <c r="AV1304" s="239">
        <f t="shared" si="191"/>
        <v>19.15036344</v>
      </c>
      <c r="AW1304" s="239">
        <f>(AS1304*AK1304/1000000)*(VLOOKUP(N1304,FCST!D:I,6,FALSE))</f>
        <v>0</v>
      </c>
      <c r="AX1304" s="239">
        <f t="shared" si="192"/>
        <v>0</v>
      </c>
      <c r="AY1304" s="239">
        <f>IF($G1304="CERVECERIA Y MALTERIA.",($AS1304*$AK1304/1000000)*(1-VLOOKUP($N1304,FCST!D:I,6,FALSE)),0)</f>
        <v>0</v>
      </c>
      <c r="AZ1304" s="239">
        <f t="shared" si="193"/>
        <v>0</v>
      </c>
    </row>
    <row r="1305" spans="1:52" x14ac:dyDescent="0.25">
      <c r="A1305" s="209">
        <v>1135908</v>
      </c>
      <c r="B1305" s="209">
        <v>30</v>
      </c>
      <c r="C1305" s="209">
        <v>89549482</v>
      </c>
      <c r="D1305" s="209">
        <v>10</v>
      </c>
      <c r="E1305" s="209">
        <v>10000002</v>
      </c>
      <c r="F1305" s="209">
        <v>20000335</v>
      </c>
      <c r="G1305" s="209" t="s">
        <v>105</v>
      </c>
      <c r="H1305" s="209">
        <v>20000335</v>
      </c>
      <c r="I1305" s="209">
        <v>2</v>
      </c>
      <c r="J1305" s="209" t="s">
        <v>169</v>
      </c>
      <c r="K1305" s="209" t="s">
        <v>2708</v>
      </c>
      <c r="L1305" s="209" t="s">
        <v>2610</v>
      </c>
      <c r="M1305" s="209" t="s">
        <v>172</v>
      </c>
      <c r="N1305" s="209">
        <v>50035183</v>
      </c>
      <c r="O1305" s="209" t="s">
        <v>215</v>
      </c>
      <c r="P1305" s="209">
        <v>5121</v>
      </c>
      <c r="Q1305" s="209" t="s">
        <v>174</v>
      </c>
      <c r="R1305" s="209" t="s">
        <v>175</v>
      </c>
      <c r="S1305" s="209" t="s">
        <v>176</v>
      </c>
      <c r="T1305" s="209" t="s">
        <v>177</v>
      </c>
      <c r="U1305" s="209" t="s">
        <v>178</v>
      </c>
      <c r="V1305" s="209" t="s">
        <v>179</v>
      </c>
      <c r="W1305" s="209" t="s">
        <v>179</v>
      </c>
      <c r="X1305" s="209" t="s">
        <v>180</v>
      </c>
      <c r="Y1305" s="209" t="s">
        <v>180</v>
      </c>
      <c r="Z1305" s="209">
        <v>9521069358</v>
      </c>
      <c r="AA1305" s="209" t="s">
        <v>2705</v>
      </c>
      <c r="AB1305" s="209" t="s">
        <v>180</v>
      </c>
      <c r="AC1305" s="209" t="s">
        <v>182</v>
      </c>
      <c r="AD1305" s="209">
        <v>8</v>
      </c>
      <c r="AE1305" s="209">
        <v>2025</v>
      </c>
      <c r="AF1305" s="227">
        <v>45891</v>
      </c>
      <c r="AG1305" s="227">
        <v>45895</v>
      </c>
      <c r="AH1305" s="227">
        <v>45896</v>
      </c>
      <c r="AI1305" s="228">
        <v>426816</v>
      </c>
      <c r="AJ1305" s="228">
        <v>52</v>
      </c>
      <c r="AK1305" s="228">
        <v>426816</v>
      </c>
      <c r="AL1305" s="228">
        <v>52</v>
      </c>
      <c r="AM1305" s="228">
        <v>0</v>
      </c>
      <c r="AN1305" s="228">
        <v>0</v>
      </c>
      <c r="AO1305" s="229">
        <v>35</v>
      </c>
      <c r="AP1305" s="231">
        <v>8</v>
      </c>
      <c r="AQ1305" s="231">
        <v>2025</v>
      </c>
      <c r="AR1305" s="231" t="str">
        <f t="shared" si="189"/>
        <v>08/2025</v>
      </c>
      <c r="AS1305" s="231">
        <f t="shared" si="190"/>
        <v>46.6</v>
      </c>
      <c r="AT1305" s="239">
        <f>IF(G1305="CERVECERIA Y MALTERIA",(AS1305*AK1305/1000000)*(1-VLOOKUP(N1305,FCST!D:I,6,FALSE)),0)</f>
        <v>19.889625600000002</v>
      </c>
      <c r="AU1305" s="232">
        <v>5.0000000000000001E-3</v>
      </c>
      <c r="AV1305" s="239">
        <f t="shared" si="191"/>
        <v>19.989073728000001</v>
      </c>
      <c r="AW1305" s="239">
        <f>(AS1305*AK1305/1000000)*(VLOOKUP(N1305,FCST!D:I,6,FALSE))</f>
        <v>0</v>
      </c>
      <c r="AX1305" s="239">
        <f t="shared" si="192"/>
        <v>0</v>
      </c>
      <c r="AY1305" s="239">
        <f>IF($G1305="CERVECERIA Y MALTERIA.",($AS1305*$AK1305/1000000)*(1-VLOOKUP($N1305,FCST!D:I,6,FALSE)),0)</f>
        <v>0</v>
      </c>
      <c r="AZ1305" s="239">
        <f t="shared" si="193"/>
        <v>0</v>
      </c>
    </row>
    <row r="1306" spans="1:52" x14ac:dyDescent="0.25">
      <c r="A1306" s="209">
        <v>1136062</v>
      </c>
      <c r="B1306" s="209">
        <v>10</v>
      </c>
      <c r="C1306" s="209">
        <v>89551247</v>
      </c>
      <c r="D1306" s="209">
        <v>10</v>
      </c>
      <c r="E1306" s="209">
        <v>10000002</v>
      </c>
      <c r="F1306" s="209">
        <v>20000336</v>
      </c>
      <c r="G1306" s="209" t="s">
        <v>105</v>
      </c>
      <c r="H1306" s="209">
        <v>20000336</v>
      </c>
      <c r="I1306" s="209">
        <v>2</v>
      </c>
      <c r="J1306" s="209" t="s">
        <v>169</v>
      </c>
      <c r="K1306" s="209" t="s">
        <v>2709</v>
      </c>
      <c r="L1306" s="209" t="s">
        <v>2610</v>
      </c>
      <c r="M1306" s="209" t="s">
        <v>172</v>
      </c>
      <c r="N1306" s="209">
        <v>50034616</v>
      </c>
      <c r="O1306" s="209" t="s">
        <v>191</v>
      </c>
      <c r="P1306" s="209">
        <v>5121</v>
      </c>
      <c r="Q1306" s="209" t="s">
        <v>174</v>
      </c>
      <c r="R1306" s="209" t="s">
        <v>175</v>
      </c>
      <c r="S1306" s="209" t="s">
        <v>176</v>
      </c>
      <c r="T1306" s="209" t="s">
        <v>177</v>
      </c>
      <c r="U1306" s="209" t="s">
        <v>178</v>
      </c>
      <c r="V1306" s="209" t="s">
        <v>179</v>
      </c>
      <c r="W1306" s="209" t="s">
        <v>179</v>
      </c>
      <c r="X1306" s="209" t="s">
        <v>180</v>
      </c>
      <c r="Y1306" s="209" t="s">
        <v>180</v>
      </c>
      <c r="Z1306" s="209">
        <v>9521069354</v>
      </c>
      <c r="AA1306" s="209" t="s">
        <v>2710</v>
      </c>
      <c r="AB1306" s="209" t="s">
        <v>180</v>
      </c>
      <c r="AC1306" s="209" t="s">
        <v>182</v>
      </c>
      <c r="AD1306" s="209">
        <v>8</v>
      </c>
      <c r="AE1306" s="209">
        <v>2025</v>
      </c>
      <c r="AF1306" s="227">
        <v>45891</v>
      </c>
      <c r="AG1306" s="227">
        <v>45897</v>
      </c>
      <c r="AH1306" s="227">
        <v>45897</v>
      </c>
      <c r="AI1306" s="228">
        <v>426816</v>
      </c>
      <c r="AJ1306" s="228">
        <v>52</v>
      </c>
      <c r="AK1306" s="228">
        <v>426816</v>
      </c>
      <c r="AL1306" s="228">
        <v>52</v>
      </c>
      <c r="AM1306" s="228">
        <v>0</v>
      </c>
      <c r="AN1306" s="228">
        <v>0</v>
      </c>
      <c r="AO1306" s="229">
        <v>35</v>
      </c>
      <c r="AP1306" s="231">
        <v>8</v>
      </c>
      <c r="AQ1306" s="231">
        <v>2025</v>
      </c>
      <c r="AR1306" s="231" t="str">
        <f t="shared" si="189"/>
        <v>08/2025</v>
      </c>
      <c r="AS1306" s="231">
        <f t="shared" si="190"/>
        <v>46.6</v>
      </c>
      <c r="AT1306" s="239">
        <f>IF(G1306="CERVECERIA Y MALTERIA",(AS1306*AK1306/1000000)*(1-VLOOKUP(N1306,FCST!D:I,6,FALSE)),0)</f>
        <v>19.889625600000002</v>
      </c>
      <c r="AU1306" s="232">
        <v>5.0000000000000001E-3</v>
      </c>
      <c r="AV1306" s="239">
        <f t="shared" si="191"/>
        <v>19.989073728000001</v>
      </c>
      <c r="AW1306" s="239">
        <f>(AS1306*AK1306/1000000)*(VLOOKUP(N1306,FCST!D:I,6,FALSE))</f>
        <v>0</v>
      </c>
      <c r="AX1306" s="239">
        <f t="shared" si="192"/>
        <v>0</v>
      </c>
      <c r="AY1306" s="239">
        <f>IF($G1306="CERVECERIA Y MALTERIA.",($AS1306*$AK1306/1000000)*(1-VLOOKUP($N1306,FCST!D:I,6,FALSE)),0)</f>
        <v>0</v>
      </c>
      <c r="AZ1306" s="239">
        <f t="shared" si="193"/>
        <v>0</v>
      </c>
    </row>
    <row r="1307" spans="1:52" x14ac:dyDescent="0.25">
      <c r="A1307" s="209">
        <v>1135908</v>
      </c>
      <c r="B1307" s="209">
        <v>50</v>
      </c>
      <c r="C1307" s="209">
        <v>89551182</v>
      </c>
      <c r="D1307" s="209">
        <v>10</v>
      </c>
      <c r="E1307" s="209">
        <v>10000002</v>
      </c>
      <c r="F1307" s="209">
        <v>20000335</v>
      </c>
      <c r="G1307" s="209" t="s">
        <v>105</v>
      </c>
      <c r="H1307" s="209">
        <v>20000335</v>
      </c>
      <c r="I1307" s="209">
        <v>2</v>
      </c>
      <c r="J1307" s="209" t="s">
        <v>169</v>
      </c>
      <c r="K1307" s="209" t="s">
        <v>2711</v>
      </c>
      <c r="L1307" s="209" t="s">
        <v>2610</v>
      </c>
      <c r="M1307" s="209" t="s">
        <v>172</v>
      </c>
      <c r="N1307" s="209">
        <v>50035183</v>
      </c>
      <c r="O1307" s="209" t="s">
        <v>215</v>
      </c>
      <c r="P1307" s="209">
        <v>5121</v>
      </c>
      <c r="Q1307" s="209" t="s">
        <v>174</v>
      </c>
      <c r="R1307" s="209" t="s">
        <v>175</v>
      </c>
      <c r="S1307" s="209" t="s">
        <v>176</v>
      </c>
      <c r="T1307" s="209" t="s">
        <v>177</v>
      </c>
      <c r="U1307" s="209" t="s">
        <v>178</v>
      </c>
      <c r="V1307" s="209" t="s">
        <v>179</v>
      </c>
      <c r="W1307" s="209" t="s">
        <v>179</v>
      </c>
      <c r="X1307" s="209" t="s">
        <v>180</v>
      </c>
      <c r="Y1307" s="209" t="s">
        <v>180</v>
      </c>
      <c r="Z1307" s="209">
        <v>9521069358</v>
      </c>
      <c r="AA1307" s="209" t="s">
        <v>2705</v>
      </c>
      <c r="AB1307" s="209" t="s">
        <v>180</v>
      </c>
      <c r="AC1307" s="209" t="s">
        <v>182</v>
      </c>
      <c r="AD1307" s="209">
        <v>8</v>
      </c>
      <c r="AE1307" s="209">
        <v>2025</v>
      </c>
      <c r="AF1307" s="227">
        <v>45891</v>
      </c>
      <c r="AG1307" s="227">
        <v>45897</v>
      </c>
      <c r="AH1307" s="227">
        <v>45897</v>
      </c>
      <c r="AI1307" s="228">
        <v>426816</v>
      </c>
      <c r="AJ1307" s="228">
        <v>52</v>
      </c>
      <c r="AK1307" s="228">
        <v>426816</v>
      </c>
      <c r="AL1307" s="228">
        <v>52</v>
      </c>
      <c r="AM1307" s="228">
        <v>0</v>
      </c>
      <c r="AN1307" s="228">
        <v>0</v>
      </c>
      <c r="AO1307" s="229">
        <v>35</v>
      </c>
      <c r="AP1307" s="231">
        <v>8</v>
      </c>
      <c r="AQ1307" s="231">
        <v>2025</v>
      </c>
      <c r="AR1307" s="231" t="str">
        <f t="shared" si="189"/>
        <v>08/2025</v>
      </c>
      <c r="AS1307" s="231">
        <f t="shared" si="190"/>
        <v>46.6</v>
      </c>
      <c r="AT1307" s="239">
        <f>IF(G1307="CERVECERIA Y MALTERIA",(AS1307*AK1307/1000000)*(1-VLOOKUP(N1307,FCST!D:I,6,FALSE)),0)</f>
        <v>19.889625600000002</v>
      </c>
      <c r="AU1307" s="232">
        <v>5.0000000000000001E-3</v>
      </c>
      <c r="AV1307" s="239">
        <f t="shared" si="191"/>
        <v>19.989073728000001</v>
      </c>
      <c r="AW1307" s="239">
        <f>(AS1307*AK1307/1000000)*(VLOOKUP(N1307,FCST!D:I,6,FALSE))</f>
        <v>0</v>
      </c>
      <c r="AX1307" s="239">
        <f t="shared" si="192"/>
        <v>0</v>
      </c>
      <c r="AY1307" s="239">
        <f>IF($G1307="CERVECERIA Y MALTERIA.",($AS1307*$AK1307/1000000)*(1-VLOOKUP($N1307,FCST!D:I,6,FALSE)),0)</f>
        <v>0</v>
      </c>
      <c r="AZ1307" s="239">
        <f t="shared" si="193"/>
        <v>0</v>
      </c>
    </row>
    <row r="1308" spans="1:52" x14ac:dyDescent="0.25">
      <c r="A1308" s="209">
        <v>1135908</v>
      </c>
      <c r="B1308" s="209">
        <v>100</v>
      </c>
      <c r="C1308" s="209">
        <v>89552044</v>
      </c>
      <c r="D1308" s="209">
        <v>10</v>
      </c>
      <c r="E1308" s="209">
        <v>10000002</v>
      </c>
      <c r="F1308" s="209">
        <v>20000335</v>
      </c>
      <c r="G1308" s="209" t="s">
        <v>105</v>
      </c>
      <c r="H1308" s="209">
        <v>20000335</v>
      </c>
      <c r="I1308" s="209">
        <v>2</v>
      </c>
      <c r="J1308" s="209" t="s">
        <v>169</v>
      </c>
      <c r="K1308" s="209" t="s">
        <v>2712</v>
      </c>
      <c r="L1308" s="209" t="s">
        <v>2610</v>
      </c>
      <c r="M1308" s="209" t="s">
        <v>172</v>
      </c>
      <c r="N1308" s="209">
        <v>50035184</v>
      </c>
      <c r="O1308" s="209" t="s">
        <v>672</v>
      </c>
      <c r="P1308" s="209">
        <v>5121</v>
      </c>
      <c r="Q1308" s="209" t="s">
        <v>174</v>
      </c>
      <c r="R1308" s="209" t="s">
        <v>175</v>
      </c>
      <c r="S1308" s="209" t="s">
        <v>176</v>
      </c>
      <c r="T1308" s="209" t="s">
        <v>177</v>
      </c>
      <c r="U1308" s="209" t="s">
        <v>178</v>
      </c>
      <c r="V1308" s="209" t="s">
        <v>179</v>
      </c>
      <c r="W1308" s="209" t="s">
        <v>179</v>
      </c>
      <c r="X1308" s="209" t="s">
        <v>180</v>
      </c>
      <c r="Y1308" s="209" t="s">
        <v>180</v>
      </c>
      <c r="Z1308" s="209">
        <v>9521069369</v>
      </c>
      <c r="AA1308" s="209" t="s">
        <v>2713</v>
      </c>
      <c r="AB1308" s="209" t="s">
        <v>180</v>
      </c>
      <c r="AC1308" s="209" t="s">
        <v>182</v>
      </c>
      <c r="AD1308" s="209">
        <v>8</v>
      </c>
      <c r="AE1308" s="209">
        <v>2025</v>
      </c>
      <c r="AF1308" s="227">
        <v>45891</v>
      </c>
      <c r="AG1308" s="227">
        <v>45898</v>
      </c>
      <c r="AH1308" s="227">
        <v>45898</v>
      </c>
      <c r="AI1308" s="228">
        <v>977184</v>
      </c>
      <c r="AJ1308" s="228">
        <v>52</v>
      </c>
      <c r="AK1308" s="228">
        <v>977184</v>
      </c>
      <c r="AL1308" s="228">
        <v>52</v>
      </c>
      <c r="AM1308" s="228">
        <v>0</v>
      </c>
      <c r="AN1308" s="228">
        <v>0</v>
      </c>
      <c r="AO1308" s="229">
        <v>35</v>
      </c>
      <c r="AP1308" s="231">
        <v>8</v>
      </c>
      <c r="AQ1308" s="231">
        <v>2025</v>
      </c>
      <c r="AR1308" s="231" t="str">
        <f t="shared" si="189"/>
        <v>08/2025</v>
      </c>
      <c r="AS1308" s="231">
        <f t="shared" si="190"/>
        <v>19.5</v>
      </c>
      <c r="AT1308" s="239">
        <f>IF(G1308="CERVECERIA Y MALTERIA",(AS1308*AK1308/1000000)*(1-VLOOKUP(N1308,FCST!D:I,6,FALSE)),0)</f>
        <v>19.055088000000001</v>
      </c>
      <c r="AU1308" s="232">
        <v>5.0000000000000001E-3</v>
      </c>
      <c r="AV1308" s="239">
        <f t="shared" si="191"/>
        <v>19.15036344</v>
      </c>
      <c r="AW1308" s="239">
        <f>(AS1308*AK1308/1000000)*(VLOOKUP(N1308,FCST!D:I,6,FALSE))</f>
        <v>0</v>
      </c>
      <c r="AX1308" s="239">
        <f t="shared" si="192"/>
        <v>0</v>
      </c>
      <c r="AY1308" s="239">
        <f>IF($G1308="CERVECERIA Y MALTERIA.",($AS1308*$AK1308/1000000)*(1-VLOOKUP($N1308,FCST!D:I,6,FALSE)),0)</f>
        <v>0</v>
      </c>
      <c r="AZ1308" s="239">
        <f t="shared" si="193"/>
        <v>0</v>
      </c>
    </row>
    <row r="1309" spans="1:52" x14ac:dyDescent="0.25">
      <c r="A1309" s="209">
        <v>1135908</v>
      </c>
      <c r="B1309" s="209">
        <v>60</v>
      </c>
      <c r="C1309" s="209">
        <v>89551609</v>
      </c>
      <c r="D1309" s="209">
        <v>10</v>
      </c>
      <c r="E1309" s="209">
        <v>10000002</v>
      </c>
      <c r="F1309" s="209">
        <v>20000335</v>
      </c>
      <c r="G1309" s="209" t="s">
        <v>105</v>
      </c>
      <c r="H1309" s="209">
        <v>20000335</v>
      </c>
      <c r="I1309" s="209">
        <v>2</v>
      </c>
      <c r="J1309" s="209" t="s">
        <v>169</v>
      </c>
      <c r="K1309" s="209" t="s">
        <v>2714</v>
      </c>
      <c r="L1309" s="209" t="s">
        <v>2610</v>
      </c>
      <c r="M1309" s="209" t="s">
        <v>172</v>
      </c>
      <c r="N1309" s="209">
        <v>50035183</v>
      </c>
      <c r="O1309" s="209" t="s">
        <v>215</v>
      </c>
      <c r="P1309" s="209">
        <v>5121</v>
      </c>
      <c r="Q1309" s="209" t="s">
        <v>174</v>
      </c>
      <c r="R1309" s="209" t="s">
        <v>175</v>
      </c>
      <c r="S1309" s="209" t="s">
        <v>176</v>
      </c>
      <c r="T1309" s="209" t="s">
        <v>177</v>
      </c>
      <c r="U1309" s="209" t="s">
        <v>178</v>
      </c>
      <c r="V1309" s="209" t="s">
        <v>179</v>
      </c>
      <c r="W1309" s="209" t="s">
        <v>179</v>
      </c>
      <c r="X1309" s="209" t="s">
        <v>180</v>
      </c>
      <c r="Y1309" s="209" t="s">
        <v>180</v>
      </c>
      <c r="Z1309" s="209">
        <v>9521069358</v>
      </c>
      <c r="AA1309" s="209" t="s">
        <v>2705</v>
      </c>
      <c r="AB1309" s="209" t="s">
        <v>180</v>
      </c>
      <c r="AC1309" s="209" t="s">
        <v>182</v>
      </c>
      <c r="AD1309" s="209">
        <v>8</v>
      </c>
      <c r="AE1309" s="209">
        <v>2025</v>
      </c>
      <c r="AF1309" s="227">
        <v>45891</v>
      </c>
      <c r="AG1309" s="227">
        <v>45898</v>
      </c>
      <c r="AH1309" s="227">
        <v>45898</v>
      </c>
      <c r="AI1309" s="228">
        <v>426816</v>
      </c>
      <c r="AJ1309" s="228">
        <v>52</v>
      </c>
      <c r="AK1309" s="228">
        <v>426816</v>
      </c>
      <c r="AL1309" s="228">
        <v>52</v>
      </c>
      <c r="AM1309" s="228">
        <v>0</v>
      </c>
      <c r="AN1309" s="228">
        <v>0</v>
      </c>
      <c r="AO1309" s="229">
        <v>35</v>
      </c>
      <c r="AP1309" s="231">
        <v>8</v>
      </c>
      <c r="AQ1309" s="231">
        <v>2025</v>
      </c>
      <c r="AR1309" s="231" t="str">
        <f t="shared" si="189"/>
        <v>08/2025</v>
      </c>
      <c r="AS1309" s="231">
        <f t="shared" si="190"/>
        <v>46.6</v>
      </c>
      <c r="AT1309" s="239">
        <f>IF(G1309="CERVECERIA Y MALTERIA",(AS1309*AK1309/1000000)*(1-VLOOKUP(N1309,FCST!D:I,6,FALSE)),0)</f>
        <v>19.889625600000002</v>
      </c>
      <c r="AU1309" s="232">
        <v>5.0000000000000001E-3</v>
      </c>
      <c r="AV1309" s="239">
        <f t="shared" si="191"/>
        <v>19.989073728000001</v>
      </c>
      <c r="AW1309" s="239">
        <f>(AS1309*AK1309/1000000)*(VLOOKUP(N1309,FCST!D:I,6,FALSE))</f>
        <v>0</v>
      </c>
      <c r="AX1309" s="239">
        <f t="shared" si="192"/>
        <v>0</v>
      </c>
      <c r="AY1309" s="239">
        <f>IF($G1309="CERVECERIA Y MALTERIA.",($AS1309*$AK1309/1000000)*(1-VLOOKUP($N1309,FCST!D:I,6,FALSE)),0)</f>
        <v>0</v>
      </c>
      <c r="AZ1309" s="239">
        <f t="shared" si="193"/>
        <v>0</v>
      </c>
    </row>
    <row r="1310" spans="1:52" x14ac:dyDescent="0.25">
      <c r="A1310" s="209">
        <v>1135908</v>
      </c>
      <c r="B1310" s="209">
        <v>90</v>
      </c>
      <c r="C1310" s="209">
        <v>89551606</v>
      </c>
      <c r="D1310" s="209">
        <v>10</v>
      </c>
      <c r="E1310" s="209">
        <v>10000002</v>
      </c>
      <c r="F1310" s="209">
        <v>20000335</v>
      </c>
      <c r="G1310" s="209" t="s">
        <v>105</v>
      </c>
      <c r="H1310" s="209">
        <v>20000335</v>
      </c>
      <c r="I1310" s="209">
        <v>2</v>
      </c>
      <c r="J1310" s="209" t="s">
        <v>169</v>
      </c>
      <c r="K1310" s="209" t="s">
        <v>2715</v>
      </c>
      <c r="L1310" s="209" t="s">
        <v>2610</v>
      </c>
      <c r="M1310" s="209" t="s">
        <v>172</v>
      </c>
      <c r="N1310" s="209">
        <v>50035184</v>
      </c>
      <c r="O1310" s="209" t="s">
        <v>672</v>
      </c>
      <c r="P1310" s="209">
        <v>5121</v>
      </c>
      <c r="Q1310" s="209" t="s">
        <v>174</v>
      </c>
      <c r="R1310" s="209" t="s">
        <v>175</v>
      </c>
      <c r="S1310" s="209" t="s">
        <v>176</v>
      </c>
      <c r="T1310" s="209" t="s">
        <v>177</v>
      </c>
      <c r="U1310" s="209" t="s">
        <v>178</v>
      </c>
      <c r="V1310" s="209" t="s">
        <v>179</v>
      </c>
      <c r="W1310" s="209" t="s">
        <v>179</v>
      </c>
      <c r="X1310" s="209" t="s">
        <v>180</v>
      </c>
      <c r="Y1310" s="209" t="s">
        <v>180</v>
      </c>
      <c r="Z1310" s="209">
        <v>9521069375</v>
      </c>
      <c r="AA1310" s="209" t="s">
        <v>2716</v>
      </c>
      <c r="AB1310" s="209" t="s">
        <v>180</v>
      </c>
      <c r="AC1310" s="209" t="s">
        <v>182</v>
      </c>
      <c r="AD1310" s="209">
        <v>8</v>
      </c>
      <c r="AE1310" s="209">
        <v>2025</v>
      </c>
      <c r="AF1310" s="227">
        <v>45891</v>
      </c>
      <c r="AG1310" s="227">
        <v>45897</v>
      </c>
      <c r="AH1310" s="227">
        <v>45898</v>
      </c>
      <c r="AI1310" s="228">
        <v>977184</v>
      </c>
      <c r="AJ1310" s="228">
        <v>52</v>
      </c>
      <c r="AK1310" s="228">
        <v>977184</v>
      </c>
      <c r="AL1310" s="228">
        <v>52</v>
      </c>
      <c r="AM1310" s="228">
        <v>0</v>
      </c>
      <c r="AN1310" s="228">
        <v>0</v>
      </c>
      <c r="AO1310" s="229">
        <v>35</v>
      </c>
      <c r="AP1310" s="231">
        <v>8</v>
      </c>
      <c r="AQ1310" s="231">
        <v>2025</v>
      </c>
      <c r="AR1310" s="231" t="str">
        <f t="shared" si="189"/>
        <v>08/2025</v>
      </c>
      <c r="AS1310" s="231">
        <f t="shared" si="190"/>
        <v>19.5</v>
      </c>
      <c r="AT1310" s="239">
        <f>IF(G1310="CERVECERIA Y MALTERIA",(AS1310*AK1310/1000000)*(1-VLOOKUP(N1310,FCST!D:I,6,FALSE)),0)</f>
        <v>19.055088000000001</v>
      </c>
      <c r="AU1310" s="232">
        <v>5.0000000000000001E-3</v>
      </c>
      <c r="AV1310" s="239">
        <f t="shared" si="191"/>
        <v>19.15036344</v>
      </c>
      <c r="AW1310" s="239">
        <f>(AS1310*AK1310/1000000)*(VLOOKUP(N1310,FCST!D:I,6,FALSE))</f>
        <v>0</v>
      </c>
      <c r="AX1310" s="239">
        <f t="shared" si="192"/>
        <v>0</v>
      </c>
      <c r="AY1310" s="239">
        <f>IF($G1310="CERVECERIA Y MALTERIA.",($AS1310*$AK1310/1000000)*(1-VLOOKUP($N1310,FCST!D:I,6,FALSE)),0)</f>
        <v>0</v>
      </c>
      <c r="AZ1310" s="239">
        <f t="shared" si="193"/>
        <v>0</v>
      </c>
    </row>
    <row r="1311" spans="1:52" x14ac:dyDescent="0.25">
      <c r="A1311" s="209">
        <v>1136917</v>
      </c>
      <c r="B1311" s="209">
        <v>10</v>
      </c>
      <c r="C1311" s="209">
        <v>89551992</v>
      </c>
      <c r="D1311" s="209">
        <v>10</v>
      </c>
      <c r="E1311" s="209">
        <v>10000002</v>
      </c>
      <c r="F1311" s="209">
        <v>20001057</v>
      </c>
      <c r="G1311" s="209" t="s">
        <v>105</v>
      </c>
      <c r="H1311" s="209">
        <v>20001057</v>
      </c>
      <c r="I1311" s="209">
        <v>2</v>
      </c>
      <c r="J1311" s="209" t="s">
        <v>169</v>
      </c>
      <c r="K1311" s="209" t="s">
        <v>2717</v>
      </c>
      <c r="L1311" s="209" t="s">
        <v>2610</v>
      </c>
      <c r="M1311" s="209" t="s">
        <v>2718</v>
      </c>
      <c r="N1311" s="209">
        <v>50037887</v>
      </c>
      <c r="O1311" s="209" t="s">
        <v>679</v>
      </c>
      <c r="P1311" s="209">
        <v>5121</v>
      </c>
      <c r="Q1311" s="209" t="s">
        <v>174</v>
      </c>
      <c r="R1311" s="209" t="s">
        <v>175</v>
      </c>
      <c r="S1311" s="209" t="s">
        <v>176</v>
      </c>
      <c r="T1311" s="209" t="s">
        <v>177</v>
      </c>
      <c r="U1311" s="209" t="s">
        <v>178</v>
      </c>
      <c r="V1311" s="209" t="s">
        <v>179</v>
      </c>
      <c r="W1311" s="209" t="s">
        <v>179</v>
      </c>
      <c r="X1311" s="209" t="s">
        <v>180</v>
      </c>
      <c r="Y1311" s="209" t="s">
        <v>180</v>
      </c>
      <c r="Z1311" s="209">
        <v>9521069371</v>
      </c>
      <c r="AA1311" s="209" t="s">
        <v>2719</v>
      </c>
      <c r="AB1311" s="209" t="s">
        <v>180</v>
      </c>
      <c r="AC1311" s="209" t="s">
        <v>182</v>
      </c>
      <c r="AD1311" s="209">
        <v>8</v>
      </c>
      <c r="AE1311" s="209">
        <v>2025</v>
      </c>
      <c r="AF1311" s="227">
        <v>45897</v>
      </c>
      <c r="AG1311" s="227">
        <v>45898</v>
      </c>
      <c r="AH1311" s="227">
        <v>45898</v>
      </c>
      <c r="AI1311" s="228">
        <v>531648</v>
      </c>
      <c r="AJ1311" s="228">
        <v>52</v>
      </c>
      <c r="AK1311" s="228">
        <v>531648</v>
      </c>
      <c r="AL1311" s="228">
        <v>52</v>
      </c>
      <c r="AM1311" s="228">
        <v>0</v>
      </c>
      <c r="AN1311" s="228">
        <v>0</v>
      </c>
      <c r="AO1311" s="229">
        <v>35</v>
      </c>
      <c r="AP1311" s="231">
        <v>8</v>
      </c>
      <c r="AQ1311" s="231">
        <v>2025</v>
      </c>
      <c r="AR1311" s="231" t="str">
        <f t="shared" si="189"/>
        <v>08/2025</v>
      </c>
      <c r="AS1311" s="231">
        <f t="shared" si="190"/>
        <v>37.200000000000003</v>
      </c>
      <c r="AT1311" s="239">
        <f>IF(G1311="CERVECERIA Y MALTERIA",(AS1311*AK1311/1000000)*(1-VLOOKUP(N1311,FCST!D:I,6,FALSE)),0)</f>
        <v>19.777305600000002</v>
      </c>
      <c r="AU1311" s="232">
        <v>5.0000000000000001E-3</v>
      </c>
      <c r="AV1311" s="239">
        <f t="shared" si="191"/>
        <v>19.876192128</v>
      </c>
      <c r="AW1311" s="239">
        <f>(AS1311*AK1311/1000000)*(VLOOKUP(N1311,FCST!D:I,6,FALSE))</f>
        <v>0</v>
      </c>
      <c r="AX1311" s="239">
        <f t="shared" si="192"/>
        <v>0</v>
      </c>
      <c r="AY1311" s="239">
        <f>IF($G1311="CERVECERIA Y MALTERIA.",($AS1311*$AK1311/1000000)*(1-VLOOKUP($N1311,FCST!D:I,6,FALSE)),0)</f>
        <v>0</v>
      </c>
      <c r="AZ1311" s="239">
        <f t="shared" si="193"/>
        <v>0</v>
      </c>
    </row>
    <row r="1312" spans="1:52" x14ac:dyDescent="0.25">
      <c r="A1312" s="209">
        <v>1136793</v>
      </c>
      <c r="B1312" s="209">
        <v>10</v>
      </c>
      <c r="C1312" s="209">
        <v>89551977</v>
      </c>
      <c r="D1312" s="209">
        <v>10</v>
      </c>
      <c r="E1312" s="209">
        <v>10000002</v>
      </c>
      <c r="F1312" s="209">
        <v>20000339</v>
      </c>
      <c r="G1312" s="209" t="s">
        <v>105</v>
      </c>
      <c r="H1312" s="209">
        <v>20000339</v>
      </c>
      <c r="I1312" s="209">
        <v>2</v>
      </c>
      <c r="J1312" s="209" t="s">
        <v>169</v>
      </c>
      <c r="K1312" s="209" t="s">
        <v>2720</v>
      </c>
      <c r="L1312" s="209" t="s">
        <v>2610</v>
      </c>
      <c r="M1312" s="209" t="s">
        <v>2718</v>
      </c>
      <c r="N1312" s="209">
        <v>50036287</v>
      </c>
      <c r="O1312" s="209" t="s">
        <v>2191</v>
      </c>
      <c r="P1312" s="209">
        <v>5121</v>
      </c>
      <c r="Q1312" s="209" t="s">
        <v>174</v>
      </c>
      <c r="R1312" s="209" t="s">
        <v>175</v>
      </c>
      <c r="S1312" s="209" t="s">
        <v>176</v>
      </c>
      <c r="T1312" s="209" t="s">
        <v>177</v>
      </c>
      <c r="U1312" s="209" t="s">
        <v>178</v>
      </c>
      <c r="V1312" s="209" t="s">
        <v>179</v>
      </c>
      <c r="W1312" s="209" t="s">
        <v>179</v>
      </c>
      <c r="X1312" s="209" t="s">
        <v>180</v>
      </c>
      <c r="Y1312" s="209" t="s">
        <v>180</v>
      </c>
      <c r="Z1312" s="209">
        <v>9521069376</v>
      </c>
      <c r="AA1312" s="209" t="s">
        <v>2721</v>
      </c>
      <c r="AB1312" s="209" t="s">
        <v>180</v>
      </c>
      <c r="AC1312" s="209" t="s">
        <v>182</v>
      </c>
      <c r="AD1312" s="209">
        <v>8</v>
      </c>
      <c r="AE1312" s="209">
        <v>2025</v>
      </c>
      <c r="AF1312" s="227">
        <v>45896</v>
      </c>
      <c r="AG1312" s="227">
        <v>45898</v>
      </c>
      <c r="AH1312" s="227">
        <v>45898</v>
      </c>
      <c r="AI1312" s="228">
        <v>363168</v>
      </c>
      <c r="AJ1312" s="228">
        <v>52</v>
      </c>
      <c r="AK1312" s="228">
        <v>363168</v>
      </c>
      <c r="AL1312" s="228">
        <v>52</v>
      </c>
      <c r="AM1312" s="228">
        <v>0</v>
      </c>
      <c r="AN1312" s="228">
        <v>0</v>
      </c>
      <c r="AO1312" s="229">
        <v>35</v>
      </c>
      <c r="AP1312" s="231">
        <v>8</v>
      </c>
      <c r="AQ1312" s="231">
        <v>2025</v>
      </c>
      <c r="AR1312" s="231" t="str">
        <f t="shared" si="189"/>
        <v>08/2025</v>
      </c>
      <c r="AS1312" s="231">
        <f t="shared" si="190"/>
        <v>52</v>
      </c>
      <c r="AT1312" s="239">
        <f>IF(G1312="CERVECERIA Y MALTERIA",(AS1312*AK1312/1000000)*(1-VLOOKUP(N1312,FCST!D:I,6,FALSE)),0)</f>
        <v>18.884736</v>
      </c>
      <c r="AU1312" s="232">
        <v>5.0000000000000001E-3</v>
      </c>
      <c r="AV1312" s="239">
        <f t="shared" si="191"/>
        <v>18.979159679999999</v>
      </c>
      <c r="AW1312" s="239">
        <f>(AS1312*AK1312/1000000)*(VLOOKUP(N1312,FCST!D:I,6,FALSE))</f>
        <v>0</v>
      </c>
      <c r="AX1312" s="239">
        <f t="shared" si="192"/>
        <v>0</v>
      </c>
      <c r="AY1312" s="239">
        <f>IF($G1312="CERVECERIA Y MALTERIA.",($AS1312*$AK1312/1000000)*(1-VLOOKUP($N1312,FCST!D:I,6,FALSE)),0)</f>
        <v>0</v>
      </c>
      <c r="AZ1312" s="239">
        <f t="shared" si="193"/>
        <v>0</v>
      </c>
    </row>
    <row r="1313" spans="1:52" x14ac:dyDescent="0.25">
      <c r="A1313" s="209">
        <v>1136059</v>
      </c>
      <c r="B1313" s="209">
        <v>40</v>
      </c>
      <c r="C1313" s="209">
        <v>89552479</v>
      </c>
      <c r="D1313" s="209">
        <v>10</v>
      </c>
      <c r="E1313" s="209">
        <v>10000002</v>
      </c>
      <c r="F1313" s="209">
        <v>20000337</v>
      </c>
      <c r="G1313" s="209" t="s">
        <v>105</v>
      </c>
      <c r="H1313" s="209">
        <v>20000337</v>
      </c>
      <c r="I1313" s="209">
        <v>2</v>
      </c>
      <c r="J1313" s="209" t="s">
        <v>169</v>
      </c>
      <c r="K1313" s="209" t="s">
        <v>2722</v>
      </c>
      <c r="L1313" s="209" t="s">
        <v>2610</v>
      </c>
      <c r="M1313" s="209" t="s">
        <v>2718</v>
      </c>
      <c r="N1313" s="209">
        <v>50034616</v>
      </c>
      <c r="O1313" s="209" t="s">
        <v>191</v>
      </c>
      <c r="P1313" s="209">
        <v>5121</v>
      </c>
      <c r="Q1313" s="209" t="s">
        <v>174</v>
      </c>
      <c r="R1313" s="209" t="s">
        <v>175</v>
      </c>
      <c r="S1313" s="209" t="s">
        <v>176</v>
      </c>
      <c r="T1313" s="209" t="s">
        <v>177</v>
      </c>
      <c r="U1313" s="209" t="s">
        <v>178</v>
      </c>
      <c r="V1313" s="209" t="s">
        <v>179</v>
      </c>
      <c r="W1313" s="209" t="s">
        <v>179</v>
      </c>
      <c r="X1313" s="209" t="s">
        <v>180</v>
      </c>
      <c r="Y1313" s="209" t="s">
        <v>180</v>
      </c>
      <c r="Z1313" s="209">
        <v>9521069377</v>
      </c>
      <c r="AA1313" s="209" t="s">
        <v>2723</v>
      </c>
      <c r="AB1313" s="209" t="s">
        <v>180</v>
      </c>
      <c r="AC1313" s="209" t="s">
        <v>182</v>
      </c>
      <c r="AD1313" s="209">
        <v>8</v>
      </c>
      <c r="AE1313" s="209">
        <v>2025</v>
      </c>
      <c r="AF1313" s="227">
        <v>45891</v>
      </c>
      <c r="AG1313" s="227">
        <v>45898</v>
      </c>
      <c r="AH1313" s="227">
        <v>45899</v>
      </c>
      <c r="AI1313" s="228">
        <v>418608</v>
      </c>
      <c r="AJ1313" s="228">
        <v>51</v>
      </c>
      <c r="AK1313" s="228">
        <v>418608</v>
      </c>
      <c r="AL1313" s="228">
        <v>51</v>
      </c>
      <c r="AM1313" s="228">
        <v>0</v>
      </c>
      <c r="AN1313" s="228">
        <v>0</v>
      </c>
      <c r="AO1313" s="229">
        <v>35</v>
      </c>
      <c r="AP1313" s="231">
        <v>8</v>
      </c>
      <c r="AQ1313" s="231">
        <v>2025</v>
      </c>
      <c r="AR1313" s="231" t="str">
        <f t="shared" si="189"/>
        <v>08/2025</v>
      </c>
      <c r="AS1313" s="231">
        <f t="shared" si="190"/>
        <v>46.6</v>
      </c>
      <c r="AT1313" s="239">
        <f>IF(G1313="CERVECERIA Y MALTERIA",(AS1313*AK1313/1000000)*(1-VLOOKUP(N1313,FCST!D:I,6,FALSE)),0)</f>
        <v>19.507132800000001</v>
      </c>
      <c r="AU1313" s="232">
        <v>5.0000000000000001E-3</v>
      </c>
      <c r="AV1313" s="239">
        <f t="shared" si="191"/>
        <v>19.604668464</v>
      </c>
      <c r="AW1313" s="239">
        <f>(AS1313*AK1313/1000000)*(VLOOKUP(N1313,FCST!D:I,6,FALSE))</f>
        <v>0</v>
      </c>
      <c r="AX1313" s="239">
        <f t="shared" si="192"/>
        <v>0</v>
      </c>
      <c r="AY1313" s="239">
        <f>IF($G1313="CERVECERIA Y MALTERIA.",($AS1313*$AK1313/1000000)*(1-VLOOKUP($N1313,FCST!D:I,6,FALSE)),0)</f>
        <v>0</v>
      </c>
      <c r="AZ1313" s="239">
        <f t="shared" si="193"/>
        <v>0</v>
      </c>
    </row>
    <row r="1315" spans="1:52" x14ac:dyDescent="0.25">
      <c r="A1315" s="209">
        <v>1140957</v>
      </c>
      <c r="B1315" s="209">
        <v>10</v>
      </c>
      <c r="C1315" s="209" t="s">
        <v>2724</v>
      </c>
      <c r="D1315" s="209">
        <v>10</v>
      </c>
      <c r="E1315" s="209">
        <v>10000002</v>
      </c>
      <c r="F1315" s="209">
        <v>20000340</v>
      </c>
      <c r="G1315" s="209" t="s">
        <v>117</v>
      </c>
      <c r="H1315" s="209">
        <v>20000340</v>
      </c>
      <c r="I1315" s="209">
        <v>2</v>
      </c>
      <c r="J1315" s="209" t="s">
        <v>169</v>
      </c>
      <c r="K1315" s="209" t="s">
        <v>2725</v>
      </c>
      <c r="L1315" s="209" t="s">
        <v>2610</v>
      </c>
      <c r="M1315" s="209" t="s">
        <v>2718</v>
      </c>
      <c r="N1315" s="209">
        <v>50025163</v>
      </c>
      <c r="O1315" s="209" t="s">
        <v>185</v>
      </c>
      <c r="P1315" s="209">
        <v>5101</v>
      </c>
      <c r="Q1315" s="209" t="s">
        <v>186</v>
      </c>
      <c r="R1315" s="209" t="s">
        <v>175</v>
      </c>
      <c r="S1315" s="209" t="s">
        <v>176</v>
      </c>
      <c r="T1315" s="209" t="s">
        <v>187</v>
      </c>
      <c r="U1315" s="209" t="s">
        <v>188</v>
      </c>
      <c r="V1315" s="209" t="s">
        <v>179</v>
      </c>
      <c r="W1315" s="209" t="s">
        <v>179</v>
      </c>
      <c r="X1315" s="209" t="s">
        <v>180</v>
      </c>
      <c r="Y1315" s="209" t="s">
        <v>180</v>
      </c>
      <c r="Z1315" s="209" t="s">
        <v>2726</v>
      </c>
      <c r="AA1315" s="209" t="s">
        <v>2727</v>
      </c>
      <c r="AB1315" s="209" t="s">
        <v>180</v>
      </c>
      <c r="AC1315" s="209" t="s">
        <v>182</v>
      </c>
      <c r="AD1315" s="209">
        <v>9</v>
      </c>
      <c r="AE1315" s="209">
        <v>2025</v>
      </c>
      <c r="AF1315" s="227">
        <v>45919</v>
      </c>
      <c r="AG1315" s="227">
        <v>45922</v>
      </c>
      <c r="AH1315" s="227">
        <v>45922</v>
      </c>
      <c r="AI1315" s="228">
        <v>606528</v>
      </c>
      <c r="AJ1315" s="228">
        <v>52</v>
      </c>
      <c r="AK1315" s="228">
        <v>606528</v>
      </c>
      <c r="AL1315" s="228">
        <v>52</v>
      </c>
      <c r="AM1315" s="228">
        <v>0</v>
      </c>
      <c r="AN1315" s="228">
        <v>0</v>
      </c>
      <c r="AO1315" s="229">
        <v>39</v>
      </c>
      <c r="AP1315" s="231">
        <v>9</v>
      </c>
      <c r="AQ1315" s="231">
        <v>2025</v>
      </c>
      <c r="AR1315" s="231" t="str">
        <f t="shared" ref="AR1315" si="194">+IF(AP1315&lt;10,"0"&amp;AP1315&amp; "/"&amp;AQ1315,AP1315&amp; "/"&amp;AQ1315)</f>
        <v>09/2025</v>
      </c>
      <c r="AS1315" s="231">
        <f t="shared" ref="AS1315" si="195">VALUE(MID(INDEX(_xlfn.TEXTSPLIT(O1315, ","), 1, 3), 1,FIND("G", INDEX(_xlfn.TEXTSPLIT(O1315, ","), 1, 3))-1))</f>
        <v>30</v>
      </c>
      <c r="AT1315" s="239">
        <f>IF(G1315="CERVECERIA Y MALTERIA",(AS1315*AK1315/1000000)*(1-VLOOKUP(N1315,FCST!D:I,6,FALSE)),0)</f>
        <v>0</v>
      </c>
      <c r="AU1315" s="232">
        <v>5.0000000000000001E-3</v>
      </c>
      <c r="AV1315" s="239">
        <f t="shared" ref="AV1315" si="196">+AT1315*(1+AU1315)</f>
        <v>0</v>
      </c>
      <c r="AW1315" s="239">
        <f>(AS1315*AK1315/1000000)*(VLOOKUP(N1315,FCST!D:I,6,FALSE))</f>
        <v>0</v>
      </c>
      <c r="AX1315" s="239">
        <f t="shared" ref="AX1315" si="197">+AW1315*(1+AU1315)</f>
        <v>0</v>
      </c>
      <c r="AY1315" s="239">
        <f>IF($G1315="CERVECERIA Y MALTERIA.",($AS1315*$AK1315/1000000)*(1-VLOOKUP($N1315,FCST!D:I,6,FALSE)),0)</f>
        <v>18.19584</v>
      </c>
      <c r="AZ1315" s="239">
        <f t="shared" ref="AZ1315" si="198">+AY1315*(1+AU1315)</f>
        <v>18.2868192</v>
      </c>
    </row>
    <row r="1316" spans="1:52" x14ac:dyDescent="0.25">
      <c r="A1316" s="209">
        <v>1140910</v>
      </c>
      <c r="B1316" s="209">
        <v>10</v>
      </c>
      <c r="C1316" s="209" t="s">
        <v>2728</v>
      </c>
      <c r="D1316" s="209">
        <v>10</v>
      </c>
      <c r="E1316" s="209">
        <v>10000002</v>
      </c>
      <c r="F1316" s="209">
        <v>20000337</v>
      </c>
      <c r="G1316" s="209" t="s">
        <v>105</v>
      </c>
      <c r="H1316" s="209">
        <v>20000337</v>
      </c>
      <c r="I1316" s="209">
        <v>2</v>
      </c>
      <c r="J1316" s="209" t="s">
        <v>169</v>
      </c>
      <c r="K1316" s="209" t="s">
        <v>2729</v>
      </c>
      <c r="L1316" s="209" t="s">
        <v>2610</v>
      </c>
      <c r="M1316" s="209" t="s">
        <v>184</v>
      </c>
      <c r="N1316" s="209">
        <v>50035135</v>
      </c>
      <c r="O1316" s="209" t="s">
        <v>2730</v>
      </c>
      <c r="P1316" s="209">
        <v>5121</v>
      </c>
      <c r="Q1316" s="209" t="s">
        <v>174</v>
      </c>
      <c r="R1316" s="209" t="s">
        <v>175</v>
      </c>
      <c r="S1316" s="209" t="s">
        <v>176</v>
      </c>
      <c r="T1316" s="209" t="s">
        <v>177</v>
      </c>
      <c r="U1316" s="209" t="s">
        <v>178</v>
      </c>
      <c r="V1316" s="209" t="s">
        <v>179</v>
      </c>
      <c r="W1316" s="209" t="s">
        <v>179</v>
      </c>
      <c r="X1316" s="209" t="s">
        <v>180</v>
      </c>
      <c r="Y1316" s="209" t="s">
        <v>180</v>
      </c>
      <c r="Z1316" s="209" t="s">
        <v>2731</v>
      </c>
      <c r="AA1316" s="209" t="s">
        <v>2732</v>
      </c>
      <c r="AB1316" s="209" t="s">
        <v>180</v>
      </c>
      <c r="AC1316" s="209" t="s">
        <v>182</v>
      </c>
      <c r="AD1316" s="209">
        <v>9</v>
      </c>
      <c r="AE1316" s="209">
        <v>2025</v>
      </c>
      <c r="AF1316" s="227">
        <v>45919</v>
      </c>
      <c r="AG1316" s="227">
        <v>45922</v>
      </c>
      <c r="AH1316" s="227">
        <v>45922</v>
      </c>
      <c r="AI1316" s="228">
        <v>406016</v>
      </c>
      <c r="AJ1316" s="228">
        <v>52</v>
      </c>
      <c r="AK1316" s="228">
        <v>406016</v>
      </c>
      <c r="AL1316" s="228">
        <v>52</v>
      </c>
      <c r="AM1316" s="228">
        <v>0</v>
      </c>
      <c r="AN1316" s="228">
        <v>0</v>
      </c>
      <c r="AO1316" s="229">
        <v>39</v>
      </c>
      <c r="AP1316" s="231">
        <v>9</v>
      </c>
      <c r="AQ1316" s="231">
        <v>2025</v>
      </c>
      <c r="AR1316" s="231" t="str">
        <f t="shared" ref="AR1316:AR1379" si="199">+IF(AP1316&lt;10,"0"&amp;AP1316&amp; "/"&amp;AQ1316,AP1316&amp; "/"&amp;AQ1316)</f>
        <v>09/2025</v>
      </c>
      <c r="AS1316" s="231">
        <f t="shared" ref="AS1316:AS1379" si="200">VALUE(MID(INDEX(_xlfn.TEXTSPLIT(O1316, ","), 1, 3), 1,FIND("G", INDEX(_xlfn.TEXTSPLIT(O1316, ","), 1, 3))-1))</f>
        <v>46.6</v>
      </c>
      <c r="AT1316" s="239">
        <f>IF(G1316="CERVECERIA Y MALTERIA",(AS1316*AK1316/1000000)*(1-VLOOKUP(N1316,FCST!D:I,6,FALSE)),0)</f>
        <v>18.920345600000001</v>
      </c>
      <c r="AU1316" s="232">
        <v>5.0000000000000001E-3</v>
      </c>
      <c r="AV1316" s="239">
        <f t="shared" ref="AV1316:AV1379" si="201">+AT1316*(1+AU1316)</f>
        <v>19.014947327999998</v>
      </c>
      <c r="AW1316" s="239">
        <f>(AS1316*AK1316/1000000)*(VLOOKUP(N1316,FCST!D:I,6,FALSE))</f>
        <v>0</v>
      </c>
      <c r="AX1316" s="239">
        <f t="shared" ref="AX1316:AX1379" si="202">+AW1316*(1+AU1316)</f>
        <v>0</v>
      </c>
      <c r="AY1316" s="239">
        <f>IF($G1316="CERVECERIA Y MALTERIA.",($AS1316*$AK1316/1000000)*(1-VLOOKUP($N1316,FCST!D:I,6,FALSE)),0)</f>
        <v>0</v>
      </c>
      <c r="AZ1316" s="239">
        <f t="shared" ref="AZ1316:AZ1379" si="203">+AY1316*(1+AU1316)</f>
        <v>0</v>
      </c>
    </row>
    <row r="1317" spans="1:52" x14ac:dyDescent="0.25">
      <c r="A1317" s="209">
        <v>1140955</v>
      </c>
      <c r="B1317" s="209">
        <v>10</v>
      </c>
      <c r="C1317" s="209" t="s">
        <v>2733</v>
      </c>
      <c r="D1317" s="209">
        <v>10</v>
      </c>
      <c r="E1317" s="209">
        <v>10000002</v>
      </c>
      <c r="F1317" s="209">
        <v>20000335</v>
      </c>
      <c r="G1317" s="209" t="s">
        <v>105</v>
      </c>
      <c r="H1317" s="209">
        <v>20000335</v>
      </c>
      <c r="I1317" s="209">
        <v>2</v>
      </c>
      <c r="J1317" s="209" t="s">
        <v>169</v>
      </c>
      <c r="K1317" s="209" t="s">
        <v>2734</v>
      </c>
      <c r="L1317" s="209" t="s">
        <v>2610</v>
      </c>
      <c r="M1317" s="209" t="s">
        <v>2718</v>
      </c>
      <c r="N1317" s="209">
        <v>50037887</v>
      </c>
      <c r="O1317" s="209" t="s">
        <v>679</v>
      </c>
      <c r="P1317" s="209">
        <v>5121</v>
      </c>
      <c r="Q1317" s="209" t="s">
        <v>174</v>
      </c>
      <c r="R1317" s="209" t="s">
        <v>175</v>
      </c>
      <c r="S1317" s="209" t="s">
        <v>176</v>
      </c>
      <c r="T1317" s="209" t="s">
        <v>177</v>
      </c>
      <c r="U1317" s="209" t="s">
        <v>178</v>
      </c>
      <c r="V1317" s="209" t="s">
        <v>179</v>
      </c>
      <c r="W1317" s="209" t="s">
        <v>179</v>
      </c>
      <c r="X1317" s="209" t="s">
        <v>180</v>
      </c>
      <c r="Y1317" s="209" t="s">
        <v>180</v>
      </c>
      <c r="Z1317" s="209" t="s">
        <v>2735</v>
      </c>
      <c r="AA1317" s="209" t="s">
        <v>2736</v>
      </c>
      <c r="AB1317" s="209" t="s">
        <v>180</v>
      </c>
      <c r="AC1317" s="209" t="s">
        <v>182</v>
      </c>
      <c r="AD1317" s="209">
        <v>9</v>
      </c>
      <c r="AE1317" s="209">
        <v>2025</v>
      </c>
      <c r="AF1317" s="227">
        <v>45919</v>
      </c>
      <c r="AG1317" s="227">
        <v>45922</v>
      </c>
      <c r="AH1317" s="227">
        <v>45922</v>
      </c>
      <c r="AI1317" s="228">
        <v>531648</v>
      </c>
      <c r="AJ1317" s="228">
        <v>52</v>
      </c>
      <c r="AK1317" s="228">
        <v>531648</v>
      </c>
      <c r="AL1317" s="228">
        <v>52</v>
      </c>
      <c r="AM1317" s="228">
        <v>0</v>
      </c>
      <c r="AN1317" s="228">
        <v>0</v>
      </c>
      <c r="AO1317" s="229">
        <v>39</v>
      </c>
      <c r="AP1317" s="231">
        <v>9</v>
      </c>
      <c r="AQ1317" s="231">
        <v>2025</v>
      </c>
      <c r="AR1317" s="231" t="str">
        <f t="shared" si="199"/>
        <v>09/2025</v>
      </c>
      <c r="AS1317" s="231">
        <f t="shared" si="200"/>
        <v>37.200000000000003</v>
      </c>
      <c r="AT1317" s="239">
        <f>IF(G1317="CERVECERIA Y MALTERIA",(AS1317*AK1317/1000000)*(1-VLOOKUP(N1317,FCST!D:I,6,FALSE)),0)</f>
        <v>19.777305600000002</v>
      </c>
      <c r="AU1317" s="232">
        <v>5.0000000000000001E-3</v>
      </c>
      <c r="AV1317" s="239">
        <f t="shared" si="201"/>
        <v>19.876192128</v>
      </c>
      <c r="AW1317" s="239">
        <f>(AS1317*AK1317/1000000)*(VLOOKUP(N1317,FCST!D:I,6,FALSE))</f>
        <v>0</v>
      </c>
      <c r="AX1317" s="239">
        <f t="shared" si="202"/>
        <v>0</v>
      </c>
      <c r="AY1317" s="239">
        <f>IF($G1317="CERVECERIA Y MALTERIA.",($AS1317*$AK1317/1000000)*(1-VLOOKUP($N1317,FCST!D:I,6,FALSE)),0)</f>
        <v>0</v>
      </c>
      <c r="AZ1317" s="239">
        <f t="shared" si="203"/>
        <v>0</v>
      </c>
    </row>
    <row r="1318" spans="1:52" x14ac:dyDescent="0.25">
      <c r="A1318" s="209">
        <v>1140957</v>
      </c>
      <c r="B1318" s="209">
        <v>50</v>
      </c>
      <c r="C1318" s="209" t="s">
        <v>2737</v>
      </c>
      <c r="D1318" s="209">
        <v>10</v>
      </c>
      <c r="E1318" s="209">
        <v>10000002</v>
      </c>
      <c r="F1318" s="209">
        <v>20000340</v>
      </c>
      <c r="G1318" s="209" t="s">
        <v>117</v>
      </c>
      <c r="H1318" s="209">
        <v>20000340</v>
      </c>
      <c r="I1318" s="209">
        <v>2</v>
      </c>
      <c r="J1318" s="209" t="s">
        <v>169</v>
      </c>
      <c r="K1318" s="209" t="s">
        <v>2738</v>
      </c>
      <c r="L1318" s="209" t="s">
        <v>2610</v>
      </c>
      <c r="M1318" s="209" t="s">
        <v>2718</v>
      </c>
      <c r="N1318" s="209">
        <v>50037786</v>
      </c>
      <c r="O1318" s="209" t="s">
        <v>2739</v>
      </c>
      <c r="P1318" s="209">
        <v>5101</v>
      </c>
      <c r="Q1318" s="209" t="s">
        <v>186</v>
      </c>
      <c r="R1318" s="209" t="s">
        <v>175</v>
      </c>
      <c r="S1318" s="209" t="s">
        <v>176</v>
      </c>
      <c r="T1318" s="209" t="s">
        <v>187</v>
      </c>
      <c r="U1318" s="209" t="s">
        <v>188</v>
      </c>
      <c r="V1318" s="209" t="s">
        <v>179</v>
      </c>
      <c r="W1318" s="209" t="s">
        <v>179</v>
      </c>
      <c r="X1318" s="209" t="s">
        <v>180</v>
      </c>
      <c r="Y1318" s="209" t="s">
        <v>180</v>
      </c>
      <c r="Z1318" s="209" t="s">
        <v>2740</v>
      </c>
      <c r="AA1318" s="209" t="s">
        <v>2741</v>
      </c>
      <c r="AB1318" s="209" t="s">
        <v>180</v>
      </c>
      <c r="AC1318" s="209" t="s">
        <v>182</v>
      </c>
      <c r="AD1318" s="209">
        <v>9</v>
      </c>
      <c r="AE1318" s="209">
        <v>2025</v>
      </c>
      <c r="AF1318" s="227">
        <v>45919</v>
      </c>
      <c r="AG1318" s="227">
        <v>45919</v>
      </c>
      <c r="AH1318" s="227">
        <v>45919</v>
      </c>
      <c r="AI1318" s="228">
        <v>233280</v>
      </c>
      <c r="AJ1318" s="228">
        <v>20</v>
      </c>
      <c r="AK1318" s="228">
        <v>233280</v>
      </c>
      <c r="AL1318" s="228">
        <v>20</v>
      </c>
      <c r="AM1318" s="228">
        <v>0</v>
      </c>
      <c r="AN1318" s="228">
        <v>0</v>
      </c>
      <c r="AO1318" s="229">
        <v>39</v>
      </c>
      <c r="AP1318" s="231">
        <v>9</v>
      </c>
      <c r="AQ1318" s="231">
        <v>2025</v>
      </c>
      <c r="AR1318" s="231" t="str">
        <f t="shared" si="199"/>
        <v>09/2025</v>
      </c>
      <c r="AS1318" s="231">
        <f t="shared" si="200"/>
        <v>30</v>
      </c>
      <c r="AT1318" s="239">
        <f>IF(G1318="CERVECERIA Y MALTERIA",(AS1318*AK1318/1000000)*(1-VLOOKUP(N1318,FCST!D:I,6,FALSE)),0)</f>
        <v>0</v>
      </c>
      <c r="AU1318" s="232">
        <v>5.0000000000000001E-3</v>
      </c>
      <c r="AV1318" s="239">
        <f t="shared" si="201"/>
        <v>0</v>
      </c>
      <c r="AW1318" s="239">
        <f>(AS1318*AK1318/1000000)*(VLOOKUP(N1318,FCST!D:I,6,FALSE))</f>
        <v>2.7993600000000001</v>
      </c>
      <c r="AX1318" s="239">
        <f t="shared" si="202"/>
        <v>2.8133567999999998</v>
      </c>
      <c r="AY1318" s="239">
        <f>IF($G1318="CERVECERIA Y MALTERIA.",($AS1318*$AK1318/1000000)*(1-VLOOKUP($N1318,FCST!D:I,6,FALSE)),0)</f>
        <v>4.1990400000000001</v>
      </c>
      <c r="AZ1318" s="239">
        <f t="shared" si="203"/>
        <v>4.2200351999999999</v>
      </c>
    </row>
    <row r="1319" spans="1:52" x14ac:dyDescent="0.25">
      <c r="A1319" s="209">
        <v>1140955</v>
      </c>
      <c r="B1319" s="209">
        <v>50</v>
      </c>
      <c r="C1319" s="209" t="s">
        <v>2742</v>
      </c>
      <c r="D1319" s="209">
        <v>10</v>
      </c>
      <c r="E1319" s="209">
        <v>10000002</v>
      </c>
      <c r="F1319" s="209">
        <v>20000335</v>
      </c>
      <c r="G1319" s="209" t="s">
        <v>105</v>
      </c>
      <c r="H1319" s="209">
        <v>20000335</v>
      </c>
      <c r="I1319" s="209">
        <v>2</v>
      </c>
      <c r="J1319" s="209" t="s">
        <v>169</v>
      </c>
      <c r="K1319" s="209" t="s">
        <v>2743</v>
      </c>
      <c r="L1319" s="209" t="s">
        <v>2610</v>
      </c>
      <c r="M1319" s="209" t="s">
        <v>2718</v>
      </c>
      <c r="N1319" s="209">
        <v>50035183</v>
      </c>
      <c r="O1319" s="209" t="s">
        <v>215</v>
      </c>
      <c r="P1319" s="209">
        <v>5121</v>
      </c>
      <c r="Q1319" s="209" t="s">
        <v>174</v>
      </c>
      <c r="R1319" s="209" t="s">
        <v>175</v>
      </c>
      <c r="S1319" s="209" t="s">
        <v>176</v>
      </c>
      <c r="T1319" s="209" t="s">
        <v>177</v>
      </c>
      <c r="U1319" s="209" t="s">
        <v>178</v>
      </c>
      <c r="V1319" s="209" t="s">
        <v>179</v>
      </c>
      <c r="W1319" s="209" t="s">
        <v>179</v>
      </c>
      <c r="X1319" s="209" t="s">
        <v>180</v>
      </c>
      <c r="Y1319" s="209" t="s">
        <v>180</v>
      </c>
      <c r="Z1319" s="209" t="s">
        <v>2744</v>
      </c>
      <c r="AA1319" s="209" t="s">
        <v>2745</v>
      </c>
      <c r="AB1319" s="209" t="s">
        <v>180</v>
      </c>
      <c r="AC1319" s="209" t="s">
        <v>182</v>
      </c>
      <c r="AD1319" s="209">
        <v>9</v>
      </c>
      <c r="AE1319" s="209">
        <v>2025</v>
      </c>
      <c r="AF1319" s="227">
        <v>45919</v>
      </c>
      <c r="AG1319" s="227">
        <v>45919</v>
      </c>
      <c r="AH1319" s="227">
        <v>45919</v>
      </c>
      <c r="AI1319" s="228">
        <v>262656</v>
      </c>
      <c r="AJ1319" s="228">
        <v>32</v>
      </c>
      <c r="AK1319" s="228">
        <v>262656</v>
      </c>
      <c r="AL1319" s="228">
        <v>32</v>
      </c>
      <c r="AM1319" s="228">
        <v>0</v>
      </c>
      <c r="AN1319" s="228">
        <v>0</v>
      </c>
      <c r="AO1319" s="229">
        <v>39</v>
      </c>
      <c r="AP1319" s="231">
        <v>9</v>
      </c>
      <c r="AQ1319" s="231">
        <v>2025</v>
      </c>
      <c r="AR1319" s="231" t="str">
        <f t="shared" si="199"/>
        <v>09/2025</v>
      </c>
      <c r="AS1319" s="231">
        <f t="shared" si="200"/>
        <v>46.6</v>
      </c>
      <c r="AT1319" s="239">
        <f>IF(G1319="CERVECERIA Y MALTERIA",(AS1319*AK1319/1000000)*(1-VLOOKUP(N1319,FCST!D:I,6,FALSE)),0)</f>
        <v>12.239769599999999</v>
      </c>
      <c r="AU1319" s="232">
        <v>5.0000000000000001E-3</v>
      </c>
      <c r="AV1319" s="239">
        <f t="shared" si="201"/>
        <v>12.300968447999997</v>
      </c>
      <c r="AW1319" s="239">
        <f>(AS1319*AK1319/1000000)*(VLOOKUP(N1319,FCST!D:I,6,FALSE))</f>
        <v>0</v>
      </c>
      <c r="AX1319" s="239">
        <f t="shared" si="202"/>
        <v>0</v>
      </c>
      <c r="AY1319" s="239">
        <f>IF($G1319="CERVECERIA Y MALTERIA.",($AS1319*$AK1319/1000000)*(1-VLOOKUP($N1319,FCST!D:I,6,FALSE)),0)</f>
        <v>0</v>
      </c>
      <c r="AZ1319" s="239">
        <f t="shared" si="203"/>
        <v>0</v>
      </c>
    </row>
    <row r="1320" spans="1:52" x14ac:dyDescent="0.25">
      <c r="A1320" s="209">
        <v>1140812</v>
      </c>
      <c r="B1320" s="209">
        <v>10</v>
      </c>
      <c r="C1320" s="209" t="s">
        <v>2746</v>
      </c>
      <c r="D1320" s="209">
        <v>10</v>
      </c>
      <c r="E1320" s="209">
        <v>10000002</v>
      </c>
      <c r="F1320" s="209">
        <v>20001057</v>
      </c>
      <c r="G1320" s="209" t="s">
        <v>105</v>
      </c>
      <c r="H1320" s="209">
        <v>20001057</v>
      </c>
      <c r="I1320" s="209">
        <v>2</v>
      </c>
      <c r="J1320" s="209" t="s">
        <v>169</v>
      </c>
      <c r="K1320" s="209" t="s">
        <v>2747</v>
      </c>
      <c r="L1320" s="209" t="s">
        <v>2610</v>
      </c>
      <c r="M1320" s="209" t="s">
        <v>2718</v>
      </c>
      <c r="N1320" s="209">
        <v>50037887</v>
      </c>
      <c r="O1320" s="209" t="s">
        <v>679</v>
      </c>
      <c r="P1320" s="209">
        <v>5121</v>
      </c>
      <c r="Q1320" s="209" t="s">
        <v>174</v>
      </c>
      <c r="R1320" s="209" t="s">
        <v>175</v>
      </c>
      <c r="S1320" s="209" t="s">
        <v>176</v>
      </c>
      <c r="T1320" s="209" t="s">
        <v>177</v>
      </c>
      <c r="U1320" s="209" t="s">
        <v>178</v>
      </c>
      <c r="V1320" s="209" t="s">
        <v>179</v>
      </c>
      <c r="W1320" s="209" t="s">
        <v>179</v>
      </c>
      <c r="X1320" s="209" t="s">
        <v>180</v>
      </c>
      <c r="Y1320" s="209" t="s">
        <v>180</v>
      </c>
      <c r="Z1320" s="209" t="s">
        <v>2748</v>
      </c>
      <c r="AA1320" s="209" t="s">
        <v>2749</v>
      </c>
      <c r="AB1320" s="209" t="s">
        <v>180</v>
      </c>
      <c r="AC1320" s="209" t="s">
        <v>182</v>
      </c>
      <c r="AD1320" s="209">
        <v>9</v>
      </c>
      <c r="AE1320" s="209">
        <v>2025</v>
      </c>
      <c r="AF1320" s="227">
        <v>45918</v>
      </c>
      <c r="AG1320" s="227">
        <v>45919</v>
      </c>
      <c r="AH1320" s="227">
        <v>45919</v>
      </c>
      <c r="AI1320" s="228">
        <v>531648</v>
      </c>
      <c r="AJ1320" s="228">
        <v>52</v>
      </c>
      <c r="AK1320" s="228">
        <v>531648</v>
      </c>
      <c r="AL1320" s="228">
        <v>52</v>
      </c>
      <c r="AM1320" s="228">
        <v>0</v>
      </c>
      <c r="AN1320" s="228">
        <v>0</v>
      </c>
      <c r="AO1320" s="229">
        <v>38</v>
      </c>
      <c r="AP1320" s="231">
        <v>9</v>
      </c>
      <c r="AQ1320" s="231">
        <v>2025</v>
      </c>
      <c r="AR1320" s="231" t="str">
        <f t="shared" si="199"/>
        <v>09/2025</v>
      </c>
      <c r="AS1320" s="231">
        <f t="shared" si="200"/>
        <v>37.200000000000003</v>
      </c>
      <c r="AT1320" s="239">
        <f>IF(G1320="CERVECERIA Y MALTERIA",(AS1320*AK1320/1000000)*(1-VLOOKUP(N1320,FCST!D:I,6,FALSE)),0)</f>
        <v>19.777305600000002</v>
      </c>
      <c r="AU1320" s="232">
        <v>5.0000000000000001E-3</v>
      </c>
      <c r="AV1320" s="239">
        <f t="shared" si="201"/>
        <v>19.876192128</v>
      </c>
      <c r="AW1320" s="239">
        <f>(AS1320*AK1320/1000000)*(VLOOKUP(N1320,FCST!D:I,6,FALSE))</f>
        <v>0</v>
      </c>
      <c r="AX1320" s="239">
        <f t="shared" si="202"/>
        <v>0</v>
      </c>
      <c r="AY1320" s="239">
        <f>IF($G1320="CERVECERIA Y MALTERIA.",($AS1320*$AK1320/1000000)*(1-VLOOKUP($N1320,FCST!D:I,6,FALSE)),0)</f>
        <v>0</v>
      </c>
      <c r="AZ1320" s="239">
        <f t="shared" si="203"/>
        <v>0</v>
      </c>
    </row>
    <row r="1321" spans="1:52" x14ac:dyDescent="0.25">
      <c r="A1321" s="209">
        <v>1140955</v>
      </c>
      <c r="B1321" s="209">
        <v>90</v>
      </c>
      <c r="C1321" s="209" t="s">
        <v>2750</v>
      </c>
      <c r="D1321" s="209">
        <v>10</v>
      </c>
      <c r="E1321" s="209">
        <v>10000002</v>
      </c>
      <c r="F1321" s="209">
        <v>20000335</v>
      </c>
      <c r="G1321" s="209" t="s">
        <v>105</v>
      </c>
      <c r="H1321" s="209">
        <v>20000335</v>
      </c>
      <c r="I1321" s="209">
        <v>2</v>
      </c>
      <c r="J1321" s="209" t="s">
        <v>169</v>
      </c>
      <c r="K1321" s="209" t="s">
        <v>2751</v>
      </c>
      <c r="L1321" s="209" t="s">
        <v>2610</v>
      </c>
      <c r="M1321" s="209" t="s">
        <v>2718</v>
      </c>
      <c r="N1321" s="209">
        <v>50035184</v>
      </c>
      <c r="O1321" s="209" t="s">
        <v>672</v>
      </c>
      <c r="P1321" s="209">
        <v>5121</v>
      </c>
      <c r="Q1321" s="209" t="s">
        <v>174</v>
      </c>
      <c r="R1321" s="209" t="s">
        <v>175</v>
      </c>
      <c r="S1321" s="209" t="s">
        <v>176</v>
      </c>
      <c r="T1321" s="209" t="s">
        <v>177</v>
      </c>
      <c r="U1321" s="209" t="s">
        <v>178</v>
      </c>
      <c r="V1321" s="209" t="s">
        <v>179</v>
      </c>
      <c r="W1321" s="209" t="s">
        <v>179</v>
      </c>
      <c r="X1321" s="209" t="s">
        <v>180</v>
      </c>
      <c r="Y1321" s="209" t="s">
        <v>180</v>
      </c>
      <c r="Z1321" s="209" t="s">
        <v>2752</v>
      </c>
      <c r="AA1321" s="209" t="s">
        <v>2753</v>
      </c>
      <c r="AB1321" s="209" t="s">
        <v>180</v>
      </c>
      <c r="AC1321" s="209" t="s">
        <v>182</v>
      </c>
      <c r="AD1321" s="209">
        <v>9</v>
      </c>
      <c r="AE1321" s="209">
        <v>2025</v>
      </c>
      <c r="AF1321" s="227">
        <v>45919</v>
      </c>
      <c r="AG1321" s="227">
        <v>45924</v>
      </c>
      <c r="AH1321" s="227">
        <v>45924</v>
      </c>
      <c r="AI1321" s="228">
        <v>977184</v>
      </c>
      <c r="AJ1321" s="228">
        <v>52</v>
      </c>
      <c r="AK1321" s="228">
        <v>977184</v>
      </c>
      <c r="AL1321" s="228">
        <v>52</v>
      </c>
      <c r="AM1321" s="228">
        <v>0</v>
      </c>
      <c r="AN1321" s="228">
        <v>0</v>
      </c>
      <c r="AO1321" s="229">
        <v>39</v>
      </c>
      <c r="AP1321" s="231">
        <v>9</v>
      </c>
      <c r="AQ1321" s="231">
        <v>2025</v>
      </c>
      <c r="AR1321" s="231" t="str">
        <f t="shared" si="199"/>
        <v>09/2025</v>
      </c>
      <c r="AS1321" s="231">
        <f t="shared" si="200"/>
        <v>19.5</v>
      </c>
      <c r="AT1321" s="239">
        <f>IF(G1321="CERVECERIA Y MALTERIA",(AS1321*AK1321/1000000)*(1-VLOOKUP(N1321,FCST!D:I,6,FALSE)),0)</f>
        <v>19.055088000000001</v>
      </c>
      <c r="AU1321" s="232">
        <v>5.0000000000000001E-3</v>
      </c>
      <c r="AV1321" s="239">
        <f t="shared" si="201"/>
        <v>19.15036344</v>
      </c>
      <c r="AW1321" s="239">
        <f>(AS1321*AK1321/1000000)*(VLOOKUP(N1321,FCST!D:I,6,FALSE))</f>
        <v>0</v>
      </c>
      <c r="AX1321" s="239">
        <f t="shared" si="202"/>
        <v>0</v>
      </c>
      <c r="AY1321" s="239">
        <f>IF($G1321="CERVECERIA Y MALTERIA.",($AS1321*$AK1321/1000000)*(1-VLOOKUP($N1321,FCST!D:I,6,FALSE)),0)</f>
        <v>0</v>
      </c>
      <c r="AZ1321" s="239">
        <f t="shared" si="203"/>
        <v>0</v>
      </c>
    </row>
    <row r="1322" spans="1:52" x14ac:dyDescent="0.25">
      <c r="A1322" s="209">
        <v>1140955</v>
      </c>
      <c r="B1322" s="209">
        <v>30</v>
      </c>
      <c r="C1322" s="209" t="s">
        <v>2754</v>
      </c>
      <c r="D1322" s="209">
        <v>10</v>
      </c>
      <c r="E1322" s="209">
        <v>10000002</v>
      </c>
      <c r="F1322" s="209">
        <v>20000335</v>
      </c>
      <c r="G1322" s="209" t="s">
        <v>105</v>
      </c>
      <c r="H1322" s="209">
        <v>20000335</v>
      </c>
      <c r="I1322" s="209">
        <v>2</v>
      </c>
      <c r="J1322" s="209" t="s">
        <v>169</v>
      </c>
      <c r="K1322" s="209" t="s">
        <v>2755</v>
      </c>
      <c r="L1322" s="209" t="s">
        <v>2610</v>
      </c>
      <c r="M1322" s="209" t="s">
        <v>184</v>
      </c>
      <c r="N1322" s="209">
        <v>50037887</v>
      </c>
      <c r="O1322" s="209" t="s">
        <v>679</v>
      </c>
      <c r="P1322" s="209">
        <v>5121</v>
      </c>
      <c r="Q1322" s="209" t="s">
        <v>174</v>
      </c>
      <c r="R1322" s="209" t="s">
        <v>175</v>
      </c>
      <c r="S1322" s="209" t="s">
        <v>176</v>
      </c>
      <c r="T1322" s="209" t="s">
        <v>177</v>
      </c>
      <c r="U1322" s="209" t="s">
        <v>178</v>
      </c>
      <c r="V1322" s="209" t="s">
        <v>179</v>
      </c>
      <c r="W1322" s="209" t="s">
        <v>179</v>
      </c>
      <c r="X1322" s="209" t="s">
        <v>180</v>
      </c>
      <c r="Y1322" s="209" t="s">
        <v>180</v>
      </c>
      <c r="Z1322" s="209" t="s">
        <v>2756</v>
      </c>
      <c r="AA1322" s="209" t="s">
        <v>2757</v>
      </c>
      <c r="AB1322" s="209" t="s">
        <v>180</v>
      </c>
      <c r="AC1322" s="209" t="s">
        <v>182</v>
      </c>
      <c r="AD1322" s="209">
        <v>9</v>
      </c>
      <c r="AE1322" s="209">
        <v>2025</v>
      </c>
      <c r="AF1322" s="227">
        <v>45919</v>
      </c>
      <c r="AG1322" s="227">
        <v>45923</v>
      </c>
      <c r="AH1322" s="227">
        <v>45923</v>
      </c>
      <c r="AI1322" s="228">
        <v>531648</v>
      </c>
      <c r="AJ1322" s="228">
        <v>52</v>
      </c>
      <c r="AK1322" s="228">
        <v>531648</v>
      </c>
      <c r="AL1322" s="228">
        <v>52</v>
      </c>
      <c r="AM1322" s="228">
        <v>0</v>
      </c>
      <c r="AN1322" s="228">
        <v>0</v>
      </c>
      <c r="AO1322" s="229">
        <v>39</v>
      </c>
      <c r="AP1322" s="231">
        <v>9</v>
      </c>
      <c r="AQ1322" s="231">
        <v>2025</v>
      </c>
      <c r="AR1322" s="231" t="str">
        <f t="shared" si="199"/>
        <v>09/2025</v>
      </c>
      <c r="AS1322" s="231">
        <f t="shared" si="200"/>
        <v>37.200000000000003</v>
      </c>
      <c r="AT1322" s="239">
        <f>IF(G1322="CERVECERIA Y MALTERIA",(AS1322*AK1322/1000000)*(1-VLOOKUP(N1322,FCST!D:I,6,FALSE)),0)</f>
        <v>19.777305600000002</v>
      </c>
      <c r="AU1322" s="232">
        <v>5.0000000000000001E-3</v>
      </c>
      <c r="AV1322" s="239">
        <f t="shared" si="201"/>
        <v>19.876192128</v>
      </c>
      <c r="AW1322" s="239">
        <f>(AS1322*AK1322/1000000)*(VLOOKUP(N1322,FCST!D:I,6,FALSE))</f>
        <v>0</v>
      </c>
      <c r="AX1322" s="239">
        <f t="shared" si="202"/>
        <v>0</v>
      </c>
      <c r="AY1322" s="239">
        <f>IF($G1322="CERVECERIA Y MALTERIA.",($AS1322*$AK1322/1000000)*(1-VLOOKUP($N1322,FCST!D:I,6,FALSE)),0)</f>
        <v>0</v>
      </c>
      <c r="AZ1322" s="239">
        <f t="shared" si="203"/>
        <v>0</v>
      </c>
    </row>
    <row r="1323" spans="1:52" x14ac:dyDescent="0.25">
      <c r="A1323" s="209">
        <v>1140910</v>
      </c>
      <c r="B1323" s="209">
        <v>20</v>
      </c>
      <c r="C1323" s="209" t="s">
        <v>2758</v>
      </c>
      <c r="D1323" s="209">
        <v>10</v>
      </c>
      <c r="E1323" s="209">
        <v>10000002</v>
      </c>
      <c r="F1323" s="209">
        <v>20000337</v>
      </c>
      <c r="G1323" s="209" t="s">
        <v>105</v>
      </c>
      <c r="H1323" s="209">
        <v>20000337</v>
      </c>
      <c r="I1323" s="209">
        <v>2</v>
      </c>
      <c r="J1323" s="209" t="s">
        <v>169</v>
      </c>
      <c r="K1323" s="209" t="s">
        <v>2759</v>
      </c>
      <c r="L1323" s="209" t="s">
        <v>2610</v>
      </c>
      <c r="M1323" s="209" t="s">
        <v>2718</v>
      </c>
      <c r="N1323" s="209">
        <v>50035135</v>
      </c>
      <c r="O1323" s="209" t="s">
        <v>2730</v>
      </c>
      <c r="P1323" s="209">
        <v>5121</v>
      </c>
      <c r="Q1323" s="209" t="s">
        <v>174</v>
      </c>
      <c r="R1323" s="209" t="s">
        <v>175</v>
      </c>
      <c r="S1323" s="209" t="s">
        <v>176</v>
      </c>
      <c r="T1323" s="209" t="s">
        <v>177</v>
      </c>
      <c r="U1323" s="209" t="s">
        <v>178</v>
      </c>
      <c r="V1323" s="209" t="s">
        <v>179</v>
      </c>
      <c r="W1323" s="209" t="s">
        <v>179</v>
      </c>
      <c r="X1323" s="209" t="s">
        <v>180</v>
      </c>
      <c r="Y1323" s="209" t="s">
        <v>180</v>
      </c>
      <c r="Z1323" s="209" t="s">
        <v>2760</v>
      </c>
      <c r="AA1323" s="209" t="s">
        <v>2761</v>
      </c>
      <c r="AB1323" s="209" t="s">
        <v>180</v>
      </c>
      <c r="AC1323" s="209" t="s">
        <v>182</v>
      </c>
      <c r="AD1323" s="209">
        <v>9</v>
      </c>
      <c r="AE1323" s="209">
        <v>2025</v>
      </c>
      <c r="AF1323" s="227">
        <v>45919</v>
      </c>
      <c r="AG1323" s="227">
        <v>45923</v>
      </c>
      <c r="AH1323" s="227">
        <v>45923</v>
      </c>
      <c r="AI1323" s="228">
        <v>406016</v>
      </c>
      <c r="AJ1323" s="228">
        <v>52</v>
      </c>
      <c r="AK1323" s="228">
        <v>406016</v>
      </c>
      <c r="AL1323" s="228">
        <v>52</v>
      </c>
      <c r="AM1323" s="228">
        <v>0</v>
      </c>
      <c r="AN1323" s="228">
        <v>0</v>
      </c>
      <c r="AO1323" s="229">
        <v>39</v>
      </c>
      <c r="AP1323" s="231">
        <v>9</v>
      </c>
      <c r="AQ1323" s="231">
        <v>2025</v>
      </c>
      <c r="AR1323" s="231" t="str">
        <f t="shared" si="199"/>
        <v>09/2025</v>
      </c>
      <c r="AS1323" s="231">
        <f t="shared" si="200"/>
        <v>46.6</v>
      </c>
      <c r="AT1323" s="239">
        <f>IF(G1323="CERVECERIA Y MALTERIA",(AS1323*AK1323/1000000)*(1-VLOOKUP(N1323,FCST!D:I,6,FALSE)),0)</f>
        <v>18.920345600000001</v>
      </c>
      <c r="AU1323" s="232">
        <v>5.0000000000000001E-3</v>
      </c>
      <c r="AV1323" s="239">
        <f t="shared" si="201"/>
        <v>19.014947327999998</v>
      </c>
      <c r="AW1323" s="239">
        <f>(AS1323*AK1323/1000000)*(VLOOKUP(N1323,FCST!D:I,6,FALSE))</f>
        <v>0</v>
      </c>
      <c r="AX1323" s="239">
        <f t="shared" si="202"/>
        <v>0</v>
      </c>
      <c r="AY1323" s="239">
        <f>IF($G1323="CERVECERIA Y MALTERIA.",($AS1323*$AK1323/1000000)*(1-VLOOKUP($N1323,FCST!D:I,6,FALSE)),0)</f>
        <v>0</v>
      </c>
      <c r="AZ1323" s="239">
        <f t="shared" si="203"/>
        <v>0</v>
      </c>
    </row>
    <row r="1324" spans="1:52" x14ac:dyDescent="0.25">
      <c r="A1324" s="209">
        <v>1140955</v>
      </c>
      <c r="B1324" s="209">
        <v>60</v>
      </c>
      <c r="C1324" s="209" t="s">
        <v>2762</v>
      </c>
      <c r="D1324" s="209">
        <v>10</v>
      </c>
      <c r="E1324" s="209">
        <v>10000002</v>
      </c>
      <c r="F1324" s="209">
        <v>20000335</v>
      </c>
      <c r="G1324" s="209" t="s">
        <v>105</v>
      </c>
      <c r="H1324" s="209">
        <v>20000335</v>
      </c>
      <c r="I1324" s="209">
        <v>2</v>
      </c>
      <c r="J1324" s="209" t="s">
        <v>169</v>
      </c>
      <c r="K1324" s="209" t="s">
        <v>2763</v>
      </c>
      <c r="L1324" s="209" t="s">
        <v>2610</v>
      </c>
      <c r="M1324" s="209" t="s">
        <v>2718</v>
      </c>
      <c r="N1324" s="209">
        <v>50035183</v>
      </c>
      <c r="O1324" s="209" t="s">
        <v>215</v>
      </c>
      <c r="P1324" s="209">
        <v>5121</v>
      </c>
      <c r="Q1324" s="209" t="s">
        <v>174</v>
      </c>
      <c r="R1324" s="209" t="s">
        <v>175</v>
      </c>
      <c r="S1324" s="209" t="s">
        <v>176</v>
      </c>
      <c r="T1324" s="209" t="s">
        <v>177</v>
      </c>
      <c r="U1324" s="209" t="s">
        <v>178</v>
      </c>
      <c r="V1324" s="209" t="s">
        <v>179</v>
      </c>
      <c r="W1324" s="209" t="s">
        <v>179</v>
      </c>
      <c r="X1324" s="209" t="s">
        <v>180</v>
      </c>
      <c r="Y1324" s="209" t="s">
        <v>180</v>
      </c>
      <c r="Z1324" s="209" t="s">
        <v>2764</v>
      </c>
      <c r="AA1324" s="209" t="s">
        <v>2765</v>
      </c>
      <c r="AB1324" s="209" t="s">
        <v>180</v>
      </c>
      <c r="AC1324" s="209" t="s">
        <v>182</v>
      </c>
      <c r="AD1324" s="209">
        <v>9</v>
      </c>
      <c r="AE1324" s="209">
        <v>2025</v>
      </c>
      <c r="AF1324" s="227">
        <v>45919</v>
      </c>
      <c r="AG1324" s="227">
        <v>45923</v>
      </c>
      <c r="AH1324" s="227">
        <v>45923</v>
      </c>
      <c r="AI1324" s="228">
        <v>249856</v>
      </c>
      <c r="AJ1324" s="228">
        <v>30</v>
      </c>
      <c r="AK1324" s="228">
        <v>262656</v>
      </c>
      <c r="AL1324" s="228">
        <v>32</v>
      </c>
      <c r="AM1324" s="228">
        <v>0</v>
      </c>
      <c r="AN1324" s="228">
        <v>0</v>
      </c>
      <c r="AO1324" s="229">
        <v>39</v>
      </c>
      <c r="AP1324" s="231">
        <v>9</v>
      </c>
      <c r="AQ1324" s="231">
        <v>2025</v>
      </c>
      <c r="AR1324" s="231" t="str">
        <f t="shared" si="199"/>
        <v>09/2025</v>
      </c>
      <c r="AS1324" s="231">
        <f t="shared" si="200"/>
        <v>46.6</v>
      </c>
      <c r="AT1324" s="239">
        <f>IF(G1324="CERVECERIA Y MALTERIA",(AS1324*AK1324/1000000)*(1-VLOOKUP(N1324,FCST!D:I,6,FALSE)),0)</f>
        <v>12.239769599999999</v>
      </c>
      <c r="AU1324" s="232">
        <v>5.0000000000000001E-3</v>
      </c>
      <c r="AV1324" s="239">
        <f t="shared" si="201"/>
        <v>12.300968447999997</v>
      </c>
      <c r="AW1324" s="239">
        <f>(AS1324*AK1324/1000000)*(VLOOKUP(N1324,FCST!D:I,6,FALSE))</f>
        <v>0</v>
      </c>
      <c r="AX1324" s="239">
        <f t="shared" si="202"/>
        <v>0</v>
      </c>
      <c r="AY1324" s="239">
        <f>IF($G1324="CERVECERIA Y MALTERIA.",($AS1324*$AK1324/1000000)*(1-VLOOKUP($N1324,FCST!D:I,6,FALSE)),0)</f>
        <v>0</v>
      </c>
      <c r="AZ1324" s="239">
        <f t="shared" si="203"/>
        <v>0</v>
      </c>
    </row>
    <row r="1325" spans="1:52" x14ac:dyDescent="0.25">
      <c r="A1325" s="209">
        <v>1140957</v>
      </c>
      <c r="B1325" s="209">
        <v>60</v>
      </c>
      <c r="C1325" s="209" t="s">
        <v>2766</v>
      </c>
      <c r="D1325" s="209">
        <v>10</v>
      </c>
      <c r="E1325" s="209">
        <v>10000002</v>
      </c>
      <c r="F1325" s="209">
        <v>20000340</v>
      </c>
      <c r="G1325" s="209" t="s">
        <v>117</v>
      </c>
      <c r="H1325" s="209">
        <v>20000340</v>
      </c>
      <c r="I1325" s="209">
        <v>2</v>
      </c>
      <c r="J1325" s="209" t="s">
        <v>169</v>
      </c>
      <c r="K1325" s="209" t="s">
        <v>2767</v>
      </c>
      <c r="L1325" s="209" t="s">
        <v>2610</v>
      </c>
      <c r="M1325" s="209" t="s">
        <v>2718</v>
      </c>
      <c r="N1325" s="209">
        <v>50037678</v>
      </c>
      <c r="O1325" s="209" t="s">
        <v>2615</v>
      </c>
      <c r="P1325" s="209">
        <v>5101</v>
      </c>
      <c r="Q1325" s="209" t="s">
        <v>186</v>
      </c>
      <c r="R1325" s="209" t="s">
        <v>175</v>
      </c>
      <c r="S1325" s="209" t="s">
        <v>176</v>
      </c>
      <c r="T1325" s="209" t="s">
        <v>187</v>
      </c>
      <c r="U1325" s="209" t="s">
        <v>188</v>
      </c>
      <c r="V1325" s="209" t="s">
        <v>179</v>
      </c>
      <c r="W1325" s="209" t="s">
        <v>179</v>
      </c>
      <c r="X1325" s="209" t="s">
        <v>180</v>
      </c>
      <c r="Y1325" s="209" t="s">
        <v>180</v>
      </c>
      <c r="Z1325" s="209" t="s">
        <v>2768</v>
      </c>
      <c r="AA1325" s="209" t="s">
        <v>2769</v>
      </c>
      <c r="AB1325" s="209" t="s">
        <v>180</v>
      </c>
      <c r="AC1325" s="209" t="s">
        <v>182</v>
      </c>
      <c r="AD1325" s="209">
        <v>9</v>
      </c>
      <c r="AE1325" s="209">
        <v>2025</v>
      </c>
      <c r="AF1325" s="227">
        <v>45919</v>
      </c>
      <c r="AG1325" s="227">
        <v>45923</v>
      </c>
      <c r="AH1325" s="227">
        <v>45923</v>
      </c>
      <c r="AI1325" s="228">
        <v>233280</v>
      </c>
      <c r="AJ1325" s="228">
        <v>20</v>
      </c>
      <c r="AK1325" s="228">
        <v>233280</v>
      </c>
      <c r="AL1325" s="228">
        <v>20</v>
      </c>
      <c r="AM1325" s="228">
        <v>0</v>
      </c>
      <c r="AN1325" s="228">
        <v>0</v>
      </c>
      <c r="AO1325" s="229">
        <v>39</v>
      </c>
      <c r="AP1325" s="231">
        <v>9</v>
      </c>
      <c r="AQ1325" s="231">
        <v>2025</v>
      </c>
      <c r="AR1325" s="231" t="str">
        <f t="shared" si="199"/>
        <v>09/2025</v>
      </c>
      <c r="AS1325" s="231">
        <f t="shared" si="200"/>
        <v>30</v>
      </c>
      <c r="AT1325" s="239">
        <f>IF(G1325="CERVECERIA Y MALTERIA",(AS1325*AK1325/1000000)*(1-VLOOKUP(N1325,FCST!D:I,6,FALSE)),0)</f>
        <v>0</v>
      </c>
      <c r="AU1325" s="232">
        <v>5.0000000000000001E-3</v>
      </c>
      <c r="AV1325" s="239">
        <f t="shared" si="201"/>
        <v>0</v>
      </c>
      <c r="AW1325" s="239">
        <f>(AS1325*AK1325/1000000)*(VLOOKUP(N1325,FCST!D:I,6,FALSE))</f>
        <v>2.7993600000000001</v>
      </c>
      <c r="AX1325" s="239">
        <f t="shared" si="202"/>
        <v>2.8133567999999998</v>
      </c>
      <c r="AY1325" s="239">
        <f>IF($G1325="CERVECERIA Y MALTERIA.",($AS1325*$AK1325/1000000)*(1-VLOOKUP($N1325,FCST!D:I,6,FALSE)),0)</f>
        <v>4.1990400000000001</v>
      </c>
      <c r="AZ1325" s="239">
        <f t="shared" si="203"/>
        <v>4.2200351999999999</v>
      </c>
    </row>
    <row r="1326" spans="1:52" x14ac:dyDescent="0.25">
      <c r="A1326" s="209">
        <v>1140955</v>
      </c>
      <c r="B1326" s="209">
        <v>20</v>
      </c>
      <c r="C1326" s="209" t="s">
        <v>2770</v>
      </c>
      <c r="D1326" s="209">
        <v>10</v>
      </c>
      <c r="E1326" s="209">
        <v>10000002</v>
      </c>
      <c r="F1326" s="209">
        <v>20000335</v>
      </c>
      <c r="G1326" s="209" t="s">
        <v>105</v>
      </c>
      <c r="H1326" s="209">
        <v>20000335</v>
      </c>
      <c r="I1326" s="209">
        <v>2</v>
      </c>
      <c r="J1326" s="209" t="s">
        <v>169</v>
      </c>
      <c r="K1326" s="209" t="s">
        <v>2771</v>
      </c>
      <c r="L1326" s="209" t="s">
        <v>2610</v>
      </c>
      <c r="M1326" s="209" t="s">
        <v>2718</v>
      </c>
      <c r="N1326" s="209">
        <v>50037887</v>
      </c>
      <c r="O1326" s="209" t="s">
        <v>679</v>
      </c>
      <c r="P1326" s="209">
        <v>5121</v>
      </c>
      <c r="Q1326" s="209" t="s">
        <v>174</v>
      </c>
      <c r="R1326" s="209" t="s">
        <v>175</v>
      </c>
      <c r="S1326" s="209" t="s">
        <v>176</v>
      </c>
      <c r="T1326" s="209" t="s">
        <v>177</v>
      </c>
      <c r="U1326" s="209" t="s">
        <v>178</v>
      </c>
      <c r="V1326" s="209" t="s">
        <v>179</v>
      </c>
      <c r="W1326" s="209" t="s">
        <v>179</v>
      </c>
      <c r="X1326" s="209" t="s">
        <v>180</v>
      </c>
      <c r="Y1326" s="209" t="s">
        <v>180</v>
      </c>
      <c r="Z1326" s="209" t="s">
        <v>2756</v>
      </c>
      <c r="AA1326" s="209" t="s">
        <v>2757</v>
      </c>
      <c r="AB1326" s="209" t="s">
        <v>180</v>
      </c>
      <c r="AC1326" s="209" t="s">
        <v>182</v>
      </c>
      <c r="AD1326" s="209">
        <v>9</v>
      </c>
      <c r="AE1326" s="209">
        <v>2025</v>
      </c>
      <c r="AF1326" s="227">
        <v>45919</v>
      </c>
      <c r="AG1326" s="227">
        <v>45923</v>
      </c>
      <c r="AH1326" s="227">
        <v>45923</v>
      </c>
      <c r="AI1326" s="228">
        <v>531648</v>
      </c>
      <c r="AJ1326" s="228">
        <v>52</v>
      </c>
      <c r="AK1326" s="228">
        <v>531648</v>
      </c>
      <c r="AL1326" s="228">
        <v>52</v>
      </c>
      <c r="AM1326" s="228">
        <v>0</v>
      </c>
      <c r="AN1326" s="228">
        <v>0</v>
      </c>
      <c r="AO1326" s="229">
        <v>39</v>
      </c>
      <c r="AP1326" s="231">
        <v>9</v>
      </c>
      <c r="AQ1326" s="231">
        <v>2025</v>
      </c>
      <c r="AR1326" s="231" t="str">
        <f t="shared" si="199"/>
        <v>09/2025</v>
      </c>
      <c r="AS1326" s="231">
        <f t="shared" si="200"/>
        <v>37.200000000000003</v>
      </c>
      <c r="AT1326" s="239">
        <f>IF(G1326="CERVECERIA Y MALTERIA",(AS1326*AK1326/1000000)*(1-VLOOKUP(N1326,FCST!D:I,6,FALSE)),0)</f>
        <v>19.777305600000002</v>
      </c>
      <c r="AU1326" s="232">
        <v>5.0000000000000001E-3</v>
      </c>
      <c r="AV1326" s="239">
        <f t="shared" si="201"/>
        <v>19.876192128</v>
      </c>
      <c r="AW1326" s="239">
        <f>(AS1326*AK1326/1000000)*(VLOOKUP(N1326,FCST!D:I,6,FALSE))</f>
        <v>0</v>
      </c>
      <c r="AX1326" s="239">
        <f t="shared" si="202"/>
        <v>0</v>
      </c>
      <c r="AY1326" s="239">
        <f>IF($G1326="CERVECERIA Y MALTERIA.",($AS1326*$AK1326/1000000)*(1-VLOOKUP($N1326,FCST!D:I,6,FALSE)),0)</f>
        <v>0</v>
      </c>
      <c r="AZ1326" s="239">
        <f t="shared" si="203"/>
        <v>0</v>
      </c>
    </row>
    <row r="1327" spans="1:52" x14ac:dyDescent="0.25">
      <c r="A1327" s="209">
        <v>1140957</v>
      </c>
      <c r="B1327" s="209">
        <v>20</v>
      </c>
      <c r="C1327" s="209" t="s">
        <v>2772</v>
      </c>
      <c r="D1327" s="209">
        <v>10</v>
      </c>
      <c r="E1327" s="209">
        <v>10000002</v>
      </c>
      <c r="F1327" s="209">
        <v>20000340</v>
      </c>
      <c r="G1327" s="209" t="s">
        <v>117</v>
      </c>
      <c r="H1327" s="209">
        <v>20000340</v>
      </c>
      <c r="I1327" s="209">
        <v>2</v>
      </c>
      <c r="J1327" s="209" t="s">
        <v>169</v>
      </c>
      <c r="K1327" s="209" t="s">
        <v>2773</v>
      </c>
      <c r="L1327" s="209" t="s">
        <v>2610</v>
      </c>
      <c r="M1327" s="209" t="s">
        <v>2718</v>
      </c>
      <c r="N1327" s="209">
        <v>50025163</v>
      </c>
      <c r="O1327" s="209" t="s">
        <v>185</v>
      </c>
      <c r="P1327" s="209">
        <v>5101</v>
      </c>
      <c r="Q1327" s="209" t="s">
        <v>186</v>
      </c>
      <c r="R1327" s="209" t="s">
        <v>175</v>
      </c>
      <c r="S1327" s="209" t="s">
        <v>176</v>
      </c>
      <c r="T1327" s="209" t="s">
        <v>187</v>
      </c>
      <c r="U1327" s="209" t="s">
        <v>188</v>
      </c>
      <c r="V1327" s="209" t="s">
        <v>179</v>
      </c>
      <c r="W1327" s="209" t="s">
        <v>179</v>
      </c>
      <c r="X1327" s="209" t="s">
        <v>180</v>
      </c>
      <c r="Y1327" s="209" t="s">
        <v>180</v>
      </c>
      <c r="Z1327" s="209" t="s">
        <v>2774</v>
      </c>
      <c r="AA1327" s="209" t="s">
        <v>2775</v>
      </c>
      <c r="AB1327" s="209" t="s">
        <v>180</v>
      </c>
      <c r="AC1327" s="209" t="s">
        <v>182</v>
      </c>
      <c r="AD1327" s="209">
        <v>9</v>
      </c>
      <c r="AE1327" s="209">
        <v>2025</v>
      </c>
      <c r="AF1327" s="227">
        <v>45919</v>
      </c>
      <c r="AG1327" s="227">
        <v>45923</v>
      </c>
      <c r="AH1327" s="227">
        <v>45923</v>
      </c>
      <c r="AI1327" s="228">
        <v>606528</v>
      </c>
      <c r="AJ1327" s="228">
        <v>52</v>
      </c>
      <c r="AK1327" s="228">
        <v>606528</v>
      </c>
      <c r="AL1327" s="228">
        <v>52</v>
      </c>
      <c r="AM1327" s="228">
        <v>0</v>
      </c>
      <c r="AN1327" s="228">
        <v>0</v>
      </c>
      <c r="AO1327" s="229">
        <v>39</v>
      </c>
      <c r="AP1327" s="231">
        <v>9</v>
      </c>
      <c r="AQ1327" s="231">
        <v>2025</v>
      </c>
      <c r="AR1327" s="231" t="str">
        <f t="shared" si="199"/>
        <v>09/2025</v>
      </c>
      <c r="AS1327" s="231">
        <f t="shared" si="200"/>
        <v>30</v>
      </c>
      <c r="AT1327" s="239">
        <f>IF(G1327="CERVECERIA Y MALTERIA",(AS1327*AK1327/1000000)*(1-VLOOKUP(N1327,FCST!D:I,6,FALSE)),0)</f>
        <v>0</v>
      </c>
      <c r="AU1327" s="232">
        <v>5.0000000000000001E-3</v>
      </c>
      <c r="AV1327" s="239">
        <f t="shared" si="201"/>
        <v>0</v>
      </c>
      <c r="AW1327" s="239">
        <f>(AS1327*AK1327/1000000)*(VLOOKUP(N1327,FCST!D:I,6,FALSE))</f>
        <v>0</v>
      </c>
      <c r="AX1327" s="239">
        <f t="shared" si="202"/>
        <v>0</v>
      </c>
      <c r="AY1327" s="239">
        <f>IF($G1327="CERVECERIA Y MALTERIA.",($AS1327*$AK1327/1000000)*(1-VLOOKUP($N1327,FCST!D:I,6,FALSE)),0)</f>
        <v>18.19584</v>
      </c>
      <c r="AZ1327" s="239">
        <f t="shared" si="203"/>
        <v>18.2868192</v>
      </c>
    </row>
    <row r="1328" spans="1:52" x14ac:dyDescent="0.25">
      <c r="A1328" s="209">
        <v>1139840</v>
      </c>
      <c r="B1328" s="209">
        <v>60</v>
      </c>
      <c r="C1328" s="209" t="s">
        <v>2776</v>
      </c>
      <c r="D1328" s="209">
        <v>10</v>
      </c>
      <c r="E1328" s="209">
        <v>10000002</v>
      </c>
      <c r="F1328" s="209">
        <v>20000335</v>
      </c>
      <c r="G1328" s="209" t="s">
        <v>105</v>
      </c>
      <c r="H1328" s="209">
        <v>20000335</v>
      </c>
      <c r="I1328" s="209">
        <v>2</v>
      </c>
      <c r="J1328" s="209" t="s">
        <v>169</v>
      </c>
      <c r="K1328" s="209" t="s">
        <v>2777</v>
      </c>
      <c r="L1328" s="209" t="s">
        <v>2610</v>
      </c>
      <c r="M1328" s="209" t="s">
        <v>184</v>
      </c>
      <c r="N1328" s="209">
        <v>50039574</v>
      </c>
      <c r="O1328" s="209" t="s">
        <v>2778</v>
      </c>
      <c r="P1328" s="209">
        <v>5121</v>
      </c>
      <c r="Q1328" s="209" t="s">
        <v>174</v>
      </c>
      <c r="R1328" s="209" t="s">
        <v>175</v>
      </c>
      <c r="S1328" s="209" t="s">
        <v>176</v>
      </c>
      <c r="T1328" s="209" t="s">
        <v>177</v>
      </c>
      <c r="U1328" s="209" t="s">
        <v>178</v>
      </c>
      <c r="V1328" s="209" t="s">
        <v>179</v>
      </c>
      <c r="W1328" s="209" t="s">
        <v>179</v>
      </c>
      <c r="X1328" s="209" t="s">
        <v>180</v>
      </c>
      <c r="Y1328" s="209" t="s">
        <v>180</v>
      </c>
      <c r="Z1328" s="209" t="s">
        <v>2779</v>
      </c>
      <c r="AA1328" s="209" t="s">
        <v>2780</v>
      </c>
      <c r="AB1328" s="209" t="s">
        <v>180</v>
      </c>
      <c r="AC1328" s="209" t="s">
        <v>182</v>
      </c>
      <c r="AD1328" s="209">
        <v>9</v>
      </c>
      <c r="AE1328" s="209">
        <v>2025</v>
      </c>
      <c r="AF1328" s="227">
        <v>45912</v>
      </c>
      <c r="AG1328" s="227">
        <v>45917</v>
      </c>
      <c r="AH1328" s="227">
        <v>45917</v>
      </c>
      <c r="AI1328" s="228">
        <v>512928</v>
      </c>
      <c r="AJ1328" s="228">
        <v>52</v>
      </c>
      <c r="AK1328" s="228">
        <v>512928</v>
      </c>
      <c r="AL1328" s="228">
        <v>52</v>
      </c>
      <c r="AM1328" s="228">
        <v>0</v>
      </c>
      <c r="AN1328" s="228">
        <v>0</v>
      </c>
      <c r="AO1328" s="229">
        <v>38</v>
      </c>
      <c r="AP1328" s="231">
        <v>9</v>
      </c>
      <c r="AQ1328" s="231">
        <v>2025</v>
      </c>
      <c r="AR1328" s="231" t="str">
        <f t="shared" si="199"/>
        <v>09/2025</v>
      </c>
      <c r="AS1328" s="231">
        <f t="shared" si="200"/>
        <v>37.200000000000003</v>
      </c>
      <c r="AT1328" s="239">
        <f>IF(G1328="CERVECERIA Y MALTERIA",(AS1328*AK1328/1000000)*(1-VLOOKUP(N1328,FCST!D:I,6,FALSE)),0)</f>
        <v>19.0809216</v>
      </c>
      <c r="AU1328" s="232">
        <v>5.0000000000000001E-3</v>
      </c>
      <c r="AV1328" s="239">
        <f t="shared" si="201"/>
        <v>19.176326207999999</v>
      </c>
      <c r="AW1328" s="239">
        <f>(AS1328*AK1328/1000000)*(VLOOKUP(N1328,FCST!D:I,6,FALSE))</f>
        <v>0</v>
      </c>
      <c r="AX1328" s="239">
        <f t="shared" si="202"/>
        <v>0</v>
      </c>
      <c r="AY1328" s="239">
        <f>IF($G1328="CERVECERIA Y MALTERIA.",($AS1328*$AK1328/1000000)*(1-VLOOKUP($N1328,FCST!D:I,6,FALSE)),0)</f>
        <v>0</v>
      </c>
      <c r="AZ1328" s="239">
        <f t="shared" si="203"/>
        <v>0</v>
      </c>
    </row>
    <row r="1329" spans="1:52" x14ac:dyDescent="0.25">
      <c r="A1329" s="209">
        <v>1139842</v>
      </c>
      <c r="B1329" s="209">
        <v>20</v>
      </c>
      <c r="C1329" s="209" t="s">
        <v>2781</v>
      </c>
      <c r="D1329" s="209">
        <v>10</v>
      </c>
      <c r="E1329" s="209">
        <v>10000002</v>
      </c>
      <c r="F1329" s="209">
        <v>20000340</v>
      </c>
      <c r="G1329" s="209" t="s">
        <v>117</v>
      </c>
      <c r="H1329" s="209">
        <v>20000340</v>
      </c>
      <c r="I1329" s="209">
        <v>2</v>
      </c>
      <c r="J1329" s="209" t="s">
        <v>169</v>
      </c>
      <c r="K1329" s="209" t="s">
        <v>2782</v>
      </c>
      <c r="L1329" s="209" t="s">
        <v>2610</v>
      </c>
      <c r="M1329" s="209" t="s">
        <v>184</v>
      </c>
      <c r="N1329" s="209">
        <v>50025163</v>
      </c>
      <c r="O1329" s="209" t="s">
        <v>185</v>
      </c>
      <c r="P1329" s="209">
        <v>5101</v>
      </c>
      <c r="Q1329" s="209" t="s">
        <v>186</v>
      </c>
      <c r="R1329" s="209" t="s">
        <v>175</v>
      </c>
      <c r="S1329" s="209" t="s">
        <v>176</v>
      </c>
      <c r="T1329" s="209" t="s">
        <v>187</v>
      </c>
      <c r="U1329" s="209" t="s">
        <v>188</v>
      </c>
      <c r="V1329" s="209" t="s">
        <v>179</v>
      </c>
      <c r="W1329" s="209" t="s">
        <v>179</v>
      </c>
      <c r="X1329" s="209" t="s">
        <v>180</v>
      </c>
      <c r="Y1329" s="209" t="s">
        <v>180</v>
      </c>
      <c r="Z1329" s="209" t="s">
        <v>2783</v>
      </c>
      <c r="AA1329" s="209" t="s">
        <v>2784</v>
      </c>
      <c r="AB1329" s="209" t="s">
        <v>180</v>
      </c>
      <c r="AC1329" s="209" t="s">
        <v>182</v>
      </c>
      <c r="AD1329" s="209">
        <v>9</v>
      </c>
      <c r="AE1329" s="209">
        <v>2025</v>
      </c>
      <c r="AF1329" s="227">
        <v>45912</v>
      </c>
      <c r="AG1329" s="227">
        <v>45917</v>
      </c>
      <c r="AH1329" s="227">
        <v>45917</v>
      </c>
      <c r="AI1329" s="228">
        <v>606528</v>
      </c>
      <c r="AJ1329" s="228">
        <v>52</v>
      </c>
      <c r="AK1329" s="228">
        <v>606528</v>
      </c>
      <c r="AL1329" s="228">
        <v>52</v>
      </c>
      <c r="AM1329" s="228">
        <v>0</v>
      </c>
      <c r="AN1329" s="228">
        <v>0</v>
      </c>
      <c r="AO1329" s="229">
        <v>38</v>
      </c>
      <c r="AP1329" s="231">
        <v>9</v>
      </c>
      <c r="AQ1329" s="231">
        <v>2025</v>
      </c>
      <c r="AR1329" s="231" t="str">
        <f t="shared" si="199"/>
        <v>09/2025</v>
      </c>
      <c r="AS1329" s="231">
        <f t="shared" si="200"/>
        <v>30</v>
      </c>
      <c r="AT1329" s="239">
        <f>IF(G1329="CERVECERIA Y MALTERIA",(AS1329*AK1329/1000000)*(1-VLOOKUP(N1329,FCST!D:I,6,FALSE)),0)</f>
        <v>0</v>
      </c>
      <c r="AU1329" s="232">
        <v>5.0000000000000001E-3</v>
      </c>
      <c r="AV1329" s="239">
        <f t="shared" si="201"/>
        <v>0</v>
      </c>
      <c r="AW1329" s="239">
        <f>(AS1329*AK1329/1000000)*(VLOOKUP(N1329,FCST!D:I,6,FALSE))</f>
        <v>0</v>
      </c>
      <c r="AX1329" s="239">
        <f t="shared" si="202"/>
        <v>0</v>
      </c>
      <c r="AY1329" s="239">
        <f>IF($G1329="CERVECERIA Y MALTERIA.",($AS1329*$AK1329/1000000)*(1-VLOOKUP($N1329,FCST!D:I,6,FALSE)),0)</f>
        <v>18.19584</v>
      </c>
      <c r="AZ1329" s="239">
        <f t="shared" si="203"/>
        <v>18.2868192</v>
      </c>
    </row>
    <row r="1330" spans="1:52" x14ac:dyDescent="0.25">
      <c r="A1330" s="209">
        <v>1139856</v>
      </c>
      <c r="B1330" s="209">
        <v>30</v>
      </c>
      <c r="C1330" s="209" t="s">
        <v>2785</v>
      </c>
      <c r="D1330" s="209">
        <v>10</v>
      </c>
      <c r="E1330" s="209">
        <v>10000002</v>
      </c>
      <c r="F1330" s="209">
        <v>20000337</v>
      </c>
      <c r="G1330" s="209" t="s">
        <v>105</v>
      </c>
      <c r="H1330" s="209">
        <v>20000337</v>
      </c>
      <c r="I1330" s="209">
        <v>2</v>
      </c>
      <c r="J1330" s="209" t="s">
        <v>169</v>
      </c>
      <c r="K1330" s="209" t="s">
        <v>2786</v>
      </c>
      <c r="L1330" s="209" t="s">
        <v>2610</v>
      </c>
      <c r="M1330" s="209" t="s">
        <v>2718</v>
      </c>
      <c r="N1330" s="209">
        <v>50035135</v>
      </c>
      <c r="O1330" s="209" t="s">
        <v>2730</v>
      </c>
      <c r="P1330" s="209">
        <v>5121</v>
      </c>
      <c r="Q1330" s="209" t="s">
        <v>174</v>
      </c>
      <c r="R1330" s="209" t="s">
        <v>175</v>
      </c>
      <c r="S1330" s="209" t="s">
        <v>176</v>
      </c>
      <c r="T1330" s="209" t="s">
        <v>177</v>
      </c>
      <c r="U1330" s="209" t="s">
        <v>178</v>
      </c>
      <c r="V1330" s="209" t="s">
        <v>179</v>
      </c>
      <c r="W1330" s="209" t="s">
        <v>179</v>
      </c>
      <c r="X1330" s="209" t="s">
        <v>180</v>
      </c>
      <c r="Y1330" s="209" t="s">
        <v>180</v>
      </c>
      <c r="Z1330" s="209" t="s">
        <v>2787</v>
      </c>
      <c r="AA1330" s="209" t="s">
        <v>2788</v>
      </c>
      <c r="AB1330" s="209" t="s">
        <v>180</v>
      </c>
      <c r="AC1330" s="209" t="s">
        <v>182</v>
      </c>
      <c r="AD1330" s="209">
        <v>9</v>
      </c>
      <c r="AE1330" s="209">
        <v>2025</v>
      </c>
      <c r="AF1330" s="227">
        <v>45912</v>
      </c>
      <c r="AG1330" s="227">
        <v>45916</v>
      </c>
      <c r="AH1330" s="227">
        <v>45916</v>
      </c>
      <c r="AI1330" s="228">
        <v>406016</v>
      </c>
      <c r="AJ1330" s="228">
        <v>52</v>
      </c>
      <c r="AK1330" s="228">
        <v>406016</v>
      </c>
      <c r="AL1330" s="228">
        <v>52</v>
      </c>
      <c r="AM1330" s="228">
        <v>0</v>
      </c>
      <c r="AN1330" s="228">
        <v>0</v>
      </c>
      <c r="AO1330" s="229">
        <v>38</v>
      </c>
      <c r="AP1330" s="231">
        <v>9</v>
      </c>
      <c r="AQ1330" s="231">
        <v>2025</v>
      </c>
      <c r="AR1330" s="231" t="str">
        <f t="shared" si="199"/>
        <v>09/2025</v>
      </c>
      <c r="AS1330" s="231">
        <f t="shared" si="200"/>
        <v>46.6</v>
      </c>
      <c r="AT1330" s="239">
        <f>IF(G1330="CERVECERIA Y MALTERIA",(AS1330*AK1330/1000000)*(1-VLOOKUP(N1330,FCST!D:I,6,FALSE)),0)</f>
        <v>18.920345600000001</v>
      </c>
      <c r="AU1330" s="232">
        <v>5.0000000000000001E-3</v>
      </c>
      <c r="AV1330" s="239">
        <f t="shared" si="201"/>
        <v>19.014947327999998</v>
      </c>
      <c r="AW1330" s="239">
        <f>(AS1330*AK1330/1000000)*(VLOOKUP(N1330,FCST!D:I,6,FALSE))</f>
        <v>0</v>
      </c>
      <c r="AX1330" s="239">
        <f t="shared" si="202"/>
        <v>0</v>
      </c>
      <c r="AY1330" s="239">
        <f>IF($G1330="CERVECERIA Y MALTERIA.",($AS1330*$AK1330/1000000)*(1-VLOOKUP($N1330,FCST!D:I,6,FALSE)),0)</f>
        <v>0</v>
      </c>
      <c r="AZ1330" s="239">
        <f t="shared" si="203"/>
        <v>0</v>
      </c>
    </row>
    <row r="1331" spans="1:52" x14ac:dyDescent="0.25">
      <c r="A1331" s="209">
        <v>1139853</v>
      </c>
      <c r="B1331" s="209">
        <v>10</v>
      </c>
      <c r="C1331" s="209" t="s">
        <v>2789</v>
      </c>
      <c r="D1331" s="209">
        <v>10</v>
      </c>
      <c r="E1331" s="209">
        <v>10000002</v>
      </c>
      <c r="F1331" s="209">
        <v>20000336</v>
      </c>
      <c r="G1331" s="209" t="s">
        <v>105</v>
      </c>
      <c r="H1331" s="209">
        <v>20000336</v>
      </c>
      <c r="I1331" s="209">
        <v>2</v>
      </c>
      <c r="J1331" s="209" t="s">
        <v>169</v>
      </c>
      <c r="K1331" s="209" t="s">
        <v>2790</v>
      </c>
      <c r="L1331" s="209" t="s">
        <v>2610</v>
      </c>
      <c r="M1331" s="209" t="s">
        <v>2718</v>
      </c>
      <c r="N1331" s="209">
        <v>50037887</v>
      </c>
      <c r="O1331" s="209" t="s">
        <v>679</v>
      </c>
      <c r="P1331" s="209">
        <v>5121</v>
      </c>
      <c r="Q1331" s="209" t="s">
        <v>174</v>
      </c>
      <c r="R1331" s="209" t="s">
        <v>175</v>
      </c>
      <c r="S1331" s="209" t="s">
        <v>176</v>
      </c>
      <c r="T1331" s="209" t="s">
        <v>177</v>
      </c>
      <c r="U1331" s="209" t="s">
        <v>178</v>
      </c>
      <c r="V1331" s="209" t="s">
        <v>179</v>
      </c>
      <c r="W1331" s="209" t="s">
        <v>179</v>
      </c>
      <c r="X1331" s="209" t="s">
        <v>180</v>
      </c>
      <c r="Y1331" s="209" t="s">
        <v>180</v>
      </c>
      <c r="Z1331" s="209" t="s">
        <v>2791</v>
      </c>
      <c r="AA1331" s="209" t="s">
        <v>2792</v>
      </c>
      <c r="AB1331" s="209" t="s">
        <v>180</v>
      </c>
      <c r="AC1331" s="209" t="s">
        <v>182</v>
      </c>
      <c r="AD1331" s="209">
        <v>9</v>
      </c>
      <c r="AE1331" s="209">
        <v>2025</v>
      </c>
      <c r="AF1331" s="227">
        <v>45912</v>
      </c>
      <c r="AG1331" s="227">
        <v>45916</v>
      </c>
      <c r="AH1331" s="227">
        <v>45916</v>
      </c>
      <c r="AI1331" s="228">
        <v>531648</v>
      </c>
      <c r="AJ1331" s="228">
        <v>52</v>
      </c>
      <c r="AK1331" s="228">
        <v>531648</v>
      </c>
      <c r="AL1331" s="228">
        <v>52</v>
      </c>
      <c r="AM1331" s="228">
        <v>0</v>
      </c>
      <c r="AN1331" s="228">
        <v>0</v>
      </c>
      <c r="AO1331" s="229">
        <v>38</v>
      </c>
      <c r="AP1331" s="231">
        <v>9</v>
      </c>
      <c r="AQ1331" s="231">
        <v>2025</v>
      </c>
      <c r="AR1331" s="231" t="str">
        <f t="shared" si="199"/>
        <v>09/2025</v>
      </c>
      <c r="AS1331" s="231">
        <f t="shared" si="200"/>
        <v>37.200000000000003</v>
      </c>
      <c r="AT1331" s="239">
        <f>IF(G1331="CERVECERIA Y MALTERIA",(AS1331*AK1331/1000000)*(1-VLOOKUP(N1331,FCST!D:I,6,FALSE)),0)</f>
        <v>19.777305600000002</v>
      </c>
      <c r="AU1331" s="232">
        <v>5.0000000000000001E-3</v>
      </c>
      <c r="AV1331" s="239">
        <f t="shared" si="201"/>
        <v>19.876192128</v>
      </c>
      <c r="AW1331" s="239">
        <f>(AS1331*AK1331/1000000)*(VLOOKUP(N1331,FCST!D:I,6,FALSE))</f>
        <v>0</v>
      </c>
      <c r="AX1331" s="239">
        <f t="shared" si="202"/>
        <v>0</v>
      </c>
      <c r="AY1331" s="239">
        <f>IF($G1331="CERVECERIA Y MALTERIA.",($AS1331*$AK1331/1000000)*(1-VLOOKUP($N1331,FCST!D:I,6,FALSE)),0)</f>
        <v>0</v>
      </c>
      <c r="AZ1331" s="239">
        <f t="shared" si="203"/>
        <v>0</v>
      </c>
    </row>
    <row r="1332" spans="1:52" x14ac:dyDescent="0.25">
      <c r="A1332" s="209">
        <v>1139840</v>
      </c>
      <c r="B1332" s="209">
        <v>80</v>
      </c>
      <c r="C1332" s="209" t="s">
        <v>2793</v>
      </c>
      <c r="D1332" s="209">
        <v>10</v>
      </c>
      <c r="E1332" s="209">
        <v>10000002</v>
      </c>
      <c r="F1332" s="209">
        <v>20000335</v>
      </c>
      <c r="G1332" s="209" t="s">
        <v>105</v>
      </c>
      <c r="H1332" s="209">
        <v>20000335</v>
      </c>
      <c r="I1332" s="209">
        <v>2</v>
      </c>
      <c r="J1332" s="209" t="s">
        <v>169</v>
      </c>
      <c r="K1332" s="209" t="s">
        <v>2794</v>
      </c>
      <c r="L1332" s="209" t="s">
        <v>2610</v>
      </c>
      <c r="M1332" s="209" t="s">
        <v>184</v>
      </c>
      <c r="N1332" s="209">
        <v>50039574</v>
      </c>
      <c r="O1332" s="209" t="s">
        <v>2778</v>
      </c>
      <c r="P1332" s="209">
        <v>5121</v>
      </c>
      <c r="Q1332" s="209" t="s">
        <v>174</v>
      </c>
      <c r="R1332" s="209" t="s">
        <v>175</v>
      </c>
      <c r="S1332" s="209" t="s">
        <v>176</v>
      </c>
      <c r="T1332" s="209" t="s">
        <v>177</v>
      </c>
      <c r="U1332" s="209" t="s">
        <v>178</v>
      </c>
      <c r="V1332" s="209" t="s">
        <v>179</v>
      </c>
      <c r="W1332" s="209" t="s">
        <v>179</v>
      </c>
      <c r="X1332" s="209" t="s">
        <v>180</v>
      </c>
      <c r="Y1332" s="209" t="s">
        <v>180</v>
      </c>
      <c r="Z1332" s="209" t="s">
        <v>2779</v>
      </c>
      <c r="AA1332" s="209" t="s">
        <v>2780</v>
      </c>
      <c r="AB1332" s="209" t="s">
        <v>180</v>
      </c>
      <c r="AC1332" s="209" t="s">
        <v>182</v>
      </c>
      <c r="AD1332" s="209">
        <v>9</v>
      </c>
      <c r="AE1332" s="209">
        <v>2025</v>
      </c>
      <c r="AF1332" s="227">
        <v>45912</v>
      </c>
      <c r="AG1332" s="227">
        <v>45919</v>
      </c>
      <c r="AH1332" s="227">
        <v>45919</v>
      </c>
      <c r="AI1332" s="228">
        <v>512928</v>
      </c>
      <c r="AJ1332" s="228">
        <v>52</v>
      </c>
      <c r="AK1332" s="228">
        <v>512928</v>
      </c>
      <c r="AL1332" s="228">
        <v>52</v>
      </c>
      <c r="AM1332" s="228">
        <v>0</v>
      </c>
      <c r="AN1332" s="228">
        <v>0</v>
      </c>
      <c r="AO1332" s="229">
        <v>38</v>
      </c>
      <c r="AP1332" s="231">
        <v>9</v>
      </c>
      <c r="AQ1332" s="231">
        <v>2025</v>
      </c>
      <c r="AR1332" s="231" t="str">
        <f t="shared" si="199"/>
        <v>09/2025</v>
      </c>
      <c r="AS1332" s="231">
        <f t="shared" si="200"/>
        <v>37.200000000000003</v>
      </c>
      <c r="AT1332" s="239">
        <f>IF(G1332="CERVECERIA Y MALTERIA",(AS1332*AK1332/1000000)*(1-VLOOKUP(N1332,FCST!D:I,6,FALSE)),0)</f>
        <v>19.0809216</v>
      </c>
      <c r="AU1332" s="232">
        <v>5.0000000000000001E-3</v>
      </c>
      <c r="AV1332" s="239">
        <f t="shared" si="201"/>
        <v>19.176326207999999</v>
      </c>
      <c r="AW1332" s="239">
        <f>(AS1332*AK1332/1000000)*(VLOOKUP(N1332,FCST!D:I,6,FALSE))</f>
        <v>0</v>
      </c>
      <c r="AX1332" s="239">
        <f t="shared" si="202"/>
        <v>0</v>
      </c>
      <c r="AY1332" s="239">
        <f>IF($G1332="CERVECERIA Y MALTERIA.",($AS1332*$AK1332/1000000)*(1-VLOOKUP($N1332,FCST!D:I,6,FALSE)),0)</f>
        <v>0</v>
      </c>
      <c r="AZ1332" s="239">
        <f t="shared" si="203"/>
        <v>0</v>
      </c>
    </row>
    <row r="1333" spans="1:52" x14ac:dyDescent="0.25">
      <c r="A1333" s="209">
        <v>1139840</v>
      </c>
      <c r="B1333" s="209">
        <v>90</v>
      </c>
      <c r="C1333" s="209" t="s">
        <v>2795</v>
      </c>
      <c r="D1333" s="209">
        <v>10</v>
      </c>
      <c r="E1333" s="209">
        <v>10000002</v>
      </c>
      <c r="F1333" s="209">
        <v>20000335</v>
      </c>
      <c r="G1333" s="209" t="s">
        <v>105</v>
      </c>
      <c r="H1333" s="209">
        <v>20000335</v>
      </c>
      <c r="I1333" s="209">
        <v>2</v>
      </c>
      <c r="J1333" s="209" t="s">
        <v>169</v>
      </c>
      <c r="K1333" s="209" t="s">
        <v>2796</v>
      </c>
      <c r="L1333" s="209" t="s">
        <v>2610</v>
      </c>
      <c r="M1333" s="209" t="s">
        <v>184</v>
      </c>
      <c r="N1333" s="209">
        <v>50035184</v>
      </c>
      <c r="O1333" s="209" t="s">
        <v>672</v>
      </c>
      <c r="P1333" s="209">
        <v>5121</v>
      </c>
      <c r="Q1333" s="209" t="s">
        <v>174</v>
      </c>
      <c r="R1333" s="209" t="s">
        <v>175</v>
      </c>
      <c r="S1333" s="209" t="s">
        <v>176</v>
      </c>
      <c r="T1333" s="209" t="s">
        <v>177</v>
      </c>
      <c r="U1333" s="209" t="s">
        <v>178</v>
      </c>
      <c r="V1333" s="209" t="s">
        <v>179</v>
      </c>
      <c r="W1333" s="209" t="s">
        <v>179</v>
      </c>
      <c r="X1333" s="209" t="s">
        <v>180</v>
      </c>
      <c r="Y1333" s="209" t="s">
        <v>180</v>
      </c>
      <c r="Z1333" s="209" t="s">
        <v>2797</v>
      </c>
      <c r="AA1333" s="209" t="s">
        <v>2798</v>
      </c>
      <c r="AB1333" s="209" t="s">
        <v>180</v>
      </c>
      <c r="AC1333" s="209" t="s">
        <v>182</v>
      </c>
      <c r="AD1333" s="209">
        <v>9</v>
      </c>
      <c r="AE1333" s="209">
        <v>2025</v>
      </c>
      <c r="AF1333" s="227">
        <v>45912</v>
      </c>
      <c r="AG1333" s="227">
        <v>45918</v>
      </c>
      <c r="AH1333" s="227">
        <v>45919</v>
      </c>
      <c r="AI1333" s="228">
        <v>977184</v>
      </c>
      <c r="AJ1333" s="228">
        <v>52</v>
      </c>
      <c r="AK1333" s="228">
        <v>977184</v>
      </c>
      <c r="AL1333" s="228">
        <v>52</v>
      </c>
      <c r="AM1333" s="228">
        <v>0</v>
      </c>
      <c r="AN1333" s="228">
        <v>0</v>
      </c>
      <c r="AO1333" s="229">
        <v>38</v>
      </c>
      <c r="AP1333" s="231">
        <v>9</v>
      </c>
      <c r="AQ1333" s="231">
        <v>2025</v>
      </c>
      <c r="AR1333" s="231" t="str">
        <f t="shared" si="199"/>
        <v>09/2025</v>
      </c>
      <c r="AS1333" s="231">
        <f t="shared" si="200"/>
        <v>19.5</v>
      </c>
      <c r="AT1333" s="239">
        <f>IF(G1333="CERVECERIA Y MALTERIA",(AS1333*AK1333/1000000)*(1-VLOOKUP(N1333,FCST!D:I,6,FALSE)),0)</f>
        <v>19.055088000000001</v>
      </c>
      <c r="AU1333" s="232">
        <v>5.0000000000000001E-3</v>
      </c>
      <c r="AV1333" s="239">
        <f t="shared" si="201"/>
        <v>19.15036344</v>
      </c>
      <c r="AW1333" s="239">
        <f>(AS1333*AK1333/1000000)*(VLOOKUP(N1333,FCST!D:I,6,FALSE))</f>
        <v>0</v>
      </c>
      <c r="AX1333" s="239">
        <f t="shared" si="202"/>
        <v>0</v>
      </c>
      <c r="AY1333" s="239">
        <f>IF($G1333="CERVECERIA Y MALTERIA.",($AS1333*$AK1333/1000000)*(1-VLOOKUP($N1333,FCST!D:I,6,FALSE)),0)</f>
        <v>0</v>
      </c>
      <c r="AZ1333" s="239">
        <f t="shared" si="203"/>
        <v>0</v>
      </c>
    </row>
    <row r="1334" spans="1:52" x14ac:dyDescent="0.25">
      <c r="A1334" s="209">
        <v>1139840</v>
      </c>
      <c r="B1334" s="209">
        <v>70</v>
      </c>
      <c r="C1334" s="209" t="s">
        <v>2799</v>
      </c>
      <c r="D1334" s="209">
        <v>10</v>
      </c>
      <c r="E1334" s="209">
        <v>10000002</v>
      </c>
      <c r="F1334" s="209">
        <v>20000335</v>
      </c>
      <c r="G1334" s="209" t="s">
        <v>105</v>
      </c>
      <c r="H1334" s="209">
        <v>20000335</v>
      </c>
      <c r="I1334" s="209">
        <v>2</v>
      </c>
      <c r="J1334" s="209" t="s">
        <v>169</v>
      </c>
      <c r="K1334" s="209" t="s">
        <v>2800</v>
      </c>
      <c r="L1334" s="209" t="s">
        <v>2610</v>
      </c>
      <c r="M1334" s="209" t="s">
        <v>184</v>
      </c>
      <c r="N1334" s="209">
        <v>50039574</v>
      </c>
      <c r="O1334" s="209" t="s">
        <v>2778</v>
      </c>
      <c r="P1334" s="209">
        <v>5121</v>
      </c>
      <c r="Q1334" s="209" t="s">
        <v>174</v>
      </c>
      <c r="R1334" s="209" t="s">
        <v>175</v>
      </c>
      <c r="S1334" s="209" t="s">
        <v>176</v>
      </c>
      <c r="T1334" s="209" t="s">
        <v>177</v>
      </c>
      <c r="U1334" s="209" t="s">
        <v>178</v>
      </c>
      <c r="V1334" s="209" t="s">
        <v>179</v>
      </c>
      <c r="W1334" s="209" t="s">
        <v>179</v>
      </c>
      <c r="X1334" s="209" t="s">
        <v>180</v>
      </c>
      <c r="Y1334" s="209" t="s">
        <v>180</v>
      </c>
      <c r="Z1334" s="209" t="s">
        <v>2779</v>
      </c>
      <c r="AA1334" s="209" t="s">
        <v>2780</v>
      </c>
      <c r="AB1334" s="209" t="s">
        <v>180</v>
      </c>
      <c r="AC1334" s="209" t="s">
        <v>182</v>
      </c>
      <c r="AD1334" s="209">
        <v>9</v>
      </c>
      <c r="AE1334" s="209">
        <v>2025</v>
      </c>
      <c r="AF1334" s="227">
        <v>45912</v>
      </c>
      <c r="AG1334" s="227">
        <v>45918</v>
      </c>
      <c r="AH1334" s="227">
        <v>45918</v>
      </c>
      <c r="AI1334" s="228">
        <v>512928</v>
      </c>
      <c r="AJ1334" s="228">
        <v>52</v>
      </c>
      <c r="AK1334" s="228">
        <v>512928</v>
      </c>
      <c r="AL1334" s="228">
        <v>52</v>
      </c>
      <c r="AM1334" s="228">
        <v>0</v>
      </c>
      <c r="AN1334" s="228">
        <v>0</v>
      </c>
      <c r="AO1334" s="229">
        <v>38</v>
      </c>
      <c r="AP1334" s="231">
        <v>9</v>
      </c>
      <c r="AQ1334" s="231">
        <v>2025</v>
      </c>
      <c r="AR1334" s="231" t="str">
        <f t="shared" si="199"/>
        <v>09/2025</v>
      </c>
      <c r="AS1334" s="231">
        <f t="shared" si="200"/>
        <v>37.200000000000003</v>
      </c>
      <c r="AT1334" s="239">
        <f>IF(G1334="CERVECERIA Y MALTERIA",(AS1334*AK1334/1000000)*(1-VLOOKUP(N1334,FCST!D:I,6,FALSE)),0)</f>
        <v>19.0809216</v>
      </c>
      <c r="AU1334" s="232">
        <v>5.0000000000000001E-3</v>
      </c>
      <c r="AV1334" s="239">
        <f t="shared" si="201"/>
        <v>19.176326207999999</v>
      </c>
      <c r="AW1334" s="239">
        <f>(AS1334*AK1334/1000000)*(VLOOKUP(N1334,FCST!D:I,6,FALSE))</f>
        <v>0</v>
      </c>
      <c r="AX1334" s="239">
        <f t="shared" si="202"/>
        <v>0</v>
      </c>
      <c r="AY1334" s="239">
        <f>IF($G1334="CERVECERIA Y MALTERIA.",($AS1334*$AK1334/1000000)*(1-VLOOKUP($N1334,FCST!D:I,6,FALSE)),0)</f>
        <v>0</v>
      </c>
      <c r="AZ1334" s="239">
        <f t="shared" si="203"/>
        <v>0</v>
      </c>
    </row>
    <row r="1335" spans="1:52" x14ac:dyDescent="0.25">
      <c r="A1335" s="209">
        <v>1139856</v>
      </c>
      <c r="B1335" s="209">
        <v>40</v>
      </c>
      <c r="C1335" s="209" t="s">
        <v>2801</v>
      </c>
      <c r="D1335" s="209">
        <v>10</v>
      </c>
      <c r="E1335" s="209">
        <v>10000002</v>
      </c>
      <c r="F1335" s="209">
        <v>20000337</v>
      </c>
      <c r="G1335" s="209" t="s">
        <v>105</v>
      </c>
      <c r="H1335" s="209">
        <v>20000337</v>
      </c>
      <c r="I1335" s="209">
        <v>2</v>
      </c>
      <c r="J1335" s="209" t="s">
        <v>169</v>
      </c>
      <c r="K1335" s="209" t="s">
        <v>2802</v>
      </c>
      <c r="L1335" s="209" t="s">
        <v>2610</v>
      </c>
      <c r="M1335" s="209" t="s">
        <v>184</v>
      </c>
      <c r="N1335" s="209">
        <v>50035135</v>
      </c>
      <c r="O1335" s="209" t="s">
        <v>2730</v>
      </c>
      <c r="P1335" s="209">
        <v>5121</v>
      </c>
      <c r="Q1335" s="209" t="s">
        <v>174</v>
      </c>
      <c r="R1335" s="209" t="s">
        <v>175</v>
      </c>
      <c r="S1335" s="209" t="s">
        <v>176</v>
      </c>
      <c r="T1335" s="209" t="s">
        <v>177</v>
      </c>
      <c r="U1335" s="209" t="s">
        <v>178</v>
      </c>
      <c r="V1335" s="209" t="s">
        <v>179</v>
      </c>
      <c r="W1335" s="209" t="s">
        <v>179</v>
      </c>
      <c r="X1335" s="209" t="s">
        <v>180</v>
      </c>
      <c r="Y1335" s="209" t="s">
        <v>180</v>
      </c>
      <c r="Z1335" s="209" t="s">
        <v>2787</v>
      </c>
      <c r="AA1335" s="209" t="s">
        <v>2788</v>
      </c>
      <c r="AB1335" s="209" t="s">
        <v>180</v>
      </c>
      <c r="AC1335" s="209" t="s">
        <v>182</v>
      </c>
      <c r="AD1335" s="209">
        <v>9</v>
      </c>
      <c r="AE1335" s="209">
        <v>2025</v>
      </c>
      <c r="AF1335" s="227">
        <v>45912</v>
      </c>
      <c r="AG1335" s="227">
        <v>45918</v>
      </c>
      <c r="AH1335" s="227">
        <v>45918</v>
      </c>
      <c r="AI1335" s="228">
        <v>406016</v>
      </c>
      <c r="AJ1335" s="228">
        <v>52</v>
      </c>
      <c r="AK1335" s="228">
        <v>406016</v>
      </c>
      <c r="AL1335" s="228">
        <v>52</v>
      </c>
      <c r="AM1335" s="228">
        <v>0</v>
      </c>
      <c r="AN1335" s="228">
        <v>0</v>
      </c>
      <c r="AO1335" s="229">
        <v>38</v>
      </c>
      <c r="AP1335" s="231">
        <v>9</v>
      </c>
      <c r="AQ1335" s="231">
        <v>2025</v>
      </c>
      <c r="AR1335" s="231" t="str">
        <f t="shared" si="199"/>
        <v>09/2025</v>
      </c>
      <c r="AS1335" s="231">
        <f t="shared" si="200"/>
        <v>46.6</v>
      </c>
      <c r="AT1335" s="239">
        <f>IF(G1335="CERVECERIA Y MALTERIA",(AS1335*AK1335/1000000)*(1-VLOOKUP(N1335,FCST!D:I,6,FALSE)),0)</f>
        <v>18.920345600000001</v>
      </c>
      <c r="AU1335" s="232">
        <v>5.0000000000000001E-3</v>
      </c>
      <c r="AV1335" s="239">
        <f t="shared" si="201"/>
        <v>19.014947327999998</v>
      </c>
      <c r="AW1335" s="239">
        <f>(AS1335*AK1335/1000000)*(VLOOKUP(N1335,FCST!D:I,6,FALSE))</f>
        <v>0</v>
      </c>
      <c r="AX1335" s="239">
        <f t="shared" si="202"/>
        <v>0</v>
      </c>
      <c r="AY1335" s="239">
        <f>IF($G1335="CERVECERIA Y MALTERIA.",($AS1335*$AK1335/1000000)*(1-VLOOKUP($N1335,FCST!D:I,6,FALSE)),0)</f>
        <v>0</v>
      </c>
      <c r="AZ1335" s="239">
        <f t="shared" si="203"/>
        <v>0</v>
      </c>
    </row>
    <row r="1336" spans="1:52" x14ac:dyDescent="0.25">
      <c r="A1336" s="209">
        <v>1142104</v>
      </c>
      <c r="B1336" s="209">
        <v>10</v>
      </c>
      <c r="C1336" s="209" t="s">
        <v>2803</v>
      </c>
      <c r="D1336" s="209">
        <v>10</v>
      </c>
      <c r="E1336" s="209">
        <v>10000002</v>
      </c>
      <c r="F1336" s="209">
        <v>20000335</v>
      </c>
      <c r="G1336" s="209" t="s">
        <v>105</v>
      </c>
      <c r="H1336" s="209">
        <v>20000335</v>
      </c>
      <c r="I1336" s="209">
        <v>2</v>
      </c>
      <c r="J1336" s="209" t="s">
        <v>169</v>
      </c>
      <c r="K1336" s="209" t="s">
        <v>2804</v>
      </c>
      <c r="L1336" s="209" t="s">
        <v>2610</v>
      </c>
      <c r="M1336" s="209" t="s">
        <v>184</v>
      </c>
      <c r="N1336" s="209">
        <v>50035184</v>
      </c>
      <c r="O1336" s="209" t="s">
        <v>672</v>
      </c>
      <c r="P1336" s="209">
        <v>5121</v>
      </c>
      <c r="Q1336" s="209" t="s">
        <v>174</v>
      </c>
      <c r="R1336" s="209" t="s">
        <v>175</v>
      </c>
      <c r="S1336" s="209" t="s">
        <v>176</v>
      </c>
      <c r="T1336" s="209" t="s">
        <v>177</v>
      </c>
      <c r="U1336" s="209" t="s">
        <v>178</v>
      </c>
      <c r="V1336" s="209" t="s">
        <v>179</v>
      </c>
      <c r="W1336" s="209" t="s">
        <v>179</v>
      </c>
      <c r="X1336" s="209" t="s">
        <v>180</v>
      </c>
      <c r="Y1336" s="209" t="s">
        <v>180</v>
      </c>
      <c r="Z1336" s="209" t="s">
        <v>2805</v>
      </c>
      <c r="AA1336" s="209" t="s">
        <v>2806</v>
      </c>
      <c r="AB1336" s="209" t="s">
        <v>180</v>
      </c>
      <c r="AC1336" s="209" t="s">
        <v>182</v>
      </c>
      <c r="AD1336" s="209">
        <v>9</v>
      </c>
      <c r="AE1336" s="209">
        <v>2025</v>
      </c>
      <c r="AF1336" s="227">
        <v>45925</v>
      </c>
      <c r="AG1336" s="227">
        <v>45929</v>
      </c>
      <c r="AH1336" s="227">
        <v>45929</v>
      </c>
      <c r="AI1336" s="228">
        <v>977184</v>
      </c>
      <c r="AJ1336" s="228">
        <v>52</v>
      </c>
      <c r="AK1336" s="228">
        <v>977184</v>
      </c>
      <c r="AL1336" s="228">
        <v>52</v>
      </c>
      <c r="AM1336" s="228">
        <v>0</v>
      </c>
      <c r="AN1336" s="228">
        <v>0</v>
      </c>
      <c r="AO1336" s="229">
        <v>40</v>
      </c>
      <c r="AP1336" s="231">
        <v>9</v>
      </c>
      <c r="AQ1336" s="231">
        <v>2025</v>
      </c>
      <c r="AR1336" s="231" t="str">
        <f t="shared" si="199"/>
        <v>09/2025</v>
      </c>
      <c r="AS1336" s="231">
        <f t="shared" si="200"/>
        <v>19.5</v>
      </c>
      <c r="AT1336" s="239">
        <f>IF(G1336="CERVECERIA Y MALTERIA",(AS1336*AK1336/1000000)*(1-VLOOKUP(N1336,FCST!D:I,6,FALSE)),0)</f>
        <v>19.055088000000001</v>
      </c>
      <c r="AU1336" s="232">
        <v>5.0000000000000001E-3</v>
      </c>
      <c r="AV1336" s="239">
        <f t="shared" si="201"/>
        <v>19.15036344</v>
      </c>
      <c r="AW1336" s="239">
        <f>(AS1336*AK1336/1000000)*(VLOOKUP(N1336,FCST!D:I,6,FALSE))</f>
        <v>0</v>
      </c>
      <c r="AX1336" s="239">
        <f t="shared" si="202"/>
        <v>0</v>
      </c>
      <c r="AY1336" s="239">
        <f>IF($G1336="CERVECERIA Y MALTERIA.",($AS1336*$AK1336/1000000)*(1-VLOOKUP($N1336,FCST!D:I,6,FALSE)),0)</f>
        <v>0</v>
      </c>
      <c r="AZ1336" s="239">
        <f t="shared" si="203"/>
        <v>0</v>
      </c>
    </row>
    <row r="1337" spans="1:52" x14ac:dyDescent="0.25">
      <c r="A1337" s="209">
        <v>1142104</v>
      </c>
      <c r="B1337" s="209">
        <v>30</v>
      </c>
      <c r="C1337" s="209" t="s">
        <v>2807</v>
      </c>
      <c r="D1337" s="209">
        <v>10</v>
      </c>
      <c r="E1337" s="209">
        <v>10000002</v>
      </c>
      <c r="F1337" s="209">
        <v>20000335</v>
      </c>
      <c r="G1337" s="209" t="s">
        <v>105</v>
      </c>
      <c r="H1337" s="209">
        <v>20000335</v>
      </c>
      <c r="I1337" s="209">
        <v>2</v>
      </c>
      <c r="J1337" s="209" t="s">
        <v>169</v>
      </c>
      <c r="K1337" s="209" t="s">
        <v>2808</v>
      </c>
      <c r="L1337" s="209" t="s">
        <v>2610</v>
      </c>
      <c r="M1337" s="209" t="s">
        <v>184</v>
      </c>
      <c r="N1337" s="209">
        <v>50035183</v>
      </c>
      <c r="O1337" s="209" t="s">
        <v>215</v>
      </c>
      <c r="P1337" s="209">
        <v>5121</v>
      </c>
      <c r="Q1337" s="209" t="s">
        <v>174</v>
      </c>
      <c r="R1337" s="209" t="s">
        <v>175</v>
      </c>
      <c r="S1337" s="209" t="s">
        <v>176</v>
      </c>
      <c r="T1337" s="209" t="s">
        <v>177</v>
      </c>
      <c r="U1337" s="209" t="s">
        <v>178</v>
      </c>
      <c r="V1337" s="209" t="s">
        <v>179</v>
      </c>
      <c r="W1337" s="209" t="s">
        <v>179</v>
      </c>
      <c r="X1337" s="209" t="s">
        <v>180</v>
      </c>
      <c r="Y1337" s="209" t="s">
        <v>180</v>
      </c>
      <c r="Z1337" s="209" t="s">
        <v>2809</v>
      </c>
      <c r="AA1337" s="209" t="s">
        <v>2810</v>
      </c>
      <c r="AB1337" s="209" t="s">
        <v>180</v>
      </c>
      <c r="AC1337" s="209" t="s">
        <v>182</v>
      </c>
      <c r="AD1337" s="209">
        <v>9</v>
      </c>
      <c r="AE1337" s="209">
        <v>2025</v>
      </c>
      <c r="AF1337" s="227">
        <v>45925</v>
      </c>
      <c r="AG1337" s="227">
        <v>45930</v>
      </c>
      <c r="AH1337" s="227">
        <v>45930</v>
      </c>
      <c r="AI1337" s="228">
        <v>410400</v>
      </c>
      <c r="AJ1337" s="228">
        <v>50</v>
      </c>
      <c r="AK1337" s="228">
        <v>410400</v>
      </c>
      <c r="AL1337" s="228">
        <v>50</v>
      </c>
      <c r="AM1337" s="228">
        <v>0</v>
      </c>
      <c r="AN1337" s="228">
        <v>0</v>
      </c>
      <c r="AO1337" s="229">
        <v>40</v>
      </c>
      <c r="AP1337" s="231">
        <v>9</v>
      </c>
      <c r="AQ1337" s="231">
        <v>2025</v>
      </c>
      <c r="AR1337" s="231" t="str">
        <f t="shared" si="199"/>
        <v>09/2025</v>
      </c>
      <c r="AS1337" s="231">
        <f t="shared" si="200"/>
        <v>46.6</v>
      </c>
      <c r="AT1337" s="239">
        <f>IF(G1337="CERVECERIA Y MALTERIA",(AS1337*AK1337/1000000)*(1-VLOOKUP(N1337,FCST!D:I,6,FALSE)),0)</f>
        <v>19.124639999999999</v>
      </c>
      <c r="AU1337" s="232">
        <v>5.0000000000000001E-3</v>
      </c>
      <c r="AV1337" s="239">
        <f t="shared" si="201"/>
        <v>19.220263199999998</v>
      </c>
      <c r="AW1337" s="239">
        <f>(AS1337*AK1337/1000000)*(VLOOKUP(N1337,FCST!D:I,6,FALSE))</f>
        <v>0</v>
      </c>
      <c r="AX1337" s="239">
        <f t="shared" si="202"/>
        <v>0</v>
      </c>
      <c r="AY1337" s="239">
        <f>IF($G1337="CERVECERIA Y MALTERIA.",($AS1337*$AK1337/1000000)*(1-VLOOKUP($N1337,FCST!D:I,6,FALSE)),0)</f>
        <v>0</v>
      </c>
      <c r="AZ1337" s="239">
        <f t="shared" si="203"/>
        <v>0</v>
      </c>
    </row>
    <row r="1338" spans="1:52" x14ac:dyDescent="0.25">
      <c r="A1338" s="209">
        <v>1142107</v>
      </c>
      <c r="B1338" s="209">
        <v>10</v>
      </c>
      <c r="C1338" s="209" t="s">
        <v>2811</v>
      </c>
      <c r="D1338" s="209">
        <v>10</v>
      </c>
      <c r="E1338" s="209">
        <v>10000002</v>
      </c>
      <c r="F1338" s="209">
        <v>20000340</v>
      </c>
      <c r="G1338" s="209" t="s">
        <v>117</v>
      </c>
      <c r="H1338" s="209">
        <v>20000340</v>
      </c>
      <c r="I1338" s="209">
        <v>2</v>
      </c>
      <c r="J1338" s="209" t="s">
        <v>169</v>
      </c>
      <c r="K1338" s="209" t="s">
        <v>2812</v>
      </c>
      <c r="L1338" s="209" t="s">
        <v>2610</v>
      </c>
      <c r="M1338" s="209" t="s">
        <v>184</v>
      </c>
      <c r="N1338" s="209">
        <v>50029843</v>
      </c>
      <c r="O1338" s="209" t="s">
        <v>460</v>
      </c>
      <c r="P1338" s="209">
        <v>5121</v>
      </c>
      <c r="Q1338" s="209" t="s">
        <v>174</v>
      </c>
      <c r="R1338" s="209" t="s">
        <v>175</v>
      </c>
      <c r="S1338" s="209" t="s">
        <v>176</v>
      </c>
      <c r="T1338" s="209" t="s">
        <v>177</v>
      </c>
      <c r="U1338" s="209" t="s">
        <v>178</v>
      </c>
      <c r="V1338" s="209" t="s">
        <v>179</v>
      </c>
      <c r="W1338" s="209" t="s">
        <v>179</v>
      </c>
      <c r="X1338" s="209" t="s">
        <v>180</v>
      </c>
      <c r="Y1338" s="209" t="s">
        <v>180</v>
      </c>
      <c r="Z1338" s="209" t="s">
        <v>2813</v>
      </c>
      <c r="AA1338" s="209" t="s">
        <v>2814</v>
      </c>
      <c r="AB1338" s="209" t="s">
        <v>180</v>
      </c>
      <c r="AC1338" s="209" t="s">
        <v>182</v>
      </c>
      <c r="AD1338" s="209">
        <v>9</v>
      </c>
      <c r="AE1338" s="209">
        <v>2025</v>
      </c>
      <c r="AF1338" s="227">
        <v>45925</v>
      </c>
      <c r="AG1338" s="227">
        <v>45930</v>
      </c>
      <c r="AH1338" s="227">
        <v>45930</v>
      </c>
      <c r="AI1338" s="228">
        <v>419328</v>
      </c>
      <c r="AJ1338" s="228">
        <v>52</v>
      </c>
      <c r="AK1338" s="228">
        <v>419328</v>
      </c>
      <c r="AL1338" s="228">
        <v>52</v>
      </c>
      <c r="AM1338" s="228">
        <v>0</v>
      </c>
      <c r="AN1338" s="228">
        <v>0</v>
      </c>
      <c r="AO1338" s="229">
        <v>40</v>
      </c>
      <c r="AP1338" s="231">
        <v>9</v>
      </c>
      <c r="AQ1338" s="231">
        <v>2025</v>
      </c>
      <c r="AR1338" s="231" t="str">
        <f t="shared" si="199"/>
        <v>09/2025</v>
      </c>
      <c r="AS1338" s="231">
        <f t="shared" si="200"/>
        <v>44.8</v>
      </c>
      <c r="AT1338" s="239">
        <f>IF(G1338="CERVECERIA Y MALTERIA",(AS1338*AK1338/1000000)*(1-VLOOKUP(N1338,FCST!D:I,6,FALSE)),0)</f>
        <v>0</v>
      </c>
      <c r="AU1338" s="232">
        <v>5.0000000000000001E-3</v>
      </c>
      <c r="AV1338" s="239">
        <f t="shared" si="201"/>
        <v>0</v>
      </c>
      <c r="AW1338" s="239">
        <f>(AS1338*AK1338/1000000)*(VLOOKUP(N1338,FCST!D:I,6,FALSE))</f>
        <v>0</v>
      </c>
      <c r="AX1338" s="239">
        <f t="shared" si="202"/>
        <v>0</v>
      </c>
      <c r="AY1338" s="239">
        <f>IF($G1338="CERVECERIA Y MALTERIA.",($AS1338*$AK1338/1000000)*(1-VLOOKUP($N1338,FCST!D:I,6,FALSE)),0)</f>
        <v>18.7858944</v>
      </c>
      <c r="AZ1338" s="239">
        <f t="shared" si="203"/>
        <v>18.879823871999999</v>
      </c>
    </row>
    <row r="1339" spans="1:52" x14ac:dyDescent="0.25">
      <c r="A1339" s="209">
        <v>1142479</v>
      </c>
      <c r="B1339" s="209">
        <v>10</v>
      </c>
      <c r="C1339" s="209" t="s">
        <v>2815</v>
      </c>
      <c r="D1339" s="209">
        <v>10</v>
      </c>
      <c r="E1339" s="209">
        <v>10000002</v>
      </c>
      <c r="F1339" s="209">
        <v>20000337</v>
      </c>
      <c r="G1339" s="209" t="s">
        <v>105</v>
      </c>
      <c r="H1339" s="209">
        <v>20000337</v>
      </c>
      <c r="I1339" s="209">
        <v>2</v>
      </c>
      <c r="J1339" s="209" t="s">
        <v>169</v>
      </c>
      <c r="K1339" s="209" t="s">
        <v>2816</v>
      </c>
      <c r="L1339" s="209" t="s">
        <v>2610</v>
      </c>
      <c r="M1339" s="209" t="s">
        <v>184</v>
      </c>
      <c r="N1339" s="209">
        <v>50035135</v>
      </c>
      <c r="O1339" s="209" t="s">
        <v>2730</v>
      </c>
      <c r="P1339" s="209">
        <v>5121</v>
      </c>
      <c r="Q1339" s="209" t="s">
        <v>174</v>
      </c>
      <c r="R1339" s="209" t="s">
        <v>175</v>
      </c>
      <c r="S1339" s="209" t="s">
        <v>176</v>
      </c>
      <c r="T1339" s="209" t="s">
        <v>177</v>
      </c>
      <c r="U1339" s="209" t="s">
        <v>178</v>
      </c>
      <c r="V1339" s="209" t="s">
        <v>179</v>
      </c>
      <c r="W1339" s="209" t="s">
        <v>179</v>
      </c>
      <c r="X1339" s="209" t="s">
        <v>180</v>
      </c>
      <c r="Y1339" s="209" t="s">
        <v>180</v>
      </c>
      <c r="Z1339" s="209" t="s">
        <v>2817</v>
      </c>
      <c r="AA1339" s="209" t="s">
        <v>2818</v>
      </c>
      <c r="AB1339" s="209" t="s">
        <v>180</v>
      </c>
      <c r="AC1339" s="209" t="s">
        <v>182</v>
      </c>
      <c r="AD1339" s="209">
        <v>9</v>
      </c>
      <c r="AE1339" s="209">
        <v>2025</v>
      </c>
      <c r="AF1339" s="227">
        <v>45929</v>
      </c>
      <c r="AG1339" s="227">
        <v>45930</v>
      </c>
      <c r="AH1339" s="227">
        <v>45930</v>
      </c>
      <c r="AI1339" s="228">
        <v>390400</v>
      </c>
      <c r="AJ1339" s="228">
        <v>50</v>
      </c>
      <c r="AK1339" s="228">
        <v>390400</v>
      </c>
      <c r="AL1339" s="228">
        <v>50</v>
      </c>
      <c r="AM1339" s="228">
        <v>0</v>
      </c>
      <c r="AN1339" s="228">
        <v>0</v>
      </c>
      <c r="AO1339" s="229">
        <v>40</v>
      </c>
      <c r="AP1339" s="231">
        <v>9</v>
      </c>
      <c r="AQ1339" s="231">
        <v>2025</v>
      </c>
      <c r="AR1339" s="231" t="str">
        <f t="shared" si="199"/>
        <v>09/2025</v>
      </c>
      <c r="AS1339" s="231">
        <f t="shared" si="200"/>
        <v>46.6</v>
      </c>
      <c r="AT1339" s="239">
        <f>IF(G1339="CERVECERIA Y MALTERIA",(AS1339*AK1339/1000000)*(1-VLOOKUP(N1339,FCST!D:I,6,FALSE)),0)</f>
        <v>18.192640000000001</v>
      </c>
      <c r="AU1339" s="232">
        <v>5.0000000000000001E-3</v>
      </c>
      <c r="AV1339" s="239">
        <f t="shared" si="201"/>
        <v>18.283603199999998</v>
      </c>
      <c r="AW1339" s="239">
        <f>(AS1339*AK1339/1000000)*(VLOOKUP(N1339,FCST!D:I,6,FALSE))</f>
        <v>0</v>
      </c>
      <c r="AX1339" s="239">
        <f t="shared" si="202"/>
        <v>0</v>
      </c>
      <c r="AY1339" s="239">
        <f>IF($G1339="CERVECERIA Y MALTERIA.",($AS1339*$AK1339/1000000)*(1-VLOOKUP($N1339,FCST!D:I,6,FALSE)),0)</f>
        <v>0</v>
      </c>
      <c r="AZ1339" s="239">
        <f t="shared" si="203"/>
        <v>0</v>
      </c>
    </row>
    <row r="1340" spans="1:52" x14ac:dyDescent="0.25">
      <c r="A1340" s="209">
        <v>1142104</v>
      </c>
      <c r="B1340" s="209">
        <v>40</v>
      </c>
      <c r="C1340" s="209" t="s">
        <v>2819</v>
      </c>
      <c r="D1340" s="209">
        <v>10</v>
      </c>
      <c r="E1340" s="209">
        <v>10000002</v>
      </c>
      <c r="F1340" s="209">
        <v>20000335</v>
      </c>
      <c r="G1340" s="209" t="s">
        <v>105</v>
      </c>
      <c r="H1340" s="209">
        <v>20000335</v>
      </c>
      <c r="I1340" s="209">
        <v>2</v>
      </c>
      <c r="J1340" s="209" t="s">
        <v>169</v>
      </c>
      <c r="K1340" s="209" t="s">
        <v>2820</v>
      </c>
      <c r="L1340" s="209" t="s">
        <v>2610</v>
      </c>
      <c r="M1340" s="209" t="s">
        <v>184</v>
      </c>
      <c r="N1340" s="209">
        <v>50037887</v>
      </c>
      <c r="O1340" s="209" t="s">
        <v>679</v>
      </c>
      <c r="P1340" s="209">
        <v>5121</v>
      </c>
      <c r="Q1340" s="209" t="s">
        <v>174</v>
      </c>
      <c r="R1340" s="209" t="s">
        <v>175</v>
      </c>
      <c r="S1340" s="209" t="s">
        <v>176</v>
      </c>
      <c r="T1340" s="209" t="s">
        <v>177</v>
      </c>
      <c r="U1340" s="209" t="s">
        <v>178</v>
      </c>
      <c r="V1340" s="209" t="s">
        <v>179</v>
      </c>
      <c r="W1340" s="209" t="s">
        <v>179</v>
      </c>
      <c r="X1340" s="209" t="s">
        <v>180</v>
      </c>
      <c r="Y1340" s="209" t="s">
        <v>180</v>
      </c>
      <c r="Z1340" s="209" t="s">
        <v>2821</v>
      </c>
      <c r="AA1340" s="209" t="s">
        <v>2822</v>
      </c>
      <c r="AB1340" s="209" t="s">
        <v>180</v>
      </c>
      <c r="AC1340" s="209" t="s">
        <v>182</v>
      </c>
      <c r="AD1340" s="209">
        <v>9</v>
      </c>
      <c r="AE1340" s="209">
        <v>2025</v>
      </c>
      <c r="AF1340" s="227">
        <v>45925</v>
      </c>
      <c r="AG1340" s="227">
        <v>45930</v>
      </c>
      <c r="AH1340" s="227">
        <v>45930</v>
      </c>
      <c r="AI1340" s="228">
        <v>531648</v>
      </c>
      <c r="AJ1340" s="228">
        <v>52</v>
      </c>
      <c r="AK1340" s="228">
        <v>531648</v>
      </c>
      <c r="AL1340" s="228">
        <v>52</v>
      </c>
      <c r="AM1340" s="228">
        <v>0</v>
      </c>
      <c r="AN1340" s="228">
        <v>0</v>
      </c>
      <c r="AO1340" s="229">
        <v>40</v>
      </c>
      <c r="AP1340" s="231">
        <v>9</v>
      </c>
      <c r="AQ1340" s="231">
        <v>2025</v>
      </c>
      <c r="AR1340" s="231" t="str">
        <f t="shared" si="199"/>
        <v>09/2025</v>
      </c>
      <c r="AS1340" s="231">
        <f t="shared" si="200"/>
        <v>37.200000000000003</v>
      </c>
      <c r="AT1340" s="239">
        <f>IF(G1340="CERVECERIA Y MALTERIA",(AS1340*AK1340/1000000)*(1-VLOOKUP(N1340,FCST!D:I,6,FALSE)),0)</f>
        <v>19.777305600000002</v>
      </c>
      <c r="AU1340" s="232">
        <v>5.0000000000000001E-3</v>
      </c>
      <c r="AV1340" s="239">
        <f t="shared" si="201"/>
        <v>19.876192128</v>
      </c>
      <c r="AW1340" s="239">
        <f>(AS1340*AK1340/1000000)*(VLOOKUP(N1340,FCST!D:I,6,FALSE))</f>
        <v>0</v>
      </c>
      <c r="AX1340" s="239">
        <f t="shared" si="202"/>
        <v>0</v>
      </c>
      <c r="AY1340" s="239">
        <f>IF($G1340="CERVECERIA Y MALTERIA.",($AS1340*$AK1340/1000000)*(1-VLOOKUP($N1340,FCST!D:I,6,FALSE)),0)</f>
        <v>0</v>
      </c>
      <c r="AZ1340" s="239">
        <f t="shared" si="203"/>
        <v>0</v>
      </c>
    </row>
    <row r="1341" spans="1:52" x14ac:dyDescent="0.25">
      <c r="A1341" s="209">
        <v>1142438</v>
      </c>
      <c r="B1341" s="209">
        <v>10</v>
      </c>
      <c r="C1341" s="209" t="s">
        <v>2823</v>
      </c>
      <c r="D1341" s="209">
        <v>10</v>
      </c>
      <c r="E1341" s="209">
        <v>10000002</v>
      </c>
      <c r="F1341" s="209">
        <v>20000336</v>
      </c>
      <c r="G1341" s="209" t="s">
        <v>105</v>
      </c>
      <c r="H1341" s="209">
        <v>20000336</v>
      </c>
      <c r="I1341" s="209">
        <v>2</v>
      </c>
      <c r="J1341" s="209" t="s">
        <v>169</v>
      </c>
      <c r="K1341" s="209" t="s">
        <v>2824</v>
      </c>
      <c r="L1341" s="209" t="s">
        <v>2610</v>
      </c>
      <c r="M1341" s="209" t="s">
        <v>2718</v>
      </c>
      <c r="N1341" s="209">
        <v>50034616</v>
      </c>
      <c r="O1341" s="209" t="s">
        <v>191</v>
      </c>
      <c r="P1341" s="209">
        <v>5121</v>
      </c>
      <c r="Q1341" s="209" t="s">
        <v>174</v>
      </c>
      <c r="R1341" s="209" t="s">
        <v>175</v>
      </c>
      <c r="S1341" s="209" t="s">
        <v>176</v>
      </c>
      <c r="T1341" s="209" t="s">
        <v>177</v>
      </c>
      <c r="U1341" s="209" t="s">
        <v>178</v>
      </c>
      <c r="V1341" s="209" t="s">
        <v>179</v>
      </c>
      <c r="W1341" s="209" t="s">
        <v>179</v>
      </c>
      <c r="X1341" s="209" t="s">
        <v>180</v>
      </c>
      <c r="Y1341" s="209" t="s">
        <v>180</v>
      </c>
      <c r="Z1341" s="209" t="s">
        <v>2825</v>
      </c>
      <c r="AA1341" s="209" t="s">
        <v>2826</v>
      </c>
      <c r="AB1341" s="209" t="s">
        <v>180</v>
      </c>
      <c r="AC1341" s="209" t="s">
        <v>182</v>
      </c>
      <c r="AD1341" s="209">
        <v>9</v>
      </c>
      <c r="AE1341" s="209">
        <v>2025</v>
      </c>
      <c r="AF1341" s="227">
        <v>45929</v>
      </c>
      <c r="AG1341" s="227">
        <v>45929</v>
      </c>
      <c r="AH1341" s="227">
        <v>45929</v>
      </c>
      <c r="AI1341" s="228">
        <v>426816</v>
      </c>
      <c r="AJ1341" s="228">
        <v>52</v>
      </c>
      <c r="AK1341" s="228">
        <v>426816</v>
      </c>
      <c r="AL1341" s="228">
        <v>52</v>
      </c>
      <c r="AM1341" s="228">
        <v>0</v>
      </c>
      <c r="AN1341" s="228">
        <v>0</v>
      </c>
      <c r="AO1341" s="229">
        <v>40</v>
      </c>
      <c r="AP1341" s="231">
        <v>9</v>
      </c>
      <c r="AQ1341" s="231">
        <v>2025</v>
      </c>
      <c r="AR1341" s="231" t="str">
        <f t="shared" si="199"/>
        <v>09/2025</v>
      </c>
      <c r="AS1341" s="231">
        <f t="shared" si="200"/>
        <v>46.6</v>
      </c>
      <c r="AT1341" s="239">
        <f>IF(G1341="CERVECERIA Y MALTERIA",(AS1341*AK1341/1000000)*(1-VLOOKUP(N1341,FCST!D:I,6,FALSE)),0)</f>
        <v>19.889625600000002</v>
      </c>
      <c r="AU1341" s="232">
        <v>5.0000000000000001E-3</v>
      </c>
      <c r="AV1341" s="239">
        <f t="shared" si="201"/>
        <v>19.989073728000001</v>
      </c>
      <c r="AW1341" s="239">
        <f>(AS1341*AK1341/1000000)*(VLOOKUP(N1341,FCST!D:I,6,FALSE))</f>
        <v>0</v>
      </c>
      <c r="AX1341" s="239">
        <f t="shared" si="202"/>
        <v>0</v>
      </c>
      <c r="AY1341" s="239">
        <f>IF($G1341="CERVECERIA Y MALTERIA.",($AS1341*$AK1341/1000000)*(1-VLOOKUP($N1341,FCST!D:I,6,FALSE)),0)</f>
        <v>0</v>
      </c>
      <c r="AZ1341" s="239">
        <f t="shared" si="203"/>
        <v>0</v>
      </c>
    </row>
    <row r="1342" spans="1:52" x14ac:dyDescent="0.25">
      <c r="A1342" s="209">
        <v>1141826</v>
      </c>
      <c r="B1342" s="209">
        <v>30</v>
      </c>
      <c r="C1342" s="209" t="s">
        <v>2827</v>
      </c>
      <c r="D1342" s="209">
        <v>10</v>
      </c>
      <c r="E1342" s="209">
        <v>10000002</v>
      </c>
      <c r="F1342" s="209">
        <v>20001057</v>
      </c>
      <c r="G1342" s="209" t="s">
        <v>105</v>
      </c>
      <c r="H1342" s="209">
        <v>20001057</v>
      </c>
      <c r="I1342" s="209">
        <v>2</v>
      </c>
      <c r="J1342" s="209" t="s">
        <v>169</v>
      </c>
      <c r="K1342" s="209" t="s">
        <v>2828</v>
      </c>
      <c r="L1342" s="209" t="s">
        <v>2610</v>
      </c>
      <c r="M1342" s="209" t="s">
        <v>2718</v>
      </c>
      <c r="N1342" s="209">
        <v>50035184</v>
      </c>
      <c r="O1342" s="209" t="s">
        <v>672</v>
      </c>
      <c r="P1342" s="209">
        <v>5121</v>
      </c>
      <c r="Q1342" s="209" t="s">
        <v>174</v>
      </c>
      <c r="R1342" s="209" t="s">
        <v>175</v>
      </c>
      <c r="S1342" s="209" t="s">
        <v>176</v>
      </c>
      <c r="T1342" s="209" t="s">
        <v>177</v>
      </c>
      <c r="U1342" s="209" t="s">
        <v>178</v>
      </c>
      <c r="V1342" s="209" t="s">
        <v>179</v>
      </c>
      <c r="W1342" s="209" t="s">
        <v>179</v>
      </c>
      <c r="X1342" s="209" t="s">
        <v>180</v>
      </c>
      <c r="Y1342" s="209" t="s">
        <v>180</v>
      </c>
      <c r="Z1342" s="209" t="s">
        <v>2829</v>
      </c>
      <c r="AA1342" s="209" t="s">
        <v>2830</v>
      </c>
      <c r="AB1342" s="209" t="s">
        <v>180</v>
      </c>
      <c r="AC1342" s="209" t="s">
        <v>182</v>
      </c>
      <c r="AD1342" s="209">
        <v>9</v>
      </c>
      <c r="AE1342" s="209">
        <v>2025</v>
      </c>
      <c r="AF1342" s="227">
        <v>45924</v>
      </c>
      <c r="AG1342" s="227">
        <v>45929</v>
      </c>
      <c r="AH1342" s="227">
        <v>45929</v>
      </c>
      <c r="AI1342" s="228">
        <v>977184</v>
      </c>
      <c r="AJ1342" s="228">
        <v>52</v>
      </c>
      <c r="AK1342" s="228">
        <v>977184</v>
      </c>
      <c r="AL1342" s="228">
        <v>52</v>
      </c>
      <c r="AM1342" s="228">
        <v>0</v>
      </c>
      <c r="AN1342" s="228">
        <v>0</v>
      </c>
      <c r="AO1342" s="229">
        <v>39</v>
      </c>
      <c r="AP1342" s="231">
        <v>9</v>
      </c>
      <c r="AQ1342" s="231">
        <v>2025</v>
      </c>
      <c r="AR1342" s="231" t="str">
        <f t="shared" si="199"/>
        <v>09/2025</v>
      </c>
      <c r="AS1342" s="231">
        <f t="shared" si="200"/>
        <v>19.5</v>
      </c>
      <c r="AT1342" s="239">
        <f>IF(G1342="CERVECERIA Y MALTERIA",(AS1342*AK1342/1000000)*(1-VLOOKUP(N1342,FCST!D:I,6,FALSE)),0)</f>
        <v>19.055088000000001</v>
      </c>
      <c r="AU1342" s="232">
        <v>5.0000000000000001E-3</v>
      </c>
      <c r="AV1342" s="239">
        <f t="shared" si="201"/>
        <v>19.15036344</v>
      </c>
      <c r="AW1342" s="239">
        <f>(AS1342*AK1342/1000000)*(VLOOKUP(N1342,FCST!D:I,6,FALSE))</f>
        <v>0</v>
      </c>
      <c r="AX1342" s="239">
        <f t="shared" si="202"/>
        <v>0</v>
      </c>
      <c r="AY1342" s="239">
        <f>IF($G1342="CERVECERIA Y MALTERIA.",($AS1342*$AK1342/1000000)*(1-VLOOKUP($N1342,FCST!D:I,6,FALSE)),0)</f>
        <v>0</v>
      </c>
      <c r="AZ1342" s="239">
        <f t="shared" si="203"/>
        <v>0</v>
      </c>
    </row>
    <row r="1343" spans="1:52" x14ac:dyDescent="0.25">
      <c r="A1343" s="209">
        <v>1142323</v>
      </c>
      <c r="B1343" s="209">
        <v>10</v>
      </c>
      <c r="C1343" s="209" t="s">
        <v>2831</v>
      </c>
      <c r="D1343" s="209">
        <v>10</v>
      </c>
      <c r="E1343" s="209">
        <v>10000002</v>
      </c>
      <c r="F1343" s="209">
        <v>20001057</v>
      </c>
      <c r="G1343" s="209" t="s">
        <v>105</v>
      </c>
      <c r="H1343" s="209">
        <v>20001057</v>
      </c>
      <c r="I1343" s="209">
        <v>2</v>
      </c>
      <c r="J1343" s="209" t="s">
        <v>169</v>
      </c>
      <c r="K1343" s="209" t="s">
        <v>2832</v>
      </c>
      <c r="L1343" s="209" t="s">
        <v>2610</v>
      </c>
      <c r="M1343" s="209" t="s">
        <v>184</v>
      </c>
      <c r="N1343" s="209">
        <v>50037887</v>
      </c>
      <c r="O1343" s="209" t="s">
        <v>679</v>
      </c>
      <c r="P1343" s="209">
        <v>5121</v>
      </c>
      <c r="Q1343" s="209" t="s">
        <v>174</v>
      </c>
      <c r="R1343" s="209" t="s">
        <v>175</v>
      </c>
      <c r="S1343" s="209" t="s">
        <v>176</v>
      </c>
      <c r="T1343" s="209" t="s">
        <v>177</v>
      </c>
      <c r="U1343" s="209" t="s">
        <v>178</v>
      </c>
      <c r="V1343" s="209" t="s">
        <v>179</v>
      </c>
      <c r="W1343" s="209" t="s">
        <v>179</v>
      </c>
      <c r="X1343" s="209" t="s">
        <v>180</v>
      </c>
      <c r="Y1343" s="209" t="s">
        <v>180</v>
      </c>
      <c r="Z1343" s="209" t="s">
        <v>2833</v>
      </c>
      <c r="AA1343" s="209" t="s">
        <v>2834</v>
      </c>
      <c r="AB1343" s="209" t="s">
        <v>180</v>
      </c>
      <c r="AC1343" s="209" t="s">
        <v>182</v>
      </c>
      <c r="AD1343" s="209">
        <v>9</v>
      </c>
      <c r="AE1343" s="209">
        <v>2025</v>
      </c>
      <c r="AF1343" s="227">
        <v>45926</v>
      </c>
      <c r="AG1343" s="227">
        <v>45929</v>
      </c>
      <c r="AH1343" s="227">
        <v>45929</v>
      </c>
      <c r="AI1343" s="228">
        <v>224928</v>
      </c>
      <c r="AJ1343" s="228">
        <v>22</v>
      </c>
      <c r="AK1343" s="228">
        <v>224928</v>
      </c>
      <c r="AL1343" s="228">
        <v>22</v>
      </c>
      <c r="AM1343" s="228">
        <v>0</v>
      </c>
      <c r="AN1343" s="228">
        <v>0</v>
      </c>
      <c r="AO1343" s="229">
        <v>40</v>
      </c>
      <c r="AP1343" s="231">
        <v>9</v>
      </c>
      <c r="AQ1343" s="231">
        <v>2025</v>
      </c>
      <c r="AR1343" s="231" t="str">
        <f t="shared" si="199"/>
        <v>09/2025</v>
      </c>
      <c r="AS1343" s="231">
        <f t="shared" si="200"/>
        <v>37.200000000000003</v>
      </c>
      <c r="AT1343" s="239">
        <f>IF(G1343="CERVECERIA Y MALTERIA",(AS1343*AK1343/1000000)*(1-VLOOKUP(N1343,FCST!D:I,6,FALSE)),0)</f>
        <v>8.3673216000000004</v>
      </c>
      <c r="AU1343" s="232">
        <v>5.0000000000000001E-3</v>
      </c>
      <c r="AV1343" s="239">
        <f t="shared" si="201"/>
        <v>8.4091582079999991</v>
      </c>
      <c r="AW1343" s="239">
        <f>(AS1343*AK1343/1000000)*(VLOOKUP(N1343,FCST!D:I,6,FALSE))</f>
        <v>0</v>
      </c>
      <c r="AX1343" s="239">
        <f t="shared" si="202"/>
        <v>0</v>
      </c>
      <c r="AY1343" s="239">
        <f>IF($G1343="CERVECERIA Y MALTERIA.",($AS1343*$AK1343/1000000)*(1-VLOOKUP($N1343,FCST!D:I,6,FALSE)),0)</f>
        <v>0</v>
      </c>
      <c r="AZ1343" s="239">
        <f t="shared" si="203"/>
        <v>0</v>
      </c>
    </row>
    <row r="1344" spans="1:52" x14ac:dyDescent="0.25">
      <c r="A1344" s="209">
        <v>1140955</v>
      </c>
      <c r="B1344" s="209">
        <v>70</v>
      </c>
      <c r="C1344" s="209" t="s">
        <v>2835</v>
      </c>
      <c r="D1344" s="209">
        <v>10</v>
      </c>
      <c r="E1344" s="209">
        <v>10000002</v>
      </c>
      <c r="F1344" s="209">
        <v>20000335</v>
      </c>
      <c r="G1344" s="209" t="s">
        <v>105</v>
      </c>
      <c r="H1344" s="209">
        <v>20000335</v>
      </c>
      <c r="I1344" s="209">
        <v>2</v>
      </c>
      <c r="J1344" s="209" t="s">
        <v>169</v>
      </c>
      <c r="K1344" s="209" t="s">
        <v>2836</v>
      </c>
      <c r="L1344" s="209" t="s">
        <v>2610</v>
      </c>
      <c r="M1344" s="209" t="s">
        <v>2718</v>
      </c>
      <c r="N1344" s="209">
        <v>50035183</v>
      </c>
      <c r="O1344" s="209" t="s">
        <v>215</v>
      </c>
      <c r="P1344" s="209">
        <v>5121</v>
      </c>
      <c r="Q1344" s="209" t="s">
        <v>174</v>
      </c>
      <c r="R1344" s="209" t="s">
        <v>175</v>
      </c>
      <c r="S1344" s="209" t="s">
        <v>176</v>
      </c>
      <c r="T1344" s="209" t="s">
        <v>177</v>
      </c>
      <c r="U1344" s="209" t="s">
        <v>178</v>
      </c>
      <c r="V1344" s="209" t="s">
        <v>179</v>
      </c>
      <c r="W1344" s="209" t="s">
        <v>179</v>
      </c>
      <c r="X1344" s="209" t="s">
        <v>180</v>
      </c>
      <c r="Y1344" s="209" t="s">
        <v>180</v>
      </c>
      <c r="Z1344" s="209" t="s">
        <v>2837</v>
      </c>
      <c r="AA1344" s="209" t="s">
        <v>2838</v>
      </c>
      <c r="AB1344" s="209" t="s">
        <v>180</v>
      </c>
      <c r="AC1344" s="209" t="s">
        <v>182</v>
      </c>
      <c r="AD1344" s="209">
        <v>9</v>
      </c>
      <c r="AE1344" s="209">
        <v>2025</v>
      </c>
      <c r="AF1344" s="227">
        <v>45919</v>
      </c>
      <c r="AG1344" s="227">
        <v>45925</v>
      </c>
      <c r="AH1344" s="227">
        <v>45925</v>
      </c>
      <c r="AI1344" s="228">
        <v>426816</v>
      </c>
      <c r="AJ1344" s="228">
        <v>52</v>
      </c>
      <c r="AK1344" s="228">
        <v>426816</v>
      </c>
      <c r="AL1344" s="228">
        <v>52</v>
      </c>
      <c r="AM1344" s="228">
        <v>0</v>
      </c>
      <c r="AN1344" s="228">
        <v>0</v>
      </c>
      <c r="AO1344" s="229">
        <v>39</v>
      </c>
      <c r="AP1344" s="231">
        <v>9</v>
      </c>
      <c r="AQ1344" s="231">
        <v>2025</v>
      </c>
      <c r="AR1344" s="231" t="str">
        <f t="shared" si="199"/>
        <v>09/2025</v>
      </c>
      <c r="AS1344" s="231">
        <f t="shared" si="200"/>
        <v>46.6</v>
      </c>
      <c r="AT1344" s="239">
        <f>IF(G1344="CERVECERIA Y MALTERIA",(AS1344*AK1344/1000000)*(1-VLOOKUP(N1344,FCST!D:I,6,FALSE)),0)</f>
        <v>19.889625600000002</v>
      </c>
      <c r="AU1344" s="232">
        <v>5.0000000000000001E-3</v>
      </c>
      <c r="AV1344" s="239">
        <f t="shared" si="201"/>
        <v>19.989073728000001</v>
      </c>
      <c r="AW1344" s="239">
        <f>(AS1344*AK1344/1000000)*(VLOOKUP(N1344,FCST!D:I,6,FALSE))</f>
        <v>0</v>
      </c>
      <c r="AX1344" s="239">
        <f t="shared" si="202"/>
        <v>0</v>
      </c>
      <c r="AY1344" s="239">
        <f>IF($G1344="CERVECERIA Y MALTERIA.",($AS1344*$AK1344/1000000)*(1-VLOOKUP($N1344,FCST!D:I,6,FALSE)),0)</f>
        <v>0</v>
      </c>
      <c r="AZ1344" s="239">
        <f t="shared" si="203"/>
        <v>0</v>
      </c>
    </row>
    <row r="1345" spans="1:52" x14ac:dyDescent="0.25">
      <c r="A1345" s="209">
        <v>1140957</v>
      </c>
      <c r="B1345" s="209">
        <v>40</v>
      </c>
      <c r="C1345" s="209" t="s">
        <v>2839</v>
      </c>
      <c r="D1345" s="209">
        <v>10</v>
      </c>
      <c r="E1345" s="209">
        <v>10000002</v>
      </c>
      <c r="F1345" s="209">
        <v>20000340</v>
      </c>
      <c r="G1345" s="209" t="s">
        <v>117</v>
      </c>
      <c r="H1345" s="209">
        <v>20000340</v>
      </c>
      <c r="I1345" s="209">
        <v>2</v>
      </c>
      <c r="J1345" s="209" t="s">
        <v>169</v>
      </c>
      <c r="K1345" s="209" t="s">
        <v>2840</v>
      </c>
      <c r="L1345" s="209" t="s">
        <v>2610</v>
      </c>
      <c r="M1345" s="209" t="s">
        <v>184</v>
      </c>
      <c r="N1345" s="209">
        <v>50025163</v>
      </c>
      <c r="O1345" s="209" t="s">
        <v>185</v>
      </c>
      <c r="P1345" s="209">
        <v>5101</v>
      </c>
      <c r="Q1345" s="209" t="s">
        <v>186</v>
      </c>
      <c r="R1345" s="209" t="s">
        <v>175</v>
      </c>
      <c r="S1345" s="209" t="s">
        <v>176</v>
      </c>
      <c r="T1345" s="209" t="s">
        <v>187</v>
      </c>
      <c r="U1345" s="209" t="s">
        <v>188</v>
      </c>
      <c r="V1345" s="209" t="s">
        <v>179</v>
      </c>
      <c r="W1345" s="209" t="s">
        <v>179</v>
      </c>
      <c r="X1345" s="209" t="s">
        <v>180</v>
      </c>
      <c r="Y1345" s="209" t="s">
        <v>180</v>
      </c>
      <c r="Z1345" s="209" t="s">
        <v>2841</v>
      </c>
      <c r="AA1345" s="209" t="s">
        <v>2842</v>
      </c>
      <c r="AB1345" s="209" t="s">
        <v>180</v>
      </c>
      <c r="AC1345" s="209" t="s">
        <v>182</v>
      </c>
      <c r="AD1345" s="209">
        <v>9</v>
      </c>
      <c r="AE1345" s="209">
        <v>2025</v>
      </c>
      <c r="AF1345" s="227">
        <v>45919</v>
      </c>
      <c r="AG1345" s="227">
        <v>45924</v>
      </c>
      <c r="AH1345" s="227">
        <v>45924</v>
      </c>
      <c r="AI1345" s="228">
        <v>606528</v>
      </c>
      <c r="AJ1345" s="228">
        <v>52</v>
      </c>
      <c r="AK1345" s="228">
        <v>606528</v>
      </c>
      <c r="AL1345" s="228">
        <v>52</v>
      </c>
      <c r="AM1345" s="228">
        <v>0</v>
      </c>
      <c r="AN1345" s="228">
        <v>0</v>
      </c>
      <c r="AO1345" s="229">
        <v>39</v>
      </c>
      <c r="AP1345" s="231">
        <v>9</v>
      </c>
      <c r="AQ1345" s="231">
        <v>2025</v>
      </c>
      <c r="AR1345" s="231" t="str">
        <f t="shared" si="199"/>
        <v>09/2025</v>
      </c>
      <c r="AS1345" s="231">
        <f t="shared" si="200"/>
        <v>30</v>
      </c>
      <c r="AT1345" s="239">
        <f>IF(G1345="CERVECERIA Y MALTERIA",(AS1345*AK1345/1000000)*(1-VLOOKUP(N1345,FCST!D:I,6,FALSE)),0)</f>
        <v>0</v>
      </c>
      <c r="AU1345" s="232">
        <v>5.0000000000000001E-3</v>
      </c>
      <c r="AV1345" s="239">
        <f t="shared" si="201"/>
        <v>0</v>
      </c>
      <c r="AW1345" s="239">
        <f>(AS1345*AK1345/1000000)*(VLOOKUP(N1345,FCST!D:I,6,FALSE))</f>
        <v>0</v>
      </c>
      <c r="AX1345" s="239">
        <f t="shared" si="202"/>
        <v>0</v>
      </c>
      <c r="AY1345" s="239">
        <f>IF($G1345="CERVECERIA Y MALTERIA.",($AS1345*$AK1345/1000000)*(1-VLOOKUP($N1345,FCST!D:I,6,FALSE)),0)</f>
        <v>18.19584</v>
      </c>
      <c r="AZ1345" s="239">
        <f t="shared" si="203"/>
        <v>18.2868192</v>
      </c>
    </row>
    <row r="1346" spans="1:52" x14ac:dyDescent="0.25">
      <c r="A1346" s="209">
        <v>1140910</v>
      </c>
      <c r="B1346" s="209">
        <v>30</v>
      </c>
      <c r="C1346" s="209" t="s">
        <v>2843</v>
      </c>
      <c r="D1346" s="209">
        <v>10</v>
      </c>
      <c r="E1346" s="209">
        <v>10000002</v>
      </c>
      <c r="F1346" s="209">
        <v>20000337</v>
      </c>
      <c r="G1346" s="209" t="s">
        <v>105</v>
      </c>
      <c r="H1346" s="209">
        <v>20000337</v>
      </c>
      <c r="I1346" s="209">
        <v>2</v>
      </c>
      <c r="J1346" s="209" t="s">
        <v>169</v>
      </c>
      <c r="K1346" s="209" t="s">
        <v>2844</v>
      </c>
      <c r="L1346" s="209" t="s">
        <v>2610</v>
      </c>
      <c r="M1346" s="209" t="s">
        <v>2718</v>
      </c>
      <c r="N1346" s="209">
        <v>50035135</v>
      </c>
      <c r="O1346" s="209" t="s">
        <v>2730</v>
      </c>
      <c r="P1346" s="209">
        <v>5121</v>
      </c>
      <c r="Q1346" s="209" t="s">
        <v>174</v>
      </c>
      <c r="R1346" s="209" t="s">
        <v>175</v>
      </c>
      <c r="S1346" s="209" t="s">
        <v>176</v>
      </c>
      <c r="T1346" s="209" t="s">
        <v>177</v>
      </c>
      <c r="U1346" s="209" t="s">
        <v>178</v>
      </c>
      <c r="V1346" s="209" t="s">
        <v>179</v>
      </c>
      <c r="W1346" s="209" t="s">
        <v>179</v>
      </c>
      <c r="X1346" s="209" t="s">
        <v>180</v>
      </c>
      <c r="Y1346" s="209" t="s">
        <v>180</v>
      </c>
      <c r="Z1346" s="209" t="s">
        <v>2845</v>
      </c>
      <c r="AA1346" s="209" t="s">
        <v>2846</v>
      </c>
      <c r="AB1346" s="209" t="s">
        <v>180</v>
      </c>
      <c r="AC1346" s="209" t="s">
        <v>182</v>
      </c>
      <c r="AD1346" s="209">
        <v>9</v>
      </c>
      <c r="AE1346" s="209">
        <v>2025</v>
      </c>
      <c r="AF1346" s="227">
        <v>45919</v>
      </c>
      <c r="AG1346" s="227">
        <v>45924</v>
      </c>
      <c r="AH1346" s="227">
        <v>45924</v>
      </c>
      <c r="AI1346" s="228">
        <v>374784</v>
      </c>
      <c r="AJ1346" s="228">
        <v>48</v>
      </c>
      <c r="AK1346" s="228">
        <v>406016</v>
      </c>
      <c r="AL1346" s="228">
        <v>52</v>
      </c>
      <c r="AM1346" s="228">
        <v>0</v>
      </c>
      <c r="AN1346" s="228">
        <v>0</v>
      </c>
      <c r="AO1346" s="229">
        <v>39</v>
      </c>
      <c r="AP1346" s="231">
        <v>9</v>
      </c>
      <c r="AQ1346" s="231">
        <v>2025</v>
      </c>
      <c r="AR1346" s="231" t="str">
        <f t="shared" si="199"/>
        <v>09/2025</v>
      </c>
      <c r="AS1346" s="231">
        <f t="shared" si="200"/>
        <v>46.6</v>
      </c>
      <c r="AT1346" s="239">
        <f>IF(G1346="CERVECERIA Y MALTERIA",(AS1346*AK1346/1000000)*(1-VLOOKUP(N1346,FCST!D:I,6,FALSE)),0)</f>
        <v>18.920345600000001</v>
      </c>
      <c r="AU1346" s="232">
        <v>5.0000000000000001E-3</v>
      </c>
      <c r="AV1346" s="239">
        <f t="shared" si="201"/>
        <v>19.014947327999998</v>
      </c>
      <c r="AW1346" s="239">
        <f>(AS1346*AK1346/1000000)*(VLOOKUP(N1346,FCST!D:I,6,FALSE))</f>
        <v>0</v>
      </c>
      <c r="AX1346" s="239">
        <f t="shared" si="202"/>
        <v>0</v>
      </c>
      <c r="AY1346" s="239">
        <f>IF($G1346="CERVECERIA Y MALTERIA.",($AS1346*$AK1346/1000000)*(1-VLOOKUP($N1346,FCST!D:I,6,FALSE)),0)</f>
        <v>0</v>
      </c>
      <c r="AZ1346" s="239">
        <f t="shared" si="203"/>
        <v>0</v>
      </c>
    </row>
    <row r="1347" spans="1:52" x14ac:dyDescent="0.25">
      <c r="A1347" s="209">
        <v>1140957</v>
      </c>
      <c r="B1347" s="209">
        <v>30</v>
      </c>
      <c r="C1347" s="209" t="s">
        <v>2847</v>
      </c>
      <c r="D1347" s="209">
        <v>10</v>
      </c>
      <c r="E1347" s="209">
        <v>10000002</v>
      </c>
      <c r="F1347" s="209">
        <v>20000340</v>
      </c>
      <c r="G1347" s="209" t="s">
        <v>117</v>
      </c>
      <c r="H1347" s="209">
        <v>20000340</v>
      </c>
      <c r="I1347" s="209">
        <v>2</v>
      </c>
      <c r="J1347" s="209" t="s">
        <v>169</v>
      </c>
      <c r="K1347" s="209" t="s">
        <v>2848</v>
      </c>
      <c r="L1347" s="209" t="s">
        <v>2610</v>
      </c>
      <c r="M1347" s="209" t="s">
        <v>2718</v>
      </c>
      <c r="N1347" s="209">
        <v>50025163</v>
      </c>
      <c r="O1347" s="209" t="s">
        <v>185</v>
      </c>
      <c r="P1347" s="209">
        <v>5101</v>
      </c>
      <c r="Q1347" s="209" t="s">
        <v>186</v>
      </c>
      <c r="R1347" s="209" t="s">
        <v>175</v>
      </c>
      <c r="S1347" s="209" t="s">
        <v>176</v>
      </c>
      <c r="T1347" s="209" t="s">
        <v>187</v>
      </c>
      <c r="U1347" s="209" t="s">
        <v>188</v>
      </c>
      <c r="V1347" s="209" t="s">
        <v>179</v>
      </c>
      <c r="W1347" s="209" t="s">
        <v>179</v>
      </c>
      <c r="X1347" s="209" t="s">
        <v>180</v>
      </c>
      <c r="Y1347" s="209" t="s">
        <v>180</v>
      </c>
      <c r="Z1347" s="209" t="s">
        <v>2841</v>
      </c>
      <c r="AA1347" s="209" t="s">
        <v>2842</v>
      </c>
      <c r="AB1347" s="209" t="s">
        <v>180</v>
      </c>
      <c r="AC1347" s="209" t="s">
        <v>182</v>
      </c>
      <c r="AD1347" s="209">
        <v>9</v>
      </c>
      <c r="AE1347" s="209">
        <v>2025</v>
      </c>
      <c r="AF1347" s="227">
        <v>45919</v>
      </c>
      <c r="AG1347" s="227">
        <v>45924</v>
      </c>
      <c r="AH1347" s="227">
        <v>45924</v>
      </c>
      <c r="AI1347" s="228">
        <v>606528</v>
      </c>
      <c r="AJ1347" s="228">
        <v>52</v>
      </c>
      <c r="AK1347" s="228">
        <v>606528</v>
      </c>
      <c r="AL1347" s="228">
        <v>52</v>
      </c>
      <c r="AM1347" s="228">
        <v>0</v>
      </c>
      <c r="AN1347" s="228">
        <v>0</v>
      </c>
      <c r="AO1347" s="229">
        <v>39</v>
      </c>
      <c r="AP1347" s="231">
        <v>9</v>
      </c>
      <c r="AQ1347" s="231">
        <v>2025</v>
      </c>
      <c r="AR1347" s="231" t="str">
        <f t="shared" si="199"/>
        <v>09/2025</v>
      </c>
      <c r="AS1347" s="231">
        <f t="shared" si="200"/>
        <v>30</v>
      </c>
      <c r="AT1347" s="239">
        <f>IF(G1347="CERVECERIA Y MALTERIA",(AS1347*AK1347/1000000)*(1-VLOOKUP(N1347,FCST!D:I,6,FALSE)),0)</f>
        <v>0</v>
      </c>
      <c r="AU1347" s="232">
        <v>5.0000000000000001E-3</v>
      </c>
      <c r="AV1347" s="239">
        <f t="shared" si="201"/>
        <v>0</v>
      </c>
      <c r="AW1347" s="239">
        <f>(AS1347*AK1347/1000000)*(VLOOKUP(N1347,FCST!D:I,6,FALSE))</f>
        <v>0</v>
      </c>
      <c r="AX1347" s="239">
        <f t="shared" si="202"/>
        <v>0</v>
      </c>
      <c r="AY1347" s="239">
        <f>IF($G1347="CERVECERIA Y MALTERIA.",($AS1347*$AK1347/1000000)*(1-VLOOKUP($N1347,FCST!D:I,6,FALSE)),0)</f>
        <v>18.19584</v>
      </c>
      <c r="AZ1347" s="239">
        <f t="shared" si="203"/>
        <v>18.2868192</v>
      </c>
    </row>
    <row r="1348" spans="1:52" x14ac:dyDescent="0.25">
      <c r="A1348" s="209">
        <v>1140910</v>
      </c>
      <c r="B1348" s="209">
        <v>40</v>
      </c>
      <c r="C1348" s="209" t="s">
        <v>2849</v>
      </c>
      <c r="D1348" s="209">
        <v>10</v>
      </c>
      <c r="E1348" s="209">
        <v>10000002</v>
      </c>
      <c r="F1348" s="209">
        <v>20000337</v>
      </c>
      <c r="G1348" s="209" t="s">
        <v>105</v>
      </c>
      <c r="H1348" s="209">
        <v>20000337</v>
      </c>
      <c r="I1348" s="209">
        <v>2</v>
      </c>
      <c r="J1348" s="209" t="s">
        <v>169</v>
      </c>
      <c r="K1348" s="209" t="s">
        <v>2850</v>
      </c>
      <c r="L1348" s="209" t="s">
        <v>2610</v>
      </c>
      <c r="M1348" s="209" t="s">
        <v>2718</v>
      </c>
      <c r="N1348" s="209">
        <v>50035135</v>
      </c>
      <c r="O1348" s="209" t="s">
        <v>2730</v>
      </c>
      <c r="P1348" s="209">
        <v>5121</v>
      </c>
      <c r="Q1348" s="209" t="s">
        <v>174</v>
      </c>
      <c r="R1348" s="209" t="s">
        <v>175</v>
      </c>
      <c r="S1348" s="209" t="s">
        <v>176</v>
      </c>
      <c r="T1348" s="209" t="s">
        <v>177</v>
      </c>
      <c r="U1348" s="209" t="s">
        <v>178</v>
      </c>
      <c r="V1348" s="209" t="s">
        <v>179</v>
      </c>
      <c r="W1348" s="209" t="s">
        <v>179</v>
      </c>
      <c r="X1348" s="209" t="s">
        <v>180</v>
      </c>
      <c r="Y1348" s="209" t="s">
        <v>180</v>
      </c>
      <c r="Z1348" s="209" t="s">
        <v>2851</v>
      </c>
      <c r="AA1348" s="209" t="s">
        <v>2852</v>
      </c>
      <c r="AB1348" s="209" t="s">
        <v>180</v>
      </c>
      <c r="AC1348" s="209" t="s">
        <v>182</v>
      </c>
      <c r="AD1348" s="209">
        <v>9</v>
      </c>
      <c r="AE1348" s="209">
        <v>2025</v>
      </c>
      <c r="AF1348" s="227">
        <v>45919</v>
      </c>
      <c r="AG1348" s="227">
        <v>45927</v>
      </c>
      <c r="AH1348" s="227">
        <v>45927</v>
      </c>
      <c r="AI1348" s="228">
        <v>406016</v>
      </c>
      <c r="AJ1348" s="228">
        <v>52</v>
      </c>
      <c r="AK1348" s="228">
        <v>406016</v>
      </c>
      <c r="AL1348" s="228">
        <v>52</v>
      </c>
      <c r="AM1348" s="228">
        <v>0</v>
      </c>
      <c r="AN1348" s="228">
        <v>0</v>
      </c>
      <c r="AO1348" s="229">
        <v>39</v>
      </c>
      <c r="AP1348" s="231">
        <v>9</v>
      </c>
      <c r="AQ1348" s="231">
        <v>2025</v>
      </c>
      <c r="AR1348" s="231" t="str">
        <f t="shared" si="199"/>
        <v>09/2025</v>
      </c>
      <c r="AS1348" s="231">
        <f t="shared" si="200"/>
        <v>46.6</v>
      </c>
      <c r="AT1348" s="239">
        <f>IF(G1348="CERVECERIA Y MALTERIA",(AS1348*AK1348/1000000)*(1-VLOOKUP(N1348,FCST!D:I,6,FALSE)),0)</f>
        <v>18.920345600000001</v>
      </c>
      <c r="AU1348" s="232">
        <v>5.0000000000000001E-3</v>
      </c>
      <c r="AV1348" s="239">
        <f t="shared" si="201"/>
        <v>19.014947327999998</v>
      </c>
      <c r="AW1348" s="239">
        <f>(AS1348*AK1348/1000000)*(VLOOKUP(N1348,FCST!D:I,6,FALSE))</f>
        <v>0</v>
      </c>
      <c r="AX1348" s="239">
        <f t="shared" si="202"/>
        <v>0</v>
      </c>
      <c r="AY1348" s="239">
        <f>IF($G1348="CERVECERIA Y MALTERIA.",($AS1348*$AK1348/1000000)*(1-VLOOKUP($N1348,FCST!D:I,6,FALSE)),0)</f>
        <v>0</v>
      </c>
      <c r="AZ1348" s="239">
        <f t="shared" si="203"/>
        <v>0</v>
      </c>
    </row>
    <row r="1349" spans="1:52" x14ac:dyDescent="0.25">
      <c r="A1349" s="209">
        <v>1140955</v>
      </c>
      <c r="B1349" s="209">
        <v>80</v>
      </c>
      <c r="C1349" s="209" t="s">
        <v>2853</v>
      </c>
      <c r="D1349" s="209">
        <v>10</v>
      </c>
      <c r="E1349" s="209">
        <v>10000002</v>
      </c>
      <c r="F1349" s="209">
        <v>20000335</v>
      </c>
      <c r="G1349" s="209" t="s">
        <v>105</v>
      </c>
      <c r="H1349" s="209">
        <v>20000335</v>
      </c>
      <c r="I1349" s="209">
        <v>2</v>
      </c>
      <c r="J1349" s="209" t="s">
        <v>169</v>
      </c>
      <c r="K1349" s="209" t="s">
        <v>2854</v>
      </c>
      <c r="L1349" s="209" t="s">
        <v>2610</v>
      </c>
      <c r="M1349" s="209" t="s">
        <v>184</v>
      </c>
      <c r="N1349" s="209">
        <v>50035183</v>
      </c>
      <c r="O1349" s="209" t="s">
        <v>215</v>
      </c>
      <c r="P1349" s="209">
        <v>5121</v>
      </c>
      <c r="Q1349" s="209" t="s">
        <v>174</v>
      </c>
      <c r="R1349" s="209" t="s">
        <v>175</v>
      </c>
      <c r="S1349" s="209" t="s">
        <v>176</v>
      </c>
      <c r="T1349" s="209" t="s">
        <v>177</v>
      </c>
      <c r="U1349" s="209" t="s">
        <v>178</v>
      </c>
      <c r="V1349" s="209" t="s">
        <v>179</v>
      </c>
      <c r="W1349" s="209" t="s">
        <v>179</v>
      </c>
      <c r="X1349" s="209" t="s">
        <v>180</v>
      </c>
      <c r="Y1349" s="209" t="s">
        <v>180</v>
      </c>
      <c r="Z1349" s="209" t="s">
        <v>2855</v>
      </c>
      <c r="AA1349" s="209" t="s">
        <v>2856</v>
      </c>
      <c r="AB1349" s="209" t="s">
        <v>180</v>
      </c>
      <c r="AC1349" s="209" t="s">
        <v>182</v>
      </c>
      <c r="AD1349" s="209">
        <v>9</v>
      </c>
      <c r="AE1349" s="209">
        <v>2025</v>
      </c>
      <c r="AF1349" s="227">
        <v>45919</v>
      </c>
      <c r="AG1349" s="227">
        <v>45926</v>
      </c>
      <c r="AH1349" s="227">
        <v>45926</v>
      </c>
      <c r="AI1349" s="228">
        <v>426816</v>
      </c>
      <c r="AJ1349" s="228">
        <v>52</v>
      </c>
      <c r="AK1349" s="228">
        <v>426816</v>
      </c>
      <c r="AL1349" s="228">
        <v>52</v>
      </c>
      <c r="AM1349" s="228">
        <v>0</v>
      </c>
      <c r="AN1349" s="228">
        <v>0</v>
      </c>
      <c r="AO1349" s="229">
        <v>39</v>
      </c>
      <c r="AP1349" s="231">
        <v>9</v>
      </c>
      <c r="AQ1349" s="231">
        <v>2025</v>
      </c>
      <c r="AR1349" s="231" t="str">
        <f t="shared" si="199"/>
        <v>09/2025</v>
      </c>
      <c r="AS1349" s="231">
        <f t="shared" si="200"/>
        <v>46.6</v>
      </c>
      <c r="AT1349" s="239">
        <f>IF(G1349="CERVECERIA Y MALTERIA",(AS1349*AK1349/1000000)*(1-VLOOKUP(N1349,FCST!D:I,6,FALSE)),0)</f>
        <v>19.889625600000002</v>
      </c>
      <c r="AU1349" s="232">
        <v>5.0000000000000001E-3</v>
      </c>
      <c r="AV1349" s="239">
        <f t="shared" si="201"/>
        <v>19.989073728000001</v>
      </c>
      <c r="AW1349" s="239">
        <f>(AS1349*AK1349/1000000)*(VLOOKUP(N1349,FCST!D:I,6,FALSE))</f>
        <v>0</v>
      </c>
      <c r="AX1349" s="239">
        <f t="shared" si="202"/>
        <v>0</v>
      </c>
      <c r="AY1349" s="239">
        <f>IF($G1349="CERVECERIA Y MALTERIA.",($AS1349*$AK1349/1000000)*(1-VLOOKUP($N1349,FCST!D:I,6,FALSE)),0)</f>
        <v>0</v>
      </c>
      <c r="AZ1349" s="239">
        <f t="shared" si="203"/>
        <v>0</v>
      </c>
    </row>
    <row r="1350" spans="1:52" x14ac:dyDescent="0.25">
      <c r="A1350" s="209">
        <v>1140955</v>
      </c>
      <c r="B1350" s="209">
        <v>100</v>
      </c>
      <c r="C1350" s="209" t="s">
        <v>2857</v>
      </c>
      <c r="D1350" s="209">
        <v>10</v>
      </c>
      <c r="E1350" s="209">
        <v>10000002</v>
      </c>
      <c r="F1350" s="209">
        <v>20000335</v>
      </c>
      <c r="G1350" s="209" t="s">
        <v>105</v>
      </c>
      <c r="H1350" s="209">
        <v>20000335</v>
      </c>
      <c r="I1350" s="209">
        <v>2</v>
      </c>
      <c r="J1350" s="209" t="s">
        <v>169</v>
      </c>
      <c r="K1350" s="209" t="s">
        <v>2858</v>
      </c>
      <c r="L1350" s="209" t="s">
        <v>2610</v>
      </c>
      <c r="M1350" s="209" t="s">
        <v>2718</v>
      </c>
      <c r="N1350" s="209">
        <v>50035184</v>
      </c>
      <c r="O1350" s="209" t="s">
        <v>672</v>
      </c>
      <c r="P1350" s="209">
        <v>5121</v>
      </c>
      <c r="Q1350" s="209" t="s">
        <v>174</v>
      </c>
      <c r="R1350" s="209" t="s">
        <v>175</v>
      </c>
      <c r="S1350" s="209" t="s">
        <v>176</v>
      </c>
      <c r="T1350" s="209" t="s">
        <v>177</v>
      </c>
      <c r="U1350" s="209" t="s">
        <v>178</v>
      </c>
      <c r="V1350" s="209" t="s">
        <v>179</v>
      </c>
      <c r="W1350" s="209" t="s">
        <v>179</v>
      </c>
      <c r="X1350" s="209" t="s">
        <v>180</v>
      </c>
      <c r="Y1350" s="209" t="s">
        <v>180</v>
      </c>
      <c r="Z1350" s="209" t="s">
        <v>2859</v>
      </c>
      <c r="AA1350" s="209" t="s">
        <v>2860</v>
      </c>
      <c r="AB1350" s="209" t="s">
        <v>180</v>
      </c>
      <c r="AC1350" s="209" t="s">
        <v>182</v>
      </c>
      <c r="AD1350" s="209">
        <v>9</v>
      </c>
      <c r="AE1350" s="209">
        <v>2025</v>
      </c>
      <c r="AF1350" s="227">
        <v>45919</v>
      </c>
      <c r="AG1350" s="227">
        <v>45926</v>
      </c>
      <c r="AH1350" s="227">
        <v>45926</v>
      </c>
      <c r="AI1350" s="228">
        <v>977184</v>
      </c>
      <c r="AJ1350" s="228">
        <v>52</v>
      </c>
      <c r="AK1350" s="228">
        <v>977184</v>
      </c>
      <c r="AL1350" s="228">
        <v>52</v>
      </c>
      <c r="AM1350" s="228">
        <v>0</v>
      </c>
      <c r="AN1350" s="228">
        <v>0</v>
      </c>
      <c r="AO1350" s="229">
        <v>39</v>
      </c>
      <c r="AP1350" s="231">
        <v>9</v>
      </c>
      <c r="AQ1350" s="231">
        <v>2025</v>
      </c>
      <c r="AR1350" s="231" t="str">
        <f t="shared" si="199"/>
        <v>09/2025</v>
      </c>
      <c r="AS1350" s="231">
        <f t="shared" si="200"/>
        <v>19.5</v>
      </c>
      <c r="AT1350" s="239">
        <f>IF(G1350="CERVECERIA Y MALTERIA",(AS1350*AK1350/1000000)*(1-VLOOKUP(N1350,FCST!D:I,6,FALSE)),0)</f>
        <v>19.055088000000001</v>
      </c>
      <c r="AU1350" s="232">
        <v>5.0000000000000001E-3</v>
      </c>
      <c r="AV1350" s="239">
        <f t="shared" si="201"/>
        <v>19.15036344</v>
      </c>
      <c r="AW1350" s="239">
        <f>(AS1350*AK1350/1000000)*(VLOOKUP(N1350,FCST!D:I,6,FALSE))</f>
        <v>0</v>
      </c>
      <c r="AX1350" s="239">
        <f t="shared" si="202"/>
        <v>0</v>
      </c>
      <c r="AY1350" s="239">
        <f>IF($G1350="CERVECERIA Y MALTERIA.",($AS1350*$AK1350/1000000)*(1-VLOOKUP($N1350,FCST!D:I,6,FALSE)),0)</f>
        <v>0</v>
      </c>
      <c r="AZ1350" s="239">
        <f t="shared" si="203"/>
        <v>0</v>
      </c>
    </row>
    <row r="1351" spans="1:52" x14ac:dyDescent="0.25">
      <c r="A1351" s="209">
        <v>1140955</v>
      </c>
      <c r="B1351" s="209">
        <v>40</v>
      </c>
      <c r="C1351" s="209" t="s">
        <v>2861</v>
      </c>
      <c r="D1351" s="209">
        <v>10</v>
      </c>
      <c r="E1351" s="209">
        <v>10000002</v>
      </c>
      <c r="F1351" s="209">
        <v>20000335</v>
      </c>
      <c r="G1351" s="209" t="s">
        <v>105</v>
      </c>
      <c r="H1351" s="209">
        <v>20000335</v>
      </c>
      <c r="I1351" s="209">
        <v>2</v>
      </c>
      <c r="J1351" s="209" t="s">
        <v>169</v>
      </c>
      <c r="K1351" s="209" t="s">
        <v>2862</v>
      </c>
      <c r="L1351" s="209" t="s">
        <v>2610</v>
      </c>
      <c r="M1351" s="209" t="s">
        <v>2718</v>
      </c>
      <c r="N1351" s="209">
        <v>50037887</v>
      </c>
      <c r="O1351" s="209" t="s">
        <v>679</v>
      </c>
      <c r="P1351" s="209">
        <v>5121</v>
      </c>
      <c r="Q1351" s="209" t="s">
        <v>174</v>
      </c>
      <c r="R1351" s="209" t="s">
        <v>175</v>
      </c>
      <c r="S1351" s="209" t="s">
        <v>176</v>
      </c>
      <c r="T1351" s="209" t="s">
        <v>177</v>
      </c>
      <c r="U1351" s="209" t="s">
        <v>178</v>
      </c>
      <c r="V1351" s="209" t="s">
        <v>179</v>
      </c>
      <c r="W1351" s="209" t="s">
        <v>179</v>
      </c>
      <c r="X1351" s="209" t="s">
        <v>180</v>
      </c>
      <c r="Y1351" s="209" t="s">
        <v>180</v>
      </c>
      <c r="Z1351" s="209" t="s">
        <v>2863</v>
      </c>
      <c r="AA1351" s="209" t="s">
        <v>2864</v>
      </c>
      <c r="AB1351" s="209" t="s">
        <v>180</v>
      </c>
      <c r="AC1351" s="209" t="s">
        <v>182</v>
      </c>
      <c r="AD1351" s="209">
        <v>9</v>
      </c>
      <c r="AE1351" s="209">
        <v>2025</v>
      </c>
      <c r="AF1351" s="227">
        <v>45919</v>
      </c>
      <c r="AG1351" s="227">
        <v>45925</v>
      </c>
      <c r="AH1351" s="227">
        <v>45926</v>
      </c>
      <c r="AI1351" s="228">
        <v>531648</v>
      </c>
      <c r="AJ1351" s="228">
        <v>52</v>
      </c>
      <c r="AK1351" s="228">
        <v>531648</v>
      </c>
      <c r="AL1351" s="228">
        <v>52</v>
      </c>
      <c r="AM1351" s="228">
        <v>0</v>
      </c>
      <c r="AN1351" s="228">
        <v>0</v>
      </c>
      <c r="AO1351" s="229">
        <v>39</v>
      </c>
      <c r="AP1351" s="231">
        <v>9</v>
      </c>
      <c r="AQ1351" s="231">
        <v>2025</v>
      </c>
      <c r="AR1351" s="231" t="str">
        <f t="shared" si="199"/>
        <v>09/2025</v>
      </c>
      <c r="AS1351" s="231">
        <f t="shared" si="200"/>
        <v>37.200000000000003</v>
      </c>
      <c r="AT1351" s="239">
        <f>IF(G1351="CERVECERIA Y MALTERIA",(AS1351*AK1351/1000000)*(1-VLOOKUP(N1351,FCST!D:I,6,FALSE)),0)</f>
        <v>19.777305600000002</v>
      </c>
      <c r="AU1351" s="232">
        <v>5.0000000000000001E-3</v>
      </c>
      <c r="AV1351" s="239">
        <f t="shared" si="201"/>
        <v>19.876192128</v>
      </c>
      <c r="AW1351" s="239">
        <f>(AS1351*AK1351/1000000)*(VLOOKUP(N1351,FCST!D:I,6,FALSE))</f>
        <v>0</v>
      </c>
      <c r="AX1351" s="239">
        <f t="shared" si="202"/>
        <v>0</v>
      </c>
      <c r="AY1351" s="239">
        <f>IF($G1351="CERVECERIA Y MALTERIA.",($AS1351*$AK1351/1000000)*(1-VLOOKUP($N1351,FCST!D:I,6,FALSE)),0)</f>
        <v>0</v>
      </c>
      <c r="AZ1351" s="239">
        <f t="shared" si="203"/>
        <v>0</v>
      </c>
    </row>
    <row r="1352" spans="1:52" x14ac:dyDescent="0.25">
      <c r="A1352" s="209">
        <v>1136933</v>
      </c>
      <c r="B1352" s="209">
        <v>100</v>
      </c>
      <c r="C1352" s="209" t="s">
        <v>2865</v>
      </c>
      <c r="D1352" s="209">
        <v>10</v>
      </c>
      <c r="E1352" s="209">
        <v>10000002</v>
      </c>
      <c r="F1352" s="209">
        <v>20000335</v>
      </c>
      <c r="G1352" s="209" t="s">
        <v>105</v>
      </c>
      <c r="H1352" s="209">
        <v>20000335</v>
      </c>
      <c r="I1352" s="209">
        <v>2</v>
      </c>
      <c r="J1352" s="209" t="s">
        <v>169</v>
      </c>
      <c r="K1352" s="209" t="s">
        <v>2866</v>
      </c>
      <c r="L1352" s="209" t="s">
        <v>2610</v>
      </c>
      <c r="M1352" s="209" t="s">
        <v>2718</v>
      </c>
      <c r="N1352" s="209">
        <v>50035183</v>
      </c>
      <c r="O1352" s="209" t="s">
        <v>215</v>
      </c>
      <c r="P1352" s="209">
        <v>5121</v>
      </c>
      <c r="Q1352" s="209" t="s">
        <v>174</v>
      </c>
      <c r="R1352" s="209" t="s">
        <v>175</v>
      </c>
      <c r="S1352" s="209" t="s">
        <v>176</v>
      </c>
      <c r="T1352" s="209" t="s">
        <v>177</v>
      </c>
      <c r="U1352" s="209" t="s">
        <v>178</v>
      </c>
      <c r="V1352" s="209" t="s">
        <v>179</v>
      </c>
      <c r="W1352" s="209" t="s">
        <v>179</v>
      </c>
      <c r="X1352" s="209" t="s">
        <v>180</v>
      </c>
      <c r="Y1352" s="209" t="s">
        <v>180</v>
      </c>
      <c r="Z1352" s="209" t="s">
        <v>2867</v>
      </c>
      <c r="AA1352" s="209" t="s">
        <v>2868</v>
      </c>
      <c r="AB1352" s="209" t="s">
        <v>180</v>
      </c>
      <c r="AC1352" s="209" t="s">
        <v>182</v>
      </c>
      <c r="AD1352" s="209">
        <v>9</v>
      </c>
      <c r="AE1352" s="209">
        <v>2025</v>
      </c>
      <c r="AF1352" s="227">
        <v>45897</v>
      </c>
      <c r="AG1352" s="227">
        <v>45905</v>
      </c>
      <c r="AH1352" s="227">
        <v>45905</v>
      </c>
      <c r="AI1352" s="228">
        <v>262656</v>
      </c>
      <c r="AJ1352" s="228">
        <v>32</v>
      </c>
      <c r="AK1352" s="228">
        <v>262656</v>
      </c>
      <c r="AL1352" s="228">
        <v>32</v>
      </c>
      <c r="AM1352" s="228">
        <v>0</v>
      </c>
      <c r="AN1352" s="228">
        <v>0</v>
      </c>
      <c r="AO1352" s="229">
        <v>36</v>
      </c>
      <c r="AP1352" s="231">
        <v>9</v>
      </c>
      <c r="AQ1352" s="231">
        <v>2025</v>
      </c>
      <c r="AR1352" s="231" t="str">
        <f t="shared" si="199"/>
        <v>09/2025</v>
      </c>
      <c r="AS1352" s="231">
        <f t="shared" si="200"/>
        <v>46.6</v>
      </c>
      <c r="AT1352" s="239">
        <f>IF(G1352="CERVECERIA Y MALTERIA",(AS1352*AK1352/1000000)*(1-VLOOKUP(N1352,FCST!D:I,6,FALSE)),0)</f>
        <v>12.239769599999999</v>
      </c>
      <c r="AU1352" s="232">
        <v>5.0000000000000001E-3</v>
      </c>
      <c r="AV1352" s="239">
        <f t="shared" si="201"/>
        <v>12.300968447999997</v>
      </c>
      <c r="AW1352" s="239">
        <f>(AS1352*AK1352/1000000)*(VLOOKUP(N1352,FCST!D:I,6,FALSE))</f>
        <v>0</v>
      </c>
      <c r="AX1352" s="239">
        <f t="shared" si="202"/>
        <v>0</v>
      </c>
      <c r="AY1352" s="239">
        <f>IF($G1352="CERVECERIA Y MALTERIA.",($AS1352*$AK1352/1000000)*(1-VLOOKUP($N1352,FCST!D:I,6,FALSE)),0)</f>
        <v>0</v>
      </c>
      <c r="AZ1352" s="239">
        <f t="shared" si="203"/>
        <v>0</v>
      </c>
    </row>
    <row r="1353" spans="1:52" x14ac:dyDescent="0.25">
      <c r="A1353" s="209">
        <v>1137593</v>
      </c>
      <c r="B1353" s="209">
        <v>20</v>
      </c>
      <c r="C1353" s="209" t="s">
        <v>2869</v>
      </c>
      <c r="D1353" s="209">
        <v>10</v>
      </c>
      <c r="E1353" s="209">
        <v>10000002</v>
      </c>
      <c r="F1353" s="209">
        <v>20000340</v>
      </c>
      <c r="G1353" s="209" t="s">
        <v>117</v>
      </c>
      <c r="H1353" s="209">
        <v>20000340</v>
      </c>
      <c r="I1353" s="209">
        <v>2</v>
      </c>
      <c r="J1353" s="209" t="s">
        <v>169</v>
      </c>
      <c r="K1353" s="209" t="s">
        <v>2870</v>
      </c>
      <c r="L1353" s="209" t="s">
        <v>2610</v>
      </c>
      <c r="M1353" s="209" t="s">
        <v>2718</v>
      </c>
      <c r="N1353" s="209">
        <v>50039856</v>
      </c>
      <c r="O1353" s="209" t="s">
        <v>2871</v>
      </c>
      <c r="P1353" s="209">
        <v>5101</v>
      </c>
      <c r="Q1353" s="209" t="s">
        <v>186</v>
      </c>
      <c r="R1353" s="209" t="s">
        <v>175</v>
      </c>
      <c r="S1353" s="209" t="s">
        <v>176</v>
      </c>
      <c r="T1353" s="209" t="s">
        <v>187</v>
      </c>
      <c r="U1353" s="209" t="s">
        <v>188</v>
      </c>
      <c r="V1353" s="209" t="s">
        <v>179</v>
      </c>
      <c r="W1353" s="209" t="s">
        <v>179</v>
      </c>
      <c r="X1353" s="209" t="s">
        <v>180</v>
      </c>
      <c r="Y1353" s="209" t="s">
        <v>180</v>
      </c>
      <c r="Z1353" s="209" t="s">
        <v>2872</v>
      </c>
      <c r="AA1353" s="209" t="s">
        <v>2873</v>
      </c>
      <c r="AB1353" s="209" t="s">
        <v>180</v>
      </c>
      <c r="AC1353" s="209" t="s">
        <v>182</v>
      </c>
      <c r="AD1353" s="209">
        <v>9</v>
      </c>
      <c r="AE1353" s="209">
        <v>2025</v>
      </c>
      <c r="AF1353" s="227">
        <v>45902</v>
      </c>
      <c r="AG1353" s="227">
        <v>45905</v>
      </c>
      <c r="AH1353" s="227">
        <v>45905</v>
      </c>
      <c r="AI1353" s="228">
        <v>153600</v>
      </c>
      <c r="AJ1353" s="228">
        <v>20</v>
      </c>
      <c r="AK1353" s="228">
        <v>153600</v>
      </c>
      <c r="AL1353" s="228">
        <v>20</v>
      </c>
      <c r="AM1353" s="228">
        <v>0</v>
      </c>
      <c r="AN1353" s="228">
        <v>0</v>
      </c>
      <c r="AO1353" s="229">
        <v>36</v>
      </c>
      <c r="AP1353" s="231">
        <v>9</v>
      </c>
      <c r="AQ1353" s="231">
        <v>2025</v>
      </c>
      <c r="AR1353" s="231" t="str">
        <f t="shared" si="199"/>
        <v>09/2025</v>
      </c>
      <c r="AS1353" s="231">
        <f t="shared" si="200"/>
        <v>52</v>
      </c>
      <c r="AT1353" s="239">
        <f>IF(G1353="CERVECERIA Y MALTERIA",(AS1353*AK1353/1000000)*(1-VLOOKUP(N1353,FCST!D:I,6,FALSE)),0)</f>
        <v>0</v>
      </c>
      <c r="AU1353" s="232">
        <v>5.0000000000000001E-3</v>
      </c>
      <c r="AV1353" s="239">
        <f t="shared" si="201"/>
        <v>0</v>
      </c>
      <c r="AW1353" s="239">
        <f>(AS1353*AK1353/1000000)*(VLOOKUP(N1353,FCST!D:I,6,FALSE))</f>
        <v>0</v>
      </c>
      <c r="AX1353" s="239">
        <f t="shared" si="202"/>
        <v>0</v>
      </c>
      <c r="AY1353" s="239">
        <f>IF($G1353="CERVECERIA Y MALTERIA.",($AS1353*$AK1353/1000000)*(1-VLOOKUP($N1353,FCST!D:I,6,FALSE)),0)</f>
        <v>7.9871999999999996</v>
      </c>
      <c r="AZ1353" s="239">
        <f t="shared" si="203"/>
        <v>8.0271359999999987</v>
      </c>
    </row>
    <row r="1354" spans="1:52" x14ac:dyDescent="0.25">
      <c r="A1354" s="209">
        <v>1137593</v>
      </c>
      <c r="B1354" s="209">
        <v>10</v>
      </c>
      <c r="C1354" s="209" t="s">
        <v>2874</v>
      </c>
      <c r="D1354" s="209">
        <v>10</v>
      </c>
      <c r="E1354" s="209">
        <v>10000002</v>
      </c>
      <c r="F1354" s="209">
        <v>20000340</v>
      </c>
      <c r="G1354" s="209" t="s">
        <v>117</v>
      </c>
      <c r="H1354" s="209">
        <v>20000340</v>
      </c>
      <c r="I1354" s="209">
        <v>2</v>
      </c>
      <c r="J1354" s="209" t="s">
        <v>169</v>
      </c>
      <c r="K1354" s="209" t="s">
        <v>2875</v>
      </c>
      <c r="L1354" s="209" t="s">
        <v>2610</v>
      </c>
      <c r="M1354" s="209" t="s">
        <v>184</v>
      </c>
      <c r="N1354" s="209">
        <v>50027468</v>
      </c>
      <c r="O1354" s="209" t="s">
        <v>285</v>
      </c>
      <c r="P1354" s="209">
        <v>5101</v>
      </c>
      <c r="Q1354" s="209" t="s">
        <v>186</v>
      </c>
      <c r="R1354" s="209" t="s">
        <v>175</v>
      </c>
      <c r="S1354" s="209" t="s">
        <v>176</v>
      </c>
      <c r="T1354" s="209" t="s">
        <v>187</v>
      </c>
      <c r="U1354" s="209" t="s">
        <v>188</v>
      </c>
      <c r="V1354" s="209" t="s">
        <v>179</v>
      </c>
      <c r="W1354" s="209" t="s">
        <v>179</v>
      </c>
      <c r="X1354" s="209" t="s">
        <v>180</v>
      </c>
      <c r="Y1354" s="209" t="s">
        <v>180</v>
      </c>
      <c r="Z1354" s="209" t="s">
        <v>2876</v>
      </c>
      <c r="AA1354" s="209" t="s">
        <v>2877</v>
      </c>
      <c r="AB1354" s="209" t="s">
        <v>180</v>
      </c>
      <c r="AC1354" s="209" t="s">
        <v>182</v>
      </c>
      <c r="AD1354" s="209">
        <v>9</v>
      </c>
      <c r="AE1354" s="209">
        <v>2025</v>
      </c>
      <c r="AF1354" s="227">
        <v>45902</v>
      </c>
      <c r="AG1354" s="227">
        <v>45904</v>
      </c>
      <c r="AH1354" s="227">
        <v>45904</v>
      </c>
      <c r="AI1354" s="228">
        <v>399360</v>
      </c>
      <c r="AJ1354" s="228">
        <v>52</v>
      </c>
      <c r="AK1354" s="228">
        <v>399360</v>
      </c>
      <c r="AL1354" s="228">
        <v>52</v>
      </c>
      <c r="AM1354" s="228">
        <v>0</v>
      </c>
      <c r="AN1354" s="228">
        <v>0</v>
      </c>
      <c r="AO1354" s="229">
        <v>36</v>
      </c>
      <c r="AP1354" s="231">
        <v>9</v>
      </c>
      <c r="AQ1354" s="231">
        <v>2025</v>
      </c>
      <c r="AR1354" s="231" t="str">
        <f t="shared" si="199"/>
        <v>09/2025</v>
      </c>
      <c r="AS1354" s="231">
        <f t="shared" si="200"/>
        <v>52</v>
      </c>
      <c r="AT1354" s="239">
        <f>IF(G1354="CERVECERIA Y MALTERIA",(AS1354*AK1354/1000000)*(1-VLOOKUP(N1354,FCST!D:I,6,FALSE)),0)</f>
        <v>0</v>
      </c>
      <c r="AU1354" s="232">
        <v>5.0000000000000001E-3</v>
      </c>
      <c r="AV1354" s="239">
        <f t="shared" si="201"/>
        <v>0</v>
      </c>
      <c r="AW1354" s="239">
        <f>(AS1354*AK1354/1000000)*(VLOOKUP(N1354,FCST!D:I,6,FALSE))</f>
        <v>0</v>
      </c>
      <c r="AX1354" s="239">
        <f t="shared" si="202"/>
        <v>0</v>
      </c>
      <c r="AY1354" s="239">
        <f>IF($G1354="CERVECERIA Y MALTERIA.",($AS1354*$AK1354/1000000)*(1-VLOOKUP($N1354,FCST!D:I,6,FALSE)),0)</f>
        <v>20.766719999999999</v>
      </c>
      <c r="AZ1354" s="239">
        <f t="shared" si="203"/>
        <v>20.870553599999997</v>
      </c>
    </row>
    <row r="1355" spans="1:52" x14ac:dyDescent="0.25">
      <c r="A1355" s="209">
        <v>1137259</v>
      </c>
      <c r="B1355" s="209">
        <v>20</v>
      </c>
      <c r="C1355" s="209" t="s">
        <v>2878</v>
      </c>
      <c r="D1355" s="209">
        <v>10</v>
      </c>
      <c r="E1355" s="209">
        <v>10000002</v>
      </c>
      <c r="F1355" s="209">
        <v>20000336</v>
      </c>
      <c r="G1355" s="209" t="s">
        <v>105</v>
      </c>
      <c r="H1355" s="209">
        <v>20000336</v>
      </c>
      <c r="I1355" s="209">
        <v>2</v>
      </c>
      <c r="J1355" s="209" t="s">
        <v>169</v>
      </c>
      <c r="K1355" s="209" t="s">
        <v>2879</v>
      </c>
      <c r="L1355" s="209" t="s">
        <v>2610</v>
      </c>
      <c r="M1355" s="209" t="s">
        <v>2718</v>
      </c>
      <c r="N1355" s="209">
        <v>50034616</v>
      </c>
      <c r="O1355" s="209" t="s">
        <v>191</v>
      </c>
      <c r="P1355" s="209">
        <v>5121</v>
      </c>
      <c r="Q1355" s="209" t="s">
        <v>174</v>
      </c>
      <c r="R1355" s="209" t="s">
        <v>175</v>
      </c>
      <c r="S1355" s="209" t="s">
        <v>176</v>
      </c>
      <c r="T1355" s="209" t="s">
        <v>177</v>
      </c>
      <c r="U1355" s="209" t="s">
        <v>178</v>
      </c>
      <c r="V1355" s="209" t="s">
        <v>179</v>
      </c>
      <c r="W1355" s="209" t="s">
        <v>179</v>
      </c>
      <c r="X1355" s="209" t="s">
        <v>180</v>
      </c>
      <c r="Y1355" s="209" t="s">
        <v>180</v>
      </c>
      <c r="Z1355" s="209" t="s">
        <v>2880</v>
      </c>
      <c r="AA1355" s="209" t="s">
        <v>2881</v>
      </c>
      <c r="AB1355" s="209" t="s">
        <v>180</v>
      </c>
      <c r="AC1355" s="209" t="s">
        <v>182</v>
      </c>
      <c r="AD1355" s="209">
        <v>9</v>
      </c>
      <c r="AE1355" s="209">
        <v>2025</v>
      </c>
      <c r="AF1355" s="227">
        <v>45898</v>
      </c>
      <c r="AG1355" s="227">
        <v>45903</v>
      </c>
      <c r="AH1355" s="227">
        <v>45903</v>
      </c>
      <c r="AI1355" s="228">
        <v>426816</v>
      </c>
      <c r="AJ1355" s="228">
        <v>52</v>
      </c>
      <c r="AK1355" s="228">
        <v>426816</v>
      </c>
      <c r="AL1355" s="228">
        <v>52</v>
      </c>
      <c r="AM1355" s="228">
        <v>0</v>
      </c>
      <c r="AN1355" s="228">
        <v>0</v>
      </c>
      <c r="AO1355" s="229">
        <v>36</v>
      </c>
      <c r="AP1355" s="231">
        <v>9</v>
      </c>
      <c r="AQ1355" s="231">
        <v>2025</v>
      </c>
      <c r="AR1355" s="231" t="str">
        <f t="shared" si="199"/>
        <v>09/2025</v>
      </c>
      <c r="AS1355" s="231">
        <f t="shared" si="200"/>
        <v>46.6</v>
      </c>
      <c r="AT1355" s="239">
        <f>IF(G1355="CERVECERIA Y MALTERIA",(AS1355*AK1355/1000000)*(1-VLOOKUP(N1355,FCST!D:I,6,FALSE)),0)</f>
        <v>19.889625600000002</v>
      </c>
      <c r="AU1355" s="232">
        <v>5.0000000000000001E-3</v>
      </c>
      <c r="AV1355" s="239">
        <f t="shared" si="201"/>
        <v>19.989073728000001</v>
      </c>
      <c r="AW1355" s="239">
        <f>(AS1355*AK1355/1000000)*(VLOOKUP(N1355,FCST!D:I,6,FALSE))</f>
        <v>0</v>
      </c>
      <c r="AX1355" s="239">
        <f t="shared" si="202"/>
        <v>0</v>
      </c>
      <c r="AY1355" s="239">
        <f>IF($G1355="CERVECERIA Y MALTERIA.",($AS1355*$AK1355/1000000)*(1-VLOOKUP($N1355,FCST!D:I,6,FALSE)),0)</f>
        <v>0</v>
      </c>
      <c r="AZ1355" s="239">
        <f t="shared" si="203"/>
        <v>0</v>
      </c>
    </row>
    <row r="1356" spans="1:52" x14ac:dyDescent="0.25">
      <c r="A1356" s="209">
        <v>1138348</v>
      </c>
      <c r="B1356" s="209">
        <v>20</v>
      </c>
      <c r="C1356" s="209" t="s">
        <v>2882</v>
      </c>
      <c r="D1356" s="209">
        <v>10</v>
      </c>
      <c r="E1356" s="209">
        <v>10000002</v>
      </c>
      <c r="F1356" s="209">
        <v>20000335</v>
      </c>
      <c r="G1356" s="209" t="s">
        <v>105</v>
      </c>
      <c r="H1356" s="209">
        <v>20000335</v>
      </c>
      <c r="I1356" s="209">
        <v>2</v>
      </c>
      <c r="J1356" s="209" t="s">
        <v>169</v>
      </c>
      <c r="K1356" s="209" t="s">
        <v>2883</v>
      </c>
      <c r="L1356" s="209" t="s">
        <v>2610</v>
      </c>
      <c r="M1356" s="209" t="s">
        <v>2718</v>
      </c>
      <c r="N1356" s="209">
        <v>50037887</v>
      </c>
      <c r="O1356" s="209" t="s">
        <v>679</v>
      </c>
      <c r="P1356" s="209">
        <v>5121</v>
      </c>
      <c r="Q1356" s="209" t="s">
        <v>174</v>
      </c>
      <c r="R1356" s="209" t="s">
        <v>175</v>
      </c>
      <c r="S1356" s="209" t="s">
        <v>176</v>
      </c>
      <c r="T1356" s="209" t="s">
        <v>177</v>
      </c>
      <c r="U1356" s="209" t="s">
        <v>178</v>
      </c>
      <c r="V1356" s="209" t="s">
        <v>179</v>
      </c>
      <c r="W1356" s="209" t="s">
        <v>179</v>
      </c>
      <c r="X1356" s="209" t="s">
        <v>180</v>
      </c>
      <c r="Y1356" s="209" t="s">
        <v>180</v>
      </c>
      <c r="Z1356" s="209" t="s">
        <v>2884</v>
      </c>
      <c r="AA1356" s="209" t="s">
        <v>2885</v>
      </c>
      <c r="AB1356" s="209" t="s">
        <v>180</v>
      </c>
      <c r="AC1356" s="209" t="s">
        <v>182</v>
      </c>
      <c r="AD1356" s="209">
        <v>9</v>
      </c>
      <c r="AE1356" s="209">
        <v>2025</v>
      </c>
      <c r="AF1356" s="227">
        <v>45904</v>
      </c>
      <c r="AG1356" s="227">
        <v>45908</v>
      </c>
      <c r="AH1356" s="227">
        <v>45908</v>
      </c>
      <c r="AI1356" s="228">
        <v>531648</v>
      </c>
      <c r="AJ1356" s="228">
        <v>52</v>
      </c>
      <c r="AK1356" s="228">
        <v>531648</v>
      </c>
      <c r="AL1356" s="228">
        <v>52</v>
      </c>
      <c r="AM1356" s="228">
        <v>0</v>
      </c>
      <c r="AN1356" s="228">
        <v>0</v>
      </c>
      <c r="AO1356" s="229">
        <v>37</v>
      </c>
      <c r="AP1356" s="231">
        <v>9</v>
      </c>
      <c r="AQ1356" s="231">
        <v>2025</v>
      </c>
      <c r="AR1356" s="231" t="str">
        <f t="shared" si="199"/>
        <v>09/2025</v>
      </c>
      <c r="AS1356" s="231">
        <f t="shared" si="200"/>
        <v>37.200000000000003</v>
      </c>
      <c r="AT1356" s="239">
        <f>IF(G1356="CERVECERIA Y MALTERIA",(AS1356*AK1356/1000000)*(1-VLOOKUP(N1356,FCST!D:I,6,FALSE)),0)</f>
        <v>19.777305600000002</v>
      </c>
      <c r="AU1356" s="232">
        <v>5.0000000000000001E-3</v>
      </c>
      <c r="AV1356" s="239">
        <f t="shared" si="201"/>
        <v>19.876192128</v>
      </c>
      <c r="AW1356" s="239">
        <f>(AS1356*AK1356/1000000)*(VLOOKUP(N1356,FCST!D:I,6,FALSE))</f>
        <v>0</v>
      </c>
      <c r="AX1356" s="239">
        <f t="shared" si="202"/>
        <v>0</v>
      </c>
      <c r="AY1356" s="239">
        <f>IF($G1356="CERVECERIA Y MALTERIA.",($AS1356*$AK1356/1000000)*(1-VLOOKUP($N1356,FCST!D:I,6,FALSE)),0)</f>
        <v>0</v>
      </c>
      <c r="AZ1356" s="239">
        <f t="shared" si="203"/>
        <v>0</v>
      </c>
    </row>
    <row r="1357" spans="1:52" x14ac:dyDescent="0.25">
      <c r="A1357" s="209">
        <v>1138458</v>
      </c>
      <c r="B1357" s="209">
        <v>30</v>
      </c>
      <c r="C1357" s="209" t="s">
        <v>2886</v>
      </c>
      <c r="D1357" s="209">
        <v>10</v>
      </c>
      <c r="E1357" s="209">
        <v>10000002</v>
      </c>
      <c r="F1357" s="209">
        <v>20001057</v>
      </c>
      <c r="G1357" s="209" t="s">
        <v>105</v>
      </c>
      <c r="H1357" s="209">
        <v>20001057</v>
      </c>
      <c r="I1357" s="209">
        <v>2</v>
      </c>
      <c r="J1357" s="209" t="s">
        <v>169</v>
      </c>
      <c r="K1357" s="209" t="s">
        <v>2887</v>
      </c>
      <c r="L1357" s="209" t="s">
        <v>2610</v>
      </c>
      <c r="M1357" s="209" t="s">
        <v>2718</v>
      </c>
      <c r="N1357" s="209">
        <v>50034616</v>
      </c>
      <c r="O1357" s="209" t="s">
        <v>191</v>
      </c>
      <c r="P1357" s="209">
        <v>5121</v>
      </c>
      <c r="Q1357" s="209" t="s">
        <v>174</v>
      </c>
      <c r="R1357" s="209" t="s">
        <v>175</v>
      </c>
      <c r="S1357" s="209" t="s">
        <v>176</v>
      </c>
      <c r="T1357" s="209" t="s">
        <v>177</v>
      </c>
      <c r="U1357" s="209" t="s">
        <v>178</v>
      </c>
      <c r="V1357" s="209" t="s">
        <v>179</v>
      </c>
      <c r="W1357" s="209" t="s">
        <v>179</v>
      </c>
      <c r="X1357" s="209" t="s">
        <v>180</v>
      </c>
      <c r="Y1357" s="209" t="s">
        <v>180</v>
      </c>
      <c r="Z1357" s="209" t="s">
        <v>2888</v>
      </c>
      <c r="AA1357" s="209" t="s">
        <v>2889</v>
      </c>
      <c r="AB1357" s="209" t="s">
        <v>180</v>
      </c>
      <c r="AC1357" s="209" t="s">
        <v>182</v>
      </c>
      <c r="AD1357" s="209">
        <v>9</v>
      </c>
      <c r="AE1357" s="209">
        <v>2025</v>
      </c>
      <c r="AF1357" s="227">
        <v>45905</v>
      </c>
      <c r="AG1357" s="227">
        <v>45908</v>
      </c>
      <c r="AH1357" s="227">
        <v>45908</v>
      </c>
      <c r="AI1357" s="228">
        <v>262656</v>
      </c>
      <c r="AJ1357" s="228">
        <v>32</v>
      </c>
      <c r="AK1357" s="228">
        <v>262656</v>
      </c>
      <c r="AL1357" s="228">
        <v>32</v>
      </c>
      <c r="AM1357" s="228">
        <v>0</v>
      </c>
      <c r="AN1357" s="228">
        <v>0</v>
      </c>
      <c r="AO1357" s="229">
        <v>36</v>
      </c>
      <c r="AP1357" s="231">
        <v>9</v>
      </c>
      <c r="AQ1357" s="231">
        <v>2025</v>
      </c>
      <c r="AR1357" s="231" t="str">
        <f t="shared" si="199"/>
        <v>09/2025</v>
      </c>
      <c r="AS1357" s="231">
        <f t="shared" si="200"/>
        <v>46.6</v>
      </c>
      <c r="AT1357" s="239">
        <f>IF(G1357="CERVECERIA Y MALTERIA",(AS1357*AK1357/1000000)*(1-VLOOKUP(N1357,FCST!D:I,6,FALSE)),0)</f>
        <v>12.239769599999999</v>
      </c>
      <c r="AU1357" s="232">
        <v>5.0000000000000001E-3</v>
      </c>
      <c r="AV1357" s="239">
        <f t="shared" si="201"/>
        <v>12.300968447999997</v>
      </c>
      <c r="AW1357" s="239">
        <f>(AS1357*AK1357/1000000)*(VLOOKUP(N1357,FCST!D:I,6,FALSE))</f>
        <v>0</v>
      </c>
      <c r="AX1357" s="239">
        <f t="shared" si="202"/>
        <v>0</v>
      </c>
      <c r="AY1357" s="239">
        <f>IF($G1357="CERVECERIA Y MALTERIA.",($AS1357*$AK1357/1000000)*(1-VLOOKUP($N1357,FCST!D:I,6,FALSE)),0)</f>
        <v>0</v>
      </c>
      <c r="AZ1357" s="239">
        <f t="shared" si="203"/>
        <v>0</v>
      </c>
    </row>
    <row r="1358" spans="1:52" x14ac:dyDescent="0.25">
      <c r="A1358" s="209">
        <v>1138389</v>
      </c>
      <c r="B1358" s="209">
        <v>10</v>
      </c>
      <c r="C1358" s="209" t="s">
        <v>2890</v>
      </c>
      <c r="D1358" s="209">
        <v>10</v>
      </c>
      <c r="E1358" s="209">
        <v>10000002</v>
      </c>
      <c r="F1358" s="209">
        <v>20000339</v>
      </c>
      <c r="G1358" s="209" t="s">
        <v>105</v>
      </c>
      <c r="H1358" s="209">
        <v>20000339</v>
      </c>
      <c r="I1358" s="209">
        <v>2</v>
      </c>
      <c r="J1358" s="209" t="s">
        <v>169</v>
      </c>
      <c r="K1358" s="209" t="s">
        <v>2891</v>
      </c>
      <c r="L1358" s="209" t="s">
        <v>2610</v>
      </c>
      <c r="M1358" s="209" t="s">
        <v>184</v>
      </c>
      <c r="N1358" s="209">
        <v>50030542</v>
      </c>
      <c r="O1358" s="209" t="s">
        <v>2453</v>
      </c>
      <c r="P1358" s="209">
        <v>5121</v>
      </c>
      <c r="Q1358" s="209" t="s">
        <v>174</v>
      </c>
      <c r="R1358" s="209" t="s">
        <v>175</v>
      </c>
      <c r="S1358" s="209" t="s">
        <v>176</v>
      </c>
      <c r="T1358" s="209" t="s">
        <v>177</v>
      </c>
      <c r="U1358" s="209" t="s">
        <v>178</v>
      </c>
      <c r="V1358" s="209" t="s">
        <v>179</v>
      </c>
      <c r="W1358" s="209" t="s">
        <v>179</v>
      </c>
      <c r="X1358" s="209" t="s">
        <v>180</v>
      </c>
      <c r="Y1358" s="209" t="s">
        <v>180</v>
      </c>
      <c r="Z1358" s="209" t="s">
        <v>2892</v>
      </c>
      <c r="AA1358" s="209" t="s">
        <v>2893</v>
      </c>
      <c r="AB1358" s="209" t="s">
        <v>180</v>
      </c>
      <c r="AC1358" s="209" t="s">
        <v>182</v>
      </c>
      <c r="AD1358" s="209">
        <v>9</v>
      </c>
      <c r="AE1358" s="209">
        <v>2025</v>
      </c>
      <c r="AF1358" s="227">
        <v>45904</v>
      </c>
      <c r="AG1358" s="227">
        <v>45906</v>
      </c>
      <c r="AH1358" s="227">
        <v>45906</v>
      </c>
      <c r="AI1358" s="228">
        <v>93888</v>
      </c>
      <c r="AJ1358" s="228">
        <v>12</v>
      </c>
      <c r="AK1358" s="228">
        <v>93888</v>
      </c>
      <c r="AL1358" s="228">
        <v>12</v>
      </c>
      <c r="AM1358" s="228">
        <v>0</v>
      </c>
      <c r="AN1358" s="228">
        <v>0</v>
      </c>
      <c r="AO1358" s="229">
        <v>36</v>
      </c>
      <c r="AP1358" s="231">
        <v>9</v>
      </c>
      <c r="AQ1358" s="231">
        <v>2025</v>
      </c>
      <c r="AR1358" s="231" t="str">
        <f t="shared" si="199"/>
        <v>09/2025</v>
      </c>
      <c r="AS1358" s="231">
        <f t="shared" si="200"/>
        <v>44</v>
      </c>
      <c r="AT1358" s="239">
        <f>IF(G1358="CERVECERIA Y MALTERIA",(AS1358*AK1358/1000000)*(1-VLOOKUP(N1358,FCST!D:I,6,FALSE)),0)</f>
        <v>4.1310719999999996</v>
      </c>
      <c r="AU1358" s="232">
        <v>5.0000000000000001E-3</v>
      </c>
      <c r="AV1358" s="239">
        <f t="shared" si="201"/>
        <v>4.1517273599999989</v>
      </c>
      <c r="AW1358" s="239">
        <f>(AS1358*AK1358/1000000)*(VLOOKUP(N1358,FCST!D:I,6,FALSE))</f>
        <v>0</v>
      </c>
      <c r="AX1358" s="239">
        <f t="shared" si="202"/>
        <v>0</v>
      </c>
      <c r="AY1358" s="239">
        <f>IF($G1358="CERVECERIA Y MALTERIA.",($AS1358*$AK1358/1000000)*(1-VLOOKUP($N1358,FCST!D:I,6,FALSE)),0)</f>
        <v>0</v>
      </c>
      <c r="AZ1358" s="239">
        <f t="shared" si="203"/>
        <v>0</v>
      </c>
    </row>
    <row r="1359" spans="1:52" x14ac:dyDescent="0.25">
      <c r="A1359" s="209">
        <v>1138458</v>
      </c>
      <c r="B1359" s="209">
        <v>10</v>
      </c>
      <c r="C1359" s="209" t="s">
        <v>2894</v>
      </c>
      <c r="D1359" s="209">
        <v>10</v>
      </c>
      <c r="E1359" s="209">
        <v>10000002</v>
      </c>
      <c r="F1359" s="209">
        <v>20001057</v>
      </c>
      <c r="G1359" s="209" t="s">
        <v>105</v>
      </c>
      <c r="H1359" s="209">
        <v>20001057</v>
      </c>
      <c r="I1359" s="209">
        <v>2</v>
      </c>
      <c r="J1359" s="209" t="s">
        <v>169</v>
      </c>
      <c r="K1359" s="209" t="s">
        <v>2895</v>
      </c>
      <c r="L1359" s="209" t="s">
        <v>2610</v>
      </c>
      <c r="M1359" s="209" t="s">
        <v>2718</v>
      </c>
      <c r="N1359" s="209">
        <v>50024497</v>
      </c>
      <c r="O1359" s="209" t="s">
        <v>1352</v>
      </c>
      <c r="P1359" s="209">
        <v>5121</v>
      </c>
      <c r="Q1359" s="209" t="s">
        <v>174</v>
      </c>
      <c r="R1359" s="209" t="s">
        <v>175</v>
      </c>
      <c r="S1359" s="209" t="s">
        <v>176</v>
      </c>
      <c r="T1359" s="209" t="s">
        <v>177</v>
      </c>
      <c r="U1359" s="209" t="s">
        <v>178</v>
      </c>
      <c r="V1359" s="209" t="s">
        <v>179</v>
      </c>
      <c r="W1359" s="209" t="s">
        <v>179</v>
      </c>
      <c r="X1359" s="209" t="s">
        <v>180</v>
      </c>
      <c r="Y1359" s="209" t="s">
        <v>180</v>
      </c>
      <c r="Z1359" s="209" t="s">
        <v>2896</v>
      </c>
      <c r="AA1359" s="209" t="s">
        <v>2897</v>
      </c>
      <c r="AB1359" s="209" t="s">
        <v>180</v>
      </c>
      <c r="AC1359" s="209" t="s">
        <v>182</v>
      </c>
      <c r="AD1359" s="209">
        <v>9</v>
      </c>
      <c r="AE1359" s="209">
        <v>2025</v>
      </c>
      <c r="AF1359" s="227">
        <v>45905</v>
      </c>
      <c r="AG1359" s="227">
        <v>45905</v>
      </c>
      <c r="AH1359" s="227">
        <v>45905</v>
      </c>
      <c r="AI1359" s="228">
        <v>175968</v>
      </c>
      <c r="AJ1359" s="228">
        <v>26</v>
      </c>
      <c r="AK1359" s="228">
        <v>175968</v>
      </c>
      <c r="AL1359" s="228">
        <v>26</v>
      </c>
      <c r="AM1359" s="228">
        <v>0</v>
      </c>
      <c r="AN1359" s="228">
        <v>0</v>
      </c>
      <c r="AO1359" s="229">
        <v>36</v>
      </c>
      <c r="AP1359" s="231">
        <v>9</v>
      </c>
      <c r="AQ1359" s="231">
        <v>2025</v>
      </c>
      <c r="AR1359" s="231" t="str">
        <f t="shared" si="199"/>
        <v>09/2025</v>
      </c>
      <c r="AS1359" s="231">
        <f t="shared" si="200"/>
        <v>54.7</v>
      </c>
      <c r="AT1359" s="239">
        <f>IF(G1359="CERVECERIA Y MALTERIA",(AS1359*AK1359/1000000)*(1-VLOOKUP(N1359,FCST!D:I,6,FALSE)),0)</f>
        <v>9.6254495999999996</v>
      </c>
      <c r="AU1359" s="232">
        <v>5.0000000000000001E-3</v>
      </c>
      <c r="AV1359" s="239">
        <f t="shared" si="201"/>
        <v>9.673576847999998</v>
      </c>
      <c r="AW1359" s="239">
        <f>(AS1359*AK1359/1000000)*(VLOOKUP(N1359,FCST!D:I,6,FALSE))</f>
        <v>0</v>
      </c>
      <c r="AX1359" s="239">
        <f t="shared" si="202"/>
        <v>0</v>
      </c>
      <c r="AY1359" s="239">
        <f>IF($G1359="CERVECERIA Y MALTERIA.",($AS1359*$AK1359/1000000)*(1-VLOOKUP($N1359,FCST!D:I,6,FALSE)),0)</f>
        <v>0</v>
      </c>
      <c r="AZ1359" s="239">
        <f t="shared" si="203"/>
        <v>0</v>
      </c>
    </row>
    <row r="1360" spans="1:52" x14ac:dyDescent="0.25">
      <c r="A1360" s="209">
        <v>1136933</v>
      </c>
      <c r="B1360" s="209">
        <v>20</v>
      </c>
      <c r="C1360" s="209" t="s">
        <v>2898</v>
      </c>
      <c r="D1360" s="209">
        <v>10</v>
      </c>
      <c r="E1360" s="209">
        <v>10000002</v>
      </c>
      <c r="F1360" s="209">
        <v>20000335</v>
      </c>
      <c r="G1360" s="209" t="s">
        <v>105</v>
      </c>
      <c r="H1360" s="209">
        <v>20000335</v>
      </c>
      <c r="I1360" s="209">
        <v>2</v>
      </c>
      <c r="J1360" s="209" t="s">
        <v>169</v>
      </c>
      <c r="K1360" s="209" t="s">
        <v>2899</v>
      </c>
      <c r="L1360" s="209" t="s">
        <v>2610</v>
      </c>
      <c r="M1360" s="209" t="s">
        <v>184</v>
      </c>
      <c r="N1360" s="209">
        <v>50034616</v>
      </c>
      <c r="O1360" s="209" t="s">
        <v>191</v>
      </c>
      <c r="P1360" s="209">
        <v>5121</v>
      </c>
      <c r="Q1360" s="209" t="s">
        <v>174</v>
      </c>
      <c r="R1360" s="209" t="s">
        <v>175</v>
      </c>
      <c r="S1360" s="209" t="s">
        <v>176</v>
      </c>
      <c r="T1360" s="209" t="s">
        <v>177</v>
      </c>
      <c r="U1360" s="209" t="s">
        <v>178</v>
      </c>
      <c r="V1360" s="209" t="s">
        <v>179</v>
      </c>
      <c r="W1360" s="209" t="s">
        <v>179</v>
      </c>
      <c r="X1360" s="209" t="s">
        <v>180</v>
      </c>
      <c r="Y1360" s="209" t="s">
        <v>180</v>
      </c>
      <c r="Z1360" s="209" t="s">
        <v>2900</v>
      </c>
      <c r="AA1360" s="209" t="s">
        <v>2901</v>
      </c>
      <c r="AB1360" s="209" t="s">
        <v>180</v>
      </c>
      <c r="AC1360" s="209" t="s">
        <v>182</v>
      </c>
      <c r="AD1360" s="209">
        <v>9</v>
      </c>
      <c r="AE1360" s="209">
        <v>2025</v>
      </c>
      <c r="AF1360" s="227">
        <v>45897</v>
      </c>
      <c r="AG1360" s="227">
        <v>45902</v>
      </c>
      <c r="AH1360" s="227">
        <v>45902</v>
      </c>
      <c r="AI1360" s="228">
        <v>426816</v>
      </c>
      <c r="AJ1360" s="228">
        <v>52</v>
      </c>
      <c r="AK1360" s="228">
        <v>426816</v>
      </c>
      <c r="AL1360" s="228">
        <v>52</v>
      </c>
      <c r="AM1360" s="228">
        <v>0</v>
      </c>
      <c r="AN1360" s="228">
        <v>0</v>
      </c>
      <c r="AO1360" s="229">
        <v>36</v>
      </c>
      <c r="AP1360" s="231">
        <v>9</v>
      </c>
      <c r="AQ1360" s="231">
        <v>2025</v>
      </c>
      <c r="AR1360" s="231" t="str">
        <f t="shared" si="199"/>
        <v>09/2025</v>
      </c>
      <c r="AS1360" s="231">
        <f t="shared" si="200"/>
        <v>46.6</v>
      </c>
      <c r="AT1360" s="239">
        <f>IF(G1360="CERVECERIA Y MALTERIA",(AS1360*AK1360/1000000)*(1-VLOOKUP(N1360,FCST!D:I,6,FALSE)),0)</f>
        <v>19.889625600000002</v>
      </c>
      <c r="AU1360" s="232">
        <v>5.0000000000000001E-3</v>
      </c>
      <c r="AV1360" s="239">
        <f t="shared" si="201"/>
        <v>19.989073728000001</v>
      </c>
      <c r="AW1360" s="239">
        <f>(AS1360*AK1360/1000000)*(VLOOKUP(N1360,FCST!D:I,6,FALSE))</f>
        <v>0</v>
      </c>
      <c r="AX1360" s="239">
        <f t="shared" si="202"/>
        <v>0</v>
      </c>
      <c r="AY1360" s="239">
        <f>IF($G1360="CERVECERIA Y MALTERIA.",($AS1360*$AK1360/1000000)*(1-VLOOKUP($N1360,FCST!D:I,6,FALSE)),0)</f>
        <v>0</v>
      </c>
      <c r="AZ1360" s="239">
        <f t="shared" si="203"/>
        <v>0</v>
      </c>
    </row>
    <row r="1361" spans="1:52" x14ac:dyDescent="0.25">
      <c r="A1361" s="209">
        <v>1137360</v>
      </c>
      <c r="B1361" s="209">
        <v>20</v>
      </c>
      <c r="C1361" s="209" t="s">
        <v>2902</v>
      </c>
      <c r="D1361" s="209">
        <v>10</v>
      </c>
      <c r="E1361" s="209">
        <v>10000002</v>
      </c>
      <c r="F1361" s="209">
        <v>20000337</v>
      </c>
      <c r="G1361" s="209" t="s">
        <v>105</v>
      </c>
      <c r="H1361" s="209">
        <v>20000337</v>
      </c>
      <c r="I1361" s="209">
        <v>2</v>
      </c>
      <c r="J1361" s="209" t="s">
        <v>169</v>
      </c>
      <c r="K1361" s="209" t="s">
        <v>2903</v>
      </c>
      <c r="L1361" s="209" t="s">
        <v>2610</v>
      </c>
      <c r="M1361" s="209" t="s">
        <v>2718</v>
      </c>
      <c r="N1361" s="209">
        <v>50034616</v>
      </c>
      <c r="O1361" s="209" t="s">
        <v>191</v>
      </c>
      <c r="P1361" s="209">
        <v>5121</v>
      </c>
      <c r="Q1361" s="209" t="s">
        <v>174</v>
      </c>
      <c r="R1361" s="209" t="s">
        <v>175</v>
      </c>
      <c r="S1361" s="209" t="s">
        <v>176</v>
      </c>
      <c r="T1361" s="209" t="s">
        <v>177</v>
      </c>
      <c r="U1361" s="209" t="s">
        <v>178</v>
      </c>
      <c r="V1361" s="209" t="s">
        <v>179</v>
      </c>
      <c r="W1361" s="209" t="s">
        <v>179</v>
      </c>
      <c r="X1361" s="209" t="s">
        <v>180</v>
      </c>
      <c r="Y1361" s="209" t="s">
        <v>180</v>
      </c>
      <c r="Z1361" s="209" t="s">
        <v>2904</v>
      </c>
      <c r="AA1361" s="209" t="s">
        <v>2905</v>
      </c>
      <c r="AB1361" s="209" t="s">
        <v>180</v>
      </c>
      <c r="AC1361" s="209" t="s">
        <v>182</v>
      </c>
      <c r="AD1361" s="209">
        <v>9</v>
      </c>
      <c r="AE1361" s="209">
        <v>2025</v>
      </c>
      <c r="AF1361" s="227">
        <v>45901</v>
      </c>
      <c r="AG1361" s="227">
        <v>45901</v>
      </c>
      <c r="AH1361" s="227">
        <v>45901</v>
      </c>
      <c r="AI1361" s="228">
        <v>426816</v>
      </c>
      <c r="AJ1361" s="228">
        <v>52</v>
      </c>
      <c r="AK1361" s="228">
        <v>426816</v>
      </c>
      <c r="AL1361" s="228">
        <v>52</v>
      </c>
      <c r="AM1361" s="228">
        <v>0</v>
      </c>
      <c r="AN1361" s="228">
        <v>0</v>
      </c>
      <c r="AO1361" s="229">
        <v>36</v>
      </c>
      <c r="AP1361" s="231">
        <v>9</v>
      </c>
      <c r="AQ1361" s="231">
        <v>2025</v>
      </c>
      <c r="AR1361" s="231" t="str">
        <f t="shared" si="199"/>
        <v>09/2025</v>
      </c>
      <c r="AS1361" s="231">
        <f t="shared" si="200"/>
        <v>46.6</v>
      </c>
      <c r="AT1361" s="239">
        <f>IF(G1361="CERVECERIA Y MALTERIA",(AS1361*AK1361/1000000)*(1-VLOOKUP(N1361,FCST!D:I,6,FALSE)),0)</f>
        <v>19.889625600000002</v>
      </c>
      <c r="AU1361" s="232">
        <v>5.0000000000000001E-3</v>
      </c>
      <c r="AV1361" s="239">
        <f t="shared" si="201"/>
        <v>19.989073728000001</v>
      </c>
      <c r="AW1361" s="239">
        <f>(AS1361*AK1361/1000000)*(VLOOKUP(N1361,FCST!D:I,6,FALSE))</f>
        <v>0</v>
      </c>
      <c r="AX1361" s="239">
        <f t="shared" si="202"/>
        <v>0</v>
      </c>
      <c r="AY1361" s="239">
        <f>IF($G1361="CERVECERIA Y MALTERIA.",($AS1361*$AK1361/1000000)*(1-VLOOKUP($N1361,FCST!D:I,6,FALSE)),0)</f>
        <v>0</v>
      </c>
      <c r="AZ1361" s="239">
        <f t="shared" si="203"/>
        <v>0</v>
      </c>
    </row>
    <row r="1362" spans="1:52" x14ac:dyDescent="0.25">
      <c r="A1362" s="209">
        <v>1137360</v>
      </c>
      <c r="B1362" s="209">
        <v>10</v>
      </c>
      <c r="C1362" s="209" t="s">
        <v>2906</v>
      </c>
      <c r="D1362" s="209">
        <v>10</v>
      </c>
      <c r="E1362" s="209">
        <v>10000002</v>
      </c>
      <c r="F1362" s="209">
        <v>20000337</v>
      </c>
      <c r="G1362" s="209" t="s">
        <v>105</v>
      </c>
      <c r="H1362" s="209">
        <v>20000337</v>
      </c>
      <c r="I1362" s="209">
        <v>2</v>
      </c>
      <c r="J1362" s="209" t="s">
        <v>169</v>
      </c>
      <c r="K1362" s="209" t="s">
        <v>2907</v>
      </c>
      <c r="L1362" s="209" t="s">
        <v>2610</v>
      </c>
      <c r="M1362" s="209" t="s">
        <v>2718</v>
      </c>
      <c r="N1362" s="209">
        <v>50034616</v>
      </c>
      <c r="O1362" s="209" t="s">
        <v>191</v>
      </c>
      <c r="P1362" s="209">
        <v>5121</v>
      </c>
      <c r="Q1362" s="209" t="s">
        <v>174</v>
      </c>
      <c r="R1362" s="209" t="s">
        <v>175</v>
      </c>
      <c r="S1362" s="209" t="s">
        <v>176</v>
      </c>
      <c r="T1362" s="209" t="s">
        <v>177</v>
      </c>
      <c r="U1362" s="209" t="s">
        <v>178</v>
      </c>
      <c r="V1362" s="209" t="s">
        <v>179</v>
      </c>
      <c r="W1362" s="209" t="s">
        <v>179</v>
      </c>
      <c r="X1362" s="209" t="s">
        <v>180</v>
      </c>
      <c r="Y1362" s="209" t="s">
        <v>180</v>
      </c>
      <c r="Z1362" s="209" t="s">
        <v>2904</v>
      </c>
      <c r="AA1362" s="209" t="s">
        <v>2905</v>
      </c>
      <c r="AB1362" s="209" t="s">
        <v>180</v>
      </c>
      <c r="AC1362" s="209" t="s">
        <v>182</v>
      </c>
      <c r="AD1362" s="209">
        <v>9</v>
      </c>
      <c r="AE1362" s="209">
        <v>2025</v>
      </c>
      <c r="AF1362" s="227">
        <v>45901</v>
      </c>
      <c r="AG1362" s="227">
        <v>45901</v>
      </c>
      <c r="AH1362" s="227">
        <v>45901</v>
      </c>
      <c r="AI1362" s="228">
        <v>426816</v>
      </c>
      <c r="AJ1362" s="228">
        <v>52</v>
      </c>
      <c r="AK1362" s="228">
        <v>426816</v>
      </c>
      <c r="AL1362" s="228">
        <v>52</v>
      </c>
      <c r="AM1362" s="228">
        <v>0</v>
      </c>
      <c r="AN1362" s="228">
        <v>0</v>
      </c>
      <c r="AO1362" s="229">
        <v>36</v>
      </c>
      <c r="AP1362" s="231">
        <v>9</v>
      </c>
      <c r="AQ1362" s="231">
        <v>2025</v>
      </c>
      <c r="AR1362" s="231" t="str">
        <f t="shared" si="199"/>
        <v>09/2025</v>
      </c>
      <c r="AS1362" s="231">
        <f t="shared" si="200"/>
        <v>46.6</v>
      </c>
      <c r="AT1362" s="239">
        <f>IF(G1362="CERVECERIA Y MALTERIA",(AS1362*AK1362/1000000)*(1-VLOOKUP(N1362,FCST!D:I,6,FALSE)),0)</f>
        <v>19.889625600000002</v>
      </c>
      <c r="AU1362" s="232">
        <v>5.0000000000000001E-3</v>
      </c>
      <c r="AV1362" s="239">
        <f t="shared" si="201"/>
        <v>19.989073728000001</v>
      </c>
      <c r="AW1362" s="239">
        <f>(AS1362*AK1362/1000000)*(VLOOKUP(N1362,FCST!D:I,6,FALSE))</f>
        <v>0</v>
      </c>
      <c r="AX1362" s="239">
        <f t="shared" si="202"/>
        <v>0</v>
      </c>
      <c r="AY1362" s="239">
        <f>IF($G1362="CERVECERIA Y MALTERIA.",($AS1362*$AK1362/1000000)*(1-VLOOKUP($N1362,FCST!D:I,6,FALSE)),0)</f>
        <v>0</v>
      </c>
      <c r="AZ1362" s="239">
        <f t="shared" si="203"/>
        <v>0</v>
      </c>
    </row>
    <row r="1363" spans="1:52" x14ac:dyDescent="0.25">
      <c r="A1363" s="209">
        <v>1136933</v>
      </c>
      <c r="B1363" s="209">
        <v>10</v>
      </c>
      <c r="C1363" s="209" t="s">
        <v>2908</v>
      </c>
      <c r="D1363" s="209">
        <v>10</v>
      </c>
      <c r="E1363" s="209">
        <v>10000002</v>
      </c>
      <c r="F1363" s="209">
        <v>20000335</v>
      </c>
      <c r="G1363" s="209" t="s">
        <v>105</v>
      </c>
      <c r="H1363" s="209">
        <v>20000335</v>
      </c>
      <c r="I1363" s="209">
        <v>2</v>
      </c>
      <c r="J1363" s="209" t="s">
        <v>169</v>
      </c>
      <c r="K1363" s="209" t="s">
        <v>2909</v>
      </c>
      <c r="L1363" s="209" t="s">
        <v>2610</v>
      </c>
      <c r="M1363" s="209" t="s">
        <v>184</v>
      </c>
      <c r="N1363" s="209">
        <v>50035183</v>
      </c>
      <c r="O1363" s="209" t="s">
        <v>215</v>
      </c>
      <c r="P1363" s="209">
        <v>5121</v>
      </c>
      <c r="Q1363" s="209" t="s">
        <v>174</v>
      </c>
      <c r="R1363" s="209" t="s">
        <v>175</v>
      </c>
      <c r="S1363" s="209" t="s">
        <v>176</v>
      </c>
      <c r="T1363" s="209" t="s">
        <v>177</v>
      </c>
      <c r="U1363" s="209" t="s">
        <v>178</v>
      </c>
      <c r="V1363" s="209" t="s">
        <v>179</v>
      </c>
      <c r="W1363" s="209" t="s">
        <v>179</v>
      </c>
      <c r="X1363" s="209" t="s">
        <v>180</v>
      </c>
      <c r="Y1363" s="209" t="s">
        <v>180</v>
      </c>
      <c r="Z1363" s="209" t="s">
        <v>2867</v>
      </c>
      <c r="AA1363" s="209" t="s">
        <v>2868</v>
      </c>
      <c r="AB1363" s="209" t="s">
        <v>180</v>
      </c>
      <c r="AC1363" s="209" t="s">
        <v>182</v>
      </c>
      <c r="AD1363" s="209">
        <v>9</v>
      </c>
      <c r="AE1363" s="209">
        <v>2025</v>
      </c>
      <c r="AF1363" s="227">
        <v>45897</v>
      </c>
      <c r="AG1363" s="227">
        <v>45901</v>
      </c>
      <c r="AH1363" s="227">
        <v>45901</v>
      </c>
      <c r="AI1363" s="228">
        <v>426816</v>
      </c>
      <c r="AJ1363" s="228">
        <v>52</v>
      </c>
      <c r="AK1363" s="228">
        <v>426816</v>
      </c>
      <c r="AL1363" s="228">
        <v>52</v>
      </c>
      <c r="AM1363" s="228">
        <v>0</v>
      </c>
      <c r="AN1363" s="228">
        <v>0</v>
      </c>
      <c r="AO1363" s="229">
        <v>36</v>
      </c>
      <c r="AP1363" s="231">
        <v>9</v>
      </c>
      <c r="AQ1363" s="231">
        <v>2025</v>
      </c>
      <c r="AR1363" s="231" t="str">
        <f t="shared" si="199"/>
        <v>09/2025</v>
      </c>
      <c r="AS1363" s="231">
        <f t="shared" si="200"/>
        <v>46.6</v>
      </c>
      <c r="AT1363" s="239">
        <f>IF(G1363="CERVECERIA Y MALTERIA",(AS1363*AK1363/1000000)*(1-VLOOKUP(N1363,FCST!D:I,6,FALSE)),0)</f>
        <v>19.889625600000002</v>
      </c>
      <c r="AU1363" s="232">
        <v>5.0000000000000001E-3</v>
      </c>
      <c r="AV1363" s="239">
        <f t="shared" si="201"/>
        <v>19.989073728000001</v>
      </c>
      <c r="AW1363" s="239">
        <f>(AS1363*AK1363/1000000)*(VLOOKUP(N1363,FCST!D:I,6,FALSE))</f>
        <v>0</v>
      </c>
      <c r="AX1363" s="239">
        <f t="shared" si="202"/>
        <v>0</v>
      </c>
      <c r="AY1363" s="239">
        <f>IF($G1363="CERVECERIA Y MALTERIA.",($AS1363*$AK1363/1000000)*(1-VLOOKUP($N1363,FCST!D:I,6,FALSE)),0)</f>
        <v>0</v>
      </c>
      <c r="AZ1363" s="239">
        <f t="shared" si="203"/>
        <v>0</v>
      </c>
    </row>
    <row r="1364" spans="1:52" x14ac:dyDescent="0.25">
      <c r="A1364" s="209">
        <v>1137259</v>
      </c>
      <c r="B1364" s="209">
        <v>10</v>
      </c>
      <c r="C1364" s="209" t="s">
        <v>2910</v>
      </c>
      <c r="D1364" s="209">
        <v>10</v>
      </c>
      <c r="E1364" s="209">
        <v>10000002</v>
      </c>
      <c r="F1364" s="209">
        <v>20000336</v>
      </c>
      <c r="G1364" s="209" t="s">
        <v>105</v>
      </c>
      <c r="H1364" s="209">
        <v>20000336</v>
      </c>
      <c r="I1364" s="209">
        <v>2</v>
      </c>
      <c r="J1364" s="209" t="s">
        <v>169</v>
      </c>
      <c r="K1364" s="209" t="s">
        <v>2911</v>
      </c>
      <c r="L1364" s="209" t="s">
        <v>2610</v>
      </c>
      <c r="M1364" s="209" t="s">
        <v>2718</v>
      </c>
      <c r="N1364" s="209">
        <v>50034616</v>
      </c>
      <c r="O1364" s="209" t="s">
        <v>191</v>
      </c>
      <c r="P1364" s="209">
        <v>5121</v>
      </c>
      <c r="Q1364" s="209" t="s">
        <v>174</v>
      </c>
      <c r="R1364" s="209" t="s">
        <v>175</v>
      </c>
      <c r="S1364" s="209" t="s">
        <v>176</v>
      </c>
      <c r="T1364" s="209" t="s">
        <v>177</v>
      </c>
      <c r="U1364" s="209" t="s">
        <v>178</v>
      </c>
      <c r="V1364" s="209" t="s">
        <v>179</v>
      </c>
      <c r="W1364" s="209" t="s">
        <v>179</v>
      </c>
      <c r="X1364" s="209" t="s">
        <v>180</v>
      </c>
      <c r="Y1364" s="209" t="s">
        <v>180</v>
      </c>
      <c r="Z1364" s="209" t="s">
        <v>2880</v>
      </c>
      <c r="AA1364" s="209" t="s">
        <v>2881</v>
      </c>
      <c r="AB1364" s="209" t="s">
        <v>180</v>
      </c>
      <c r="AC1364" s="209" t="s">
        <v>182</v>
      </c>
      <c r="AD1364" s="209">
        <v>9</v>
      </c>
      <c r="AE1364" s="209">
        <v>2025</v>
      </c>
      <c r="AF1364" s="227">
        <v>45898</v>
      </c>
      <c r="AG1364" s="227">
        <v>45902</v>
      </c>
      <c r="AH1364" s="227">
        <v>45902</v>
      </c>
      <c r="AI1364" s="228">
        <v>426816</v>
      </c>
      <c r="AJ1364" s="228">
        <v>52</v>
      </c>
      <c r="AK1364" s="228">
        <v>426816</v>
      </c>
      <c r="AL1364" s="228">
        <v>52</v>
      </c>
      <c r="AM1364" s="228">
        <v>0</v>
      </c>
      <c r="AN1364" s="228">
        <v>0</v>
      </c>
      <c r="AO1364" s="229">
        <v>36</v>
      </c>
      <c r="AP1364" s="231">
        <v>9</v>
      </c>
      <c r="AQ1364" s="231">
        <v>2025</v>
      </c>
      <c r="AR1364" s="231" t="str">
        <f t="shared" si="199"/>
        <v>09/2025</v>
      </c>
      <c r="AS1364" s="231">
        <f t="shared" si="200"/>
        <v>46.6</v>
      </c>
      <c r="AT1364" s="239">
        <f>IF(G1364="CERVECERIA Y MALTERIA",(AS1364*AK1364/1000000)*(1-VLOOKUP(N1364,FCST!D:I,6,FALSE)),0)</f>
        <v>19.889625600000002</v>
      </c>
      <c r="AU1364" s="232">
        <v>5.0000000000000001E-3</v>
      </c>
      <c r="AV1364" s="239">
        <f t="shared" si="201"/>
        <v>19.989073728000001</v>
      </c>
      <c r="AW1364" s="239">
        <f>(AS1364*AK1364/1000000)*(VLOOKUP(N1364,FCST!D:I,6,FALSE))</f>
        <v>0</v>
      </c>
      <c r="AX1364" s="239">
        <f t="shared" si="202"/>
        <v>0</v>
      </c>
      <c r="AY1364" s="239">
        <f>IF($G1364="CERVECERIA Y MALTERIA.",($AS1364*$AK1364/1000000)*(1-VLOOKUP($N1364,FCST!D:I,6,FALSE)),0)</f>
        <v>0</v>
      </c>
      <c r="AZ1364" s="239">
        <f t="shared" si="203"/>
        <v>0</v>
      </c>
    </row>
    <row r="1365" spans="1:52" x14ac:dyDescent="0.25">
      <c r="A1365" s="209">
        <v>1137365</v>
      </c>
      <c r="B1365" s="209">
        <v>10</v>
      </c>
      <c r="C1365" s="209" t="s">
        <v>2912</v>
      </c>
      <c r="D1365" s="209">
        <v>10</v>
      </c>
      <c r="E1365" s="209">
        <v>10000002</v>
      </c>
      <c r="F1365" s="209">
        <v>20000339</v>
      </c>
      <c r="G1365" s="209" t="s">
        <v>105</v>
      </c>
      <c r="H1365" s="209">
        <v>20000339</v>
      </c>
      <c r="I1365" s="209">
        <v>2</v>
      </c>
      <c r="J1365" s="209" t="s">
        <v>169</v>
      </c>
      <c r="K1365" s="209" t="s">
        <v>2913</v>
      </c>
      <c r="L1365" s="209" t="s">
        <v>2610</v>
      </c>
      <c r="M1365" s="209" t="s">
        <v>184</v>
      </c>
      <c r="N1365" s="209">
        <v>50030542</v>
      </c>
      <c r="O1365" s="209" t="s">
        <v>2453</v>
      </c>
      <c r="P1365" s="209">
        <v>5121</v>
      </c>
      <c r="Q1365" s="209" t="s">
        <v>174</v>
      </c>
      <c r="R1365" s="209" t="s">
        <v>175</v>
      </c>
      <c r="S1365" s="209" t="s">
        <v>176</v>
      </c>
      <c r="T1365" s="209" t="s">
        <v>177</v>
      </c>
      <c r="U1365" s="209" t="s">
        <v>178</v>
      </c>
      <c r="V1365" s="209" t="s">
        <v>179</v>
      </c>
      <c r="W1365" s="209" t="s">
        <v>179</v>
      </c>
      <c r="X1365" s="209" t="s">
        <v>180</v>
      </c>
      <c r="Y1365" s="209" t="s">
        <v>180</v>
      </c>
      <c r="Z1365" s="209" t="s">
        <v>2914</v>
      </c>
      <c r="AA1365" s="209" t="s">
        <v>2915</v>
      </c>
      <c r="AB1365" s="209" t="s">
        <v>180</v>
      </c>
      <c r="AC1365" s="209" t="s">
        <v>182</v>
      </c>
      <c r="AD1365" s="209">
        <v>9</v>
      </c>
      <c r="AE1365" s="209">
        <v>2025</v>
      </c>
      <c r="AF1365" s="227">
        <v>45901</v>
      </c>
      <c r="AG1365" s="227">
        <v>45902</v>
      </c>
      <c r="AH1365" s="227">
        <v>45902</v>
      </c>
      <c r="AI1365" s="228">
        <v>406848</v>
      </c>
      <c r="AJ1365" s="228">
        <v>52</v>
      </c>
      <c r="AK1365" s="228">
        <v>406848</v>
      </c>
      <c r="AL1365" s="228">
        <v>52</v>
      </c>
      <c r="AM1365" s="228">
        <v>0</v>
      </c>
      <c r="AN1365" s="228">
        <v>0</v>
      </c>
      <c r="AO1365" s="229">
        <v>36</v>
      </c>
      <c r="AP1365" s="231">
        <v>9</v>
      </c>
      <c r="AQ1365" s="231">
        <v>2025</v>
      </c>
      <c r="AR1365" s="231" t="str">
        <f t="shared" si="199"/>
        <v>09/2025</v>
      </c>
      <c r="AS1365" s="231">
        <f t="shared" si="200"/>
        <v>44</v>
      </c>
      <c r="AT1365" s="239">
        <f>IF(G1365="CERVECERIA Y MALTERIA",(AS1365*AK1365/1000000)*(1-VLOOKUP(N1365,FCST!D:I,6,FALSE)),0)</f>
        <v>17.901312000000001</v>
      </c>
      <c r="AU1365" s="232">
        <v>5.0000000000000001E-3</v>
      </c>
      <c r="AV1365" s="239">
        <f t="shared" si="201"/>
        <v>17.990818559999997</v>
      </c>
      <c r="AW1365" s="239">
        <f>(AS1365*AK1365/1000000)*(VLOOKUP(N1365,FCST!D:I,6,FALSE))</f>
        <v>0</v>
      </c>
      <c r="AX1365" s="239">
        <f t="shared" si="202"/>
        <v>0</v>
      </c>
      <c r="AY1365" s="239">
        <f>IF($G1365="CERVECERIA Y MALTERIA.",($AS1365*$AK1365/1000000)*(1-VLOOKUP($N1365,FCST!D:I,6,FALSE)),0)</f>
        <v>0</v>
      </c>
      <c r="AZ1365" s="239">
        <f t="shared" si="203"/>
        <v>0</v>
      </c>
    </row>
    <row r="1366" spans="1:52" x14ac:dyDescent="0.25">
      <c r="A1366" s="209">
        <v>1136933</v>
      </c>
      <c r="B1366" s="209">
        <v>30</v>
      </c>
      <c r="C1366" s="209" t="s">
        <v>2916</v>
      </c>
      <c r="D1366" s="209">
        <v>10</v>
      </c>
      <c r="E1366" s="209">
        <v>10000002</v>
      </c>
      <c r="F1366" s="209">
        <v>20000335</v>
      </c>
      <c r="G1366" s="209" t="s">
        <v>105</v>
      </c>
      <c r="H1366" s="209">
        <v>20000335</v>
      </c>
      <c r="I1366" s="209">
        <v>2</v>
      </c>
      <c r="J1366" s="209" t="s">
        <v>169</v>
      </c>
      <c r="K1366" s="209" t="s">
        <v>2917</v>
      </c>
      <c r="L1366" s="209" t="s">
        <v>2610</v>
      </c>
      <c r="M1366" s="209" t="s">
        <v>184</v>
      </c>
      <c r="N1366" s="209">
        <v>50034616</v>
      </c>
      <c r="O1366" s="209" t="s">
        <v>191</v>
      </c>
      <c r="P1366" s="209">
        <v>5121</v>
      </c>
      <c r="Q1366" s="209" t="s">
        <v>174</v>
      </c>
      <c r="R1366" s="209" t="s">
        <v>175</v>
      </c>
      <c r="S1366" s="209" t="s">
        <v>176</v>
      </c>
      <c r="T1366" s="209" t="s">
        <v>177</v>
      </c>
      <c r="U1366" s="209" t="s">
        <v>178</v>
      </c>
      <c r="V1366" s="209" t="s">
        <v>179</v>
      </c>
      <c r="W1366" s="209" t="s">
        <v>179</v>
      </c>
      <c r="X1366" s="209" t="s">
        <v>180</v>
      </c>
      <c r="Y1366" s="209" t="s">
        <v>180</v>
      </c>
      <c r="Z1366" s="209" t="s">
        <v>2900</v>
      </c>
      <c r="AA1366" s="209" t="s">
        <v>2901</v>
      </c>
      <c r="AB1366" s="209" t="s">
        <v>180</v>
      </c>
      <c r="AC1366" s="209" t="s">
        <v>182</v>
      </c>
      <c r="AD1366" s="209">
        <v>9</v>
      </c>
      <c r="AE1366" s="209">
        <v>2025</v>
      </c>
      <c r="AF1366" s="227">
        <v>45897</v>
      </c>
      <c r="AG1366" s="227">
        <v>45902</v>
      </c>
      <c r="AH1366" s="227">
        <v>45902</v>
      </c>
      <c r="AI1366" s="228">
        <v>426816</v>
      </c>
      <c r="AJ1366" s="228">
        <v>52</v>
      </c>
      <c r="AK1366" s="228">
        <v>426816</v>
      </c>
      <c r="AL1366" s="228">
        <v>52</v>
      </c>
      <c r="AM1366" s="228">
        <v>0</v>
      </c>
      <c r="AN1366" s="228">
        <v>0</v>
      </c>
      <c r="AO1366" s="229">
        <v>36</v>
      </c>
      <c r="AP1366" s="231">
        <v>9</v>
      </c>
      <c r="AQ1366" s="231">
        <v>2025</v>
      </c>
      <c r="AR1366" s="231" t="str">
        <f t="shared" si="199"/>
        <v>09/2025</v>
      </c>
      <c r="AS1366" s="231">
        <f t="shared" si="200"/>
        <v>46.6</v>
      </c>
      <c r="AT1366" s="239">
        <f>IF(G1366="CERVECERIA Y MALTERIA",(AS1366*AK1366/1000000)*(1-VLOOKUP(N1366,FCST!D:I,6,FALSE)),0)</f>
        <v>19.889625600000002</v>
      </c>
      <c r="AU1366" s="232">
        <v>5.0000000000000001E-3</v>
      </c>
      <c r="AV1366" s="239">
        <f t="shared" si="201"/>
        <v>19.989073728000001</v>
      </c>
      <c r="AW1366" s="239">
        <f>(AS1366*AK1366/1000000)*(VLOOKUP(N1366,FCST!D:I,6,FALSE))</f>
        <v>0</v>
      </c>
      <c r="AX1366" s="239">
        <f t="shared" si="202"/>
        <v>0</v>
      </c>
      <c r="AY1366" s="239">
        <f>IF($G1366="CERVECERIA Y MALTERIA.",($AS1366*$AK1366/1000000)*(1-VLOOKUP($N1366,FCST!D:I,6,FALSE)),0)</f>
        <v>0</v>
      </c>
      <c r="AZ1366" s="239">
        <f t="shared" si="203"/>
        <v>0</v>
      </c>
    </row>
    <row r="1367" spans="1:52" x14ac:dyDescent="0.25">
      <c r="A1367" s="209">
        <v>1139840</v>
      </c>
      <c r="B1367" s="209">
        <v>10</v>
      </c>
      <c r="C1367" s="209" t="s">
        <v>2918</v>
      </c>
      <c r="D1367" s="209">
        <v>10</v>
      </c>
      <c r="E1367" s="209">
        <v>10000002</v>
      </c>
      <c r="F1367" s="209">
        <v>20000335</v>
      </c>
      <c r="G1367" s="209" t="s">
        <v>105</v>
      </c>
      <c r="H1367" s="209">
        <v>20000335</v>
      </c>
      <c r="I1367" s="209">
        <v>2</v>
      </c>
      <c r="J1367" s="209" t="s">
        <v>169</v>
      </c>
      <c r="K1367" s="209" t="s">
        <v>2919</v>
      </c>
      <c r="L1367" s="209" t="s">
        <v>2610</v>
      </c>
      <c r="M1367" s="209" t="s">
        <v>184</v>
      </c>
      <c r="N1367" s="209">
        <v>50034561</v>
      </c>
      <c r="O1367" s="209" t="s">
        <v>307</v>
      </c>
      <c r="P1367" s="209">
        <v>5121</v>
      </c>
      <c r="Q1367" s="209" t="s">
        <v>174</v>
      </c>
      <c r="R1367" s="209" t="s">
        <v>175</v>
      </c>
      <c r="S1367" s="209" t="s">
        <v>176</v>
      </c>
      <c r="T1367" s="209" t="s">
        <v>177</v>
      </c>
      <c r="U1367" s="209" t="s">
        <v>178</v>
      </c>
      <c r="V1367" s="209" t="s">
        <v>179</v>
      </c>
      <c r="W1367" s="209" t="s">
        <v>179</v>
      </c>
      <c r="X1367" s="209" t="s">
        <v>180</v>
      </c>
      <c r="Y1367" s="209" t="s">
        <v>180</v>
      </c>
      <c r="Z1367" s="209" t="s">
        <v>2920</v>
      </c>
      <c r="AA1367" s="209" t="s">
        <v>2921</v>
      </c>
      <c r="AB1367" s="209" t="s">
        <v>180</v>
      </c>
      <c r="AC1367" s="209" t="s">
        <v>182</v>
      </c>
      <c r="AD1367" s="209">
        <v>9</v>
      </c>
      <c r="AE1367" s="209">
        <v>2025</v>
      </c>
      <c r="AF1367" s="227">
        <v>45912</v>
      </c>
      <c r="AG1367" s="227">
        <v>45912</v>
      </c>
      <c r="AH1367" s="227">
        <v>45912</v>
      </c>
      <c r="AI1367" s="228">
        <v>300672</v>
      </c>
      <c r="AJ1367" s="228">
        <v>16</v>
      </c>
      <c r="AK1367" s="228">
        <v>300672</v>
      </c>
      <c r="AL1367" s="228">
        <v>16</v>
      </c>
      <c r="AM1367" s="228">
        <v>0</v>
      </c>
      <c r="AN1367" s="228">
        <v>0</v>
      </c>
      <c r="AO1367" s="229">
        <v>38</v>
      </c>
      <c r="AP1367" s="231">
        <v>9</v>
      </c>
      <c r="AQ1367" s="231">
        <v>2025</v>
      </c>
      <c r="AR1367" s="231" t="str">
        <f t="shared" si="199"/>
        <v>09/2025</v>
      </c>
      <c r="AS1367" s="231">
        <f t="shared" si="200"/>
        <v>19.5</v>
      </c>
      <c r="AT1367" s="239">
        <f>IF(G1367="CERVECERIA Y MALTERIA",(AS1367*AK1367/1000000)*(1-VLOOKUP(N1367,FCST!D:I,6,FALSE)),0)</f>
        <v>5.8631039999999999</v>
      </c>
      <c r="AU1367" s="232">
        <v>5.0000000000000001E-3</v>
      </c>
      <c r="AV1367" s="239">
        <f t="shared" si="201"/>
        <v>5.8924195199999989</v>
      </c>
      <c r="AW1367" s="239">
        <f>(AS1367*AK1367/1000000)*(VLOOKUP(N1367,FCST!D:I,6,FALSE))</f>
        <v>0</v>
      </c>
      <c r="AX1367" s="239">
        <f t="shared" si="202"/>
        <v>0</v>
      </c>
      <c r="AY1367" s="239">
        <f>IF($G1367="CERVECERIA Y MALTERIA.",($AS1367*$AK1367/1000000)*(1-VLOOKUP($N1367,FCST!D:I,6,FALSE)),0)</f>
        <v>0</v>
      </c>
      <c r="AZ1367" s="239">
        <f t="shared" si="203"/>
        <v>0</v>
      </c>
    </row>
    <row r="1368" spans="1:52" x14ac:dyDescent="0.25">
      <c r="A1368" s="209">
        <v>1139842</v>
      </c>
      <c r="B1368" s="209">
        <v>10</v>
      </c>
      <c r="C1368" s="209" t="s">
        <v>2922</v>
      </c>
      <c r="D1368" s="209">
        <v>10</v>
      </c>
      <c r="E1368" s="209">
        <v>10000002</v>
      </c>
      <c r="F1368" s="209">
        <v>20000340</v>
      </c>
      <c r="G1368" s="209" t="s">
        <v>117</v>
      </c>
      <c r="H1368" s="209">
        <v>20000340</v>
      </c>
      <c r="I1368" s="209">
        <v>2</v>
      </c>
      <c r="J1368" s="209" t="s">
        <v>169</v>
      </c>
      <c r="K1368" s="209" t="s">
        <v>2923</v>
      </c>
      <c r="L1368" s="209" t="s">
        <v>2610</v>
      </c>
      <c r="M1368" s="209" t="s">
        <v>184</v>
      </c>
      <c r="N1368" s="209">
        <v>50039856</v>
      </c>
      <c r="O1368" s="209" t="s">
        <v>2871</v>
      </c>
      <c r="P1368" s="209">
        <v>5101</v>
      </c>
      <c r="Q1368" s="209" t="s">
        <v>186</v>
      </c>
      <c r="R1368" s="209" t="s">
        <v>175</v>
      </c>
      <c r="S1368" s="209" t="s">
        <v>176</v>
      </c>
      <c r="T1368" s="209" t="s">
        <v>187</v>
      </c>
      <c r="U1368" s="209" t="s">
        <v>188</v>
      </c>
      <c r="V1368" s="209" t="s">
        <v>179</v>
      </c>
      <c r="W1368" s="209" t="s">
        <v>179</v>
      </c>
      <c r="X1368" s="209" t="s">
        <v>180</v>
      </c>
      <c r="Y1368" s="209" t="s">
        <v>180</v>
      </c>
      <c r="Z1368" s="209" t="s">
        <v>2872</v>
      </c>
      <c r="AA1368" s="209" t="s">
        <v>2873</v>
      </c>
      <c r="AB1368" s="209" t="s">
        <v>180</v>
      </c>
      <c r="AC1368" s="209" t="s">
        <v>182</v>
      </c>
      <c r="AD1368" s="209">
        <v>9</v>
      </c>
      <c r="AE1368" s="209">
        <v>2025</v>
      </c>
      <c r="AF1368" s="227">
        <v>45912</v>
      </c>
      <c r="AG1368" s="227">
        <v>45912</v>
      </c>
      <c r="AH1368" s="227">
        <v>45912</v>
      </c>
      <c r="AI1368" s="228">
        <v>276480</v>
      </c>
      <c r="AJ1368" s="228">
        <v>36</v>
      </c>
      <c r="AK1368" s="228">
        <v>276480</v>
      </c>
      <c r="AL1368" s="228">
        <v>36</v>
      </c>
      <c r="AM1368" s="228">
        <v>0</v>
      </c>
      <c r="AN1368" s="228">
        <v>0</v>
      </c>
      <c r="AO1368" s="229">
        <v>38</v>
      </c>
      <c r="AP1368" s="231">
        <v>9</v>
      </c>
      <c r="AQ1368" s="231">
        <v>2025</v>
      </c>
      <c r="AR1368" s="231" t="str">
        <f t="shared" si="199"/>
        <v>09/2025</v>
      </c>
      <c r="AS1368" s="231">
        <f t="shared" si="200"/>
        <v>52</v>
      </c>
      <c r="AT1368" s="239">
        <f>IF(G1368="CERVECERIA Y MALTERIA",(AS1368*AK1368/1000000)*(1-VLOOKUP(N1368,FCST!D:I,6,FALSE)),0)</f>
        <v>0</v>
      </c>
      <c r="AU1368" s="232">
        <v>5.0000000000000001E-3</v>
      </c>
      <c r="AV1368" s="239">
        <f t="shared" si="201"/>
        <v>0</v>
      </c>
      <c r="AW1368" s="239">
        <f>(AS1368*AK1368/1000000)*(VLOOKUP(N1368,FCST!D:I,6,FALSE))</f>
        <v>0</v>
      </c>
      <c r="AX1368" s="239">
        <f t="shared" si="202"/>
        <v>0</v>
      </c>
      <c r="AY1368" s="239">
        <f>IF($G1368="CERVECERIA Y MALTERIA.",($AS1368*$AK1368/1000000)*(1-VLOOKUP($N1368,FCST!D:I,6,FALSE)),0)</f>
        <v>14.37696</v>
      </c>
      <c r="AZ1368" s="239">
        <f t="shared" si="203"/>
        <v>14.448844799999998</v>
      </c>
    </row>
    <row r="1369" spans="1:52" x14ac:dyDescent="0.25">
      <c r="A1369" s="209">
        <v>1138547</v>
      </c>
      <c r="B1369" s="209">
        <v>30</v>
      </c>
      <c r="C1369" s="209" t="s">
        <v>2924</v>
      </c>
      <c r="D1369" s="209">
        <v>10</v>
      </c>
      <c r="E1369" s="209">
        <v>10000002</v>
      </c>
      <c r="F1369" s="209">
        <v>20000337</v>
      </c>
      <c r="G1369" s="209" t="s">
        <v>105</v>
      </c>
      <c r="H1369" s="209">
        <v>20000337</v>
      </c>
      <c r="I1369" s="209">
        <v>2</v>
      </c>
      <c r="J1369" s="209" t="s">
        <v>169</v>
      </c>
      <c r="K1369" s="209" t="s">
        <v>2925</v>
      </c>
      <c r="L1369" s="209" t="s">
        <v>2610</v>
      </c>
      <c r="M1369" s="209" t="s">
        <v>2718</v>
      </c>
      <c r="N1369" s="209">
        <v>50032583</v>
      </c>
      <c r="O1369" s="209" t="s">
        <v>205</v>
      </c>
      <c r="P1369" s="209">
        <v>5121</v>
      </c>
      <c r="Q1369" s="209" t="s">
        <v>174</v>
      </c>
      <c r="R1369" s="209" t="s">
        <v>175</v>
      </c>
      <c r="S1369" s="209" t="s">
        <v>176</v>
      </c>
      <c r="T1369" s="209" t="s">
        <v>177</v>
      </c>
      <c r="U1369" s="209" t="s">
        <v>178</v>
      </c>
      <c r="V1369" s="209" t="s">
        <v>179</v>
      </c>
      <c r="W1369" s="209" t="s">
        <v>179</v>
      </c>
      <c r="X1369" s="209" t="s">
        <v>180</v>
      </c>
      <c r="Y1369" s="209" t="s">
        <v>180</v>
      </c>
      <c r="Z1369" s="209" t="s">
        <v>2926</v>
      </c>
      <c r="AA1369" s="209" t="s">
        <v>2927</v>
      </c>
      <c r="AB1369" s="209" t="s">
        <v>180</v>
      </c>
      <c r="AC1369" s="209" t="s">
        <v>182</v>
      </c>
      <c r="AD1369" s="209">
        <v>9</v>
      </c>
      <c r="AE1369" s="209">
        <v>2025</v>
      </c>
      <c r="AF1369" s="227">
        <v>45905</v>
      </c>
      <c r="AG1369" s="227">
        <v>45912</v>
      </c>
      <c r="AH1369" s="227">
        <v>45912</v>
      </c>
      <c r="AI1369" s="228">
        <v>351936</v>
      </c>
      <c r="AJ1369" s="228">
        <v>52</v>
      </c>
      <c r="AK1369" s="228">
        <v>351936</v>
      </c>
      <c r="AL1369" s="228">
        <v>52</v>
      </c>
      <c r="AM1369" s="228">
        <v>0</v>
      </c>
      <c r="AN1369" s="228">
        <v>0</v>
      </c>
      <c r="AO1369" s="229">
        <v>37</v>
      </c>
      <c r="AP1369" s="231">
        <v>9</v>
      </c>
      <c r="AQ1369" s="231">
        <v>2025</v>
      </c>
      <c r="AR1369" s="231" t="str">
        <f t="shared" si="199"/>
        <v>09/2025</v>
      </c>
      <c r="AS1369" s="231">
        <f t="shared" si="200"/>
        <v>54.7</v>
      </c>
      <c r="AT1369" s="239">
        <f>IF(G1369="CERVECERIA Y MALTERIA",(AS1369*AK1369/1000000)*(1-VLOOKUP(N1369,FCST!D:I,6,FALSE)),0)</f>
        <v>19.250899199999999</v>
      </c>
      <c r="AU1369" s="232">
        <v>5.0000000000000001E-3</v>
      </c>
      <c r="AV1369" s="239">
        <f t="shared" si="201"/>
        <v>19.347153695999996</v>
      </c>
      <c r="AW1369" s="239">
        <f>(AS1369*AK1369/1000000)*(VLOOKUP(N1369,FCST!D:I,6,FALSE))</f>
        <v>0</v>
      </c>
      <c r="AX1369" s="239">
        <f t="shared" si="202"/>
        <v>0</v>
      </c>
      <c r="AY1369" s="239">
        <f>IF($G1369="CERVECERIA Y MALTERIA.",($AS1369*$AK1369/1000000)*(1-VLOOKUP($N1369,FCST!D:I,6,FALSE)),0)</f>
        <v>0</v>
      </c>
      <c r="AZ1369" s="239">
        <f t="shared" si="203"/>
        <v>0</v>
      </c>
    </row>
    <row r="1370" spans="1:52" x14ac:dyDescent="0.25">
      <c r="A1370" s="209">
        <v>1138387</v>
      </c>
      <c r="B1370" s="209">
        <v>40</v>
      </c>
      <c r="C1370" s="209" t="s">
        <v>2928</v>
      </c>
      <c r="D1370" s="209">
        <v>10</v>
      </c>
      <c r="E1370" s="209">
        <v>10000002</v>
      </c>
      <c r="F1370" s="209">
        <v>20000340</v>
      </c>
      <c r="G1370" s="209" t="s">
        <v>117</v>
      </c>
      <c r="H1370" s="209">
        <v>20000340</v>
      </c>
      <c r="I1370" s="209">
        <v>2</v>
      </c>
      <c r="J1370" s="209" t="s">
        <v>169</v>
      </c>
      <c r="K1370" s="209" t="s">
        <v>2929</v>
      </c>
      <c r="L1370" s="209" t="s">
        <v>2610</v>
      </c>
      <c r="M1370" s="209" t="s">
        <v>2718</v>
      </c>
      <c r="N1370" s="209">
        <v>50027468</v>
      </c>
      <c r="O1370" s="209" t="s">
        <v>285</v>
      </c>
      <c r="P1370" s="209">
        <v>5101</v>
      </c>
      <c r="Q1370" s="209" t="s">
        <v>186</v>
      </c>
      <c r="R1370" s="209" t="s">
        <v>175</v>
      </c>
      <c r="S1370" s="209" t="s">
        <v>176</v>
      </c>
      <c r="T1370" s="209" t="s">
        <v>187</v>
      </c>
      <c r="U1370" s="209" t="s">
        <v>188</v>
      </c>
      <c r="V1370" s="209" t="s">
        <v>179</v>
      </c>
      <c r="W1370" s="209" t="s">
        <v>179</v>
      </c>
      <c r="X1370" s="209" t="s">
        <v>180</v>
      </c>
      <c r="Y1370" s="209" t="s">
        <v>180</v>
      </c>
      <c r="Z1370" s="209" t="s">
        <v>2876</v>
      </c>
      <c r="AA1370" s="209" t="s">
        <v>2877</v>
      </c>
      <c r="AB1370" s="209" t="s">
        <v>180</v>
      </c>
      <c r="AC1370" s="209" t="s">
        <v>182</v>
      </c>
      <c r="AD1370" s="209">
        <v>9</v>
      </c>
      <c r="AE1370" s="209">
        <v>2025</v>
      </c>
      <c r="AF1370" s="227">
        <v>45904</v>
      </c>
      <c r="AG1370" s="227">
        <v>45912</v>
      </c>
      <c r="AH1370" s="227">
        <v>45912</v>
      </c>
      <c r="AI1370" s="228">
        <v>30720</v>
      </c>
      <c r="AJ1370" s="228">
        <v>4</v>
      </c>
      <c r="AK1370" s="228">
        <v>30720</v>
      </c>
      <c r="AL1370" s="228">
        <v>4</v>
      </c>
      <c r="AM1370" s="228">
        <v>0</v>
      </c>
      <c r="AN1370" s="228">
        <v>0</v>
      </c>
      <c r="AO1370" s="229">
        <v>37</v>
      </c>
      <c r="AP1370" s="231">
        <v>9</v>
      </c>
      <c r="AQ1370" s="231">
        <v>2025</v>
      </c>
      <c r="AR1370" s="231" t="str">
        <f t="shared" si="199"/>
        <v>09/2025</v>
      </c>
      <c r="AS1370" s="231">
        <f t="shared" si="200"/>
        <v>52</v>
      </c>
      <c r="AT1370" s="239">
        <f>IF(G1370="CERVECERIA Y MALTERIA",(AS1370*AK1370/1000000)*(1-VLOOKUP(N1370,FCST!D:I,6,FALSE)),0)</f>
        <v>0</v>
      </c>
      <c r="AU1370" s="232">
        <v>5.0000000000000001E-3</v>
      </c>
      <c r="AV1370" s="239">
        <f t="shared" si="201"/>
        <v>0</v>
      </c>
      <c r="AW1370" s="239">
        <f>(AS1370*AK1370/1000000)*(VLOOKUP(N1370,FCST!D:I,6,FALSE))</f>
        <v>0</v>
      </c>
      <c r="AX1370" s="239">
        <f t="shared" si="202"/>
        <v>0</v>
      </c>
      <c r="AY1370" s="239">
        <f>IF($G1370="CERVECERIA Y MALTERIA.",($AS1370*$AK1370/1000000)*(1-VLOOKUP($N1370,FCST!D:I,6,FALSE)),0)</f>
        <v>1.59744</v>
      </c>
      <c r="AZ1370" s="239">
        <f t="shared" si="203"/>
        <v>1.6054271999999998</v>
      </c>
    </row>
    <row r="1371" spans="1:52" x14ac:dyDescent="0.25">
      <c r="A1371" s="209">
        <v>1138348</v>
      </c>
      <c r="B1371" s="209">
        <v>40</v>
      </c>
      <c r="C1371" s="209" t="s">
        <v>2930</v>
      </c>
      <c r="D1371" s="209">
        <v>10</v>
      </c>
      <c r="E1371" s="209">
        <v>10000002</v>
      </c>
      <c r="F1371" s="209">
        <v>20000335</v>
      </c>
      <c r="G1371" s="209" t="s">
        <v>105</v>
      </c>
      <c r="H1371" s="209">
        <v>20000335</v>
      </c>
      <c r="I1371" s="209">
        <v>2</v>
      </c>
      <c r="J1371" s="209" t="s">
        <v>169</v>
      </c>
      <c r="K1371" s="209" t="s">
        <v>2931</v>
      </c>
      <c r="L1371" s="209" t="s">
        <v>2610</v>
      </c>
      <c r="M1371" s="209" t="s">
        <v>2718</v>
      </c>
      <c r="N1371" s="209">
        <v>50037887</v>
      </c>
      <c r="O1371" s="209" t="s">
        <v>679</v>
      </c>
      <c r="P1371" s="209">
        <v>5121</v>
      </c>
      <c r="Q1371" s="209" t="s">
        <v>174</v>
      </c>
      <c r="R1371" s="209" t="s">
        <v>175</v>
      </c>
      <c r="S1371" s="209" t="s">
        <v>176</v>
      </c>
      <c r="T1371" s="209" t="s">
        <v>177</v>
      </c>
      <c r="U1371" s="209" t="s">
        <v>178</v>
      </c>
      <c r="V1371" s="209" t="s">
        <v>179</v>
      </c>
      <c r="W1371" s="209" t="s">
        <v>179</v>
      </c>
      <c r="X1371" s="209" t="s">
        <v>180</v>
      </c>
      <c r="Y1371" s="209" t="s">
        <v>180</v>
      </c>
      <c r="Z1371" s="209" t="s">
        <v>2884</v>
      </c>
      <c r="AA1371" s="209" t="s">
        <v>2885</v>
      </c>
      <c r="AB1371" s="209" t="s">
        <v>180</v>
      </c>
      <c r="AC1371" s="209" t="s">
        <v>182</v>
      </c>
      <c r="AD1371" s="209">
        <v>9</v>
      </c>
      <c r="AE1371" s="209">
        <v>2025</v>
      </c>
      <c r="AF1371" s="227">
        <v>45904</v>
      </c>
      <c r="AG1371" s="227">
        <v>45912</v>
      </c>
      <c r="AH1371" s="227">
        <v>45912</v>
      </c>
      <c r="AI1371" s="228">
        <v>490752</v>
      </c>
      <c r="AJ1371" s="228">
        <v>48</v>
      </c>
      <c r="AK1371" s="228">
        <v>490752</v>
      </c>
      <c r="AL1371" s="228">
        <v>48</v>
      </c>
      <c r="AM1371" s="228">
        <v>0</v>
      </c>
      <c r="AN1371" s="228">
        <v>0</v>
      </c>
      <c r="AO1371" s="229">
        <v>37</v>
      </c>
      <c r="AP1371" s="231">
        <v>9</v>
      </c>
      <c r="AQ1371" s="231">
        <v>2025</v>
      </c>
      <c r="AR1371" s="231" t="str">
        <f t="shared" si="199"/>
        <v>09/2025</v>
      </c>
      <c r="AS1371" s="231">
        <f t="shared" si="200"/>
        <v>37.200000000000003</v>
      </c>
      <c r="AT1371" s="239">
        <f>IF(G1371="CERVECERIA Y MALTERIA",(AS1371*AK1371/1000000)*(1-VLOOKUP(N1371,FCST!D:I,6,FALSE)),0)</f>
        <v>18.255974400000003</v>
      </c>
      <c r="AU1371" s="232">
        <v>5.0000000000000001E-3</v>
      </c>
      <c r="AV1371" s="239">
        <f t="shared" si="201"/>
        <v>18.347254272000001</v>
      </c>
      <c r="AW1371" s="239">
        <f>(AS1371*AK1371/1000000)*(VLOOKUP(N1371,FCST!D:I,6,FALSE))</f>
        <v>0</v>
      </c>
      <c r="AX1371" s="239">
        <f t="shared" si="202"/>
        <v>0</v>
      </c>
      <c r="AY1371" s="239">
        <f>IF($G1371="CERVECERIA Y MALTERIA.",($AS1371*$AK1371/1000000)*(1-VLOOKUP($N1371,FCST!D:I,6,FALSE)),0)</f>
        <v>0</v>
      </c>
      <c r="AZ1371" s="239">
        <f t="shared" si="203"/>
        <v>0</v>
      </c>
    </row>
    <row r="1372" spans="1:52" x14ac:dyDescent="0.25">
      <c r="A1372" s="209">
        <v>1139856</v>
      </c>
      <c r="B1372" s="209">
        <v>20</v>
      </c>
      <c r="C1372" s="209" t="s">
        <v>2932</v>
      </c>
      <c r="D1372" s="209">
        <v>10</v>
      </c>
      <c r="E1372" s="209">
        <v>10000002</v>
      </c>
      <c r="F1372" s="209">
        <v>20000337</v>
      </c>
      <c r="G1372" s="209" t="s">
        <v>105</v>
      </c>
      <c r="H1372" s="209">
        <v>20000337</v>
      </c>
      <c r="I1372" s="209">
        <v>2</v>
      </c>
      <c r="J1372" s="209" t="s">
        <v>169</v>
      </c>
      <c r="K1372" s="209" t="s">
        <v>2933</v>
      </c>
      <c r="L1372" s="209" t="s">
        <v>2610</v>
      </c>
      <c r="M1372" s="209" t="s">
        <v>184</v>
      </c>
      <c r="N1372" s="209">
        <v>50035135</v>
      </c>
      <c r="O1372" s="209" t="s">
        <v>2730</v>
      </c>
      <c r="P1372" s="209">
        <v>5121</v>
      </c>
      <c r="Q1372" s="209" t="s">
        <v>174</v>
      </c>
      <c r="R1372" s="209" t="s">
        <v>175</v>
      </c>
      <c r="S1372" s="209" t="s">
        <v>176</v>
      </c>
      <c r="T1372" s="209" t="s">
        <v>177</v>
      </c>
      <c r="U1372" s="209" t="s">
        <v>178</v>
      </c>
      <c r="V1372" s="209" t="s">
        <v>179</v>
      </c>
      <c r="W1372" s="209" t="s">
        <v>179</v>
      </c>
      <c r="X1372" s="209" t="s">
        <v>180</v>
      </c>
      <c r="Y1372" s="209" t="s">
        <v>180</v>
      </c>
      <c r="Z1372" s="209" t="s">
        <v>2934</v>
      </c>
      <c r="AA1372" s="209" t="s">
        <v>2935</v>
      </c>
      <c r="AB1372" s="209" t="s">
        <v>180</v>
      </c>
      <c r="AC1372" s="209" t="s">
        <v>182</v>
      </c>
      <c r="AD1372" s="209">
        <v>9</v>
      </c>
      <c r="AE1372" s="209">
        <v>2025</v>
      </c>
      <c r="AF1372" s="227">
        <v>45912</v>
      </c>
      <c r="AG1372" s="227">
        <v>45916</v>
      </c>
      <c r="AH1372" s="227">
        <v>45916</v>
      </c>
      <c r="AI1372" s="228">
        <v>406016</v>
      </c>
      <c r="AJ1372" s="228">
        <v>52</v>
      </c>
      <c r="AK1372" s="228">
        <v>406016</v>
      </c>
      <c r="AL1372" s="228">
        <v>52</v>
      </c>
      <c r="AM1372" s="228">
        <v>0</v>
      </c>
      <c r="AN1372" s="228">
        <v>0</v>
      </c>
      <c r="AO1372" s="229">
        <v>38</v>
      </c>
      <c r="AP1372" s="231">
        <v>9</v>
      </c>
      <c r="AQ1372" s="231">
        <v>2025</v>
      </c>
      <c r="AR1372" s="231" t="str">
        <f t="shared" si="199"/>
        <v>09/2025</v>
      </c>
      <c r="AS1372" s="231">
        <f t="shared" si="200"/>
        <v>46.6</v>
      </c>
      <c r="AT1372" s="239">
        <f>IF(G1372="CERVECERIA Y MALTERIA",(AS1372*AK1372/1000000)*(1-VLOOKUP(N1372,FCST!D:I,6,FALSE)),0)</f>
        <v>18.920345600000001</v>
      </c>
      <c r="AU1372" s="232">
        <v>5.0000000000000001E-3</v>
      </c>
      <c r="AV1372" s="239">
        <f t="shared" si="201"/>
        <v>19.014947327999998</v>
      </c>
      <c r="AW1372" s="239">
        <f>(AS1372*AK1372/1000000)*(VLOOKUP(N1372,FCST!D:I,6,FALSE))</f>
        <v>0</v>
      </c>
      <c r="AX1372" s="239">
        <f t="shared" si="202"/>
        <v>0</v>
      </c>
      <c r="AY1372" s="239">
        <f>IF($G1372="CERVECERIA Y MALTERIA.",($AS1372*$AK1372/1000000)*(1-VLOOKUP($N1372,FCST!D:I,6,FALSE)),0)</f>
        <v>0</v>
      </c>
      <c r="AZ1372" s="239">
        <f t="shared" si="203"/>
        <v>0</v>
      </c>
    </row>
    <row r="1373" spans="1:52" x14ac:dyDescent="0.25">
      <c r="A1373" s="209">
        <v>1139840</v>
      </c>
      <c r="B1373" s="209">
        <v>50</v>
      </c>
      <c r="C1373" s="209" t="s">
        <v>2936</v>
      </c>
      <c r="D1373" s="209">
        <v>10</v>
      </c>
      <c r="E1373" s="209">
        <v>10000002</v>
      </c>
      <c r="F1373" s="209">
        <v>20000335</v>
      </c>
      <c r="G1373" s="209" t="s">
        <v>105</v>
      </c>
      <c r="H1373" s="209">
        <v>20000335</v>
      </c>
      <c r="I1373" s="209">
        <v>2</v>
      </c>
      <c r="J1373" s="209" t="s">
        <v>169</v>
      </c>
      <c r="K1373" s="209" t="s">
        <v>2937</v>
      </c>
      <c r="L1373" s="209" t="s">
        <v>2610</v>
      </c>
      <c r="M1373" s="209" t="s">
        <v>184</v>
      </c>
      <c r="N1373" s="209">
        <v>50039574</v>
      </c>
      <c r="O1373" s="209" t="s">
        <v>2778</v>
      </c>
      <c r="P1373" s="209">
        <v>5121</v>
      </c>
      <c r="Q1373" s="209" t="s">
        <v>174</v>
      </c>
      <c r="R1373" s="209" t="s">
        <v>175</v>
      </c>
      <c r="S1373" s="209" t="s">
        <v>176</v>
      </c>
      <c r="T1373" s="209" t="s">
        <v>177</v>
      </c>
      <c r="U1373" s="209" t="s">
        <v>178</v>
      </c>
      <c r="V1373" s="209" t="s">
        <v>179</v>
      </c>
      <c r="W1373" s="209" t="s">
        <v>179</v>
      </c>
      <c r="X1373" s="209" t="s">
        <v>180</v>
      </c>
      <c r="Y1373" s="209" t="s">
        <v>180</v>
      </c>
      <c r="Z1373" s="209" t="s">
        <v>2779</v>
      </c>
      <c r="AA1373" s="209" t="s">
        <v>2780</v>
      </c>
      <c r="AB1373" s="209" t="s">
        <v>180</v>
      </c>
      <c r="AC1373" s="209" t="s">
        <v>182</v>
      </c>
      <c r="AD1373" s="209">
        <v>9</v>
      </c>
      <c r="AE1373" s="209">
        <v>2025</v>
      </c>
      <c r="AF1373" s="227">
        <v>45912</v>
      </c>
      <c r="AG1373" s="227">
        <v>45916</v>
      </c>
      <c r="AH1373" s="227">
        <v>45916</v>
      </c>
      <c r="AI1373" s="228">
        <v>512928</v>
      </c>
      <c r="AJ1373" s="228">
        <v>52</v>
      </c>
      <c r="AK1373" s="228">
        <v>512928</v>
      </c>
      <c r="AL1373" s="228">
        <v>52</v>
      </c>
      <c r="AM1373" s="228">
        <v>0</v>
      </c>
      <c r="AN1373" s="228">
        <v>0</v>
      </c>
      <c r="AO1373" s="229">
        <v>38</v>
      </c>
      <c r="AP1373" s="231">
        <v>9</v>
      </c>
      <c r="AQ1373" s="231">
        <v>2025</v>
      </c>
      <c r="AR1373" s="231" t="str">
        <f t="shared" si="199"/>
        <v>09/2025</v>
      </c>
      <c r="AS1373" s="231">
        <f t="shared" si="200"/>
        <v>37.200000000000003</v>
      </c>
      <c r="AT1373" s="239">
        <f>IF(G1373="CERVECERIA Y MALTERIA",(AS1373*AK1373/1000000)*(1-VLOOKUP(N1373,FCST!D:I,6,FALSE)),0)</f>
        <v>19.0809216</v>
      </c>
      <c r="AU1373" s="232">
        <v>5.0000000000000001E-3</v>
      </c>
      <c r="AV1373" s="239">
        <f t="shared" si="201"/>
        <v>19.176326207999999</v>
      </c>
      <c r="AW1373" s="239">
        <f>(AS1373*AK1373/1000000)*(VLOOKUP(N1373,FCST!D:I,6,FALSE))</f>
        <v>0</v>
      </c>
      <c r="AX1373" s="239">
        <f t="shared" si="202"/>
        <v>0</v>
      </c>
      <c r="AY1373" s="239">
        <f>IF($G1373="CERVECERIA Y MALTERIA.",($AS1373*$AK1373/1000000)*(1-VLOOKUP($N1373,FCST!D:I,6,FALSE)),0)</f>
        <v>0</v>
      </c>
      <c r="AZ1373" s="239">
        <f t="shared" si="203"/>
        <v>0</v>
      </c>
    </row>
    <row r="1374" spans="1:52" x14ac:dyDescent="0.25">
      <c r="A1374" s="209">
        <v>1139856</v>
      </c>
      <c r="B1374" s="209">
        <v>10</v>
      </c>
      <c r="C1374" s="209" t="s">
        <v>2938</v>
      </c>
      <c r="D1374" s="209">
        <v>10</v>
      </c>
      <c r="E1374" s="209">
        <v>10000002</v>
      </c>
      <c r="F1374" s="209">
        <v>20000337</v>
      </c>
      <c r="G1374" s="209" t="s">
        <v>105</v>
      </c>
      <c r="H1374" s="209">
        <v>20000337</v>
      </c>
      <c r="I1374" s="209">
        <v>2</v>
      </c>
      <c r="J1374" s="209" t="s">
        <v>169</v>
      </c>
      <c r="K1374" s="209" t="s">
        <v>2939</v>
      </c>
      <c r="L1374" s="209" t="s">
        <v>2610</v>
      </c>
      <c r="M1374" s="209" t="s">
        <v>2718</v>
      </c>
      <c r="N1374" s="209">
        <v>50035135</v>
      </c>
      <c r="O1374" s="209" t="s">
        <v>2730</v>
      </c>
      <c r="P1374" s="209">
        <v>5121</v>
      </c>
      <c r="Q1374" s="209" t="s">
        <v>174</v>
      </c>
      <c r="R1374" s="209" t="s">
        <v>175</v>
      </c>
      <c r="S1374" s="209" t="s">
        <v>176</v>
      </c>
      <c r="T1374" s="209" t="s">
        <v>177</v>
      </c>
      <c r="U1374" s="209" t="s">
        <v>178</v>
      </c>
      <c r="V1374" s="209" t="s">
        <v>179</v>
      </c>
      <c r="W1374" s="209" t="s">
        <v>179</v>
      </c>
      <c r="X1374" s="209" t="s">
        <v>180</v>
      </c>
      <c r="Y1374" s="209" t="s">
        <v>180</v>
      </c>
      <c r="Z1374" s="209" t="s">
        <v>2940</v>
      </c>
      <c r="AA1374" s="209" t="s">
        <v>2941</v>
      </c>
      <c r="AB1374" s="209" t="s">
        <v>180</v>
      </c>
      <c r="AC1374" s="209" t="s">
        <v>182</v>
      </c>
      <c r="AD1374" s="209">
        <v>9</v>
      </c>
      <c r="AE1374" s="209">
        <v>2025</v>
      </c>
      <c r="AF1374" s="227">
        <v>45912</v>
      </c>
      <c r="AG1374" s="227">
        <v>45915</v>
      </c>
      <c r="AH1374" s="227">
        <v>45915</v>
      </c>
      <c r="AI1374" s="228">
        <v>406016</v>
      </c>
      <c r="AJ1374" s="228">
        <v>52</v>
      </c>
      <c r="AK1374" s="228">
        <v>374784</v>
      </c>
      <c r="AL1374" s="228">
        <v>48</v>
      </c>
      <c r="AM1374" s="228">
        <v>0</v>
      </c>
      <c r="AN1374" s="228">
        <v>0</v>
      </c>
      <c r="AO1374" s="229">
        <v>38</v>
      </c>
      <c r="AP1374" s="231">
        <v>9</v>
      </c>
      <c r="AQ1374" s="231">
        <v>2025</v>
      </c>
      <c r="AR1374" s="231" t="str">
        <f t="shared" si="199"/>
        <v>09/2025</v>
      </c>
      <c r="AS1374" s="231">
        <f t="shared" si="200"/>
        <v>46.6</v>
      </c>
      <c r="AT1374" s="239">
        <f>IF(G1374="CERVECERIA Y MALTERIA",(AS1374*AK1374/1000000)*(1-VLOOKUP(N1374,FCST!D:I,6,FALSE)),0)</f>
        <v>17.464934400000001</v>
      </c>
      <c r="AU1374" s="232">
        <v>5.0000000000000001E-3</v>
      </c>
      <c r="AV1374" s="239">
        <f t="shared" si="201"/>
        <v>17.552259071999998</v>
      </c>
      <c r="AW1374" s="239">
        <f>(AS1374*AK1374/1000000)*(VLOOKUP(N1374,FCST!D:I,6,FALSE))</f>
        <v>0</v>
      </c>
      <c r="AX1374" s="239">
        <f t="shared" si="202"/>
        <v>0</v>
      </c>
      <c r="AY1374" s="239">
        <f>IF($G1374="CERVECERIA Y MALTERIA.",($AS1374*$AK1374/1000000)*(1-VLOOKUP($N1374,FCST!D:I,6,FALSE)),0)</f>
        <v>0</v>
      </c>
      <c r="AZ1374" s="239">
        <f t="shared" si="203"/>
        <v>0</v>
      </c>
    </row>
    <row r="1375" spans="1:52" x14ac:dyDescent="0.25">
      <c r="A1375" s="209">
        <v>1138348</v>
      </c>
      <c r="B1375" s="209">
        <v>30</v>
      </c>
      <c r="C1375" s="209" t="s">
        <v>2942</v>
      </c>
      <c r="D1375" s="209">
        <v>10</v>
      </c>
      <c r="E1375" s="209">
        <v>10000002</v>
      </c>
      <c r="F1375" s="209">
        <v>20000335</v>
      </c>
      <c r="G1375" s="209" t="s">
        <v>105</v>
      </c>
      <c r="H1375" s="209">
        <v>20000335</v>
      </c>
      <c r="I1375" s="209">
        <v>2</v>
      </c>
      <c r="J1375" s="209" t="s">
        <v>169</v>
      </c>
      <c r="K1375" s="209" t="s">
        <v>2943</v>
      </c>
      <c r="L1375" s="209" t="s">
        <v>2610</v>
      </c>
      <c r="M1375" s="209" t="s">
        <v>184</v>
      </c>
      <c r="N1375" s="209">
        <v>50037887</v>
      </c>
      <c r="O1375" s="209" t="s">
        <v>679</v>
      </c>
      <c r="P1375" s="209">
        <v>5121</v>
      </c>
      <c r="Q1375" s="209" t="s">
        <v>174</v>
      </c>
      <c r="R1375" s="209" t="s">
        <v>175</v>
      </c>
      <c r="S1375" s="209" t="s">
        <v>176</v>
      </c>
      <c r="T1375" s="209" t="s">
        <v>177</v>
      </c>
      <c r="U1375" s="209" t="s">
        <v>178</v>
      </c>
      <c r="V1375" s="209" t="s">
        <v>179</v>
      </c>
      <c r="W1375" s="209" t="s">
        <v>179</v>
      </c>
      <c r="X1375" s="209" t="s">
        <v>180</v>
      </c>
      <c r="Y1375" s="209" t="s">
        <v>180</v>
      </c>
      <c r="Z1375" s="209" t="s">
        <v>2884</v>
      </c>
      <c r="AA1375" s="209" t="s">
        <v>2885</v>
      </c>
      <c r="AB1375" s="209" t="s">
        <v>180</v>
      </c>
      <c r="AC1375" s="209" t="s">
        <v>182</v>
      </c>
      <c r="AD1375" s="209">
        <v>9</v>
      </c>
      <c r="AE1375" s="209">
        <v>2025</v>
      </c>
      <c r="AF1375" s="227">
        <v>45904</v>
      </c>
      <c r="AG1375" s="227">
        <v>45909</v>
      </c>
      <c r="AH1375" s="227">
        <v>45909</v>
      </c>
      <c r="AI1375" s="228">
        <v>531648</v>
      </c>
      <c r="AJ1375" s="228">
        <v>52</v>
      </c>
      <c r="AK1375" s="228">
        <v>531648</v>
      </c>
      <c r="AL1375" s="228">
        <v>52</v>
      </c>
      <c r="AM1375" s="228">
        <v>0</v>
      </c>
      <c r="AN1375" s="228">
        <v>0</v>
      </c>
      <c r="AO1375" s="229">
        <v>37</v>
      </c>
      <c r="AP1375" s="231">
        <v>9</v>
      </c>
      <c r="AQ1375" s="231">
        <v>2025</v>
      </c>
      <c r="AR1375" s="231" t="str">
        <f t="shared" si="199"/>
        <v>09/2025</v>
      </c>
      <c r="AS1375" s="231">
        <f t="shared" si="200"/>
        <v>37.200000000000003</v>
      </c>
      <c r="AT1375" s="239">
        <f>IF(G1375="CERVECERIA Y MALTERIA",(AS1375*AK1375/1000000)*(1-VLOOKUP(N1375,FCST!D:I,6,FALSE)),0)</f>
        <v>19.777305600000002</v>
      </c>
      <c r="AU1375" s="232">
        <v>5.0000000000000001E-3</v>
      </c>
      <c r="AV1375" s="239">
        <f t="shared" si="201"/>
        <v>19.876192128</v>
      </c>
      <c r="AW1375" s="239">
        <f>(AS1375*AK1375/1000000)*(VLOOKUP(N1375,FCST!D:I,6,FALSE))</f>
        <v>0</v>
      </c>
      <c r="AX1375" s="239">
        <f t="shared" si="202"/>
        <v>0</v>
      </c>
      <c r="AY1375" s="239">
        <f>IF($G1375="CERVECERIA Y MALTERIA.",($AS1375*$AK1375/1000000)*(1-VLOOKUP($N1375,FCST!D:I,6,FALSE)),0)</f>
        <v>0</v>
      </c>
      <c r="AZ1375" s="239">
        <f t="shared" si="203"/>
        <v>0</v>
      </c>
    </row>
    <row r="1376" spans="1:52" x14ac:dyDescent="0.25">
      <c r="A1376" s="209">
        <v>1139060</v>
      </c>
      <c r="B1376" s="209">
        <v>10</v>
      </c>
      <c r="C1376" s="209" t="s">
        <v>2944</v>
      </c>
      <c r="D1376" s="209">
        <v>10</v>
      </c>
      <c r="E1376" s="209">
        <v>10000002</v>
      </c>
      <c r="F1376" s="209">
        <v>20000339</v>
      </c>
      <c r="G1376" s="209" t="s">
        <v>105</v>
      </c>
      <c r="H1376" s="209">
        <v>20000339</v>
      </c>
      <c r="I1376" s="209">
        <v>2</v>
      </c>
      <c r="J1376" s="209" t="s">
        <v>169</v>
      </c>
      <c r="K1376" s="209" t="s">
        <v>2945</v>
      </c>
      <c r="L1376" s="209" t="s">
        <v>2610</v>
      </c>
      <c r="M1376" s="209" t="s">
        <v>184</v>
      </c>
      <c r="N1376" s="209">
        <v>50038607</v>
      </c>
      <c r="O1376" s="209" t="s">
        <v>1992</v>
      </c>
      <c r="P1376" s="209">
        <v>5101</v>
      </c>
      <c r="Q1376" s="209" t="s">
        <v>186</v>
      </c>
      <c r="R1376" s="209" t="s">
        <v>175</v>
      </c>
      <c r="S1376" s="209" t="s">
        <v>176</v>
      </c>
      <c r="T1376" s="209" t="s">
        <v>187</v>
      </c>
      <c r="U1376" s="209" t="s">
        <v>188</v>
      </c>
      <c r="V1376" s="209" t="s">
        <v>179</v>
      </c>
      <c r="W1376" s="209" t="s">
        <v>179</v>
      </c>
      <c r="X1376" s="209" t="s">
        <v>180</v>
      </c>
      <c r="Y1376" s="209" t="s">
        <v>180</v>
      </c>
      <c r="Z1376" s="209" t="s">
        <v>2946</v>
      </c>
      <c r="AA1376" s="209" t="s">
        <v>2947</v>
      </c>
      <c r="AB1376" s="209" t="s">
        <v>180</v>
      </c>
      <c r="AC1376" s="209" t="s">
        <v>182</v>
      </c>
      <c r="AD1376" s="209">
        <v>9</v>
      </c>
      <c r="AE1376" s="209">
        <v>2025</v>
      </c>
      <c r="AF1376" s="227">
        <v>45909</v>
      </c>
      <c r="AG1376" s="227">
        <v>45909</v>
      </c>
      <c r="AH1376" s="227">
        <v>45909</v>
      </c>
      <c r="AI1376" s="228">
        <v>743808</v>
      </c>
      <c r="AJ1376" s="228">
        <v>52</v>
      </c>
      <c r="AK1376" s="228">
        <v>743808</v>
      </c>
      <c r="AL1376" s="228">
        <v>52</v>
      </c>
      <c r="AM1376" s="228">
        <v>0</v>
      </c>
      <c r="AN1376" s="228">
        <v>0</v>
      </c>
      <c r="AO1376" s="229">
        <v>37</v>
      </c>
      <c r="AP1376" s="231">
        <v>9</v>
      </c>
      <c r="AQ1376" s="231">
        <v>2025</v>
      </c>
      <c r="AR1376" s="231" t="str">
        <f t="shared" si="199"/>
        <v>09/2025</v>
      </c>
      <c r="AS1376" s="231">
        <f t="shared" si="200"/>
        <v>25</v>
      </c>
      <c r="AT1376" s="239">
        <f>IF(G1376="CERVECERIA Y MALTERIA",(AS1376*AK1376/1000000)*(1-VLOOKUP(N1376,FCST!D:I,6,FALSE)),0)</f>
        <v>18.595199999999998</v>
      </c>
      <c r="AU1376" s="232">
        <v>5.0000000000000001E-3</v>
      </c>
      <c r="AV1376" s="239">
        <f t="shared" si="201"/>
        <v>18.688175999999995</v>
      </c>
      <c r="AW1376" s="239">
        <f>(AS1376*AK1376/1000000)*(VLOOKUP(N1376,FCST!D:I,6,FALSE))</f>
        <v>0</v>
      </c>
      <c r="AX1376" s="239">
        <f t="shared" si="202"/>
        <v>0</v>
      </c>
      <c r="AY1376" s="239">
        <f>IF($G1376="CERVECERIA Y MALTERIA.",($AS1376*$AK1376/1000000)*(1-VLOOKUP($N1376,FCST!D:I,6,FALSE)),0)</f>
        <v>0</v>
      </c>
      <c r="AZ1376" s="239">
        <f t="shared" si="203"/>
        <v>0</v>
      </c>
    </row>
    <row r="1377" spans="1:52" x14ac:dyDescent="0.25">
      <c r="A1377" s="209">
        <v>1138348</v>
      </c>
      <c r="B1377" s="209">
        <v>80</v>
      </c>
      <c r="C1377" s="209" t="s">
        <v>2948</v>
      </c>
      <c r="D1377" s="209">
        <v>10</v>
      </c>
      <c r="E1377" s="209">
        <v>10000002</v>
      </c>
      <c r="F1377" s="209">
        <v>20000335</v>
      </c>
      <c r="G1377" s="209" t="s">
        <v>105</v>
      </c>
      <c r="H1377" s="209">
        <v>20000335</v>
      </c>
      <c r="I1377" s="209">
        <v>2</v>
      </c>
      <c r="J1377" s="209" t="s">
        <v>169</v>
      </c>
      <c r="K1377" s="209" t="s">
        <v>2949</v>
      </c>
      <c r="L1377" s="209" t="s">
        <v>2610</v>
      </c>
      <c r="M1377" s="209" t="s">
        <v>2718</v>
      </c>
      <c r="N1377" s="209">
        <v>50034561</v>
      </c>
      <c r="O1377" s="209" t="s">
        <v>307</v>
      </c>
      <c r="P1377" s="209">
        <v>5121</v>
      </c>
      <c r="Q1377" s="209" t="s">
        <v>174</v>
      </c>
      <c r="R1377" s="209" t="s">
        <v>175</v>
      </c>
      <c r="S1377" s="209" t="s">
        <v>176</v>
      </c>
      <c r="T1377" s="209" t="s">
        <v>177</v>
      </c>
      <c r="U1377" s="209" t="s">
        <v>178</v>
      </c>
      <c r="V1377" s="209" t="s">
        <v>179</v>
      </c>
      <c r="W1377" s="209" t="s">
        <v>179</v>
      </c>
      <c r="X1377" s="209" t="s">
        <v>180</v>
      </c>
      <c r="Y1377" s="209" t="s">
        <v>180</v>
      </c>
      <c r="Z1377" s="209" t="s">
        <v>2920</v>
      </c>
      <c r="AA1377" s="209" t="s">
        <v>2921</v>
      </c>
      <c r="AB1377" s="209" t="s">
        <v>180</v>
      </c>
      <c r="AC1377" s="209" t="s">
        <v>182</v>
      </c>
      <c r="AD1377" s="209">
        <v>9</v>
      </c>
      <c r="AE1377" s="209">
        <v>2025</v>
      </c>
      <c r="AF1377" s="227">
        <v>45904</v>
      </c>
      <c r="AG1377" s="227">
        <v>45910</v>
      </c>
      <c r="AH1377" s="227">
        <v>45910</v>
      </c>
      <c r="AI1377" s="228">
        <v>977184</v>
      </c>
      <c r="AJ1377" s="228">
        <v>52</v>
      </c>
      <c r="AK1377" s="228">
        <v>977184</v>
      </c>
      <c r="AL1377" s="228">
        <v>52</v>
      </c>
      <c r="AM1377" s="228">
        <v>0</v>
      </c>
      <c r="AN1377" s="228">
        <v>0</v>
      </c>
      <c r="AO1377" s="229">
        <v>37</v>
      </c>
      <c r="AP1377" s="231">
        <v>9</v>
      </c>
      <c r="AQ1377" s="231">
        <v>2025</v>
      </c>
      <c r="AR1377" s="231" t="str">
        <f t="shared" si="199"/>
        <v>09/2025</v>
      </c>
      <c r="AS1377" s="231">
        <f t="shared" si="200"/>
        <v>19.5</v>
      </c>
      <c r="AT1377" s="239">
        <f>IF(G1377="CERVECERIA Y MALTERIA",(AS1377*AK1377/1000000)*(1-VLOOKUP(N1377,FCST!D:I,6,FALSE)),0)</f>
        <v>19.055088000000001</v>
      </c>
      <c r="AU1377" s="232">
        <v>5.0000000000000001E-3</v>
      </c>
      <c r="AV1377" s="239">
        <f t="shared" si="201"/>
        <v>19.15036344</v>
      </c>
      <c r="AW1377" s="239">
        <f>(AS1377*AK1377/1000000)*(VLOOKUP(N1377,FCST!D:I,6,FALSE))</f>
        <v>0</v>
      </c>
      <c r="AX1377" s="239">
        <f t="shared" si="202"/>
        <v>0</v>
      </c>
      <c r="AY1377" s="239">
        <f>IF($G1377="CERVECERIA Y MALTERIA.",($AS1377*$AK1377/1000000)*(1-VLOOKUP($N1377,FCST!D:I,6,FALSE)),0)</f>
        <v>0</v>
      </c>
      <c r="AZ1377" s="239">
        <f t="shared" si="203"/>
        <v>0</v>
      </c>
    </row>
    <row r="1378" spans="1:52" x14ac:dyDescent="0.25">
      <c r="A1378" s="209">
        <v>1138387</v>
      </c>
      <c r="B1378" s="209">
        <v>20</v>
      </c>
      <c r="C1378" s="209" t="s">
        <v>2950</v>
      </c>
      <c r="D1378" s="209">
        <v>10</v>
      </c>
      <c r="E1378" s="209">
        <v>10000002</v>
      </c>
      <c r="F1378" s="209">
        <v>20000340</v>
      </c>
      <c r="G1378" s="209" t="s">
        <v>117</v>
      </c>
      <c r="H1378" s="209">
        <v>20000340</v>
      </c>
      <c r="I1378" s="209">
        <v>2</v>
      </c>
      <c r="J1378" s="209" t="s">
        <v>169</v>
      </c>
      <c r="K1378" s="209" t="s">
        <v>2951</v>
      </c>
      <c r="L1378" s="209" t="s">
        <v>2610</v>
      </c>
      <c r="M1378" s="209" t="s">
        <v>2718</v>
      </c>
      <c r="N1378" s="209">
        <v>50027468</v>
      </c>
      <c r="O1378" s="209" t="s">
        <v>285</v>
      </c>
      <c r="P1378" s="209">
        <v>5101</v>
      </c>
      <c r="Q1378" s="209" t="s">
        <v>186</v>
      </c>
      <c r="R1378" s="209" t="s">
        <v>175</v>
      </c>
      <c r="S1378" s="209" t="s">
        <v>176</v>
      </c>
      <c r="T1378" s="209" t="s">
        <v>187</v>
      </c>
      <c r="U1378" s="209" t="s">
        <v>188</v>
      </c>
      <c r="V1378" s="209" t="s">
        <v>179</v>
      </c>
      <c r="W1378" s="209" t="s">
        <v>179</v>
      </c>
      <c r="X1378" s="209" t="s">
        <v>180</v>
      </c>
      <c r="Y1378" s="209" t="s">
        <v>180</v>
      </c>
      <c r="Z1378" s="209" t="s">
        <v>2876</v>
      </c>
      <c r="AA1378" s="209" t="s">
        <v>2877</v>
      </c>
      <c r="AB1378" s="209" t="s">
        <v>180</v>
      </c>
      <c r="AC1378" s="209" t="s">
        <v>182</v>
      </c>
      <c r="AD1378" s="209">
        <v>9</v>
      </c>
      <c r="AE1378" s="209">
        <v>2025</v>
      </c>
      <c r="AF1378" s="227">
        <v>45904</v>
      </c>
      <c r="AG1378" s="227">
        <v>45909</v>
      </c>
      <c r="AH1378" s="227">
        <v>45909</v>
      </c>
      <c r="AI1378" s="228">
        <v>399360</v>
      </c>
      <c r="AJ1378" s="228">
        <v>52</v>
      </c>
      <c r="AK1378" s="228">
        <v>399360</v>
      </c>
      <c r="AL1378" s="228">
        <v>52</v>
      </c>
      <c r="AM1378" s="228">
        <v>0</v>
      </c>
      <c r="AN1378" s="228">
        <v>0</v>
      </c>
      <c r="AO1378" s="229">
        <v>37</v>
      </c>
      <c r="AP1378" s="231">
        <v>9</v>
      </c>
      <c r="AQ1378" s="231">
        <v>2025</v>
      </c>
      <c r="AR1378" s="231" t="str">
        <f t="shared" si="199"/>
        <v>09/2025</v>
      </c>
      <c r="AS1378" s="231">
        <f t="shared" si="200"/>
        <v>52</v>
      </c>
      <c r="AT1378" s="239">
        <f>IF(G1378="CERVECERIA Y MALTERIA",(AS1378*AK1378/1000000)*(1-VLOOKUP(N1378,FCST!D:I,6,FALSE)),0)</f>
        <v>0</v>
      </c>
      <c r="AU1378" s="232">
        <v>5.0000000000000001E-3</v>
      </c>
      <c r="AV1378" s="239">
        <f t="shared" si="201"/>
        <v>0</v>
      </c>
      <c r="AW1378" s="239">
        <f>(AS1378*AK1378/1000000)*(VLOOKUP(N1378,FCST!D:I,6,FALSE))</f>
        <v>0</v>
      </c>
      <c r="AX1378" s="239">
        <f t="shared" si="202"/>
        <v>0</v>
      </c>
      <c r="AY1378" s="239">
        <f>IF($G1378="CERVECERIA Y MALTERIA.",($AS1378*$AK1378/1000000)*(1-VLOOKUP($N1378,FCST!D:I,6,FALSE)),0)</f>
        <v>20.766719999999999</v>
      </c>
      <c r="AZ1378" s="239">
        <f t="shared" si="203"/>
        <v>20.870553599999997</v>
      </c>
    </row>
    <row r="1379" spans="1:52" x14ac:dyDescent="0.25">
      <c r="A1379" s="209">
        <v>1138547</v>
      </c>
      <c r="B1379" s="209">
        <v>10</v>
      </c>
      <c r="C1379" s="209" t="s">
        <v>2952</v>
      </c>
      <c r="D1379" s="209">
        <v>10</v>
      </c>
      <c r="E1379" s="209">
        <v>10000002</v>
      </c>
      <c r="F1379" s="209">
        <v>20000337</v>
      </c>
      <c r="G1379" s="209" t="s">
        <v>105</v>
      </c>
      <c r="H1379" s="209">
        <v>20000337</v>
      </c>
      <c r="I1379" s="209">
        <v>2</v>
      </c>
      <c r="J1379" s="209" t="s">
        <v>169</v>
      </c>
      <c r="K1379" s="209" t="s">
        <v>2953</v>
      </c>
      <c r="L1379" s="209" t="s">
        <v>2610</v>
      </c>
      <c r="M1379" s="209" t="s">
        <v>184</v>
      </c>
      <c r="N1379" s="209">
        <v>50024497</v>
      </c>
      <c r="O1379" s="209" t="s">
        <v>1352</v>
      </c>
      <c r="P1379" s="209">
        <v>5121</v>
      </c>
      <c r="Q1379" s="209" t="s">
        <v>174</v>
      </c>
      <c r="R1379" s="209" t="s">
        <v>175</v>
      </c>
      <c r="S1379" s="209" t="s">
        <v>176</v>
      </c>
      <c r="T1379" s="209" t="s">
        <v>177</v>
      </c>
      <c r="U1379" s="209" t="s">
        <v>178</v>
      </c>
      <c r="V1379" s="209" t="s">
        <v>179</v>
      </c>
      <c r="W1379" s="209" t="s">
        <v>179</v>
      </c>
      <c r="X1379" s="209" t="s">
        <v>180</v>
      </c>
      <c r="Y1379" s="209" t="s">
        <v>180</v>
      </c>
      <c r="Z1379" s="209" t="s">
        <v>2954</v>
      </c>
      <c r="AA1379" s="209" t="s">
        <v>2955</v>
      </c>
      <c r="AB1379" s="209" t="s">
        <v>180</v>
      </c>
      <c r="AC1379" s="209" t="s">
        <v>182</v>
      </c>
      <c r="AD1379" s="209">
        <v>9</v>
      </c>
      <c r="AE1379" s="209">
        <v>2025</v>
      </c>
      <c r="AF1379" s="227">
        <v>45905</v>
      </c>
      <c r="AG1379" s="227">
        <v>45908</v>
      </c>
      <c r="AH1379" s="227">
        <v>45908</v>
      </c>
      <c r="AI1379" s="228">
        <v>351936</v>
      </c>
      <c r="AJ1379" s="228">
        <v>52</v>
      </c>
      <c r="AK1379" s="228">
        <v>351936</v>
      </c>
      <c r="AL1379" s="228">
        <v>52</v>
      </c>
      <c r="AM1379" s="228">
        <v>0</v>
      </c>
      <c r="AN1379" s="228">
        <v>0</v>
      </c>
      <c r="AO1379" s="229">
        <v>37</v>
      </c>
      <c r="AP1379" s="231">
        <v>9</v>
      </c>
      <c r="AQ1379" s="231">
        <v>2025</v>
      </c>
      <c r="AR1379" s="231" t="str">
        <f t="shared" si="199"/>
        <v>09/2025</v>
      </c>
      <c r="AS1379" s="231">
        <f t="shared" si="200"/>
        <v>54.7</v>
      </c>
      <c r="AT1379" s="239">
        <f>IF(G1379="CERVECERIA Y MALTERIA",(AS1379*AK1379/1000000)*(1-VLOOKUP(N1379,FCST!D:I,6,FALSE)),0)</f>
        <v>19.250899199999999</v>
      </c>
      <c r="AU1379" s="232">
        <v>5.0000000000000001E-3</v>
      </c>
      <c r="AV1379" s="239">
        <f t="shared" si="201"/>
        <v>19.347153695999996</v>
      </c>
      <c r="AW1379" s="239">
        <f>(AS1379*AK1379/1000000)*(VLOOKUP(N1379,FCST!D:I,6,FALSE))</f>
        <v>0</v>
      </c>
      <c r="AX1379" s="239">
        <f t="shared" si="202"/>
        <v>0</v>
      </c>
      <c r="AY1379" s="239">
        <f>IF($G1379="CERVECERIA Y MALTERIA.",($AS1379*$AK1379/1000000)*(1-VLOOKUP($N1379,FCST!D:I,6,FALSE)),0)</f>
        <v>0</v>
      </c>
      <c r="AZ1379" s="239">
        <f t="shared" si="203"/>
        <v>0</v>
      </c>
    </row>
    <row r="1380" spans="1:52" x14ac:dyDescent="0.25">
      <c r="A1380" s="209">
        <v>1138392</v>
      </c>
      <c r="B1380" s="209">
        <v>10</v>
      </c>
      <c r="C1380" s="209" t="s">
        <v>2956</v>
      </c>
      <c r="D1380" s="209">
        <v>10</v>
      </c>
      <c r="E1380" s="209">
        <v>10000002</v>
      </c>
      <c r="F1380" s="209">
        <v>20000336</v>
      </c>
      <c r="G1380" s="209" t="s">
        <v>105</v>
      </c>
      <c r="H1380" s="209">
        <v>20000336</v>
      </c>
      <c r="I1380" s="209">
        <v>2</v>
      </c>
      <c r="J1380" s="209" t="s">
        <v>169</v>
      </c>
      <c r="K1380" s="209" t="s">
        <v>2957</v>
      </c>
      <c r="L1380" s="209" t="s">
        <v>2610</v>
      </c>
      <c r="M1380" s="209" t="s">
        <v>184</v>
      </c>
      <c r="N1380" s="209">
        <v>50024497</v>
      </c>
      <c r="O1380" s="209" t="s">
        <v>1352</v>
      </c>
      <c r="P1380" s="209">
        <v>5121</v>
      </c>
      <c r="Q1380" s="209" t="s">
        <v>174</v>
      </c>
      <c r="R1380" s="209" t="s">
        <v>175</v>
      </c>
      <c r="S1380" s="209" t="s">
        <v>176</v>
      </c>
      <c r="T1380" s="209" t="s">
        <v>177</v>
      </c>
      <c r="U1380" s="209" t="s">
        <v>178</v>
      </c>
      <c r="V1380" s="209" t="s">
        <v>179</v>
      </c>
      <c r="W1380" s="209" t="s">
        <v>179</v>
      </c>
      <c r="X1380" s="209" t="s">
        <v>180</v>
      </c>
      <c r="Y1380" s="209" t="s">
        <v>180</v>
      </c>
      <c r="Z1380" s="209" t="s">
        <v>2958</v>
      </c>
      <c r="AA1380" s="209" t="s">
        <v>2959</v>
      </c>
      <c r="AB1380" s="209" t="s">
        <v>180</v>
      </c>
      <c r="AC1380" s="209" t="s">
        <v>182</v>
      </c>
      <c r="AD1380" s="209">
        <v>9</v>
      </c>
      <c r="AE1380" s="209">
        <v>2025</v>
      </c>
      <c r="AF1380" s="227">
        <v>45904</v>
      </c>
      <c r="AG1380" s="227">
        <v>45908</v>
      </c>
      <c r="AH1380" s="227">
        <v>45908</v>
      </c>
      <c r="AI1380" s="228">
        <v>351936</v>
      </c>
      <c r="AJ1380" s="228">
        <v>52</v>
      </c>
      <c r="AK1380" s="228">
        <v>351936</v>
      </c>
      <c r="AL1380" s="228">
        <v>52</v>
      </c>
      <c r="AM1380" s="228">
        <v>0</v>
      </c>
      <c r="AN1380" s="228">
        <v>0</v>
      </c>
      <c r="AO1380" s="229">
        <v>37</v>
      </c>
      <c r="AP1380" s="231">
        <v>9</v>
      </c>
      <c r="AQ1380" s="231">
        <v>2025</v>
      </c>
      <c r="AR1380" s="231" t="str">
        <f t="shared" ref="AR1380:AR1421" si="204">+IF(AP1380&lt;10,"0"&amp;AP1380&amp; "/"&amp;AQ1380,AP1380&amp; "/"&amp;AQ1380)</f>
        <v>09/2025</v>
      </c>
      <c r="AS1380" s="231">
        <f t="shared" ref="AS1380:AS1421" si="205">VALUE(MID(INDEX(_xlfn.TEXTSPLIT(O1380, ","), 1, 3), 1,FIND("G", INDEX(_xlfn.TEXTSPLIT(O1380, ","), 1, 3))-1))</f>
        <v>54.7</v>
      </c>
      <c r="AT1380" s="239">
        <f>IF(G1380="CERVECERIA Y MALTERIA",(AS1380*AK1380/1000000)*(1-VLOOKUP(N1380,FCST!D:I,6,FALSE)),0)</f>
        <v>19.250899199999999</v>
      </c>
      <c r="AU1380" s="232">
        <v>5.0000000000000001E-3</v>
      </c>
      <c r="AV1380" s="239">
        <f t="shared" ref="AV1380:AV1421" si="206">+AT1380*(1+AU1380)</f>
        <v>19.347153695999996</v>
      </c>
      <c r="AW1380" s="239">
        <f>(AS1380*AK1380/1000000)*(VLOOKUP(N1380,FCST!D:I,6,FALSE))</f>
        <v>0</v>
      </c>
      <c r="AX1380" s="239">
        <f t="shared" ref="AX1380:AX1421" si="207">+AW1380*(1+AU1380)</f>
        <v>0</v>
      </c>
      <c r="AY1380" s="239">
        <f>IF($G1380="CERVECERIA Y MALTERIA.",($AS1380*$AK1380/1000000)*(1-VLOOKUP($N1380,FCST!D:I,6,FALSE)),0)</f>
        <v>0</v>
      </c>
      <c r="AZ1380" s="239">
        <f t="shared" ref="AZ1380:AZ1421" si="208">+AY1380*(1+AU1380)</f>
        <v>0</v>
      </c>
    </row>
    <row r="1381" spans="1:52" x14ac:dyDescent="0.25">
      <c r="A1381" s="209">
        <v>1138387</v>
      </c>
      <c r="B1381" s="209">
        <v>10</v>
      </c>
      <c r="C1381" s="209" t="s">
        <v>2960</v>
      </c>
      <c r="D1381" s="209">
        <v>10</v>
      </c>
      <c r="E1381" s="209">
        <v>10000002</v>
      </c>
      <c r="F1381" s="209">
        <v>20000340</v>
      </c>
      <c r="G1381" s="209" t="s">
        <v>117</v>
      </c>
      <c r="H1381" s="209">
        <v>20000340</v>
      </c>
      <c r="I1381" s="209">
        <v>2</v>
      </c>
      <c r="J1381" s="209" t="s">
        <v>169</v>
      </c>
      <c r="K1381" s="209" t="s">
        <v>2961</v>
      </c>
      <c r="L1381" s="209" t="s">
        <v>2610</v>
      </c>
      <c r="M1381" s="209" t="s">
        <v>2718</v>
      </c>
      <c r="N1381" s="209">
        <v>50025163</v>
      </c>
      <c r="O1381" s="209" t="s">
        <v>185</v>
      </c>
      <c r="P1381" s="209">
        <v>5101</v>
      </c>
      <c r="Q1381" s="209" t="s">
        <v>186</v>
      </c>
      <c r="R1381" s="209" t="s">
        <v>175</v>
      </c>
      <c r="S1381" s="209" t="s">
        <v>176</v>
      </c>
      <c r="T1381" s="209" t="s">
        <v>187</v>
      </c>
      <c r="U1381" s="209" t="s">
        <v>188</v>
      </c>
      <c r="V1381" s="209" t="s">
        <v>179</v>
      </c>
      <c r="W1381" s="209" t="s">
        <v>179</v>
      </c>
      <c r="X1381" s="209" t="s">
        <v>180</v>
      </c>
      <c r="Y1381" s="209" t="s">
        <v>180</v>
      </c>
      <c r="Z1381" s="209" t="s">
        <v>2962</v>
      </c>
      <c r="AA1381" s="209" t="s">
        <v>2963</v>
      </c>
      <c r="AB1381" s="209" t="s">
        <v>180</v>
      </c>
      <c r="AC1381" s="209" t="s">
        <v>182</v>
      </c>
      <c r="AD1381" s="209">
        <v>9</v>
      </c>
      <c r="AE1381" s="209">
        <v>2025</v>
      </c>
      <c r="AF1381" s="227">
        <v>45904</v>
      </c>
      <c r="AG1381" s="227">
        <v>45911</v>
      </c>
      <c r="AH1381" s="227">
        <v>45911</v>
      </c>
      <c r="AI1381" s="228">
        <v>606528</v>
      </c>
      <c r="AJ1381" s="228">
        <v>52</v>
      </c>
      <c r="AK1381" s="228">
        <v>606528</v>
      </c>
      <c r="AL1381" s="228">
        <v>52</v>
      </c>
      <c r="AM1381" s="228">
        <v>0</v>
      </c>
      <c r="AN1381" s="228">
        <v>0</v>
      </c>
      <c r="AO1381" s="229">
        <v>37</v>
      </c>
      <c r="AP1381" s="231">
        <v>9</v>
      </c>
      <c r="AQ1381" s="231">
        <v>2025</v>
      </c>
      <c r="AR1381" s="231" t="str">
        <f t="shared" si="204"/>
        <v>09/2025</v>
      </c>
      <c r="AS1381" s="231">
        <f t="shared" si="205"/>
        <v>30</v>
      </c>
      <c r="AT1381" s="239">
        <f>IF(G1381="CERVECERIA Y MALTERIA",(AS1381*AK1381/1000000)*(1-VLOOKUP(N1381,FCST!D:I,6,FALSE)),0)</f>
        <v>0</v>
      </c>
      <c r="AU1381" s="232">
        <v>5.0000000000000001E-3</v>
      </c>
      <c r="AV1381" s="239">
        <f t="shared" si="206"/>
        <v>0</v>
      </c>
      <c r="AW1381" s="239">
        <f>(AS1381*AK1381/1000000)*(VLOOKUP(N1381,FCST!D:I,6,FALSE))</f>
        <v>0</v>
      </c>
      <c r="AX1381" s="239">
        <f t="shared" si="207"/>
        <v>0</v>
      </c>
      <c r="AY1381" s="239">
        <f>IF($G1381="CERVECERIA Y MALTERIA.",($AS1381*$AK1381/1000000)*(1-VLOOKUP($N1381,FCST!D:I,6,FALSE)),0)</f>
        <v>18.19584</v>
      </c>
      <c r="AZ1381" s="239">
        <f t="shared" si="208"/>
        <v>18.2868192</v>
      </c>
    </row>
    <row r="1382" spans="1:52" x14ac:dyDescent="0.25">
      <c r="A1382" s="209">
        <v>1138348</v>
      </c>
      <c r="B1382" s="209">
        <v>70</v>
      </c>
      <c r="C1382" s="209" t="s">
        <v>2964</v>
      </c>
      <c r="D1382" s="209">
        <v>10</v>
      </c>
      <c r="E1382" s="209">
        <v>10000002</v>
      </c>
      <c r="F1382" s="209">
        <v>20000335</v>
      </c>
      <c r="G1382" s="209" t="s">
        <v>105</v>
      </c>
      <c r="H1382" s="209">
        <v>20000335</v>
      </c>
      <c r="I1382" s="209">
        <v>2</v>
      </c>
      <c r="J1382" s="209" t="s">
        <v>169</v>
      </c>
      <c r="K1382" s="209" t="s">
        <v>2965</v>
      </c>
      <c r="L1382" s="209" t="s">
        <v>2610</v>
      </c>
      <c r="M1382" s="209" t="s">
        <v>2718</v>
      </c>
      <c r="N1382" s="209">
        <v>50035184</v>
      </c>
      <c r="O1382" s="209" t="s">
        <v>672</v>
      </c>
      <c r="P1382" s="209">
        <v>5121</v>
      </c>
      <c r="Q1382" s="209" t="s">
        <v>174</v>
      </c>
      <c r="R1382" s="209" t="s">
        <v>175</v>
      </c>
      <c r="S1382" s="209" t="s">
        <v>176</v>
      </c>
      <c r="T1382" s="209" t="s">
        <v>177</v>
      </c>
      <c r="U1382" s="209" t="s">
        <v>178</v>
      </c>
      <c r="V1382" s="209" t="s">
        <v>179</v>
      </c>
      <c r="W1382" s="209" t="s">
        <v>179</v>
      </c>
      <c r="X1382" s="209" t="s">
        <v>180</v>
      </c>
      <c r="Y1382" s="209" t="s">
        <v>180</v>
      </c>
      <c r="Z1382" s="209" t="s">
        <v>2966</v>
      </c>
      <c r="AA1382" s="209" t="s">
        <v>2967</v>
      </c>
      <c r="AB1382" s="209" t="s">
        <v>180</v>
      </c>
      <c r="AC1382" s="209" t="s">
        <v>182</v>
      </c>
      <c r="AD1382" s="209">
        <v>9</v>
      </c>
      <c r="AE1382" s="209">
        <v>2025</v>
      </c>
      <c r="AF1382" s="227">
        <v>45904</v>
      </c>
      <c r="AG1382" s="227">
        <v>45911</v>
      </c>
      <c r="AH1382" s="227">
        <v>45911</v>
      </c>
      <c r="AI1382" s="228">
        <v>977184</v>
      </c>
      <c r="AJ1382" s="228">
        <v>52</v>
      </c>
      <c r="AK1382" s="228">
        <v>977184</v>
      </c>
      <c r="AL1382" s="228">
        <v>52</v>
      </c>
      <c r="AM1382" s="228">
        <v>0</v>
      </c>
      <c r="AN1382" s="228">
        <v>0</v>
      </c>
      <c r="AO1382" s="229">
        <v>37</v>
      </c>
      <c r="AP1382" s="231">
        <v>9</v>
      </c>
      <c r="AQ1382" s="231">
        <v>2025</v>
      </c>
      <c r="AR1382" s="231" t="str">
        <f t="shared" si="204"/>
        <v>09/2025</v>
      </c>
      <c r="AS1382" s="231">
        <f t="shared" si="205"/>
        <v>19.5</v>
      </c>
      <c r="AT1382" s="239">
        <f>IF(G1382="CERVECERIA Y MALTERIA",(AS1382*AK1382/1000000)*(1-VLOOKUP(N1382,FCST!D:I,6,FALSE)),0)</f>
        <v>19.055088000000001</v>
      </c>
      <c r="AU1382" s="232">
        <v>5.0000000000000001E-3</v>
      </c>
      <c r="AV1382" s="239">
        <f t="shared" si="206"/>
        <v>19.15036344</v>
      </c>
      <c r="AW1382" s="239">
        <f>(AS1382*AK1382/1000000)*(VLOOKUP(N1382,FCST!D:I,6,FALSE))</f>
        <v>0</v>
      </c>
      <c r="AX1382" s="239">
        <f t="shared" si="207"/>
        <v>0</v>
      </c>
      <c r="AY1382" s="239">
        <f>IF($G1382="CERVECERIA Y MALTERIA.",($AS1382*$AK1382/1000000)*(1-VLOOKUP($N1382,FCST!D:I,6,FALSE)),0)</f>
        <v>0</v>
      </c>
      <c r="AZ1382" s="239">
        <f t="shared" si="208"/>
        <v>0</v>
      </c>
    </row>
    <row r="1383" spans="1:52" x14ac:dyDescent="0.25">
      <c r="A1383" s="209">
        <v>1138392</v>
      </c>
      <c r="B1383" s="209">
        <v>20</v>
      </c>
      <c r="C1383" s="209" t="s">
        <v>2968</v>
      </c>
      <c r="D1383" s="209">
        <v>10</v>
      </c>
      <c r="E1383" s="209">
        <v>10000002</v>
      </c>
      <c r="F1383" s="209">
        <v>20000336</v>
      </c>
      <c r="G1383" s="209" t="s">
        <v>105</v>
      </c>
      <c r="H1383" s="209">
        <v>20000336</v>
      </c>
      <c r="I1383" s="209">
        <v>2</v>
      </c>
      <c r="J1383" s="209" t="s">
        <v>169</v>
      </c>
      <c r="K1383" s="209" t="s">
        <v>2969</v>
      </c>
      <c r="L1383" s="209" t="s">
        <v>2610</v>
      </c>
      <c r="M1383" s="209" t="s">
        <v>184</v>
      </c>
      <c r="N1383" s="209">
        <v>50032583</v>
      </c>
      <c r="O1383" s="209" t="s">
        <v>205</v>
      </c>
      <c r="P1383" s="209">
        <v>5121</v>
      </c>
      <c r="Q1383" s="209" t="s">
        <v>174</v>
      </c>
      <c r="R1383" s="209" t="s">
        <v>175</v>
      </c>
      <c r="S1383" s="209" t="s">
        <v>176</v>
      </c>
      <c r="T1383" s="209" t="s">
        <v>177</v>
      </c>
      <c r="U1383" s="209" t="s">
        <v>178</v>
      </c>
      <c r="V1383" s="209" t="s">
        <v>179</v>
      </c>
      <c r="W1383" s="209" t="s">
        <v>179</v>
      </c>
      <c r="X1383" s="209" t="s">
        <v>180</v>
      </c>
      <c r="Y1383" s="209" t="s">
        <v>180</v>
      </c>
      <c r="Z1383" s="209" t="s">
        <v>2970</v>
      </c>
      <c r="AA1383" s="209" t="s">
        <v>2971</v>
      </c>
      <c r="AB1383" s="209" t="s">
        <v>180</v>
      </c>
      <c r="AC1383" s="209" t="s">
        <v>182</v>
      </c>
      <c r="AD1383" s="209">
        <v>9</v>
      </c>
      <c r="AE1383" s="209">
        <v>2025</v>
      </c>
      <c r="AF1383" s="227">
        <v>45904</v>
      </c>
      <c r="AG1383" s="227">
        <v>45910</v>
      </c>
      <c r="AH1383" s="227">
        <v>45910</v>
      </c>
      <c r="AI1383" s="228">
        <v>351936</v>
      </c>
      <c r="AJ1383" s="228">
        <v>52</v>
      </c>
      <c r="AK1383" s="228">
        <v>351936</v>
      </c>
      <c r="AL1383" s="228">
        <v>52</v>
      </c>
      <c r="AM1383" s="228">
        <v>0</v>
      </c>
      <c r="AN1383" s="228">
        <v>0</v>
      </c>
      <c r="AO1383" s="229">
        <v>37</v>
      </c>
      <c r="AP1383" s="231">
        <v>9</v>
      </c>
      <c r="AQ1383" s="231">
        <v>2025</v>
      </c>
      <c r="AR1383" s="231" t="str">
        <f t="shared" si="204"/>
        <v>09/2025</v>
      </c>
      <c r="AS1383" s="231">
        <f t="shared" si="205"/>
        <v>54.7</v>
      </c>
      <c r="AT1383" s="239">
        <f>IF(G1383="CERVECERIA Y MALTERIA",(AS1383*AK1383/1000000)*(1-VLOOKUP(N1383,FCST!D:I,6,FALSE)),0)</f>
        <v>19.250899199999999</v>
      </c>
      <c r="AU1383" s="232">
        <v>5.0000000000000001E-3</v>
      </c>
      <c r="AV1383" s="239">
        <f t="shared" si="206"/>
        <v>19.347153695999996</v>
      </c>
      <c r="AW1383" s="239">
        <f>(AS1383*AK1383/1000000)*(VLOOKUP(N1383,FCST!D:I,6,FALSE))</f>
        <v>0</v>
      </c>
      <c r="AX1383" s="239">
        <f t="shared" si="207"/>
        <v>0</v>
      </c>
      <c r="AY1383" s="239">
        <f>IF($G1383="CERVECERIA Y MALTERIA.",($AS1383*$AK1383/1000000)*(1-VLOOKUP($N1383,FCST!D:I,6,FALSE)),0)</f>
        <v>0</v>
      </c>
      <c r="AZ1383" s="239">
        <f t="shared" si="208"/>
        <v>0</v>
      </c>
    </row>
    <row r="1384" spans="1:52" x14ac:dyDescent="0.25">
      <c r="A1384" s="209">
        <v>1138547</v>
      </c>
      <c r="B1384" s="209">
        <v>20</v>
      </c>
      <c r="C1384" s="209" t="s">
        <v>2972</v>
      </c>
      <c r="D1384" s="209">
        <v>10</v>
      </c>
      <c r="E1384" s="209">
        <v>10000002</v>
      </c>
      <c r="F1384" s="209">
        <v>20000337</v>
      </c>
      <c r="G1384" s="209" t="s">
        <v>105</v>
      </c>
      <c r="H1384" s="209">
        <v>20000337</v>
      </c>
      <c r="I1384" s="209">
        <v>2</v>
      </c>
      <c r="J1384" s="209" t="s">
        <v>169</v>
      </c>
      <c r="K1384" s="209" t="s">
        <v>2973</v>
      </c>
      <c r="L1384" s="209" t="s">
        <v>2610</v>
      </c>
      <c r="M1384" s="209" t="s">
        <v>2718</v>
      </c>
      <c r="N1384" s="209">
        <v>50024497</v>
      </c>
      <c r="O1384" s="209" t="s">
        <v>1352</v>
      </c>
      <c r="P1384" s="209">
        <v>5121</v>
      </c>
      <c r="Q1384" s="209" t="s">
        <v>174</v>
      </c>
      <c r="R1384" s="209" t="s">
        <v>175</v>
      </c>
      <c r="S1384" s="209" t="s">
        <v>176</v>
      </c>
      <c r="T1384" s="209" t="s">
        <v>177</v>
      </c>
      <c r="U1384" s="209" t="s">
        <v>178</v>
      </c>
      <c r="V1384" s="209" t="s">
        <v>179</v>
      </c>
      <c r="W1384" s="209" t="s">
        <v>179</v>
      </c>
      <c r="X1384" s="209" t="s">
        <v>180</v>
      </c>
      <c r="Y1384" s="209" t="s">
        <v>180</v>
      </c>
      <c r="Z1384" s="209" t="s">
        <v>2954</v>
      </c>
      <c r="AA1384" s="209" t="s">
        <v>2955</v>
      </c>
      <c r="AB1384" s="209" t="s">
        <v>180</v>
      </c>
      <c r="AC1384" s="209" t="s">
        <v>182</v>
      </c>
      <c r="AD1384" s="209">
        <v>9</v>
      </c>
      <c r="AE1384" s="209">
        <v>2025</v>
      </c>
      <c r="AF1384" s="227">
        <v>45905</v>
      </c>
      <c r="AG1384" s="227">
        <v>45910</v>
      </c>
      <c r="AH1384" s="227">
        <v>45910</v>
      </c>
      <c r="AI1384" s="228">
        <v>351936</v>
      </c>
      <c r="AJ1384" s="228">
        <v>52</v>
      </c>
      <c r="AK1384" s="228">
        <v>351936</v>
      </c>
      <c r="AL1384" s="228">
        <v>52</v>
      </c>
      <c r="AM1384" s="228">
        <v>0</v>
      </c>
      <c r="AN1384" s="228">
        <v>0</v>
      </c>
      <c r="AO1384" s="229">
        <v>37</v>
      </c>
      <c r="AP1384" s="231">
        <v>9</v>
      </c>
      <c r="AQ1384" s="231">
        <v>2025</v>
      </c>
      <c r="AR1384" s="231" t="str">
        <f t="shared" si="204"/>
        <v>09/2025</v>
      </c>
      <c r="AS1384" s="231">
        <f t="shared" si="205"/>
        <v>54.7</v>
      </c>
      <c r="AT1384" s="239">
        <f>IF(G1384="CERVECERIA Y MALTERIA",(AS1384*AK1384/1000000)*(1-VLOOKUP(N1384,FCST!D:I,6,FALSE)),0)</f>
        <v>19.250899199999999</v>
      </c>
      <c r="AU1384" s="232">
        <v>5.0000000000000001E-3</v>
      </c>
      <c r="AV1384" s="239">
        <f t="shared" si="206"/>
        <v>19.347153695999996</v>
      </c>
      <c r="AW1384" s="239">
        <f>(AS1384*AK1384/1000000)*(VLOOKUP(N1384,FCST!D:I,6,FALSE))</f>
        <v>0</v>
      </c>
      <c r="AX1384" s="239">
        <f t="shared" si="207"/>
        <v>0</v>
      </c>
      <c r="AY1384" s="239">
        <f>IF($G1384="CERVECERIA Y MALTERIA.",($AS1384*$AK1384/1000000)*(1-VLOOKUP($N1384,FCST!D:I,6,FALSE)),0)</f>
        <v>0</v>
      </c>
      <c r="AZ1384" s="239">
        <f t="shared" si="208"/>
        <v>0</v>
      </c>
    </row>
    <row r="1385" spans="1:52" x14ac:dyDescent="0.25">
      <c r="A1385" s="209">
        <v>1138458</v>
      </c>
      <c r="B1385" s="209">
        <v>50</v>
      </c>
      <c r="C1385" s="209" t="s">
        <v>2974</v>
      </c>
      <c r="D1385" s="209">
        <v>10</v>
      </c>
      <c r="E1385" s="209">
        <v>10000002</v>
      </c>
      <c r="F1385" s="209">
        <v>20001057</v>
      </c>
      <c r="G1385" s="209" t="s">
        <v>105</v>
      </c>
      <c r="H1385" s="209">
        <v>20001057</v>
      </c>
      <c r="I1385" s="209">
        <v>2</v>
      </c>
      <c r="J1385" s="209" t="s">
        <v>169</v>
      </c>
      <c r="K1385" s="209" t="s">
        <v>2975</v>
      </c>
      <c r="L1385" s="209" t="s">
        <v>2610</v>
      </c>
      <c r="M1385" s="209" t="s">
        <v>2718</v>
      </c>
      <c r="N1385" s="209">
        <v>50035184</v>
      </c>
      <c r="O1385" s="209" t="s">
        <v>672</v>
      </c>
      <c r="P1385" s="209">
        <v>5121</v>
      </c>
      <c r="Q1385" s="209" t="s">
        <v>174</v>
      </c>
      <c r="R1385" s="209" t="s">
        <v>175</v>
      </c>
      <c r="S1385" s="209" t="s">
        <v>176</v>
      </c>
      <c r="T1385" s="209" t="s">
        <v>177</v>
      </c>
      <c r="U1385" s="209" t="s">
        <v>178</v>
      </c>
      <c r="V1385" s="209" t="s">
        <v>179</v>
      </c>
      <c r="W1385" s="209" t="s">
        <v>179</v>
      </c>
      <c r="X1385" s="209" t="s">
        <v>180</v>
      </c>
      <c r="Y1385" s="209" t="s">
        <v>180</v>
      </c>
      <c r="Z1385" s="209" t="s">
        <v>2976</v>
      </c>
      <c r="AA1385" s="209" t="s">
        <v>2977</v>
      </c>
      <c r="AB1385" s="209" t="s">
        <v>180</v>
      </c>
      <c r="AC1385" s="209" t="s">
        <v>182</v>
      </c>
      <c r="AD1385" s="209">
        <v>9</v>
      </c>
      <c r="AE1385" s="209">
        <v>2025</v>
      </c>
      <c r="AF1385" s="227">
        <v>45905</v>
      </c>
      <c r="AG1385" s="227">
        <v>45910</v>
      </c>
      <c r="AH1385" s="227">
        <v>45910</v>
      </c>
      <c r="AI1385" s="228">
        <v>977184</v>
      </c>
      <c r="AJ1385" s="228">
        <v>52</v>
      </c>
      <c r="AK1385" s="228">
        <v>977184</v>
      </c>
      <c r="AL1385" s="228">
        <v>52</v>
      </c>
      <c r="AM1385" s="228">
        <v>0</v>
      </c>
      <c r="AN1385" s="228">
        <v>0</v>
      </c>
      <c r="AO1385" s="229">
        <v>36</v>
      </c>
      <c r="AP1385" s="231">
        <v>9</v>
      </c>
      <c r="AQ1385" s="231">
        <v>2025</v>
      </c>
      <c r="AR1385" s="231" t="str">
        <f t="shared" si="204"/>
        <v>09/2025</v>
      </c>
      <c r="AS1385" s="231">
        <f t="shared" si="205"/>
        <v>19.5</v>
      </c>
      <c r="AT1385" s="239">
        <f>IF(G1385="CERVECERIA Y MALTERIA",(AS1385*AK1385/1000000)*(1-VLOOKUP(N1385,FCST!D:I,6,FALSE)),0)</f>
        <v>19.055088000000001</v>
      </c>
      <c r="AU1385" s="232">
        <v>5.0000000000000001E-3</v>
      </c>
      <c r="AV1385" s="239">
        <f t="shared" si="206"/>
        <v>19.15036344</v>
      </c>
      <c r="AW1385" s="239">
        <f>(AS1385*AK1385/1000000)*(VLOOKUP(N1385,FCST!D:I,6,FALSE))</f>
        <v>0</v>
      </c>
      <c r="AX1385" s="239">
        <f t="shared" si="207"/>
        <v>0</v>
      </c>
      <c r="AY1385" s="239">
        <f>IF($G1385="CERVECERIA Y MALTERIA.",($AS1385*$AK1385/1000000)*(1-VLOOKUP($N1385,FCST!D:I,6,FALSE)),0)</f>
        <v>0</v>
      </c>
      <c r="AZ1385" s="239">
        <f t="shared" si="208"/>
        <v>0</v>
      </c>
    </row>
    <row r="1386" spans="1:52" x14ac:dyDescent="0.25">
      <c r="A1386" s="209">
        <v>1138387</v>
      </c>
      <c r="B1386" s="209">
        <v>30</v>
      </c>
      <c r="C1386" s="209" t="s">
        <v>2978</v>
      </c>
      <c r="D1386" s="209">
        <v>10</v>
      </c>
      <c r="E1386" s="209">
        <v>10000002</v>
      </c>
      <c r="F1386" s="209">
        <v>20000340</v>
      </c>
      <c r="G1386" s="209" t="s">
        <v>117</v>
      </c>
      <c r="H1386" s="209">
        <v>20000340</v>
      </c>
      <c r="I1386" s="209">
        <v>2</v>
      </c>
      <c r="J1386" s="209" t="s">
        <v>169</v>
      </c>
      <c r="K1386" s="209" t="s">
        <v>2979</v>
      </c>
      <c r="L1386" s="209" t="s">
        <v>2610</v>
      </c>
      <c r="M1386" s="209" t="s">
        <v>2718</v>
      </c>
      <c r="N1386" s="209">
        <v>50037786</v>
      </c>
      <c r="O1386" s="209" t="s">
        <v>2739</v>
      </c>
      <c r="P1386" s="209">
        <v>5101</v>
      </c>
      <c r="Q1386" s="209" t="s">
        <v>186</v>
      </c>
      <c r="R1386" s="209" t="s">
        <v>175</v>
      </c>
      <c r="S1386" s="209" t="s">
        <v>176</v>
      </c>
      <c r="T1386" s="209" t="s">
        <v>187</v>
      </c>
      <c r="U1386" s="209" t="s">
        <v>188</v>
      </c>
      <c r="V1386" s="209" t="s">
        <v>179</v>
      </c>
      <c r="W1386" s="209" t="s">
        <v>179</v>
      </c>
      <c r="X1386" s="209" t="s">
        <v>180</v>
      </c>
      <c r="Y1386" s="209" t="s">
        <v>180</v>
      </c>
      <c r="Z1386" s="209" t="s">
        <v>2980</v>
      </c>
      <c r="AA1386" s="209" t="s">
        <v>2981</v>
      </c>
      <c r="AB1386" s="209" t="s">
        <v>180</v>
      </c>
      <c r="AC1386" s="209" t="s">
        <v>182</v>
      </c>
      <c r="AD1386" s="209">
        <v>9</v>
      </c>
      <c r="AE1386" s="209">
        <v>2025</v>
      </c>
      <c r="AF1386" s="227">
        <v>45904</v>
      </c>
      <c r="AG1386" s="227">
        <v>45910</v>
      </c>
      <c r="AH1386" s="227">
        <v>45910</v>
      </c>
      <c r="AI1386" s="228">
        <v>46656</v>
      </c>
      <c r="AJ1386" s="228">
        <v>4</v>
      </c>
      <c r="AK1386" s="228">
        <v>46656</v>
      </c>
      <c r="AL1386" s="228">
        <v>4</v>
      </c>
      <c r="AM1386" s="228">
        <v>0</v>
      </c>
      <c r="AN1386" s="228">
        <v>0</v>
      </c>
      <c r="AO1386" s="229">
        <v>37</v>
      </c>
      <c r="AP1386" s="231">
        <v>9</v>
      </c>
      <c r="AQ1386" s="231">
        <v>2025</v>
      </c>
      <c r="AR1386" s="231" t="str">
        <f t="shared" si="204"/>
        <v>09/2025</v>
      </c>
      <c r="AS1386" s="231">
        <f t="shared" si="205"/>
        <v>30</v>
      </c>
      <c r="AT1386" s="239">
        <f>IF(G1386="CERVECERIA Y MALTERIA",(AS1386*AK1386/1000000)*(1-VLOOKUP(N1386,FCST!D:I,6,FALSE)),0)</f>
        <v>0</v>
      </c>
      <c r="AU1386" s="232">
        <v>5.0000000000000001E-3</v>
      </c>
      <c r="AV1386" s="239">
        <f t="shared" si="206"/>
        <v>0</v>
      </c>
      <c r="AW1386" s="239">
        <f>(AS1386*AK1386/1000000)*(VLOOKUP(N1386,FCST!D:I,6,FALSE))</f>
        <v>0.55987200000000004</v>
      </c>
      <c r="AX1386" s="239">
        <f t="shared" si="207"/>
        <v>0.56267135999999995</v>
      </c>
      <c r="AY1386" s="239">
        <f>IF($G1386="CERVECERIA Y MALTERIA.",($AS1386*$AK1386/1000000)*(1-VLOOKUP($N1386,FCST!D:I,6,FALSE)),0)</f>
        <v>0.839808</v>
      </c>
      <c r="AZ1386" s="239">
        <f t="shared" si="208"/>
        <v>0.84400703999999993</v>
      </c>
    </row>
    <row r="1387" spans="1:52" x14ac:dyDescent="0.25">
      <c r="A1387" s="209">
        <v>1138348</v>
      </c>
      <c r="B1387" s="209">
        <v>60</v>
      </c>
      <c r="C1387" s="209" t="s">
        <v>2982</v>
      </c>
      <c r="D1387" s="209">
        <v>10</v>
      </c>
      <c r="E1387" s="209">
        <v>10000002</v>
      </c>
      <c r="F1387" s="209">
        <v>20000335</v>
      </c>
      <c r="G1387" s="209" t="s">
        <v>105</v>
      </c>
      <c r="H1387" s="209">
        <v>20000335</v>
      </c>
      <c r="I1387" s="209">
        <v>2</v>
      </c>
      <c r="J1387" s="209" t="s">
        <v>169</v>
      </c>
      <c r="K1387" s="209" t="s">
        <v>2983</v>
      </c>
      <c r="L1387" s="209" t="s">
        <v>2610</v>
      </c>
      <c r="M1387" s="209" t="s">
        <v>2718</v>
      </c>
      <c r="N1387" s="209">
        <v>50035183</v>
      </c>
      <c r="O1387" s="209" t="s">
        <v>215</v>
      </c>
      <c r="P1387" s="209">
        <v>5121</v>
      </c>
      <c r="Q1387" s="209" t="s">
        <v>174</v>
      </c>
      <c r="R1387" s="209" t="s">
        <v>175</v>
      </c>
      <c r="S1387" s="209" t="s">
        <v>176</v>
      </c>
      <c r="T1387" s="209" t="s">
        <v>177</v>
      </c>
      <c r="U1387" s="209" t="s">
        <v>178</v>
      </c>
      <c r="V1387" s="209" t="s">
        <v>179</v>
      </c>
      <c r="W1387" s="209" t="s">
        <v>179</v>
      </c>
      <c r="X1387" s="209" t="s">
        <v>180</v>
      </c>
      <c r="Y1387" s="209" t="s">
        <v>180</v>
      </c>
      <c r="Z1387" s="209" t="s">
        <v>2867</v>
      </c>
      <c r="AA1387" s="209" t="s">
        <v>2868</v>
      </c>
      <c r="AB1387" s="209" t="s">
        <v>180</v>
      </c>
      <c r="AC1387" s="209" t="s">
        <v>182</v>
      </c>
      <c r="AD1387" s="209">
        <v>9</v>
      </c>
      <c r="AE1387" s="209">
        <v>2025</v>
      </c>
      <c r="AF1387" s="227">
        <v>45904</v>
      </c>
      <c r="AG1387" s="227">
        <v>45910</v>
      </c>
      <c r="AH1387" s="227">
        <v>45910</v>
      </c>
      <c r="AI1387" s="228">
        <v>393984</v>
      </c>
      <c r="AJ1387" s="228">
        <v>48</v>
      </c>
      <c r="AK1387" s="228">
        <v>393984</v>
      </c>
      <c r="AL1387" s="228">
        <v>48</v>
      </c>
      <c r="AM1387" s="228">
        <v>0</v>
      </c>
      <c r="AN1387" s="228">
        <v>0</v>
      </c>
      <c r="AO1387" s="229">
        <v>37</v>
      </c>
      <c r="AP1387" s="231">
        <v>9</v>
      </c>
      <c r="AQ1387" s="231">
        <v>2025</v>
      </c>
      <c r="AR1387" s="231" t="str">
        <f t="shared" si="204"/>
        <v>09/2025</v>
      </c>
      <c r="AS1387" s="231">
        <f t="shared" si="205"/>
        <v>46.6</v>
      </c>
      <c r="AT1387" s="239">
        <f>IF(G1387="CERVECERIA Y MALTERIA",(AS1387*AK1387/1000000)*(1-VLOOKUP(N1387,FCST!D:I,6,FALSE)),0)</f>
        <v>18.359654400000004</v>
      </c>
      <c r="AU1387" s="232">
        <v>5.0000000000000001E-3</v>
      </c>
      <c r="AV1387" s="239">
        <f t="shared" si="206"/>
        <v>18.451452672000002</v>
      </c>
      <c r="AW1387" s="239">
        <f>(AS1387*AK1387/1000000)*(VLOOKUP(N1387,FCST!D:I,6,FALSE))</f>
        <v>0</v>
      </c>
      <c r="AX1387" s="239">
        <f t="shared" si="207"/>
        <v>0</v>
      </c>
      <c r="AY1387" s="239">
        <f>IF($G1387="CERVECERIA Y MALTERIA.",($AS1387*$AK1387/1000000)*(1-VLOOKUP($N1387,FCST!D:I,6,FALSE)),0)</f>
        <v>0</v>
      </c>
      <c r="AZ1387" s="239">
        <f t="shared" si="208"/>
        <v>0</v>
      </c>
    </row>
    <row r="1388" spans="1:52" x14ac:dyDescent="0.25">
      <c r="A1388" s="209">
        <v>1140943</v>
      </c>
      <c r="B1388" s="209">
        <v>10</v>
      </c>
      <c r="C1388" s="209" t="s">
        <v>2984</v>
      </c>
      <c r="D1388" s="209">
        <v>10</v>
      </c>
      <c r="E1388" s="209">
        <v>10000002</v>
      </c>
      <c r="F1388" s="209">
        <v>20000336</v>
      </c>
      <c r="G1388" s="209" t="s">
        <v>105</v>
      </c>
      <c r="H1388" s="209">
        <v>20000336</v>
      </c>
      <c r="I1388" s="209">
        <v>2</v>
      </c>
      <c r="J1388" s="209" t="s">
        <v>169</v>
      </c>
      <c r="K1388" s="209" t="s">
        <v>2985</v>
      </c>
      <c r="L1388" s="209" t="s">
        <v>2610</v>
      </c>
      <c r="M1388" s="209" t="s">
        <v>199</v>
      </c>
      <c r="N1388" s="209">
        <v>50034616</v>
      </c>
      <c r="O1388" s="209" t="s">
        <v>191</v>
      </c>
      <c r="P1388" s="209">
        <v>5121</v>
      </c>
      <c r="Q1388" s="209" t="s">
        <v>200</v>
      </c>
      <c r="R1388" s="209" t="s">
        <v>201</v>
      </c>
      <c r="S1388" s="209" t="s">
        <v>202</v>
      </c>
      <c r="T1388" s="209" t="s">
        <v>203</v>
      </c>
      <c r="U1388" s="209" t="s">
        <v>201</v>
      </c>
      <c r="V1388" s="209" t="s">
        <v>179</v>
      </c>
      <c r="W1388" s="209" t="s">
        <v>179</v>
      </c>
      <c r="X1388" s="209" t="s">
        <v>180</v>
      </c>
      <c r="Y1388" s="209" t="s">
        <v>180</v>
      </c>
      <c r="Z1388" s="209" t="s">
        <v>2986</v>
      </c>
      <c r="AA1388" s="209" t="s">
        <v>2987</v>
      </c>
      <c r="AB1388" s="209" t="s">
        <v>180</v>
      </c>
      <c r="AC1388" s="209" t="s">
        <v>182</v>
      </c>
      <c r="AD1388" s="209">
        <v>9</v>
      </c>
      <c r="AE1388" s="209">
        <v>2025</v>
      </c>
      <c r="AF1388" s="227">
        <v>45919</v>
      </c>
      <c r="AG1388" s="227">
        <v>45922</v>
      </c>
      <c r="AH1388" s="227">
        <v>45922</v>
      </c>
      <c r="AI1388" s="228">
        <v>426816</v>
      </c>
      <c r="AJ1388" s="228">
        <v>52</v>
      </c>
      <c r="AK1388" s="228">
        <v>426816</v>
      </c>
      <c r="AL1388" s="228">
        <v>52</v>
      </c>
      <c r="AM1388" s="228">
        <v>0</v>
      </c>
      <c r="AN1388" s="228">
        <v>0</v>
      </c>
      <c r="AO1388" s="229">
        <v>39</v>
      </c>
      <c r="AP1388" s="231">
        <v>9</v>
      </c>
      <c r="AQ1388" s="231">
        <v>2025</v>
      </c>
      <c r="AR1388" s="231" t="str">
        <f t="shared" si="204"/>
        <v>09/2025</v>
      </c>
      <c r="AS1388" s="231">
        <f t="shared" si="205"/>
        <v>46.6</v>
      </c>
      <c r="AT1388" s="239">
        <f>IF(G1388="CERVECERIA Y MALTERIA",(AS1388*AK1388/1000000)*(1-VLOOKUP(N1388,FCST!D:I,6,FALSE)),0)</f>
        <v>19.889625600000002</v>
      </c>
      <c r="AU1388" s="232">
        <v>5.0000000000000001E-3</v>
      </c>
      <c r="AV1388" s="239">
        <f t="shared" si="206"/>
        <v>19.989073728000001</v>
      </c>
      <c r="AW1388" s="239">
        <f>(AS1388*AK1388/1000000)*(VLOOKUP(N1388,FCST!D:I,6,FALSE))</f>
        <v>0</v>
      </c>
      <c r="AX1388" s="239">
        <f t="shared" si="207"/>
        <v>0</v>
      </c>
      <c r="AY1388" s="239">
        <f>IF($G1388="CERVECERIA Y MALTERIA.",($AS1388*$AK1388/1000000)*(1-VLOOKUP($N1388,FCST!D:I,6,FALSE)),0)</f>
        <v>0</v>
      </c>
      <c r="AZ1388" s="239">
        <f t="shared" si="208"/>
        <v>0</v>
      </c>
    </row>
    <row r="1389" spans="1:52" x14ac:dyDescent="0.25">
      <c r="A1389" s="209">
        <v>1141512</v>
      </c>
      <c r="B1389" s="209">
        <v>10</v>
      </c>
      <c r="C1389" s="209" t="s">
        <v>2988</v>
      </c>
      <c r="D1389" s="209">
        <v>10</v>
      </c>
      <c r="E1389" s="209">
        <v>10000002</v>
      </c>
      <c r="F1389" s="209">
        <v>20000339</v>
      </c>
      <c r="G1389" s="209" t="s">
        <v>105</v>
      </c>
      <c r="H1389" s="209">
        <v>20000339</v>
      </c>
      <c r="I1389" s="209">
        <v>2</v>
      </c>
      <c r="J1389" s="209" t="s">
        <v>169</v>
      </c>
      <c r="K1389" s="209" t="s">
        <v>2989</v>
      </c>
      <c r="L1389" s="209" t="s">
        <v>2610</v>
      </c>
      <c r="M1389" s="209" t="s">
        <v>227</v>
      </c>
      <c r="N1389" s="209">
        <v>50038607</v>
      </c>
      <c r="O1389" s="209" t="s">
        <v>1992</v>
      </c>
      <c r="P1389" s="209">
        <v>5101</v>
      </c>
      <c r="Q1389" s="209" t="s">
        <v>444</v>
      </c>
      <c r="R1389" s="209" t="s">
        <v>445</v>
      </c>
      <c r="S1389" s="209" t="s">
        <v>230</v>
      </c>
      <c r="T1389" s="209" t="s">
        <v>446</v>
      </c>
      <c r="U1389" s="209" t="s">
        <v>447</v>
      </c>
      <c r="V1389" s="209" t="s">
        <v>179</v>
      </c>
      <c r="W1389" s="209" t="s">
        <v>179</v>
      </c>
      <c r="X1389" s="209" t="s">
        <v>180</v>
      </c>
      <c r="Y1389" s="209" t="s">
        <v>180</v>
      </c>
      <c r="Z1389" s="209" t="s">
        <v>2990</v>
      </c>
      <c r="AA1389" s="209" t="s">
        <v>2991</v>
      </c>
      <c r="AB1389" s="209" t="s">
        <v>180</v>
      </c>
      <c r="AC1389" s="209" t="s">
        <v>182</v>
      </c>
      <c r="AD1389" s="209">
        <v>9</v>
      </c>
      <c r="AE1389" s="209">
        <v>2025</v>
      </c>
      <c r="AF1389" s="227">
        <v>45923</v>
      </c>
      <c r="AG1389" s="227">
        <v>45924</v>
      </c>
      <c r="AH1389" s="227">
        <v>45924</v>
      </c>
      <c r="AI1389" s="228">
        <v>228864</v>
      </c>
      <c r="AJ1389" s="228">
        <v>16</v>
      </c>
      <c r="AK1389" s="228">
        <v>228864</v>
      </c>
      <c r="AL1389" s="228">
        <v>16</v>
      </c>
      <c r="AM1389" s="228">
        <v>0</v>
      </c>
      <c r="AN1389" s="228">
        <v>0</v>
      </c>
      <c r="AO1389" s="229">
        <v>39</v>
      </c>
      <c r="AP1389" s="231">
        <v>9</v>
      </c>
      <c r="AQ1389" s="231">
        <v>2025</v>
      </c>
      <c r="AR1389" s="231" t="str">
        <f t="shared" si="204"/>
        <v>09/2025</v>
      </c>
      <c r="AS1389" s="231">
        <f t="shared" si="205"/>
        <v>25</v>
      </c>
      <c r="AT1389" s="239">
        <f>IF(G1389="CERVECERIA Y MALTERIA",(AS1389*AK1389/1000000)*(1-VLOOKUP(N1389,FCST!D:I,6,FALSE)),0)</f>
        <v>5.7215999999999996</v>
      </c>
      <c r="AU1389" s="232">
        <v>5.0000000000000001E-3</v>
      </c>
      <c r="AV1389" s="239">
        <f t="shared" si="206"/>
        <v>5.7502079999999989</v>
      </c>
      <c r="AW1389" s="239">
        <f>(AS1389*AK1389/1000000)*(VLOOKUP(N1389,FCST!D:I,6,FALSE))</f>
        <v>0</v>
      </c>
      <c r="AX1389" s="239">
        <f t="shared" si="207"/>
        <v>0</v>
      </c>
      <c r="AY1389" s="239">
        <f>IF($G1389="CERVECERIA Y MALTERIA.",($AS1389*$AK1389/1000000)*(1-VLOOKUP($N1389,FCST!D:I,6,FALSE)),0)</f>
        <v>0</v>
      </c>
      <c r="AZ1389" s="239">
        <f t="shared" si="208"/>
        <v>0</v>
      </c>
    </row>
    <row r="1390" spans="1:52" x14ac:dyDescent="0.25">
      <c r="A1390" s="209">
        <v>1141508</v>
      </c>
      <c r="B1390" s="209">
        <v>10</v>
      </c>
      <c r="C1390" s="209" t="s">
        <v>2992</v>
      </c>
      <c r="D1390" s="209">
        <v>10</v>
      </c>
      <c r="E1390" s="209">
        <v>10000002</v>
      </c>
      <c r="F1390" s="209">
        <v>20000339</v>
      </c>
      <c r="G1390" s="209" t="s">
        <v>105</v>
      </c>
      <c r="H1390" s="209">
        <v>20000339</v>
      </c>
      <c r="I1390" s="209">
        <v>2</v>
      </c>
      <c r="J1390" s="209" t="s">
        <v>169</v>
      </c>
      <c r="K1390" s="209" t="s">
        <v>2993</v>
      </c>
      <c r="L1390" s="209" t="s">
        <v>2610</v>
      </c>
      <c r="M1390" s="209" t="s">
        <v>227</v>
      </c>
      <c r="N1390" s="209">
        <v>50036287</v>
      </c>
      <c r="O1390" s="209" t="s">
        <v>2191</v>
      </c>
      <c r="P1390" s="209">
        <v>5121</v>
      </c>
      <c r="Q1390" s="209" t="s">
        <v>228</v>
      </c>
      <c r="R1390" s="209" t="s">
        <v>229</v>
      </c>
      <c r="S1390" s="209" t="s">
        <v>230</v>
      </c>
      <c r="T1390" s="209" t="s">
        <v>231</v>
      </c>
      <c r="U1390" s="209" t="s">
        <v>232</v>
      </c>
      <c r="V1390" s="209" t="s">
        <v>179</v>
      </c>
      <c r="W1390" s="209" t="s">
        <v>179</v>
      </c>
      <c r="X1390" s="209" t="s">
        <v>180</v>
      </c>
      <c r="Y1390" s="209" t="s">
        <v>180</v>
      </c>
      <c r="Z1390" s="209" t="s">
        <v>2994</v>
      </c>
      <c r="AA1390" s="209" t="s">
        <v>2995</v>
      </c>
      <c r="AB1390" s="209" t="s">
        <v>180</v>
      </c>
      <c r="AC1390" s="209" t="s">
        <v>182</v>
      </c>
      <c r="AD1390" s="209">
        <v>9</v>
      </c>
      <c r="AE1390" s="209">
        <v>2025</v>
      </c>
      <c r="AF1390" s="227">
        <v>45923</v>
      </c>
      <c r="AG1390" s="227">
        <v>45924</v>
      </c>
      <c r="AH1390" s="227">
        <v>45924</v>
      </c>
      <c r="AI1390" s="228">
        <v>251424</v>
      </c>
      <c r="AJ1390" s="228">
        <v>36</v>
      </c>
      <c r="AK1390" s="228">
        <v>251424</v>
      </c>
      <c r="AL1390" s="228">
        <v>36</v>
      </c>
      <c r="AM1390" s="228">
        <v>0</v>
      </c>
      <c r="AN1390" s="228">
        <v>0</v>
      </c>
      <c r="AO1390" s="229">
        <v>39</v>
      </c>
      <c r="AP1390" s="231">
        <v>9</v>
      </c>
      <c r="AQ1390" s="231">
        <v>2025</v>
      </c>
      <c r="AR1390" s="231" t="str">
        <f t="shared" si="204"/>
        <v>09/2025</v>
      </c>
      <c r="AS1390" s="231">
        <f t="shared" si="205"/>
        <v>52</v>
      </c>
      <c r="AT1390" s="239">
        <f>IF(G1390="CERVECERIA Y MALTERIA",(AS1390*AK1390/1000000)*(1-VLOOKUP(N1390,FCST!D:I,6,FALSE)),0)</f>
        <v>13.074047999999999</v>
      </c>
      <c r="AU1390" s="232">
        <v>5.0000000000000001E-3</v>
      </c>
      <c r="AV1390" s="239">
        <f t="shared" si="206"/>
        <v>13.139418239999998</v>
      </c>
      <c r="AW1390" s="239">
        <f>(AS1390*AK1390/1000000)*(VLOOKUP(N1390,FCST!D:I,6,FALSE))</f>
        <v>0</v>
      </c>
      <c r="AX1390" s="239">
        <f t="shared" si="207"/>
        <v>0</v>
      </c>
      <c r="AY1390" s="239">
        <f>IF($G1390="CERVECERIA Y MALTERIA.",($AS1390*$AK1390/1000000)*(1-VLOOKUP($N1390,FCST!D:I,6,FALSE)),0)</f>
        <v>0</v>
      </c>
      <c r="AZ1390" s="239">
        <f t="shared" si="208"/>
        <v>0</v>
      </c>
    </row>
    <row r="1391" spans="1:52" x14ac:dyDescent="0.25">
      <c r="A1391" s="209">
        <v>1139853</v>
      </c>
      <c r="B1391" s="209">
        <v>20</v>
      </c>
      <c r="C1391" s="209" t="s">
        <v>2996</v>
      </c>
      <c r="D1391" s="209">
        <v>10</v>
      </c>
      <c r="E1391" s="209">
        <v>10000002</v>
      </c>
      <c r="F1391" s="209">
        <v>20000336</v>
      </c>
      <c r="G1391" s="209" t="s">
        <v>105</v>
      </c>
      <c r="H1391" s="209">
        <v>20000336</v>
      </c>
      <c r="I1391" s="209">
        <v>2</v>
      </c>
      <c r="J1391" s="209" t="s">
        <v>169</v>
      </c>
      <c r="K1391" s="209" t="s">
        <v>2997</v>
      </c>
      <c r="L1391" s="209" t="s">
        <v>2610</v>
      </c>
      <c r="M1391" s="209" t="s">
        <v>199</v>
      </c>
      <c r="N1391" s="209">
        <v>50037887</v>
      </c>
      <c r="O1391" s="209" t="s">
        <v>679</v>
      </c>
      <c r="P1391" s="209">
        <v>5121</v>
      </c>
      <c r="Q1391" s="209" t="s">
        <v>200</v>
      </c>
      <c r="R1391" s="209" t="s">
        <v>201</v>
      </c>
      <c r="S1391" s="209" t="s">
        <v>202</v>
      </c>
      <c r="T1391" s="209" t="s">
        <v>203</v>
      </c>
      <c r="U1391" s="209" t="s">
        <v>201</v>
      </c>
      <c r="V1391" s="209" t="s">
        <v>179</v>
      </c>
      <c r="W1391" s="209" t="s">
        <v>179</v>
      </c>
      <c r="X1391" s="209" t="s">
        <v>180</v>
      </c>
      <c r="Y1391" s="209" t="s">
        <v>180</v>
      </c>
      <c r="Z1391" s="209" t="s">
        <v>2998</v>
      </c>
      <c r="AA1391" s="209" t="s">
        <v>2999</v>
      </c>
      <c r="AB1391" s="209" t="s">
        <v>180</v>
      </c>
      <c r="AC1391" s="209" t="s">
        <v>182</v>
      </c>
      <c r="AD1391" s="209">
        <v>9</v>
      </c>
      <c r="AE1391" s="209">
        <v>2025</v>
      </c>
      <c r="AF1391" s="227">
        <v>45912</v>
      </c>
      <c r="AG1391" s="227">
        <v>45917</v>
      </c>
      <c r="AH1391" s="227">
        <v>45917</v>
      </c>
      <c r="AI1391" s="228">
        <v>327168</v>
      </c>
      <c r="AJ1391" s="228">
        <v>32</v>
      </c>
      <c r="AK1391" s="228">
        <v>327168</v>
      </c>
      <c r="AL1391" s="228">
        <v>32</v>
      </c>
      <c r="AM1391" s="228">
        <v>0</v>
      </c>
      <c r="AN1391" s="228">
        <v>0</v>
      </c>
      <c r="AO1391" s="229">
        <v>38</v>
      </c>
      <c r="AP1391" s="231">
        <v>9</v>
      </c>
      <c r="AQ1391" s="231">
        <v>2025</v>
      </c>
      <c r="AR1391" s="231" t="str">
        <f t="shared" si="204"/>
        <v>09/2025</v>
      </c>
      <c r="AS1391" s="231">
        <f t="shared" si="205"/>
        <v>37.200000000000003</v>
      </c>
      <c r="AT1391" s="239">
        <f>IF(G1391="CERVECERIA Y MALTERIA",(AS1391*AK1391/1000000)*(1-VLOOKUP(N1391,FCST!D:I,6,FALSE)),0)</f>
        <v>12.170649600000001</v>
      </c>
      <c r="AU1391" s="232">
        <v>5.0000000000000001E-3</v>
      </c>
      <c r="AV1391" s="239">
        <f t="shared" si="206"/>
        <v>12.231502848</v>
      </c>
      <c r="AW1391" s="239">
        <f>(AS1391*AK1391/1000000)*(VLOOKUP(N1391,FCST!D:I,6,FALSE))</f>
        <v>0</v>
      </c>
      <c r="AX1391" s="239">
        <f t="shared" si="207"/>
        <v>0</v>
      </c>
      <c r="AY1391" s="239">
        <f>IF($G1391="CERVECERIA Y MALTERIA.",($AS1391*$AK1391/1000000)*(1-VLOOKUP($N1391,FCST!D:I,6,FALSE)),0)</f>
        <v>0</v>
      </c>
      <c r="AZ1391" s="239">
        <f t="shared" si="208"/>
        <v>0</v>
      </c>
    </row>
    <row r="1392" spans="1:52" x14ac:dyDescent="0.25">
      <c r="A1392" s="209">
        <v>1138389</v>
      </c>
      <c r="B1392" s="209">
        <v>50</v>
      </c>
      <c r="C1392" s="209" t="s">
        <v>3000</v>
      </c>
      <c r="D1392" s="209">
        <v>10</v>
      </c>
      <c r="E1392" s="209">
        <v>10000002</v>
      </c>
      <c r="F1392" s="209">
        <v>20000339</v>
      </c>
      <c r="G1392" s="209" t="s">
        <v>105</v>
      </c>
      <c r="H1392" s="209">
        <v>20000339</v>
      </c>
      <c r="I1392" s="209">
        <v>2</v>
      </c>
      <c r="J1392" s="209" t="s">
        <v>169</v>
      </c>
      <c r="K1392" s="209" t="s">
        <v>3001</v>
      </c>
      <c r="L1392" s="209" t="s">
        <v>2610</v>
      </c>
      <c r="M1392" s="209" t="s">
        <v>227</v>
      </c>
      <c r="N1392" s="209">
        <v>50036287</v>
      </c>
      <c r="O1392" s="209" t="s">
        <v>2191</v>
      </c>
      <c r="P1392" s="209">
        <v>5121</v>
      </c>
      <c r="Q1392" s="209" t="s">
        <v>228</v>
      </c>
      <c r="R1392" s="209" t="s">
        <v>229</v>
      </c>
      <c r="S1392" s="209" t="s">
        <v>230</v>
      </c>
      <c r="T1392" s="209" t="s">
        <v>231</v>
      </c>
      <c r="U1392" s="209" t="s">
        <v>232</v>
      </c>
      <c r="V1392" s="209" t="s">
        <v>179</v>
      </c>
      <c r="W1392" s="209" t="s">
        <v>179</v>
      </c>
      <c r="X1392" s="209" t="s">
        <v>180</v>
      </c>
      <c r="Y1392" s="209" t="s">
        <v>180</v>
      </c>
      <c r="Z1392" s="209" t="s">
        <v>3002</v>
      </c>
      <c r="AA1392" s="209" t="s">
        <v>3003</v>
      </c>
      <c r="AB1392" s="209" t="s">
        <v>180</v>
      </c>
      <c r="AC1392" s="209" t="s">
        <v>182</v>
      </c>
      <c r="AD1392" s="209">
        <v>9</v>
      </c>
      <c r="AE1392" s="209">
        <v>2025</v>
      </c>
      <c r="AF1392" s="227">
        <v>45904</v>
      </c>
      <c r="AG1392" s="227">
        <v>45917</v>
      </c>
      <c r="AH1392" s="227">
        <v>45917</v>
      </c>
      <c r="AI1392" s="228">
        <v>363168</v>
      </c>
      <c r="AJ1392" s="228">
        <v>52</v>
      </c>
      <c r="AK1392" s="228">
        <v>363168</v>
      </c>
      <c r="AL1392" s="228">
        <v>52</v>
      </c>
      <c r="AM1392" s="228">
        <v>0</v>
      </c>
      <c r="AN1392" s="228">
        <v>0</v>
      </c>
      <c r="AO1392" s="229">
        <v>36</v>
      </c>
      <c r="AP1392" s="231">
        <v>9</v>
      </c>
      <c r="AQ1392" s="231">
        <v>2025</v>
      </c>
      <c r="AR1392" s="231" t="str">
        <f t="shared" si="204"/>
        <v>09/2025</v>
      </c>
      <c r="AS1392" s="231">
        <f t="shared" si="205"/>
        <v>52</v>
      </c>
      <c r="AT1392" s="239">
        <f>IF(G1392="CERVECERIA Y MALTERIA",(AS1392*AK1392/1000000)*(1-VLOOKUP(N1392,FCST!D:I,6,FALSE)),0)</f>
        <v>18.884736</v>
      </c>
      <c r="AU1392" s="232">
        <v>5.0000000000000001E-3</v>
      </c>
      <c r="AV1392" s="239">
        <f t="shared" si="206"/>
        <v>18.979159679999999</v>
      </c>
      <c r="AW1392" s="239">
        <f>(AS1392*AK1392/1000000)*(VLOOKUP(N1392,FCST!D:I,6,FALSE))</f>
        <v>0</v>
      </c>
      <c r="AX1392" s="239">
        <f t="shared" si="207"/>
        <v>0</v>
      </c>
      <c r="AY1392" s="239">
        <f>IF($G1392="CERVECERIA Y MALTERIA.",($AS1392*$AK1392/1000000)*(1-VLOOKUP($N1392,FCST!D:I,6,FALSE)),0)</f>
        <v>0</v>
      </c>
      <c r="AZ1392" s="239">
        <f t="shared" si="208"/>
        <v>0</v>
      </c>
    </row>
    <row r="1393" spans="1:52" x14ac:dyDescent="0.25">
      <c r="A1393" s="209">
        <v>1140822</v>
      </c>
      <c r="B1393" s="209">
        <v>10</v>
      </c>
      <c r="C1393" s="209" t="s">
        <v>3004</v>
      </c>
      <c r="D1393" s="209">
        <v>10</v>
      </c>
      <c r="E1393" s="209">
        <v>10000002</v>
      </c>
      <c r="F1393" s="209">
        <v>20000339</v>
      </c>
      <c r="G1393" s="209" t="s">
        <v>105</v>
      </c>
      <c r="H1393" s="209">
        <v>20000339</v>
      </c>
      <c r="I1393" s="209">
        <v>2</v>
      </c>
      <c r="J1393" s="209" t="s">
        <v>169</v>
      </c>
      <c r="K1393" s="209" t="s">
        <v>3005</v>
      </c>
      <c r="L1393" s="209" t="s">
        <v>2610</v>
      </c>
      <c r="M1393" s="209" t="s">
        <v>227</v>
      </c>
      <c r="N1393" s="209">
        <v>50038607</v>
      </c>
      <c r="O1393" s="209" t="s">
        <v>1992</v>
      </c>
      <c r="P1393" s="209">
        <v>5101</v>
      </c>
      <c r="Q1393" s="209" t="s">
        <v>444</v>
      </c>
      <c r="R1393" s="209" t="s">
        <v>445</v>
      </c>
      <c r="S1393" s="209" t="s">
        <v>230</v>
      </c>
      <c r="T1393" s="209" t="s">
        <v>446</v>
      </c>
      <c r="U1393" s="209" t="s">
        <v>447</v>
      </c>
      <c r="V1393" s="209" t="s">
        <v>179</v>
      </c>
      <c r="W1393" s="209" t="s">
        <v>179</v>
      </c>
      <c r="X1393" s="209" t="s">
        <v>180</v>
      </c>
      <c r="Y1393" s="209" t="s">
        <v>180</v>
      </c>
      <c r="Z1393" s="209" t="s">
        <v>3006</v>
      </c>
      <c r="AA1393" s="209" t="s">
        <v>3007</v>
      </c>
      <c r="AB1393" s="209" t="s">
        <v>180</v>
      </c>
      <c r="AC1393" s="209" t="s">
        <v>182</v>
      </c>
      <c r="AD1393" s="209">
        <v>9</v>
      </c>
      <c r="AE1393" s="209">
        <v>2025</v>
      </c>
      <c r="AF1393" s="227">
        <v>45918</v>
      </c>
      <c r="AG1393" s="227">
        <v>45919</v>
      </c>
      <c r="AH1393" s="227">
        <v>45919</v>
      </c>
      <c r="AI1393" s="228">
        <v>429120</v>
      </c>
      <c r="AJ1393" s="228">
        <v>30</v>
      </c>
      <c r="AK1393" s="228">
        <v>429120</v>
      </c>
      <c r="AL1393" s="228">
        <v>30</v>
      </c>
      <c r="AM1393" s="228">
        <v>0</v>
      </c>
      <c r="AN1393" s="228">
        <v>0</v>
      </c>
      <c r="AO1393" s="229">
        <v>38</v>
      </c>
      <c r="AP1393" s="231">
        <v>9</v>
      </c>
      <c r="AQ1393" s="231">
        <v>2025</v>
      </c>
      <c r="AR1393" s="231" t="str">
        <f t="shared" si="204"/>
        <v>09/2025</v>
      </c>
      <c r="AS1393" s="231">
        <f t="shared" si="205"/>
        <v>25</v>
      </c>
      <c r="AT1393" s="239">
        <f>IF(G1393="CERVECERIA Y MALTERIA",(AS1393*AK1393/1000000)*(1-VLOOKUP(N1393,FCST!D:I,6,FALSE)),0)</f>
        <v>10.728</v>
      </c>
      <c r="AU1393" s="232">
        <v>5.0000000000000001E-3</v>
      </c>
      <c r="AV1393" s="239">
        <f t="shared" si="206"/>
        <v>10.781639999999999</v>
      </c>
      <c r="AW1393" s="239">
        <f>(AS1393*AK1393/1000000)*(VLOOKUP(N1393,FCST!D:I,6,FALSE))</f>
        <v>0</v>
      </c>
      <c r="AX1393" s="239">
        <f t="shared" si="207"/>
        <v>0</v>
      </c>
      <c r="AY1393" s="239">
        <f>IF($G1393="CERVECERIA Y MALTERIA.",($AS1393*$AK1393/1000000)*(1-VLOOKUP($N1393,FCST!D:I,6,FALSE)),0)</f>
        <v>0</v>
      </c>
      <c r="AZ1393" s="239">
        <f t="shared" si="208"/>
        <v>0</v>
      </c>
    </row>
    <row r="1394" spans="1:52" x14ac:dyDescent="0.25">
      <c r="A1394" s="209">
        <v>1140826</v>
      </c>
      <c r="B1394" s="209">
        <v>10</v>
      </c>
      <c r="C1394" s="209" t="s">
        <v>3008</v>
      </c>
      <c r="D1394" s="209">
        <v>10</v>
      </c>
      <c r="E1394" s="209">
        <v>10000002</v>
      </c>
      <c r="F1394" s="209">
        <v>20000339</v>
      </c>
      <c r="G1394" s="209" t="s">
        <v>105</v>
      </c>
      <c r="H1394" s="209">
        <v>20000339</v>
      </c>
      <c r="I1394" s="209">
        <v>2</v>
      </c>
      <c r="J1394" s="209" t="s">
        <v>169</v>
      </c>
      <c r="K1394" s="209" t="s">
        <v>3009</v>
      </c>
      <c r="L1394" s="209" t="s">
        <v>2610</v>
      </c>
      <c r="M1394" s="209" t="s">
        <v>227</v>
      </c>
      <c r="N1394" s="209">
        <v>50036287</v>
      </c>
      <c r="O1394" s="209" t="s">
        <v>2191</v>
      </c>
      <c r="P1394" s="209">
        <v>5121</v>
      </c>
      <c r="Q1394" s="209" t="s">
        <v>228</v>
      </c>
      <c r="R1394" s="209" t="s">
        <v>229</v>
      </c>
      <c r="S1394" s="209" t="s">
        <v>230</v>
      </c>
      <c r="T1394" s="209" t="s">
        <v>231</v>
      </c>
      <c r="U1394" s="209" t="s">
        <v>232</v>
      </c>
      <c r="V1394" s="209" t="s">
        <v>179</v>
      </c>
      <c r="W1394" s="209" t="s">
        <v>179</v>
      </c>
      <c r="X1394" s="209" t="s">
        <v>180</v>
      </c>
      <c r="Y1394" s="209" t="s">
        <v>180</v>
      </c>
      <c r="Z1394" s="209" t="s">
        <v>3010</v>
      </c>
      <c r="AA1394" s="209" t="s">
        <v>3011</v>
      </c>
      <c r="AB1394" s="209" t="s">
        <v>180</v>
      </c>
      <c r="AC1394" s="209" t="s">
        <v>182</v>
      </c>
      <c r="AD1394" s="209">
        <v>9</v>
      </c>
      <c r="AE1394" s="209">
        <v>2025</v>
      </c>
      <c r="AF1394" s="227">
        <v>45918</v>
      </c>
      <c r="AG1394" s="227">
        <v>45919</v>
      </c>
      <c r="AH1394" s="227">
        <v>45919</v>
      </c>
      <c r="AI1394" s="228">
        <v>153648</v>
      </c>
      <c r="AJ1394" s="228">
        <v>22</v>
      </c>
      <c r="AK1394" s="228">
        <v>153648</v>
      </c>
      <c r="AL1394" s="228">
        <v>22</v>
      </c>
      <c r="AM1394" s="228">
        <v>0</v>
      </c>
      <c r="AN1394" s="228">
        <v>0</v>
      </c>
      <c r="AO1394" s="229">
        <v>38</v>
      </c>
      <c r="AP1394" s="231">
        <v>9</v>
      </c>
      <c r="AQ1394" s="231">
        <v>2025</v>
      </c>
      <c r="AR1394" s="231" t="str">
        <f t="shared" si="204"/>
        <v>09/2025</v>
      </c>
      <c r="AS1394" s="231">
        <f t="shared" si="205"/>
        <v>52</v>
      </c>
      <c r="AT1394" s="239">
        <f>IF(G1394="CERVECERIA Y MALTERIA",(AS1394*AK1394/1000000)*(1-VLOOKUP(N1394,FCST!D:I,6,FALSE)),0)</f>
        <v>7.9896960000000004</v>
      </c>
      <c r="AU1394" s="232">
        <v>5.0000000000000001E-3</v>
      </c>
      <c r="AV1394" s="239">
        <f t="shared" si="206"/>
        <v>8.02964448</v>
      </c>
      <c r="AW1394" s="239">
        <f>(AS1394*AK1394/1000000)*(VLOOKUP(N1394,FCST!D:I,6,FALSE))</f>
        <v>0</v>
      </c>
      <c r="AX1394" s="239">
        <f t="shared" si="207"/>
        <v>0</v>
      </c>
      <c r="AY1394" s="239">
        <f>IF($G1394="CERVECERIA Y MALTERIA.",($AS1394*$AK1394/1000000)*(1-VLOOKUP($N1394,FCST!D:I,6,FALSE)),0)</f>
        <v>0</v>
      </c>
      <c r="AZ1394" s="239">
        <f t="shared" si="208"/>
        <v>0</v>
      </c>
    </row>
    <row r="1395" spans="1:52" x14ac:dyDescent="0.25">
      <c r="A1395" s="209">
        <v>1139840</v>
      </c>
      <c r="B1395" s="209">
        <v>40</v>
      </c>
      <c r="C1395" s="209" t="s">
        <v>3012</v>
      </c>
      <c r="D1395" s="209">
        <v>10</v>
      </c>
      <c r="E1395" s="209">
        <v>10000002</v>
      </c>
      <c r="F1395" s="209">
        <v>20000335</v>
      </c>
      <c r="G1395" s="209" t="s">
        <v>105</v>
      </c>
      <c r="H1395" s="209">
        <v>20000335</v>
      </c>
      <c r="I1395" s="209">
        <v>2</v>
      </c>
      <c r="J1395" s="209" t="s">
        <v>169</v>
      </c>
      <c r="K1395" s="209" t="s">
        <v>3013</v>
      </c>
      <c r="L1395" s="209" t="s">
        <v>2610</v>
      </c>
      <c r="M1395" s="209" t="s">
        <v>199</v>
      </c>
      <c r="N1395" s="209">
        <v>50034616</v>
      </c>
      <c r="O1395" s="209" t="s">
        <v>191</v>
      </c>
      <c r="P1395" s="209">
        <v>5121</v>
      </c>
      <c r="Q1395" s="209" t="s">
        <v>200</v>
      </c>
      <c r="R1395" s="209" t="s">
        <v>201</v>
      </c>
      <c r="S1395" s="209" t="s">
        <v>202</v>
      </c>
      <c r="T1395" s="209" t="s">
        <v>203</v>
      </c>
      <c r="U1395" s="209" t="s">
        <v>201</v>
      </c>
      <c r="V1395" s="209" t="s">
        <v>179</v>
      </c>
      <c r="W1395" s="209" t="s">
        <v>179</v>
      </c>
      <c r="X1395" s="209" t="s">
        <v>180</v>
      </c>
      <c r="Y1395" s="209" t="s">
        <v>180</v>
      </c>
      <c r="Z1395" s="209" t="s">
        <v>3014</v>
      </c>
      <c r="AA1395" s="209" t="s">
        <v>3015</v>
      </c>
      <c r="AB1395" s="209" t="s">
        <v>180</v>
      </c>
      <c r="AC1395" s="209" t="s">
        <v>182</v>
      </c>
      <c r="AD1395" s="209">
        <v>9</v>
      </c>
      <c r="AE1395" s="209">
        <v>2025</v>
      </c>
      <c r="AF1395" s="227">
        <v>45912</v>
      </c>
      <c r="AG1395" s="227">
        <v>45919</v>
      </c>
      <c r="AH1395" s="227">
        <v>45919</v>
      </c>
      <c r="AI1395" s="228">
        <v>426816</v>
      </c>
      <c r="AJ1395" s="228">
        <v>52</v>
      </c>
      <c r="AK1395" s="228">
        <v>426816</v>
      </c>
      <c r="AL1395" s="228">
        <v>52</v>
      </c>
      <c r="AM1395" s="228">
        <v>0</v>
      </c>
      <c r="AN1395" s="228">
        <v>0</v>
      </c>
      <c r="AO1395" s="229">
        <v>38</v>
      </c>
      <c r="AP1395" s="231">
        <v>9</v>
      </c>
      <c r="AQ1395" s="231">
        <v>2025</v>
      </c>
      <c r="AR1395" s="231" t="str">
        <f t="shared" si="204"/>
        <v>09/2025</v>
      </c>
      <c r="AS1395" s="231">
        <f t="shared" si="205"/>
        <v>46.6</v>
      </c>
      <c r="AT1395" s="239">
        <f>IF(G1395="CERVECERIA Y MALTERIA",(AS1395*AK1395/1000000)*(1-VLOOKUP(N1395,FCST!D:I,6,FALSE)),0)</f>
        <v>19.889625600000002</v>
      </c>
      <c r="AU1395" s="232">
        <v>5.0000000000000001E-3</v>
      </c>
      <c r="AV1395" s="239">
        <f t="shared" si="206"/>
        <v>19.989073728000001</v>
      </c>
      <c r="AW1395" s="239">
        <f>(AS1395*AK1395/1000000)*(VLOOKUP(N1395,FCST!D:I,6,FALSE))</f>
        <v>0</v>
      </c>
      <c r="AX1395" s="239">
        <f t="shared" si="207"/>
        <v>0</v>
      </c>
      <c r="AY1395" s="239">
        <f>IF($G1395="CERVECERIA Y MALTERIA.",($AS1395*$AK1395/1000000)*(1-VLOOKUP($N1395,FCST!D:I,6,FALSE)),0)</f>
        <v>0</v>
      </c>
      <c r="AZ1395" s="239">
        <f t="shared" si="208"/>
        <v>0</v>
      </c>
    </row>
    <row r="1396" spans="1:52" x14ac:dyDescent="0.25">
      <c r="A1396" s="209">
        <v>1142144</v>
      </c>
      <c r="B1396" s="209">
        <v>10</v>
      </c>
      <c r="C1396" s="209" t="s">
        <v>3016</v>
      </c>
      <c r="D1396" s="209">
        <v>10</v>
      </c>
      <c r="E1396" s="209">
        <v>10000002</v>
      </c>
      <c r="F1396" s="209">
        <v>20000339</v>
      </c>
      <c r="G1396" s="209" t="s">
        <v>105</v>
      </c>
      <c r="H1396" s="209">
        <v>20000339</v>
      </c>
      <c r="I1396" s="209">
        <v>2</v>
      </c>
      <c r="J1396" s="209" t="s">
        <v>169</v>
      </c>
      <c r="K1396" s="209" t="s">
        <v>3017</v>
      </c>
      <c r="L1396" s="209" t="s">
        <v>2610</v>
      </c>
      <c r="M1396" s="209" t="s">
        <v>227</v>
      </c>
      <c r="N1396" s="209">
        <v>50038607</v>
      </c>
      <c r="O1396" s="209" t="s">
        <v>1992</v>
      </c>
      <c r="P1396" s="209">
        <v>5101</v>
      </c>
      <c r="Q1396" s="209" t="s">
        <v>444</v>
      </c>
      <c r="R1396" s="209" t="s">
        <v>445</v>
      </c>
      <c r="S1396" s="209" t="s">
        <v>230</v>
      </c>
      <c r="T1396" s="209" t="s">
        <v>446</v>
      </c>
      <c r="U1396" s="209" t="s">
        <v>447</v>
      </c>
      <c r="V1396" s="209" t="s">
        <v>179</v>
      </c>
      <c r="W1396" s="209" t="s">
        <v>179</v>
      </c>
      <c r="X1396" s="209" t="s">
        <v>180</v>
      </c>
      <c r="Y1396" s="209" t="s">
        <v>180</v>
      </c>
      <c r="Z1396" s="209" t="s">
        <v>3018</v>
      </c>
      <c r="AA1396" s="209" t="s">
        <v>3019</v>
      </c>
      <c r="AB1396" s="209" t="s">
        <v>180</v>
      </c>
      <c r="AC1396" s="209" t="s">
        <v>182</v>
      </c>
      <c r="AD1396" s="209">
        <v>9</v>
      </c>
      <c r="AE1396" s="209">
        <v>2025</v>
      </c>
      <c r="AF1396" s="227">
        <v>45925</v>
      </c>
      <c r="AG1396" s="227">
        <v>45929</v>
      </c>
      <c r="AH1396" s="227">
        <v>45929</v>
      </c>
      <c r="AI1396" s="228">
        <v>743808</v>
      </c>
      <c r="AJ1396" s="228">
        <v>52</v>
      </c>
      <c r="AK1396" s="228">
        <v>743808</v>
      </c>
      <c r="AL1396" s="228">
        <v>52</v>
      </c>
      <c r="AM1396" s="228">
        <v>0</v>
      </c>
      <c r="AN1396" s="228">
        <v>0</v>
      </c>
      <c r="AO1396" s="229">
        <v>40</v>
      </c>
      <c r="AP1396" s="231">
        <v>9</v>
      </c>
      <c r="AQ1396" s="231">
        <v>2025</v>
      </c>
      <c r="AR1396" s="231" t="str">
        <f t="shared" si="204"/>
        <v>09/2025</v>
      </c>
      <c r="AS1396" s="231">
        <f t="shared" si="205"/>
        <v>25</v>
      </c>
      <c r="AT1396" s="239">
        <f>IF(G1396="CERVECERIA Y MALTERIA",(AS1396*AK1396/1000000)*(1-VLOOKUP(N1396,FCST!D:I,6,FALSE)),0)</f>
        <v>18.595199999999998</v>
      </c>
      <c r="AU1396" s="232">
        <v>5.0000000000000001E-3</v>
      </c>
      <c r="AV1396" s="239">
        <f t="shared" si="206"/>
        <v>18.688175999999995</v>
      </c>
      <c r="AW1396" s="239">
        <f>(AS1396*AK1396/1000000)*(VLOOKUP(N1396,FCST!D:I,6,FALSE))</f>
        <v>0</v>
      </c>
      <c r="AX1396" s="239">
        <f t="shared" si="207"/>
        <v>0</v>
      </c>
      <c r="AY1396" s="239">
        <f>IF($G1396="CERVECERIA Y MALTERIA.",($AS1396*$AK1396/1000000)*(1-VLOOKUP($N1396,FCST!D:I,6,FALSE)),0)</f>
        <v>0</v>
      </c>
      <c r="AZ1396" s="239">
        <f t="shared" si="208"/>
        <v>0</v>
      </c>
    </row>
    <row r="1397" spans="1:52" x14ac:dyDescent="0.25">
      <c r="A1397" s="209">
        <v>1142104</v>
      </c>
      <c r="B1397" s="209">
        <v>20</v>
      </c>
      <c r="C1397" s="209" t="s">
        <v>3020</v>
      </c>
      <c r="D1397" s="209">
        <v>10</v>
      </c>
      <c r="E1397" s="209">
        <v>10000002</v>
      </c>
      <c r="F1397" s="209">
        <v>20000335</v>
      </c>
      <c r="G1397" s="209" t="s">
        <v>105</v>
      </c>
      <c r="H1397" s="209">
        <v>20000335</v>
      </c>
      <c r="I1397" s="209">
        <v>2</v>
      </c>
      <c r="J1397" s="209" t="s">
        <v>169</v>
      </c>
      <c r="K1397" s="209" t="s">
        <v>3021</v>
      </c>
      <c r="L1397" s="209" t="s">
        <v>2610</v>
      </c>
      <c r="M1397" s="209" t="s">
        <v>199</v>
      </c>
      <c r="N1397" s="209">
        <v>50035183</v>
      </c>
      <c r="O1397" s="209" t="s">
        <v>215</v>
      </c>
      <c r="P1397" s="209">
        <v>5121</v>
      </c>
      <c r="Q1397" s="209" t="s">
        <v>200</v>
      </c>
      <c r="R1397" s="209" t="s">
        <v>201</v>
      </c>
      <c r="S1397" s="209" t="s">
        <v>202</v>
      </c>
      <c r="T1397" s="209" t="s">
        <v>203</v>
      </c>
      <c r="U1397" s="209" t="s">
        <v>201</v>
      </c>
      <c r="V1397" s="209" t="s">
        <v>179</v>
      </c>
      <c r="W1397" s="209" t="s">
        <v>179</v>
      </c>
      <c r="X1397" s="209" t="s">
        <v>180</v>
      </c>
      <c r="Y1397" s="209" t="s">
        <v>180</v>
      </c>
      <c r="Z1397" s="209" t="s">
        <v>3022</v>
      </c>
      <c r="AA1397" s="209" t="s">
        <v>3023</v>
      </c>
      <c r="AB1397" s="209" t="s">
        <v>180</v>
      </c>
      <c r="AC1397" s="209" t="s">
        <v>182</v>
      </c>
      <c r="AD1397" s="209">
        <v>9</v>
      </c>
      <c r="AE1397" s="209">
        <v>2025</v>
      </c>
      <c r="AF1397" s="227">
        <v>45925</v>
      </c>
      <c r="AG1397" s="227">
        <v>45929</v>
      </c>
      <c r="AH1397" s="227">
        <v>45929</v>
      </c>
      <c r="AI1397" s="228">
        <v>426816</v>
      </c>
      <c r="AJ1397" s="228">
        <v>52</v>
      </c>
      <c r="AK1397" s="228">
        <v>426816</v>
      </c>
      <c r="AL1397" s="228">
        <v>52</v>
      </c>
      <c r="AM1397" s="228">
        <v>0</v>
      </c>
      <c r="AN1397" s="228">
        <v>0</v>
      </c>
      <c r="AO1397" s="229">
        <v>40</v>
      </c>
      <c r="AP1397" s="231">
        <v>9</v>
      </c>
      <c r="AQ1397" s="231">
        <v>2025</v>
      </c>
      <c r="AR1397" s="231" t="str">
        <f t="shared" si="204"/>
        <v>09/2025</v>
      </c>
      <c r="AS1397" s="231">
        <f t="shared" si="205"/>
        <v>46.6</v>
      </c>
      <c r="AT1397" s="239">
        <f>IF(G1397="CERVECERIA Y MALTERIA",(AS1397*AK1397/1000000)*(1-VLOOKUP(N1397,FCST!D:I,6,FALSE)),0)</f>
        <v>19.889625600000002</v>
      </c>
      <c r="AU1397" s="232">
        <v>5.0000000000000001E-3</v>
      </c>
      <c r="AV1397" s="239">
        <f t="shared" si="206"/>
        <v>19.989073728000001</v>
      </c>
      <c r="AW1397" s="239">
        <f>(AS1397*AK1397/1000000)*(VLOOKUP(N1397,FCST!D:I,6,FALSE))</f>
        <v>0</v>
      </c>
      <c r="AX1397" s="239">
        <f t="shared" si="207"/>
        <v>0</v>
      </c>
      <c r="AY1397" s="239">
        <f>IF($G1397="CERVECERIA Y MALTERIA.",($AS1397*$AK1397/1000000)*(1-VLOOKUP($N1397,FCST!D:I,6,FALSE)),0)</f>
        <v>0</v>
      </c>
      <c r="AZ1397" s="239">
        <f t="shared" si="208"/>
        <v>0</v>
      </c>
    </row>
    <row r="1398" spans="1:52" x14ac:dyDescent="0.25">
      <c r="A1398" s="209">
        <v>1141826</v>
      </c>
      <c r="B1398" s="209">
        <v>10</v>
      </c>
      <c r="C1398" s="209" t="s">
        <v>3024</v>
      </c>
      <c r="D1398" s="209">
        <v>10</v>
      </c>
      <c r="E1398" s="209">
        <v>10000002</v>
      </c>
      <c r="F1398" s="209">
        <v>20001057</v>
      </c>
      <c r="G1398" s="209" t="s">
        <v>105</v>
      </c>
      <c r="H1398" s="209">
        <v>20001057</v>
      </c>
      <c r="I1398" s="209">
        <v>2</v>
      </c>
      <c r="J1398" s="209" t="s">
        <v>169</v>
      </c>
      <c r="K1398" s="209" t="s">
        <v>3025</v>
      </c>
      <c r="L1398" s="209" t="s">
        <v>2610</v>
      </c>
      <c r="M1398" s="209" t="s">
        <v>199</v>
      </c>
      <c r="N1398" s="209">
        <v>50034616</v>
      </c>
      <c r="O1398" s="209" t="s">
        <v>191</v>
      </c>
      <c r="P1398" s="209">
        <v>5121</v>
      </c>
      <c r="Q1398" s="209" t="s">
        <v>200</v>
      </c>
      <c r="R1398" s="209" t="s">
        <v>201</v>
      </c>
      <c r="S1398" s="209" t="s">
        <v>202</v>
      </c>
      <c r="T1398" s="209" t="s">
        <v>203</v>
      </c>
      <c r="U1398" s="209" t="s">
        <v>201</v>
      </c>
      <c r="V1398" s="209" t="s">
        <v>179</v>
      </c>
      <c r="W1398" s="209" t="s">
        <v>179</v>
      </c>
      <c r="X1398" s="209" t="s">
        <v>180</v>
      </c>
      <c r="Y1398" s="209" t="s">
        <v>180</v>
      </c>
      <c r="Z1398" s="209" t="s">
        <v>3026</v>
      </c>
      <c r="AA1398" s="209" t="s">
        <v>3027</v>
      </c>
      <c r="AB1398" s="209" t="s">
        <v>180</v>
      </c>
      <c r="AC1398" s="209" t="s">
        <v>182</v>
      </c>
      <c r="AD1398" s="209">
        <v>9</v>
      </c>
      <c r="AE1398" s="209">
        <v>2025</v>
      </c>
      <c r="AF1398" s="227">
        <v>45924</v>
      </c>
      <c r="AG1398" s="227">
        <v>45925</v>
      </c>
      <c r="AH1398" s="227">
        <v>45925</v>
      </c>
      <c r="AI1398" s="228">
        <v>426816</v>
      </c>
      <c r="AJ1398" s="228">
        <v>52</v>
      </c>
      <c r="AK1398" s="228">
        <v>426816</v>
      </c>
      <c r="AL1398" s="228">
        <v>52</v>
      </c>
      <c r="AM1398" s="228">
        <v>0</v>
      </c>
      <c r="AN1398" s="228">
        <v>0</v>
      </c>
      <c r="AO1398" s="229">
        <v>39</v>
      </c>
      <c r="AP1398" s="231">
        <v>9</v>
      </c>
      <c r="AQ1398" s="231">
        <v>2025</v>
      </c>
      <c r="AR1398" s="231" t="str">
        <f t="shared" si="204"/>
        <v>09/2025</v>
      </c>
      <c r="AS1398" s="231">
        <f t="shared" si="205"/>
        <v>46.6</v>
      </c>
      <c r="AT1398" s="239">
        <f>IF(G1398="CERVECERIA Y MALTERIA",(AS1398*AK1398/1000000)*(1-VLOOKUP(N1398,FCST!D:I,6,FALSE)),0)</f>
        <v>19.889625600000002</v>
      </c>
      <c r="AU1398" s="232">
        <v>5.0000000000000001E-3</v>
      </c>
      <c r="AV1398" s="239">
        <f t="shared" si="206"/>
        <v>19.989073728000001</v>
      </c>
      <c r="AW1398" s="239">
        <f>(AS1398*AK1398/1000000)*(VLOOKUP(N1398,FCST!D:I,6,FALSE))</f>
        <v>0</v>
      </c>
      <c r="AX1398" s="239">
        <f t="shared" si="207"/>
        <v>0</v>
      </c>
      <c r="AY1398" s="239">
        <f>IF($G1398="CERVECERIA Y MALTERIA.",($AS1398*$AK1398/1000000)*(1-VLOOKUP($N1398,FCST!D:I,6,FALSE)),0)</f>
        <v>0</v>
      </c>
      <c r="AZ1398" s="239">
        <f t="shared" si="208"/>
        <v>0</v>
      </c>
    </row>
    <row r="1399" spans="1:52" x14ac:dyDescent="0.25">
      <c r="A1399" s="209">
        <v>1140943</v>
      </c>
      <c r="B1399" s="209">
        <v>20</v>
      </c>
      <c r="C1399" s="209" t="s">
        <v>3028</v>
      </c>
      <c r="D1399" s="209">
        <v>10</v>
      </c>
      <c r="E1399" s="209">
        <v>10000002</v>
      </c>
      <c r="F1399" s="209">
        <v>20000336</v>
      </c>
      <c r="G1399" s="209" t="s">
        <v>105</v>
      </c>
      <c r="H1399" s="209">
        <v>20000336</v>
      </c>
      <c r="I1399" s="209">
        <v>2</v>
      </c>
      <c r="J1399" s="209" t="s">
        <v>169</v>
      </c>
      <c r="K1399" s="209" t="s">
        <v>3029</v>
      </c>
      <c r="L1399" s="209" t="s">
        <v>2610</v>
      </c>
      <c r="M1399" s="209" t="s">
        <v>199</v>
      </c>
      <c r="N1399" s="209">
        <v>50034616</v>
      </c>
      <c r="O1399" s="209" t="s">
        <v>191</v>
      </c>
      <c r="P1399" s="209">
        <v>5121</v>
      </c>
      <c r="Q1399" s="209" t="s">
        <v>200</v>
      </c>
      <c r="R1399" s="209" t="s">
        <v>201</v>
      </c>
      <c r="S1399" s="209" t="s">
        <v>202</v>
      </c>
      <c r="T1399" s="209" t="s">
        <v>203</v>
      </c>
      <c r="U1399" s="209" t="s">
        <v>201</v>
      </c>
      <c r="V1399" s="209" t="s">
        <v>179</v>
      </c>
      <c r="W1399" s="209" t="s">
        <v>179</v>
      </c>
      <c r="X1399" s="209" t="s">
        <v>180</v>
      </c>
      <c r="Y1399" s="209" t="s">
        <v>180</v>
      </c>
      <c r="Z1399" s="209" t="s">
        <v>3030</v>
      </c>
      <c r="AA1399" s="209" t="s">
        <v>3031</v>
      </c>
      <c r="AB1399" s="209" t="s">
        <v>180</v>
      </c>
      <c r="AC1399" s="209" t="s">
        <v>182</v>
      </c>
      <c r="AD1399" s="209">
        <v>9</v>
      </c>
      <c r="AE1399" s="209">
        <v>2025</v>
      </c>
      <c r="AF1399" s="227">
        <v>45919</v>
      </c>
      <c r="AG1399" s="227">
        <v>45925</v>
      </c>
      <c r="AH1399" s="227">
        <v>45925</v>
      </c>
      <c r="AI1399" s="228">
        <v>426816</v>
      </c>
      <c r="AJ1399" s="228">
        <v>52</v>
      </c>
      <c r="AK1399" s="228">
        <v>426816</v>
      </c>
      <c r="AL1399" s="228">
        <v>52</v>
      </c>
      <c r="AM1399" s="228">
        <v>0</v>
      </c>
      <c r="AN1399" s="228">
        <v>0</v>
      </c>
      <c r="AO1399" s="229">
        <v>39</v>
      </c>
      <c r="AP1399" s="231">
        <v>9</v>
      </c>
      <c r="AQ1399" s="231">
        <v>2025</v>
      </c>
      <c r="AR1399" s="231" t="str">
        <f t="shared" si="204"/>
        <v>09/2025</v>
      </c>
      <c r="AS1399" s="231">
        <f t="shared" si="205"/>
        <v>46.6</v>
      </c>
      <c r="AT1399" s="239">
        <f>IF(G1399="CERVECERIA Y MALTERIA",(AS1399*AK1399/1000000)*(1-VLOOKUP(N1399,FCST!D:I,6,FALSE)),0)</f>
        <v>19.889625600000002</v>
      </c>
      <c r="AU1399" s="232">
        <v>5.0000000000000001E-3</v>
      </c>
      <c r="AV1399" s="239">
        <f t="shared" si="206"/>
        <v>19.989073728000001</v>
      </c>
      <c r="AW1399" s="239">
        <f>(AS1399*AK1399/1000000)*(VLOOKUP(N1399,FCST!D:I,6,FALSE))</f>
        <v>0</v>
      </c>
      <c r="AX1399" s="239">
        <f t="shared" si="207"/>
        <v>0</v>
      </c>
      <c r="AY1399" s="239">
        <f>IF($G1399="CERVECERIA Y MALTERIA.",($AS1399*$AK1399/1000000)*(1-VLOOKUP($N1399,FCST!D:I,6,FALSE)),0)</f>
        <v>0</v>
      </c>
      <c r="AZ1399" s="239">
        <f t="shared" si="208"/>
        <v>0</v>
      </c>
    </row>
    <row r="1400" spans="1:52" x14ac:dyDescent="0.25">
      <c r="A1400" s="209">
        <v>1141508</v>
      </c>
      <c r="B1400" s="209">
        <v>20</v>
      </c>
      <c r="C1400" s="209" t="s">
        <v>3032</v>
      </c>
      <c r="D1400" s="209">
        <v>10</v>
      </c>
      <c r="E1400" s="209">
        <v>10000002</v>
      </c>
      <c r="F1400" s="209">
        <v>20000339</v>
      </c>
      <c r="G1400" s="209" t="s">
        <v>105</v>
      </c>
      <c r="H1400" s="209">
        <v>20000339</v>
      </c>
      <c r="I1400" s="209">
        <v>2</v>
      </c>
      <c r="J1400" s="209" t="s">
        <v>169</v>
      </c>
      <c r="K1400" s="209" t="s">
        <v>3033</v>
      </c>
      <c r="L1400" s="209" t="s">
        <v>2610</v>
      </c>
      <c r="M1400" s="209" t="s">
        <v>227</v>
      </c>
      <c r="N1400" s="209">
        <v>50036287</v>
      </c>
      <c r="O1400" s="209" t="s">
        <v>2191</v>
      </c>
      <c r="P1400" s="209">
        <v>5121</v>
      </c>
      <c r="Q1400" s="209" t="s">
        <v>228</v>
      </c>
      <c r="R1400" s="209" t="s">
        <v>229</v>
      </c>
      <c r="S1400" s="209" t="s">
        <v>230</v>
      </c>
      <c r="T1400" s="209" t="s">
        <v>231</v>
      </c>
      <c r="U1400" s="209" t="s">
        <v>232</v>
      </c>
      <c r="V1400" s="209" t="s">
        <v>179</v>
      </c>
      <c r="W1400" s="209" t="s">
        <v>179</v>
      </c>
      <c r="X1400" s="209" t="s">
        <v>180</v>
      </c>
      <c r="Y1400" s="209" t="s">
        <v>180</v>
      </c>
      <c r="Z1400" s="209" t="s">
        <v>3034</v>
      </c>
      <c r="AA1400" s="209" t="s">
        <v>3035</v>
      </c>
      <c r="AB1400" s="209" t="s">
        <v>180</v>
      </c>
      <c r="AC1400" s="209" t="s">
        <v>182</v>
      </c>
      <c r="AD1400" s="209">
        <v>9</v>
      </c>
      <c r="AE1400" s="209">
        <v>2025</v>
      </c>
      <c r="AF1400" s="227">
        <v>45923</v>
      </c>
      <c r="AG1400" s="227">
        <v>45925</v>
      </c>
      <c r="AH1400" s="227">
        <v>45925</v>
      </c>
      <c r="AI1400" s="228">
        <v>69840</v>
      </c>
      <c r="AJ1400" s="228">
        <v>10</v>
      </c>
      <c r="AK1400" s="228">
        <v>69840</v>
      </c>
      <c r="AL1400" s="228">
        <v>10</v>
      </c>
      <c r="AM1400" s="228">
        <v>0</v>
      </c>
      <c r="AN1400" s="228">
        <v>0</v>
      </c>
      <c r="AO1400" s="229">
        <v>39</v>
      </c>
      <c r="AP1400" s="231">
        <v>9</v>
      </c>
      <c r="AQ1400" s="231">
        <v>2025</v>
      </c>
      <c r="AR1400" s="231" t="str">
        <f t="shared" si="204"/>
        <v>09/2025</v>
      </c>
      <c r="AS1400" s="231">
        <f t="shared" si="205"/>
        <v>52</v>
      </c>
      <c r="AT1400" s="239">
        <f>IF(G1400="CERVECERIA Y MALTERIA",(AS1400*AK1400/1000000)*(1-VLOOKUP(N1400,FCST!D:I,6,FALSE)),0)</f>
        <v>3.6316799999999998</v>
      </c>
      <c r="AU1400" s="232">
        <v>5.0000000000000001E-3</v>
      </c>
      <c r="AV1400" s="239">
        <f t="shared" si="206"/>
        <v>3.6498383999999993</v>
      </c>
      <c r="AW1400" s="239">
        <f>(AS1400*AK1400/1000000)*(VLOOKUP(N1400,FCST!D:I,6,FALSE))</f>
        <v>0</v>
      </c>
      <c r="AX1400" s="239">
        <f t="shared" si="207"/>
        <v>0</v>
      </c>
      <c r="AY1400" s="239">
        <f>IF($G1400="CERVECERIA Y MALTERIA.",($AS1400*$AK1400/1000000)*(1-VLOOKUP($N1400,FCST!D:I,6,FALSE)),0)</f>
        <v>0</v>
      </c>
      <c r="AZ1400" s="239">
        <f t="shared" si="208"/>
        <v>0</v>
      </c>
    </row>
    <row r="1401" spans="1:52" x14ac:dyDescent="0.25">
      <c r="A1401" s="209">
        <v>1141826</v>
      </c>
      <c r="B1401" s="209">
        <v>20</v>
      </c>
      <c r="C1401" s="209" t="s">
        <v>3036</v>
      </c>
      <c r="D1401" s="209">
        <v>10</v>
      </c>
      <c r="E1401" s="209">
        <v>10000002</v>
      </c>
      <c r="F1401" s="209">
        <v>20001057</v>
      </c>
      <c r="G1401" s="209" t="s">
        <v>105</v>
      </c>
      <c r="H1401" s="209">
        <v>20001057</v>
      </c>
      <c r="I1401" s="209">
        <v>2</v>
      </c>
      <c r="J1401" s="209" t="s">
        <v>169</v>
      </c>
      <c r="K1401" s="209" t="s">
        <v>3037</v>
      </c>
      <c r="L1401" s="209" t="s">
        <v>2610</v>
      </c>
      <c r="M1401" s="209" t="s">
        <v>199</v>
      </c>
      <c r="N1401" s="209">
        <v>50034616</v>
      </c>
      <c r="O1401" s="209" t="s">
        <v>191</v>
      </c>
      <c r="P1401" s="209">
        <v>5121</v>
      </c>
      <c r="Q1401" s="209" t="s">
        <v>200</v>
      </c>
      <c r="R1401" s="209" t="s">
        <v>201</v>
      </c>
      <c r="S1401" s="209" t="s">
        <v>202</v>
      </c>
      <c r="T1401" s="209" t="s">
        <v>203</v>
      </c>
      <c r="U1401" s="209" t="s">
        <v>201</v>
      </c>
      <c r="V1401" s="209" t="s">
        <v>179</v>
      </c>
      <c r="W1401" s="209" t="s">
        <v>179</v>
      </c>
      <c r="X1401" s="209" t="s">
        <v>180</v>
      </c>
      <c r="Y1401" s="209" t="s">
        <v>180</v>
      </c>
      <c r="Z1401" s="209" t="s">
        <v>3038</v>
      </c>
      <c r="AA1401" s="209" t="s">
        <v>3039</v>
      </c>
      <c r="AB1401" s="209" t="s">
        <v>180</v>
      </c>
      <c r="AC1401" s="209" t="s">
        <v>182</v>
      </c>
      <c r="AD1401" s="209">
        <v>9</v>
      </c>
      <c r="AE1401" s="209">
        <v>2025</v>
      </c>
      <c r="AF1401" s="227">
        <v>45924</v>
      </c>
      <c r="AG1401" s="227">
        <v>45926</v>
      </c>
      <c r="AH1401" s="227">
        <v>45926</v>
      </c>
      <c r="AI1401" s="228">
        <v>426816</v>
      </c>
      <c r="AJ1401" s="228">
        <v>52</v>
      </c>
      <c r="AK1401" s="228">
        <v>426816</v>
      </c>
      <c r="AL1401" s="228">
        <v>52</v>
      </c>
      <c r="AM1401" s="228">
        <v>0</v>
      </c>
      <c r="AN1401" s="228">
        <v>0</v>
      </c>
      <c r="AO1401" s="229">
        <v>39</v>
      </c>
      <c r="AP1401" s="231">
        <v>9</v>
      </c>
      <c r="AQ1401" s="231">
        <v>2025</v>
      </c>
      <c r="AR1401" s="231" t="str">
        <f t="shared" si="204"/>
        <v>09/2025</v>
      </c>
      <c r="AS1401" s="231">
        <f t="shared" si="205"/>
        <v>46.6</v>
      </c>
      <c r="AT1401" s="239">
        <f>IF(G1401="CERVECERIA Y MALTERIA",(AS1401*AK1401/1000000)*(1-VLOOKUP(N1401,FCST!D:I,6,FALSE)),0)</f>
        <v>19.889625600000002</v>
      </c>
      <c r="AU1401" s="232">
        <v>5.0000000000000001E-3</v>
      </c>
      <c r="AV1401" s="239">
        <f t="shared" si="206"/>
        <v>19.989073728000001</v>
      </c>
      <c r="AW1401" s="239">
        <f>(AS1401*AK1401/1000000)*(VLOOKUP(N1401,FCST!D:I,6,FALSE))</f>
        <v>0</v>
      </c>
      <c r="AX1401" s="239">
        <f t="shared" si="207"/>
        <v>0</v>
      </c>
      <c r="AY1401" s="239">
        <f>IF($G1401="CERVECERIA Y MALTERIA.",($AS1401*$AK1401/1000000)*(1-VLOOKUP($N1401,FCST!D:I,6,FALSE)),0)</f>
        <v>0</v>
      </c>
      <c r="AZ1401" s="239">
        <f t="shared" si="208"/>
        <v>0</v>
      </c>
    </row>
    <row r="1402" spans="1:52" x14ac:dyDescent="0.25">
      <c r="A1402" s="209">
        <v>1136933</v>
      </c>
      <c r="B1402" s="209">
        <v>60</v>
      </c>
      <c r="C1402" s="209" t="s">
        <v>3040</v>
      </c>
      <c r="D1402" s="209">
        <v>10</v>
      </c>
      <c r="E1402" s="209">
        <v>10000002</v>
      </c>
      <c r="F1402" s="209">
        <v>20000335</v>
      </c>
      <c r="G1402" s="209" t="s">
        <v>105</v>
      </c>
      <c r="H1402" s="209">
        <v>20000335</v>
      </c>
      <c r="I1402" s="209">
        <v>2</v>
      </c>
      <c r="J1402" s="209" t="s">
        <v>169</v>
      </c>
      <c r="K1402" s="209" t="s">
        <v>3041</v>
      </c>
      <c r="L1402" s="209" t="s">
        <v>2610</v>
      </c>
      <c r="M1402" s="209" t="s">
        <v>199</v>
      </c>
      <c r="N1402" s="209">
        <v>50035183</v>
      </c>
      <c r="O1402" s="209" t="s">
        <v>215</v>
      </c>
      <c r="P1402" s="209">
        <v>5121</v>
      </c>
      <c r="Q1402" s="209" t="s">
        <v>200</v>
      </c>
      <c r="R1402" s="209" t="s">
        <v>201</v>
      </c>
      <c r="S1402" s="209" t="s">
        <v>202</v>
      </c>
      <c r="T1402" s="209" t="s">
        <v>203</v>
      </c>
      <c r="U1402" s="209" t="s">
        <v>201</v>
      </c>
      <c r="V1402" s="209" t="s">
        <v>179</v>
      </c>
      <c r="W1402" s="209" t="s">
        <v>179</v>
      </c>
      <c r="X1402" s="209" t="s">
        <v>180</v>
      </c>
      <c r="Y1402" s="209" t="s">
        <v>180</v>
      </c>
      <c r="Z1402" s="209" t="s">
        <v>2867</v>
      </c>
      <c r="AA1402" s="209" t="s">
        <v>2868</v>
      </c>
      <c r="AB1402" s="209" t="s">
        <v>180</v>
      </c>
      <c r="AC1402" s="209" t="s">
        <v>182</v>
      </c>
      <c r="AD1402" s="209">
        <v>9</v>
      </c>
      <c r="AE1402" s="209">
        <v>2025</v>
      </c>
      <c r="AF1402" s="227">
        <v>45897</v>
      </c>
      <c r="AG1402" s="227">
        <v>45905</v>
      </c>
      <c r="AH1402" s="227">
        <v>45905</v>
      </c>
      <c r="AI1402" s="228">
        <v>426816</v>
      </c>
      <c r="AJ1402" s="228">
        <v>52</v>
      </c>
      <c r="AK1402" s="228">
        <v>426816</v>
      </c>
      <c r="AL1402" s="228">
        <v>52</v>
      </c>
      <c r="AM1402" s="228">
        <v>0</v>
      </c>
      <c r="AN1402" s="228">
        <v>0</v>
      </c>
      <c r="AO1402" s="229">
        <v>36</v>
      </c>
      <c r="AP1402" s="231">
        <v>9</v>
      </c>
      <c r="AQ1402" s="231">
        <v>2025</v>
      </c>
      <c r="AR1402" s="231" t="str">
        <f t="shared" si="204"/>
        <v>09/2025</v>
      </c>
      <c r="AS1402" s="231">
        <f t="shared" si="205"/>
        <v>46.6</v>
      </c>
      <c r="AT1402" s="239">
        <f>IF(G1402="CERVECERIA Y MALTERIA",(AS1402*AK1402/1000000)*(1-VLOOKUP(N1402,FCST!D:I,6,FALSE)),0)</f>
        <v>19.889625600000002</v>
      </c>
      <c r="AU1402" s="232">
        <v>5.0000000000000001E-3</v>
      </c>
      <c r="AV1402" s="239">
        <f t="shared" si="206"/>
        <v>19.989073728000001</v>
      </c>
      <c r="AW1402" s="239">
        <f>(AS1402*AK1402/1000000)*(VLOOKUP(N1402,FCST!D:I,6,FALSE))</f>
        <v>0</v>
      </c>
      <c r="AX1402" s="239">
        <f t="shared" si="207"/>
        <v>0</v>
      </c>
      <c r="AY1402" s="239">
        <f>IF($G1402="CERVECERIA Y MALTERIA.",($AS1402*$AK1402/1000000)*(1-VLOOKUP($N1402,FCST!D:I,6,FALSE)),0)</f>
        <v>0</v>
      </c>
      <c r="AZ1402" s="239">
        <f t="shared" si="208"/>
        <v>0</v>
      </c>
    </row>
    <row r="1403" spans="1:52" x14ac:dyDescent="0.25">
      <c r="A1403" s="209">
        <v>1136933</v>
      </c>
      <c r="B1403" s="209">
        <v>90</v>
      </c>
      <c r="C1403" s="209" t="s">
        <v>3042</v>
      </c>
      <c r="D1403" s="209">
        <v>10</v>
      </c>
      <c r="E1403" s="209">
        <v>10000002</v>
      </c>
      <c r="F1403" s="209">
        <v>20000335</v>
      </c>
      <c r="G1403" s="209" t="s">
        <v>105</v>
      </c>
      <c r="H1403" s="209">
        <v>20000335</v>
      </c>
      <c r="I1403" s="209">
        <v>2</v>
      </c>
      <c r="J1403" s="209" t="s">
        <v>169</v>
      </c>
      <c r="K1403" s="209" t="s">
        <v>3043</v>
      </c>
      <c r="L1403" s="209" t="s">
        <v>2610</v>
      </c>
      <c r="M1403" s="209" t="s">
        <v>199</v>
      </c>
      <c r="N1403" s="209">
        <v>50035184</v>
      </c>
      <c r="O1403" s="209" t="s">
        <v>672</v>
      </c>
      <c r="P1403" s="209">
        <v>5121</v>
      </c>
      <c r="Q1403" s="209" t="s">
        <v>200</v>
      </c>
      <c r="R1403" s="209" t="s">
        <v>201</v>
      </c>
      <c r="S1403" s="209" t="s">
        <v>202</v>
      </c>
      <c r="T1403" s="209" t="s">
        <v>203</v>
      </c>
      <c r="U1403" s="209" t="s">
        <v>201</v>
      </c>
      <c r="V1403" s="209" t="s">
        <v>179</v>
      </c>
      <c r="W1403" s="209" t="s">
        <v>179</v>
      </c>
      <c r="X1403" s="209" t="s">
        <v>180</v>
      </c>
      <c r="Y1403" s="209" t="s">
        <v>180</v>
      </c>
      <c r="Z1403" s="209" t="s">
        <v>2966</v>
      </c>
      <c r="AA1403" s="209" t="s">
        <v>2967</v>
      </c>
      <c r="AB1403" s="209" t="s">
        <v>180</v>
      </c>
      <c r="AC1403" s="209" t="s">
        <v>182</v>
      </c>
      <c r="AD1403" s="209">
        <v>9</v>
      </c>
      <c r="AE1403" s="209">
        <v>2025</v>
      </c>
      <c r="AF1403" s="227">
        <v>45897</v>
      </c>
      <c r="AG1403" s="227">
        <v>45904</v>
      </c>
      <c r="AH1403" s="227">
        <v>45904</v>
      </c>
      <c r="AI1403" s="228">
        <v>920808</v>
      </c>
      <c r="AJ1403" s="228">
        <v>49</v>
      </c>
      <c r="AK1403" s="228">
        <v>920808</v>
      </c>
      <c r="AL1403" s="228">
        <v>49</v>
      </c>
      <c r="AM1403" s="228">
        <v>0</v>
      </c>
      <c r="AN1403" s="228">
        <v>0</v>
      </c>
      <c r="AO1403" s="229">
        <v>36</v>
      </c>
      <c r="AP1403" s="231">
        <v>9</v>
      </c>
      <c r="AQ1403" s="231">
        <v>2025</v>
      </c>
      <c r="AR1403" s="231" t="str">
        <f t="shared" si="204"/>
        <v>09/2025</v>
      </c>
      <c r="AS1403" s="231">
        <f t="shared" si="205"/>
        <v>19.5</v>
      </c>
      <c r="AT1403" s="239">
        <f>IF(G1403="CERVECERIA Y MALTERIA",(AS1403*AK1403/1000000)*(1-VLOOKUP(N1403,FCST!D:I,6,FALSE)),0)</f>
        <v>17.955756000000001</v>
      </c>
      <c r="AU1403" s="232">
        <v>5.0000000000000001E-3</v>
      </c>
      <c r="AV1403" s="239">
        <f t="shared" si="206"/>
        <v>18.045534780000001</v>
      </c>
      <c r="AW1403" s="239">
        <f>(AS1403*AK1403/1000000)*(VLOOKUP(N1403,FCST!D:I,6,FALSE))</f>
        <v>0</v>
      </c>
      <c r="AX1403" s="239">
        <f t="shared" si="207"/>
        <v>0</v>
      </c>
      <c r="AY1403" s="239">
        <f>IF($G1403="CERVECERIA Y MALTERIA.",($AS1403*$AK1403/1000000)*(1-VLOOKUP($N1403,FCST!D:I,6,FALSE)),0)</f>
        <v>0</v>
      </c>
      <c r="AZ1403" s="239">
        <f t="shared" si="208"/>
        <v>0</v>
      </c>
    </row>
    <row r="1404" spans="1:52" x14ac:dyDescent="0.25">
      <c r="A1404" s="209">
        <v>1137360</v>
      </c>
      <c r="B1404" s="209">
        <v>40</v>
      </c>
      <c r="C1404" s="209" t="s">
        <v>3044</v>
      </c>
      <c r="D1404" s="209">
        <v>10</v>
      </c>
      <c r="E1404" s="209">
        <v>10000002</v>
      </c>
      <c r="F1404" s="209">
        <v>20000337</v>
      </c>
      <c r="G1404" s="209" t="s">
        <v>105</v>
      </c>
      <c r="H1404" s="209">
        <v>20000337</v>
      </c>
      <c r="I1404" s="209">
        <v>2</v>
      </c>
      <c r="J1404" s="209" t="s">
        <v>169</v>
      </c>
      <c r="K1404" s="209" t="s">
        <v>3045</v>
      </c>
      <c r="L1404" s="209" t="s">
        <v>2610</v>
      </c>
      <c r="M1404" s="209" t="s">
        <v>199</v>
      </c>
      <c r="N1404" s="209">
        <v>50024497</v>
      </c>
      <c r="O1404" s="209" t="s">
        <v>1352</v>
      </c>
      <c r="P1404" s="209">
        <v>5121</v>
      </c>
      <c r="Q1404" s="209" t="s">
        <v>200</v>
      </c>
      <c r="R1404" s="209" t="s">
        <v>201</v>
      </c>
      <c r="S1404" s="209" t="s">
        <v>202</v>
      </c>
      <c r="T1404" s="209" t="s">
        <v>203</v>
      </c>
      <c r="U1404" s="209" t="s">
        <v>201</v>
      </c>
      <c r="V1404" s="209" t="s">
        <v>179</v>
      </c>
      <c r="W1404" s="209" t="s">
        <v>179</v>
      </c>
      <c r="X1404" s="209" t="s">
        <v>180</v>
      </c>
      <c r="Y1404" s="209" t="s">
        <v>180</v>
      </c>
      <c r="Z1404" s="209" t="s">
        <v>2954</v>
      </c>
      <c r="AA1404" s="209" t="s">
        <v>2955</v>
      </c>
      <c r="AB1404" s="209" t="s">
        <v>180</v>
      </c>
      <c r="AC1404" s="209" t="s">
        <v>182</v>
      </c>
      <c r="AD1404" s="209">
        <v>9</v>
      </c>
      <c r="AE1404" s="209">
        <v>2025</v>
      </c>
      <c r="AF1404" s="227">
        <v>45901</v>
      </c>
      <c r="AG1404" s="227">
        <v>45904</v>
      </c>
      <c r="AH1404" s="227">
        <v>45904</v>
      </c>
      <c r="AI1404" s="228">
        <v>338400</v>
      </c>
      <c r="AJ1404" s="228">
        <v>50</v>
      </c>
      <c r="AK1404" s="228">
        <v>338400</v>
      </c>
      <c r="AL1404" s="228">
        <v>50</v>
      </c>
      <c r="AM1404" s="228">
        <v>0</v>
      </c>
      <c r="AN1404" s="228">
        <v>0</v>
      </c>
      <c r="AO1404" s="229">
        <v>36</v>
      </c>
      <c r="AP1404" s="231">
        <v>9</v>
      </c>
      <c r="AQ1404" s="231">
        <v>2025</v>
      </c>
      <c r="AR1404" s="231" t="str">
        <f t="shared" si="204"/>
        <v>09/2025</v>
      </c>
      <c r="AS1404" s="231">
        <f t="shared" si="205"/>
        <v>54.7</v>
      </c>
      <c r="AT1404" s="239">
        <f>IF(G1404="CERVECERIA Y MALTERIA",(AS1404*AK1404/1000000)*(1-VLOOKUP(N1404,FCST!D:I,6,FALSE)),0)</f>
        <v>18.510480000000001</v>
      </c>
      <c r="AU1404" s="232">
        <v>5.0000000000000001E-3</v>
      </c>
      <c r="AV1404" s="239">
        <f t="shared" si="206"/>
        <v>18.6030324</v>
      </c>
      <c r="AW1404" s="239">
        <f>(AS1404*AK1404/1000000)*(VLOOKUP(N1404,FCST!D:I,6,FALSE))</f>
        <v>0</v>
      </c>
      <c r="AX1404" s="239">
        <f t="shared" si="207"/>
        <v>0</v>
      </c>
      <c r="AY1404" s="239">
        <f>IF($G1404="CERVECERIA Y MALTERIA.",($AS1404*$AK1404/1000000)*(1-VLOOKUP($N1404,FCST!D:I,6,FALSE)),0)</f>
        <v>0</v>
      </c>
      <c r="AZ1404" s="239">
        <f t="shared" si="208"/>
        <v>0</v>
      </c>
    </row>
    <row r="1405" spans="1:52" x14ac:dyDescent="0.25">
      <c r="A1405" s="209">
        <v>1136933</v>
      </c>
      <c r="B1405" s="209">
        <v>50</v>
      </c>
      <c r="C1405" s="209" t="s">
        <v>3046</v>
      </c>
      <c r="D1405" s="209">
        <v>10</v>
      </c>
      <c r="E1405" s="209">
        <v>10000002</v>
      </c>
      <c r="F1405" s="209">
        <v>20000335</v>
      </c>
      <c r="G1405" s="209" t="s">
        <v>105</v>
      </c>
      <c r="H1405" s="209">
        <v>20000335</v>
      </c>
      <c r="I1405" s="209">
        <v>2</v>
      </c>
      <c r="J1405" s="209" t="s">
        <v>169</v>
      </c>
      <c r="K1405" s="209" t="s">
        <v>3047</v>
      </c>
      <c r="L1405" s="209" t="s">
        <v>2610</v>
      </c>
      <c r="M1405" s="209" t="s">
        <v>199</v>
      </c>
      <c r="N1405" s="209">
        <v>50035183</v>
      </c>
      <c r="O1405" s="209" t="s">
        <v>215</v>
      </c>
      <c r="P1405" s="209">
        <v>5121</v>
      </c>
      <c r="Q1405" s="209" t="s">
        <v>200</v>
      </c>
      <c r="R1405" s="209" t="s">
        <v>201</v>
      </c>
      <c r="S1405" s="209" t="s">
        <v>202</v>
      </c>
      <c r="T1405" s="209" t="s">
        <v>203</v>
      </c>
      <c r="U1405" s="209" t="s">
        <v>201</v>
      </c>
      <c r="V1405" s="209" t="s">
        <v>179</v>
      </c>
      <c r="W1405" s="209" t="s">
        <v>179</v>
      </c>
      <c r="X1405" s="209" t="s">
        <v>180</v>
      </c>
      <c r="Y1405" s="209" t="s">
        <v>180</v>
      </c>
      <c r="Z1405" s="209" t="s">
        <v>2867</v>
      </c>
      <c r="AA1405" s="209" t="s">
        <v>2868</v>
      </c>
      <c r="AB1405" s="209" t="s">
        <v>180</v>
      </c>
      <c r="AC1405" s="209" t="s">
        <v>182</v>
      </c>
      <c r="AD1405" s="209">
        <v>9</v>
      </c>
      <c r="AE1405" s="209">
        <v>2025</v>
      </c>
      <c r="AF1405" s="227">
        <v>45897</v>
      </c>
      <c r="AG1405" s="227">
        <v>45904</v>
      </c>
      <c r="AH1405" s="227">
        <v>45904</v>
      </c>
      <c r="AI1405" s="228">
        <v>426816</v>
      </c>
      <c r="AJ1405" s="228">
        <v>52</v>
      </c>
      <c r="AK1405" s="228">
        <v>426816</v>
      </c>
      <c r="AL1405" s="228">
        <v>52</v>
      </c>
      <c r="AM1405" s="228">
        <v>0</v>
      </c>
      <c r="AN1405" s="228">
        <v>0</v>
      </c>
      <c r="AO1405" s="229">
        <v>36</v>
      </c>
      <c r="AP1405" s="231">
        <v>9</v>
      </c>
      <c r="AQ1405" s="231">
        <v>2025</v>
      </c>
      <c r="AR1405" s="231" t="str">
        <f t="shared" si="204"/>
        <v>09/2025</v>
      </c>
      <c r="AS1405" s="231">
        <f t="shared" si="205"/>
        <v>46.6</v>
      </c>
      <c r="AT1405" s="239">
        <f>IF(G1405="CERVECERIA Y MALTERIA",(AS1405*AK1405/1000000)*(1-VLOOKUP(N1405,FCST!D:I,6,FALSE)),0)</f>
        <v>19.889625600000002</v>
      </c>
      <c r="AU1405" s="232">
        <v>5.0000000000000001E-3</v>
      </c>
      <c r="AV1405" s="239">
        <f t="shared" si="206"/>
        <v>19.989073728000001</v>
      </c>
      <c r="AW1405" s="239">
        <f>(AS1405*AK1405/1000000)*(VLOOKUP(N1405,FCST!D:I,6,FALSE))</f>
        <v>0</v>
      </c>
      <c r="AX1405" s="239">
        <f t="shared" si="207"/>
        <v>0</v>
      </c>
      <c r="AY1405" s="239">
        <f>IF($G1405="CERVECERIA Y MALTERIA.",($AS1405*$AK1405/1000000)*(1-VLOOKUP($N1405,FCST!D:I,6,FALSE)),0)</f>
        <v>0</v>
      </c>
      <c r="AZ1405" s="239">
        <f t="shared" si="208"/>
        <v>0</v>
      </c>
    </row>
    <row r="1406" spans="1:52" x14ac:dyDescent="0.25">
      <c r="A1406" s="209">
        <v>1138348</v>
      </c>
      <c r="B1406" s="209">
        <v>50</v>
      </c>
      <c r="C1406" s="209" t="s">
        <v>3048</v>
      </c>
      <c r="D1406" s="209">
        <v>10</v>
      </c>
      <c r="E1406" s="209">
        <v>10000002</v>
      </c>
      <c r="F1406" s="209">
        <v>20000335</v>
      </c>
      <c r="G1406" s="209" t="s">
        <v>105</v>
      </c>
      <c r="H1406" s="209">
        <v>20000335</v>
      </c>
      <c r="I1406" s="209">
        <v>2</v>
      </c>
      <c r="J1406" s="209" t="s">
        <v>169</v>
      </c>
      <c r="K1406" s="209" t="s">
        <v>3049</v>
      </c>
      <c r="L1406" s="209" t="s">
        <v>2610</v>
      </c>
      <c r="M1406" s="209" t="s">
        <v>199</v>
      </c>
      <c r="N1406" s="209">
        <v>50034616</v>
      </c>
      <c r="O1406" s="209" t="s">
        <v>191</v>
      </c>
      <c r="P1406" s="209">
        <v>5121</v>
      </c>
      <c r="Q1406" s="209" t="s">
        <v>200</v>
      </c>
      <c r="R1406" s="209" t="s">
        <v>201</v>
      </c>
      <c r="S1406" s="209" t="s">
        <v>202</v>
      </c>
      <c r="T1406" s="209" t="s">
        <v>203</v>
      </c>
      <c r="U1406" s="209" t="s">
        <v>201</v>
      </c>
      <c r="V1406" s="209" t="s">
        <v>179</v>
      </c>
      <c r="W1406" s="209" t="s">
        <v>179</v>
      </c>
      <c r="X1406" s="209" t="s">
        <v>180</v>
      </c>
      <c r="Y1406" s="209" t="s">
        <v>180</v>
      </c>
      <c r="Z1406" s="209" t="s">
        <v>2900</v>
      </c>
      <c r="AA1406" s="209" t="s">
        <v>2901</v>
      </c>
      <c r="AB1406" s="209" t="s">
        <v>180</v>
      </c>
      <c r="AC1406" s="209" t="s">
        <v>182</v>
      </c>
      <c r="AD1406" s="209">
        <v>9</v>
      </c>
      <c r="AE1406" s="209">
        <v>2025</v>
      </c>
      <c r="AF1406" s="227">
        <v>45904</v>
      </c>
      <c r="AG1406" s="227">
        <v>45908</v>
      </c>
      <c r="AH1406" s="227">
        <v>45908</v>
      </c>
      <c r="AI1406" s="228">
        <v>426816</v>
      </c>
      <c r="AJ1406" s="228">
        <v>52</v>
      </c>
      <c r="AK1406" s="228">
        <v>426816</v>
      </c>
      <c r="AL1406" s="228">
        <v>52</v>
      </c>
      <c r="AM1406" s="228">
        <v>0</v>
      </c>
      <c r="AN1406" s="228">
        <v>0</v>
      </c>
      <c r="AO1406" s="229">
        <v>37</v>
      </c>
      <c r="AP1406" s="231">
        <v>9</v>
      </c>
      <c r="AQ1406" s="231">
        <v>2025</v>
      </c>
      <c r="AR1406" s="231" t="str">
        <f t="shared" si="204"/>
        <v>09/2025</v>
      </c>
      <c r="AS1406" s="231">
        <f t="shared" si="205"/>
        <v>46.6</v>
      </c>
      <c r="AT1406" s="239">
        <f>IF(G1406="CERVECERIA Y MALTERIA",(AS1406*AK1406/1000000)*(1-VLOOKUP(N1406,FCST!D:I,6,FALSE)),0)</f>
        <v>19.889625600000002</v>
      </c>
      <c r="AU1406" s="232">
        <v>5.0000000000000001E-3</v>
      </c>
      <c r="AV1406" s="239">
        <f t="shared" si="206"/>
        <v>19.989073728000001</v>
      </c>
      <c r="AW1406" s="239">
        <f>(AS1406*AK1406/1000000)*(VLOOKUP(N1406,FCST!D:I,6,FALSE))</f>
        <v>0</v>
      </c>
      <c r="AX1406" s="239">
        <f t="shared" si="207"/>
        <v>0</v>
      </c>
      <c r="AY1406" s="239">
        <f>IF($G1406="CERVECERIA Y MALTERIA.",($AS1406*$AK1406/1000000)*(1-VLOOKUP($N1406,FCST!D:I,6,FALSE)),0)</f>
        <v>0</v>
      </c>
      <c r="AZ1406" s="239">
        <f t="shared" si="208"/>
        <v>0</v>
      </c>
    </row>
    <row r="1407" spans="1:52" x14ac:dyDescent="0.25">
      <c r="A1407" s="209">
        <v>1136933</v>
      </c>
      <c r="B1407" s="209">
        <v>70</v>
      </c>
      <c r="C1407" s="209" t="s">
        <v>3050</v>
      </c>
      <c r="D1407" s="209">
        <v>10</v>
      </c>
      <c r="E1407" s="209">
        <v>10000002</v>
      </c>
      <c r="F1407" s="209">
        <v>20000335</v>
      </c>
      <c r="G1407" s="209" t="s">
        <v>105</v>
      </c>
      <c r="H1407" s="209">
        <v>20000335</v>
      </c>
      <c r="I1407" s="209">
        <v>2</v>
      </c>
      <c r="J1407" s="209" t="s">
        <v>169</v>
      </c>
      <c r="K1407" s="209" t="s">
        <v>3051</v>
      </c>
      <c r="L1407" s="209" t="s">
        <v>2610</v>
      </c>
      <c r="M1407" s="209" t="s">
        <v>199</v>
      </c>
      <c r="N1407" s="209">
        <v>50035184</v>
      </c>
      <c r="O1407" s="209" t="s">
        <v>672</v>
      </c>
      <c r="P1407" s="209">
        <v>5121</v>
      </c>
      <c r="Q1407" s="209" t="s">
        <v>200</v>
      </c>
      <c r="R1407" s="209" t="s">
        <v>201</v>
      </c>
      <c r="S1407" s="209" t="s">
        <v>202</v>
      </c>
      <c r="T1407" s="209" t="s">
        <v>203</v>
      </c>
      <c r="U1407" s="209" t="s">
        <v>201</v>
      </c>
      <c r="V1407" s="209" t="s">
        <v>179</v>
      </c>
      <c r="W1407" s="209" t="s">
        <v>179</v>
      </c>
      <c r="X1407" s="209" t="s">
        <v>180</v>
      </c>
      <c r="Y1407" s="209" t="s">
        <v>180</v>
      </c>
      <c r="Z1407" s="209" t="s">
        <v>2966</v>
      </c>
      <c r="AA1407" s="209" t="s">
        <v>2967</v>
      </c>
      <c r="AB1407" s="209" t="s">
        <v>180</v>
      </c>
      <c r="AC1407" s="209" t="s">
        <v>182</v>
      </c>
      <c r="AD1407" s="209">
        <v>9</v>
      </c>
      <c r="AE1407" s="209">
        <v>2025</v>
      </c>
      <c r="AF1407" s="227">
        <v>45897</v>
      </c>
      <c r="AG1407" s="227">
        <v>45902</v>
      </c>
      <c r="AH1407" s="227">
        <v>45902</v>
      </c>
      <c r="AI1407" s="228">
        <v>977184</v>
      </c>
      <c r="AJ1407" s="228">
        <v>52</v>
      </c>
      <c r="AK1407" s="228">
        <v>977184</v>
      </c>
      <c r="AL1407" s="228">
        <v>52</v>
      </c>
      <c r="AM1407" s="228">
        <v>0</v>
      </c>
      <c r="AN1407" s="228">
        <v>0</v>
      </c>
      <c r="AO1407" s="229">
        <v>36</v>
      </c>
      <c r="AP1407" s="231">
        <v>9</v>
      </c>
      <c r="AQ1407" s="231">
        <v>2025</v>
      </c>
      <c r="AR1407" s="231" t="str">
        <f t="shared" si="204"/>
        <v>09/2025</v>
      </c>
      <c r="AS1407" s="231">
        <f t="shared" si="205"/>
        <v>19.5</v>
      </c>
      <c r="AT1407" s="239">
        <f>IF(G1407="CERVECERIA Y MALTERIA",(AS1407*AK1407/1000000)*(1-VLOOKUP(N1407,FCST!D:I,6,FALSE)),0)</f>
        <v>19.055088000000001</v>
      </c>
      <c r="AU1407" s="232">
        <v>5.0000000000000001E-3</v>
      </c>
      <c r="AV1407" s="239">
        <f t="shared" si="206"/>
        <v>19.15036344</v>
      </c>
      <c r="AW1407" s="239">
        <f>(AS1407*AK1407/1000000)*(VLOOKUP(N1407,FCST!D:I,6,FALSE))</f>
        <v>0</v>
      </c>
      <c r="AX1407" s="239">
        <f t="shared" si="207"/>
        <v>0</v>
      </c>
      <c r="AY1407" s="239">
        <f>IF($G1407="CERVECERIA Y MALTERIA.",($AS1407*$AK1407/1000000)*(1-VLOOKUP($N1407,FCST!D:I,6,FALSE)),0)</f>
        <v>0</v>
      </c>
      <c r="AZ1407" s="239">
        <f t="shared" si="208"/>
        <v>0</v>
      </c>
    </row>
    <row r="1408" spans="1:52" x14ac:dyDescent="0.25">
      <c r="A1408" s="209">
        <v>1136933</v>
      </c>
      <c r="B1408" s="209">
        <v>40</v>
      </c>
      <c r="C1408" s="209" t="s">
        <v>3052</v>
      </c>
      <c r="D1408" s="209">
        <v>10</v>
      </c>
      <c r="E1408" s="209">
        <v>10000002</v>
      </c>
      <c r="F1408" s="209">
        <v>20000335</v>
      </c>
      <c r="G1408" s="209" t="s">
        <v>105</v>
      </c>
      <c r="H1408" s="209">
        <v>20000335</v>
      </c>
      <c r="I1408" s="209">
        <v>2</v>
      </c>
      <c r="J1408" s="209" t="s">
        <v>169</v>
      </c>
      <c r="K1408" s="209" t="s">
        <v>3053</v>
      </c>
      <c r="L1408" s="209" t="s">
        <v>2610</v>
      </c>
      <c r="M1408" s="209" t="s">
        <v>199</v>
      </c>
      <c r="N1408" s="209">
        <v>50035183</v>
      </c>
      <c r="O1408" s="209" t="s">
        <v>215</v>
      </c>
      <c r="P1408" s="209">
        <v>5121</v>
      </c>
      <c r="Q1408" s="209" t="s">
        <v>200</v>
      </c>
      <c r="R1408" s="209" t="s">
        <v>201</v>
      </c>
      <c r="S1408" s="209" t="s">
        <v>202</v>
      </c>
      <c r="T1408" s="209" t="s">
        <v>203</v>
      </c>
      <c r="U1408" s="209" t="s">
        <v>201</v>
      </c>
      <c r="V1408" s="209" t="s">
        <v>179</v>
      </c>
      <c r="W1408" s="209" t="s">
        <v>179</v>
      </c>
      <c r="X1408" s="209" t="s">
        <v>180</v>
      </c>
      <c r="Y1408" s="209" t="s">
        <v>180</v>
      </c>
      <c r="Z1408" s="209" t="s">
        <v>2867</v>
      </c>
      <c r="AA1408" s="209" t="s">
        <v>2868</v>
      </c>
      <c r="AB1408" s="209" t="s">
        <v>180</v>
      </c>
      <c r="AC1408" s="209" t="s">
        <v>182</v>
      </c>
      <c r="AD1408" s="209">
        <v>9</v>
      </c>
      <c r="AE1408" s="209">
        <v>2025</v>
      </c>
      <c r="AF1408" s="227">
        <v>45897</v>
      </c>
      <c r="AG1408" s="227">
        <v>45903</v>
      </c>
      <c r="AH1408" s="227">
        <v>45903</v>
      </c>
      <c r="AI1408" s="228">
        <v>426816</v>
      </c>
      <c r="AJ1408" s="228">
        <v>52</v>
      </c>
      <c r="AK1408" s="228">
        <v>426816</v>
      </c>
      <c r="AL1408" s="228">
        <v>52</v>
      </c>
      <c r="AM1408" s="228">
        <v>0</v>
      </c>
      <c r="AN1408" s="228">
        <v>0</v>
      </c>
      <c r="AO1408" s="229">
        <v>36</v>
      </c>
      <c r="AP1408" s="231">
        <v>9</v>
      </c>
      <c r="AQ1408" s="231">
        <v>2025</v>
      </c>
      <c r="AR1408" s="231" t="str">
        <f t="shared" si="204"/>
        <v>09/2025</v>
      </c>
      <c r="AS1408" s="231">
        <f t="shared" si="205"/>
        <v>46.6</v>
      </c>
      <c r="AT1408" s="239">
        <f>IF(G1408="CERVECERIA Y MALTERIA",(AS1408*AK1408/1000000)*(1-VLOOKUP(N1408,FCST!D:I,6,FALSE)),0)</f>
        <v>19.889625600000002</v>
      </c>
      <c r="AU1408" s="232">
        <v>5.0000000000000001E-3</v>
      </c>
      <c r="AV1408" s="239">
        <f t="shared" si="206"/>
        <v>19.989073728000001</v>
      </c>
      <c r="AW1408" s="239">
        <f>(AS1408*AK1408/1000000)*(VLOOKUP(N1408,FCST!D:I,6,FALSE))</f>
        <v>0</v>
      </c>
      <c r="AX1408" s="239">
        <f t="shared" si="207"/>
        <v>0</v>
      </c>
      <c r="AY1408" s="239">
        <f>IF($G1408="CERVECERIA Y MALTERIA.",($AS1408*$AK1408/1000000)*(1-VLOOKUP($N1408,FCST!D:I,6,FALSE)),0)</f>
        <v>0</v>
      </c>
      <c r="AZ1408" s="239">
        <f t="shared" si="208"/>
        <v>0</v>
      </c>
    </row>
    <row r="1409" spans="1:52" x14ac:dyDescent="0.25">
      <c r="A1409" s="209">
        <v>1137360</v>
      </c>
      <c r="B1409" s="209">
        <v>30</v>
      </c>
      <c r="C1409" s="209" t="s">
        <v>3054</v>
      </c>
      <c r="D1409" s="209">
        <v>10</v>
      </c>
      <c r="E1409" s="209">
        <v>10000002</v>
      </c>
      <c r="F1409" s="209">
        <v>20000337</v>
      </c>
      <c r="G1409" s="209" t="s">
        <v>105</v>
      </c>
      <c r="H1409" s="209">
        <v>20000337</v>
      </c>
      <c r="I1409" s="209">
        <v>2</v>
      </c>
      <c r="J1409" s="209" t="s">
        <v>169</v>
      </c>
      <c r="K1409" s="209" t="s">
        <v>3055</v>
      </c>
      <c r="L1409" s="209" t="s">
        <v>2610</v>
      </c>
      <c r="M1409" s="209" t="s">
        <v>199</v>
      </c>
      <c r="N1409" s="209">
        <v>50034616</v>
      </c>
      <c r="O1409" s="209" t="s">
        <v>191</v>
      </c>
      <c r="P1409" s="209">
        <v>5121</v>
      </c>
      <c r="Q1409" s="209" t="s">
        <v>200</v>
      </c>
      <c r="R1409" s="209" t="s">
        <v>201</v>
      </c>
      <c r="S1409" s="209" t="s">
        <v>202</v>
      </c>
      <c r="T1409" s="209" t="s">
        <v>203</v>
      </c>
      <c r="U1409" s="209" t="s">
        <v>201</v>
      </c>
      <c r="V1409" s="209" t="s">
        <v>179</v>
      </c>
      <c r="W1409" s="209" t="s">
        <v>179</v>
      </c>
      <c r="X1409" s="209" t="s">
        <v>180</v>
      </c>
      <c r="Y1409" s="209" t="s">
        <v>180</v>
      </c>
      <c r="Z1409" s="209" t="s">
        <v>2904</v>
      </c>
      <c r="AA1409" s="209" t="s">
        <v>2905</v>
      </c>
      <c r="AB1409" s="209" t="s">
        <v>180</v>
      </c>
      <c r="AC1409" s="209" t="s">
        <v>182</v>
      </c>
      <c r="AD1409" s="209">
        <v>9</v>
      </c>
      <c r="AE1409" s="209">
        <v>2025</v>
      </c>
      <c r="AF1409" s="227">
        <v>45901</v>
      </c>
      <c r="AG1409" s="227">
        <v>45903</v>
      </c>
      <c r="AH1409" s="227">
        <v>45903</v>
      </c>
      <c r="AI1409" s="228">
        <v>426816</v>
      </c>
      <c r="AJ1409" s="228">
        <v>52</v>
      </c>
      <c r="AK1409" s="228">
        <v>426816</v>
      </c>
      <c r="AL1409" s="228">
        <v>52</v>
      </c>
      <c r="AM1409" s="228">
        <v>0</v>
      </c>
      <c r="AN1409" s="228">
        <v>0</v>
      </c>
      <c r="AO1409" s="229">
        <v>36</v>
      </c>
      <c r="AP1409" s="231">
        <v>9</v>
      </c>
      <c r="AQ1409" s="231">
        <v>2025</v>
      </c>
      <c r="AR1409" s="231" t="str">
        <f t="shared" si="204"/>
        <v>09/2025</v>
      </c>
      <c r="AS1409" s="231">
        <f t="shared" si="205"/>
        <v>46.6</v>
      </c>
      <c r="AT1409" s="239">
        <f>IF(G1409="CERVECERIA Y MALTERIA",(AS1409*AK1409/1000000)*(1-VLOOKUP(N1409,FCST!D:I,6,FALSE)),0)</f>
        <v>19.889625600000002</v>
      </c>
      <c r="AU1409" s="232">
        <v>5.0000000000000001E-3</v>
      </c>
      <c r="AV1409" s="239">
        <f t="shared" si="206"/>
        <v>19.989073728000001</v>
      </c>
      <c r="AW1409" s="239">
        <f>(AS1409*AK1409/1000000)*(VLOOKUP(N1409,FCST!D:I,6,FALSE))</f>
        <v>0</v>
      </c>
      <c r="AX1409" s="239">
        <f t="shared" si="207"/>
        <v>0</v>
      </c>
      <c r="AY1409" s="239">
        <f>IF($G1409="CERVECERIA Y MALTERIA.",($AS1409*$AK1409/1000000)*(1-VLOOKUP($N1409,FCST!D:I,6,FALSE)),0)</f>
        <v>0</v>
      </c>
      <c r="AZ1409" s="239">
        <f t="shared" si="208"/>
        <v>0</v>
      </c>
    </row>
    <row r="1410" spans="1:52" x14ac:dyDescent="0.25">
      <c r="A1410" s="209">
        <v>1136933</v>
      </c>
      <c r="B1410" s="209">
        <v>80</v>
      </c>
      <c r="C1410" s="209" t="s">
        <v>3056</v>
      </c>
      <c r="D1410" s="209">
        <v>10</v>
      </c>
      <c r="E1410" s="209">
        <v>10000002</v>
      </c>
      <c r="F1410" s="209">
        <v>20000335</v>
      </c>
      <c r="G1410" s="209" t="s">
        <v>105</v>
      </c>
      <c r="H1410" s="209">
        <v>20000335</v>
      </c>
      <c r="I1410" s="209">
        <v>2</v>
      </c>
      <c r="J1410" s="209" t="s">
        <v>169</v>
      </c>
      <c r="K1410" s="209" t="s">
        <v>3057</v>
      </c>
      <c r="L1410" s="209" t="s">
        <v>2610</v>
      </c>
      <c r="M1410" s="209" t="s">
        <v>199</v>
      </c>
      <c r="N1410" s="209">
        <v>50035184</v>
      </c>
      <c r="O1410" s="209" t="s">
        <v>672</v>
      </c>
      <c r="P1410" s="209">
        <v>5121</v>
      </c>
      <c r="Q1410" s="209" t="s">
        <v>200</v>
      </c>
      <c r="R1410" s="209" t="s">
        <v>201</v>
      </c>
      <c r="S1410" s="209" t="s">
        <v>202</v>
      </c>
      <c r="T1410" s="209" t="s">
        <v>203</v>
      </c>
      <c r="U1410" s="209" t="s">
        <v>201</v>
      </c>
      <c r="V1410" s="209" t="s">
        <v>179</v>
      </c>
      <c r="W1410" s="209" t="s">
        <v>179</v>
      </c>
      <c r="X1410" s="209" t="s">
        <v>180</v>
      </c>
      <c r="Y1410" s="209" t="s">
        <v>180</v>
      </c>
      <c r="Z1410" s="209" t="s">
        <v>2966</v>
      </c>
      <c r="AA1410" s="209" t="s">
        <v>2967</v>
      </c>
      <c r="AB1410" s="209" t="s">
        <v>180</v>
      </c>
      <c r="AC1410" s="209" t="s">
        <v>182</v>
      </c>
      <c r="AD1410" s="209">
        <v>9</v>
      </c>
      <c r="AE1410" s="209">
        <v>2025</v>
      </c>
      <c r="AF1410" s="227">
        <v>45897</v>
      </c>
      <c r="AG1410" s="227">
        <v>45903</v>
      </c>
      <c r="AH1410" s="227">
        <v>45903</v>
      </c>
      <c r="AI1410" s="228">
        <v>977184</v>
      </c>
      <c r="AJ1410" s="228">
        <v>52</v>
      </c>
      <c r="AK1410" s="228">
        <v>977184</v>
      </c>
      <c r="AL1410" s="228">
        <v>52</v>
      </c>
      <c r="AM1410" s="228">
        <v>0</v>
      </c>
      <c r="AN1410" s="228">
        <v>0</v>
      </c>
      <c r="AO1410" s="229">
        <v>36</v>
      </c>
      <c r="AP1410" s="231">
        <v>9</v>
      </c>
      <c r="AQ1410" s="231">
        <v>2025</v>
      </c>
      <c r="AR1410" s="231" t="str">
        <f t="shared" si="204"/>
        <v>09/2025</v>
      </c>
      <c r="AS1410" s="231">
        <f t="shared" si="205"/>
        <v>19.5</v>
      </c>
      <c r="AT1410" s="239">
        <f>IF(G1410="CERVECERIA Y MALTERIA",(AS1410*AK1410/1000000)*(1-VLOOKUP(N1410,FCST!D:I,6,FALSE)),0)</f>
        <v>19.055088000000001</v>
      </c>
      <c r="AU1410" s="232">
        <v>5.0000000000000001E-3</v>
      </c>
      <c r="AV1410" s="239">
        <f t="shared" si="206"/>
        <v>19.15036344</v>
      </c>
      <c r="AW1410" s="239">
        <f>(AS1410*AK1410/1000000)*(VLOOKUP(N1410,FCST!D:I,6,FALSE))</f>
        <v>0</v>
      </c>
      <c r="AX1410" s="239">
        <f t="shared" si="207"/>
        <v>0</v>
      </c>
      <c r="AY1410" s="239">
        <f>IF($G1410="CERVECERIA Y MALTERIA.",($AS1410*$AK1410/1000000)*(1-VLOOKUP($N1410,FCST!D:I,6,FALSE)),0)</f>
        <v>0</v>
      </c>
      <c r="AZ1410" s="239">
        <f t="shared" si="208"/>
        <v>0</v>
      </c>
    </row>
    <row r="1411" spans="1:52" x14ac:dyDescent="0.25">
      <c r="A1411" s="209">
        <v>1138389</v>
      </c>
      <c r="B1411" s="209">
        <v>40</v>
      </c>
      <c r="C1411" s="209" t="s">
        <v>3058</v>
      </c>
      <c r="D1411" s="209">
        <v>10</v>
      </c>
      <c r="E1411" s="209">
        <v>10000002</v>
      </c>
      <c r="F1411" s="209">
        <v>20000339</v>
      </c>
      <c r="G1411" s="209" t="s">
        <v>105</v>
      </c>
      <c r="H1411" s="209">
        <v>20000339</v>
      </c>
      <c r="I1411" s="209">
        <v>2</v>
      </c>
      <c r="J1411" s="209" t="s">
        <v>169</v>
      </c>
      <c r="K1411" s="209" t="s">
        <v>3059</v>
      </c>
      <c r="L1411" s="209" t="s">
        <v>2610</v>
      </c>
      <c r="M1411" s="209" t="s">
        <v>227</v>
      </c>
      <c r="N1411" s="209">
        <v>50036287</v>
      </c>
      <c r="O1411" s="209" t="s">
        <v>2191</v>
      </c>
      <c r="P1411" s="209">
        <v>5121</v>
      </c>
      <c r="Q1411" s="209" t="s">
        <v>228</v>
      </c>
      <c r="R1411" s="209" t="s">
        <v>229</v>
      </c>
      <c r="S1411" s="209" t="s">
        <v>230</v>
      </c>
      <c r="T1411" s="209" t="s">
        <v>231</v>
      </c>
      <c r="U1411" s="209" t="s">
        <v>232</v>
      </c>
      <c r="V1411" s="209" t="s">
        <v>179</v>
      </c>
      <c r="W1411" s="209" t="s">
        <v>179</v>
      </c>
      <c r="X1411" s="209" t="s">
        <v>180</v>
      </c>
      <c r="Y1411" s="209" t="s">
        <v>180</v>
      </c>
      <c r="Z1411" s="209" t="s">
        <v>3060</v>
      </c>
      <c r="AA1411" s="209" t="s">
        <v>3061</v>
      </c>
      <c r="AB1411" s="209" t="s">
        <v>180</v>
      </c>
      <c r="AC1411" s="209" t="s">
        <v>182</v>
      </c>
      <c r="AD1411" s="209">
        <v>9</v>
      </c>
      <c r="AE1411" s="209">
        <v>2025</v>
      </c>
      <c r="AF1411" s="227">
        <v>45904</v>
      </c>
      <c r="AG1411" s="227">
        <v>45915</v>
      </c>
      <c r="AH1411" s="227">
        <v>45915</v>
      </c>
      <c r="AI1411" s="228">
        <v>363168</v>
      </c>
      <c r="AJ1411" s="228">
        <v>52</v>
      </c>
      <c r="AK1411" s="228">
        <v>363168</v>
      </c>
      <c r="AL1411" s="228">
        <v>52</v>
      </c>
      <c r="AM1411" s="228">
        <v>0</v>
      </c>
      <c r="AN1411" s="228">
        <v>0</v>
      </c>
      <c r="AO1411" s="229">
        <v>36</v>
      </c>
      <c r="AP1411" s="231">
        <v>9</v>
      </c>
      <c r="AQ1411" s="231">
        <v>2025</v>
      </c>
      <c r="AR1411" s="231" t="str">
        <f t="shared" si="204"/>
        <v>09/2025</v>
      </c>
      <c r="AS1411" s="231">
        <f t="shared" si="205"/>
        <v>52</v>
      </c>
      <c r="AT1411" s="239">
        <f>IF(G1411="CERVECERIA Y MALTERIA",(AS1411*AK1411/1000000)*(1-VLOOKUP(N1411,FCST!D:I,6,FALSE)),0)</f>
        <v>18.884736</v>
      </c>
      <c r="AU1411" s="232">
        <v>5.0000000000000001E-3</v>
      </c>
      <c r="AV1411" s="239">
        <f t="shared" si="206"/>
        <v>18.979159679999999</v>
      </c>
      <c r="AW1411" s="239">
        <f>(AS1411*AK1411/1000000)*(VLOOKUP(N1411,FCST!D:I,6,FALSE))</f>
        <v>0</v>
      </c>
      <c r="AX1411" s="239">
        <f t="shared" si="207"/>
        <v>0</v>
      </c>
      <c r="AY1411" s="239">
        <f>IF($G1411="CERVECERIA Y MALTERIA.",($AS1411*$AK1411/1000000)*(1-VLOOKUP($N1411,FCST!D:I,6,FALSE)),0)</f>
        <v>0</v>
      </c>
      <c r="AZ1411" s="239">
        <f t="shared" si="208"/>
        <v>0</v>
      </c>
    </row>
    <row r="1412" spans="1:52" x14ac:dyDescent="0.25">
      <c r="A1412" s="209">
        <v>1138389</v>
      </c>
      <c r="B1412" s="209">
        <v>30</v>
      </c>
      <c r="C1412" s="209" t="s">
        <v>3062</v>
      </c>
      <c r="D1412" s="209">
        <v>10</v>
      </c>
      <c r="E1412" s="209">
        <v>10000002</v>
      </c>
      <c r="F1412" s="209">
        <v>20000339</v>
      </c>
      <c r="G1412" s="209" t="s">
        <v>105</v>
      </c>
      <c r="H1412" s="209">
        <v>20000339</v>
      </c>
      <c r="I1412" s="209">
        <v>2</v>
      </c>
      <c r="J1412" s="209" t="s">
        <v>169</v>
      </c>
      <c r="K1412" s="209" t="s">
        <v>3063</v>
      </c>
      <c r="L1412" s="209" t="s">
        <v>2610</v>
      </c>
      <c r="M1412" s="209" t="s">
        <v>227</v>
      </c>
      <c r="N1412" s="209">
        <v>50036287</v>
      </c>
      <c r="O1412" s="209" t="s">
        <v>2191</v>
      </c>
      <c r="P1412" s="209">
        <v>5121</v>
      </c>
      <c r="Q1412" s="209" t="s">
        <v>228</v>
      </c>
      <c r="R1412" s="209" t="s">
        <v>229</v>
      </c>
      <c r="S1412" s="209" t="s">
        <v>230</v>
      </c>
      <c r="T1412" s="209" t="s">
        <v>231</v>
      </c>
      <c r="U1412" s="209" t="s">
        <v>232</v>
      </c>
      <c r="V1412" s="209" t="s">
        <v>179</v>
      </c>
      <c r="W1412" s="209" t="s">
        <v>179</v>
      </c>
      <c r="X1412" s="209" t="s">
        <v>180</v>
      </c>
      <c r="Y1412" s="209" t="s">
        <v>180</v>
      </c>
      <c r="Z1412" s="209" t="s">
        <v>3064</v>
      </c>
      <c r="AA1412" s="209" t="s">
        <v>3065</v>
      </c>
      <c r="AB1412" s="209" t="s">
        <v>180</v>
      </c>
      <c r="AC1412" s="209" t="s">
        <v>182</v>
      </c>
      <c r="AD1412" s="209">
        <v>9</v>
      </c>
      <c r="AE1412" s="209">
        <v>2025</v>
      </c>
      <c r="AF1412" s="227">
        <v>45904</v>
      </c>
      <c r="AG1412" s="227">
        <v>45912</v>
      </c>
      <c r="AH1412" s="227">
        <v>45912</v>
      </c>
      <c r="AI1412" s="228">
        <v>363168</v>
      </c>
      <c r="AJ1412" s="228">
        <v>52</v>
      </c>
      <c r="AK1412" s="228">
        <v>363168</v>
      </c>
      <c r="AL1412" s="228">
        <v>52</v>
      </c>
      <c r="AM1412" s="228">
        <v>0</v>
      </c>
      <c r="AN1412" s="228">
        <v>0</v>
      </c>
      <c r="AO1412" s="229">
        <v>36</v>
      </c>
      <c r="AP1412" s="231">
        <v>9</v>
      </c>
      <c r="AQ1412" s="231">
        <v>2025</v>
      </c>
      <c r="AR1412" s="231" t="str">
        <f t="shared" si="204"/>
        <v>09/2025</v>
      </c>
      <c r="AS1412" s="231">
        <f t="shared" si="205"/>
        <v>52</v>
      </c>
      <c r="AT1412" s="239">
        <f>IF(G1412="CERVECERIA Y MALTERIA",(AS1412*AK1412/1000000)*(1-VLOOKUP(N1412,FCST!D:I,6,FALSE)),0)</f>
        <v>18.884736</v>
      </c>
      <c r="AU1412" s="232">
        <v>5.0000000000000001E-3</v>
      </c>
      <c r="AV1412" s="239">
        <f t="shared" si="206"/>
        <v>18.979159679999999</v>
      </c>
      <c r="AW1412" s="239">
        <f>(AS1412*AK1412/1000000)*(VLOOKUP(N1412,FCST!D:I,6,FALSE))</f>
        <v>0</v>
      </c>
      <c r="AX1412" s="239">
        <f t="shared" si="207"/>
        <v>0</v>
      </c>
      <c r="AY1412" s="239">
        <f>IF($G1412="CERVECERIA Y MALTERIA.",($AS1412*$AK1412/1000000)*(1-VLOOKUP($N1412,FCST!D:I,6,FALSE)),0)</f>
        <v>0</v>
      </c>
      <c r="AZ1412" s="239">
        <f t="shared" si="208"/>
        <v>0</v>
      </c>
    </row>
    <row r="1413" spans="1:52" x14ac:dyDescent="0.25">
      <c r="A1413" s="209">
        <v>1139840</v>
      </c>
      <c r="B1413" s="209">
        <v>30</v>
      </c>
      <c r="C1413" s="209" t="s">
        <v>3066</v>
      </c>
      <c r="D1413" s="209">
        <v>10</v>
      </c>
      <c r="E1413" s="209">
        <v>10000002</v>
      </c>
      <c r="F1413" s="209">
        <v>20000335</v>
      </c>
      <c r="G1413" s="209" t="s">
        <v>105</v>
      </c>
      <c r="H1413" s="209">
        <v>20000335</v>
      </c>
      <c r="I1413" s="209">
        <v>2</v>
      </c>
      <c r="J1413" s="209" t="s">
        <v>169</v>
      </c>
      <c r="K1413" s="209" t="s">
        <v>3067</v>
      </c>
      <c r="L1413" s="209" t="s">
        <v>2610</v>
      </c>
      <c r="M1413" s="209" t="s">
        <v>199</v>
      </c>
      <c r="N1413" s="209">
        <v>50034616</v>
      </c>
      <c r="O1413" s="209" t="s">
        <v>191</v>
      </c>
      <c r="P1413" s="209">
        <v>5121</v>
      </c>
      <c r="Q1413" s="209" t="s">
        <v>200</v>
      </c>
      <c r="R1413" s="209" t="s">
        <v>201</v>
      </c>
      <c r="S1413" s="209" t="s">
        <v>202</v>
      </c>
      <c r="T1413" s="209" t="s">
        <v>203</v>
      </c>
      <c r="U1413" s="209" t="s">
        <v>201</v>
      </c>
      <c r="V1413" s="209" t="s">
        <v>179</v>
      </c>
      <c r="W1413" s="209" t="s">
        <v>179</v>
      </c>
      <c r="X1413" s="209" t="s">
        <v>180</v>
      </c>
      <c r="Y1413" s="209" t="s">
        <v>180</v>
      </c>
      <c r="Z1413" s="209" t="s">
        <v>3068</v>
      </c>
      <c r="AA1413" s="209" t="s">
        <v>3069</v>
      </c>
      <c r="AB1413" s="209" t="s">
        <v>180</v>
      </c>
      <c r="AC1413" s="209" t="s">
        <v>182</v>
      </c>
      <c r="AD1413" s="209">
        <v>9</v>
      </c>
      <c r="AE1413" s="209">
        <v>2025</v>
      </c>
      <c r="AF1413" s="227">
        <v>45912</v>
      </c>
      <c r="AG1413" s="227">
        <v>45916</v>
      </c>
      <c r="AH1413" s="227">
        <v>45916</v>
      </c>
      <c r="AI1413" s="228">
        <v>426816</v>
      </c>
      <c r="AJ1413" s="228">
        <v>52</v>
      </c>
      <c r="AK1413" s="228">
        <v>426816</v>
      </c>
      <c r="AL1413" s="228">
        <v>52</v>
      </c>
      <c r="AM1413" s="228">
        <v>0</v>
      </c>
      <c r="AN1413" s="228">
        <v>0</v>
      </c>
      <c r="AO1413" s="229">
        <v>38</v>
      </c>
      <c r="AP1413" s="231">
        <v>9</v>
      </c>
      <c r="AQ1413" s="231">
        <v>2025</v>
      </c>
      <c r="AR1413" s="231" t="str">
        <f t="shared" si="204"/>
        <v>09/2025</v>
      </c>
      <c r="AS1413" s="231">
        <f t="shared" si="205"/>
        <v>46.6</v>
      </c>
      <c r="AT1413" s="239">
        <f>IF(G1413="CERVECERIA Y MALTERIA",(AS1413*AK1413/1000000)*(1-VLOOKUP(N1413,FCST!D:I,6,FALSE)),0)</f>
        <v>19.889625600000002</v>
      </c>
      <c r="AU1413" s="232">
        <v>5.0000000000000001E-3</v>
      </c>
      <c r="AV1413" s="239">
        <f t="shared" si="206"/>
        <v>19.989073728000001</v>
      </c>
      <c r="AW1413" s="239">
        <f>(AS1413*AK1413/1000000)*(VLOOKUP(N1413,FCST!D:I,6,FALSE))</f>
        <v>0</v>
      </c>
      <c r="AX1413" s="239">
        <f t="shared" si="207"/>
        <v>0</v>
      </c>
      <c r="AY1413" s="239">
        <f>IF($G1413="CERVECERIA Y MALTERIA.",($AS1413*$AK1413/1000000)*(1-VLOOKUP($N1413,FCST!D:I,6,FALSE)),0)</f>
        <v>0</v>
      </c>
      <c r="AZ1413" s="239">
        <f t="shared" si="208"/>
        <v>0</v>
      </c>
    </row>
    <row r="1414" spans="1:52" x14ac:dyDescent="0.25">
      <c r="A1414" s="209">
        <v>1139840</v>
      </c>
      <c r="B1414" s="209">
        <v>20</v>
      </c>
      <c r="C1414" s="209" t="s">
        <v>3070</v>
      </c>
      <c r="D1414" s="209">
        <v>10</v>
      </c>
      <c r="E1414" s="209">
        <v>10000002</v>
      </c>
      <c r="F1414" s="209">
        <v>20000335</v>
      </c>
      <c r="G1414" s="209" t="s">
        <v>105</v>
      </c>
      <c r="H1414" s="209">
        <v>20000335</v>
      </c>
      <c r="I1414" s="209">
        <v>2</v>
      </c>
      <c r="J1414" s="209" t="s">
        <v>169</v>
      </c>
      <c r="K1414" s="209" t="s">
        <v>3071</v>
      </c>
      <c r="L1414" s="209" t="s">
        <v>2610</v>
      </c>
      <c r="M1414" s="209" t="s">
        <v>199</v>
      </c>
      <c r="N1414" s="209">
        <v>50035183</v>
      </c>
      <c r="O1414" s="209" t="s">
        <v>215</v>
      </c>
      <c r="P1414" s="209">
        <v>5121</v>
      </c>
      <c r="Q1414" s="209" t="s">
        <v>200</v>
      </c>
      <c r="R1414" s="209" t="s">
        <v>201</v>
      </c>
      <c r="S1414" s="209" t="s">
        <v>202</v>
      </c>
      <c r="T1414" s="209" t="s">
        <v>203</v>
      </c>
      <c r="U1414" s="209" t="s">
        <v>201</v>
      </c>
      <c r="V1414" s="209" t="s">
        <v>179</v>
      </c>
      <c r="W1414" s="209" t="s">
        <v>179</v>
      </c>
      <c r="X1414" s="209" t="s">
        <v>180</v>
      </c>
      <c r="Y1414" s="209" t="s">
        <v>180</v>
      </c>
      <c r="Z1414" s="209" t="s">
        <v>2867</v>
      </c>
      <c r="AA1414" s="209" t="s">
        <v>2868</v>
      </c>
      <c r="AB1414" s="209" t="s">
        <v>180</v>
      </c>
      <c r="AC1414" s="209" t="s">
        <v>182</v>
      </c>
      <c r="AD1414" s="209">
        <v>9</v>
      </c>
      <c r="AE1414" s="209">
        <v>2025</v>
      </c>
      <c r="AF1414" s="227">
        <v>45912</v>
      </c>
      <c r="AG1414" s="227">
        <v>45915</v>
      </c>
      <c r="AH1414" s="227">
        <v>45915</v>
      </c>
      <c r="AI1414" s="228">
        <v>426816</v>
      </c>
      <c r="AJ1414" s="228">
        <v>52</v>
      </c>
      <c r="AK1414" s="228">
        <v>426816</v>
      </c>
      <c r="AL1414" s="228">
        <v>52</v>
      </c>
      <c r="AM1414" s="228">
        <v>0</v>
      </c>
      <c r="AN1414" s="228">
        <v>0</v>
      </c>
      <c r="AO1414" s="229">
        <v>38</v>
      </c>
      <c r="AP1414" s="231">
        <v>9</v>
      </c>
      <c r="AQ1414" s="231">
        <v>2025</v>
      </c>
      <c r="AR1414" s="231" t="str">
        <f t="shared" si="204"/>
        <v>09/2025</v>
      </c>
      <c r="AS1414" s="231">
        <f t="shared" si="205"/>
        <v>46.6</v>
      </c>
      <c r="AT1414" s="239">
        <f>IF(G1414="CERVECERIA Y MALTERIA",(AS1414*AK1414/1000000)*(1-VLOOKUP(N1414,FCST!D:I,6,FALSE)),0)</f>
        <v>19.889625600000002</v>
      </c>
      <c r="AU1414" s="232">
        <v>5.0000000000000001E-3</v>
      </c>
      <c r="AV1414" s="239">
        <f t="shared" si="206"/>
        <v>19.989073728000001</v>
      </c>
      <c r="AW1414" s="239">
        <f>(AS1414*AK1414/1000000)*(VLOOKUP(N1414,FCST!D:I,6,FALSE))</f>
        <v>0</v>
      </c>
      <c r="AX1414" s="239">
        <f t="shared" si="207"/>
        <v>0</v>
      </c>
      <c r="AY1414" s="239">
        <f>IF($G1414="CERVECERIA Y MALTERIA.",($AS1414*$AK1414/1000000)*(1-VLOOKUP($N1414,FCST!D:I,6,FALSE)),0)</f>
        <v>0</v>
      </c>
      <c r="AZ1414" s="239">
        <f t="shared" si="208"/>
        <v>0</v>
      </c>
    </row>
    <row r="1415" spans="1:52" x14ac:dyDescent="0.25">
      <c r="A1415" s="209">
        <v>1138348</v>
      </c>
      <c r="B1415" s="209">
        <v>10</v>
      </c>
      <c r="C1415" s="209" t="s">
        <v>3072</v>
      </c>
      <c r="D1415" s="209">
        <v>10</v>
      </c>
      <c r="E1415" s="209">
        <v>10000002</v>
      </c>
      <c r="F1415" s="209">
        <v>20000335</v>
      </c>
      <c r="G1415" s="209" t="s">
        <v>105</v>
      </c>
      <c r="H1415" s="209">
        <v>20000335</v>
      </c>
      <c r="I1415" s="209">
        <v>2</v>
      </c>
      <c r="J1415" s="209" t="s">
        <v>169</v>
      </c>
      <c r="K1415" s="209" t="s">
        <v>3073</v>
      </c>
      <c r="L1415" s="209" t="s">
        <v>2610</v>
      </c>
      <c r="M1415" s="209" t="s">
        <v>199</v>
      </c>
      <c r="N1415" s="209">
        <v>50032573</v>
      </c>
      <c r="O1415" s="209" t="s">
        <v>173</v>
      </c>
      <c r="P1415" s="209">
        <v>5121</v>
      </c>
      <c r="Q1415" s="209" t="s">
        <v>200</v>
      </c>
      <c r="R1415" s="209" t="s">
        <v>201</v>
      </c>
      <c r="S1415" s="209" t="s">
        <v>202</v>
      </c>
      <c r="T1415" s="209" t="s">
        <v>203</v>
      </c>
      <c r="U1415" s="209" t="s">
        <v>201</v>
      </c>
      <c r="V1415" s="209" t="s">
        <v>179</v>
      </c>
      <c r="W1415" s="209" t="s">
        <v>179</v>
      </c>
      <c r="X1415" s="209" t="s">
        <v>180</v>
      </c>
      <c r="Y1415" s="209" t="s">
        <v>180</v>
      </c>
      <c r="Z1415" s="209" t="s">
        <v>3074</v>
      </c>
      <c r="AA1415" s="209" t="s">
        <v>3075</v>
      </c>
      <c r="AB1415" s="209" t="s">
        <v>180</v>
      </c>
      <c r="AC1415" s="209" t="s">
        <v>182</v>
      </c>
      <c r="AD1415" s="209">
        <v>9</v>
      </c>
      <c r="AE1415" s="209">
        <v>2025</v>
      </c>
      <c r="AF1415" s="227">
        <v>45904</v>
      </c>
      <c r="AG1415" s="227">
        <v>45910</v>
      </c>
      <c r="AH1415" s="227">
        <v>45910</v>
      </c>
      <c r="AI1415" s="228">
        <v>531648</v>
      </c>
      <c r="AJ1415" s="228">
        <v>52</v>
      </c>
      <c r="AK1415" s="228">
        <v>531648</v>
      </c>
      <c r="AL1415" s="228">
        <v>52</v>
      </c>
      <c r="AM1415" s="228">
        <v>0</v>
      </c>
      <c r="AN1415" s="228">
        <v>0</v>
      </c>
      <c r="AO1415" s="229">
        <v>37</v>
      </c>
      <c r="AP1415" s="231">
        <v>9</v>
      </c>
      <c r="AQ1415" s="231">
        <v>2025</v>
      </c>
      <c r="AR1415" s="231" t="str">
        <f t="shared" si="204"/>
        <v>09/2025</v>
      </c>
      <c r="AS1415" s="231">
        <f t="shared" si="205"/>
        <v>37.200000000000003</v>
      </c>
      <c r="AT1415" s="239">
        <f>IF(G1415="CERVECERIA Y MALTERIA",(AS1415*AK1415/1000000)*(1-VLOOKUP(N1415,FCST!D:I,6,FALSE)),0)</f>
        <v>19.777305600000002</v>
      </c>
      <c r="AU1415" s="232">
        <v>5.0000000000000001E-3</v>
      </c>
      <c r="AV1415" s="239">
        <f t="shared" si="206"/>
        <v>19.876192128</v>
      </c>
      <c r="AW1415" s="239">
        <f>(AS1415*AK1415/1000000)*(VLOOKUP(N1415,FCST!D:I,6,FALSE))</f>
        <v>0</v>
      </c>
      <c r="AX1415" s="239">
        <f t="shared" si="207"/>
        <v>0</v>
      </c>
      <c r="AY1415" s="239">
        <f>IF($G1415="CERVECERIA Y MALTERIA.",($AS1415*$AK1415/1000000)*(1-VLOOKUP($N1415,FCST!D:I,6,FALSE)),0)</f>
        <v>0</v>
      </c>
      <c r="AZ1415" s="239">
        <f t="shared" si="208"/>
        <v>0</v>
      </c>
    </row>
    <row r="1416" spans="1:52" x14ac:dyDescent="0.25">
      <c r="A1416" s="209">
        <v>1139853</v>
      </c>
      <c r="B1416" s="209">
        <v>30</v>
      </c>
      <c r="C1416" s="209" t="s">
        <v>2996</v>
      </c>
      <c r="D1416" s="209">
        <v>20</v>
      </c>
      <c r="E1416" s="209">
        <v>10000002</v>
      </c>
      <c r="F1416" s="209">
        <v>20000336</v>
      </c>
      <c r="G1416" s="209" t="s">
        <v>105</v>
      </c>
      <c r="H1416" s="209">
        <v>20000336</v>
      </c>
      <c r="I1416" s="209">
        <v>2</v>
      </c>
      <c r="J1416" s="209" t="s">
        <v>169</v>
      </c>
      <c r="K1416" s="209" t="s">
        <v>2997</v>
      </c>
      <c r="L1416" s="209" t="s">
        <v>2610</v>
      </c>
      <c r="M1416" s="209" t="s">
        <v>199</v>
      </c>
      <c r="N1416" s="209">
        <v>50034616</v>
      </c>
      <c r="O1416" s="209" t="s">
        <v>191</v>
      </c>
      <c r="P1416" s="209">
        <v>5121</v>
      </c>
      <c r="Q1416" s="209" t="s">
        <v>200</v>
      </c>
      <c r="R1416" s="209" t="s">
        <v>201</v>
      </c>
      <c r="S1416" s="209" t="s">
        <v>202</v>
      </c>
      <c r="T1416" s="209" t="s">
        <v>203</v>
      </c>
      <c r="U1416" s="209" t="s">
        <v>201</v>
      </c>
      <c r="V1416" s="209" t="s">
        <v>179</v>
      </c>
      <c r="W1416" s="209" t="s">
        <v>179</v>
      </c>
      <c r="X1416" s="209" t="s">
        <v>180</v>
      </c>
      <c r="Y1416" s="209" t="s">
        <v>180</v>
      </c>
      <c r="Z1416" s="209" t="s">
        <v>2998</v>
      </c>
      <c r="AA1416" s="209" t="s">
        <v>2999</v>
      </c>
      <c r="AB1416" s="209" t="s">
        <v>180</v>
      </c>
      <c r="AC1416" s="209" t="s">
        <v>182</v>
      </c>
      <c r="AD1416" s="209">
        <v>9</v>
      </c>
      <c r="AE1416" s="209">
        <v>2025</v>
      </c>
      <c r="AF1416" s="227">
        <v>45912</v>
      </c>
      <c r="AG1416" s="227">
        <v>45917</v>
      </c>
      <c r="AH1416" s="227">
        <v>45917</v>
      </c>
      <c r="AI1416" s="228">
        <v>164160</v>
      </c>
      <c r="AJ1416" s="228">
        <v>20</v>
      </c>
      <c r="AK1416" s="228">
        <v>164160</v>
      </c>
      <c r="AL1416" s="228">
        <v>20</v>
      </c>
      <c r="AM1416" s="228">
        <v>0</v>
      </c>
      <c r="AN1416" s="228">
        <v>0</v>
      </c>
      <c r="AO1416" s="229">
        <v>38</v>
      </c>
      <c r="AP1416" s="231">
        <v>9</v>
      </c>
      <c r="AQ1416" s="231">
        <v>2025</v>
      </c>
      <c r="AR1416" s="231" t="str">
        <f t="shared" si="204"/>
        <v>09/2025</v>
      </c>
      <c r="AS1416" s="231">
        <f t="shared" si="205"/>
        <v>46.6</v>
      </c>
      <c r="AT1416" s="239">
        <f>IF(G1416="CERVECERIA Y MALTERIA",(AS1416*AK1416/1000000)*(1-VLOOKUP(N1416,FCST!D:I,6,FALSE)),0)</f>
        <v>7.6498559999999998</v>
      </c>
      <c r="AU1416" s="232">
        <v>5.0000000000000001E-3</v>
      </c>
      <c r="AV1416" s="239">
        <f t="shared" si="206"/>
        <v>7.6881052799999994</v>
      </c>
      <c r="AW1416" s="239">
        <f>(AS1416*AK1416/1000000)*(VLOOKUP(N1416,FCST!D:I,6,FALSE))</f>
        <v>0</v>
      </c>
      <c r="AX1416" s="239">
        <f t="shared" si="207"/>
        <v>0</v>
      </c>
      <c r="AY1416" s="239">
        <f>IF($G1416="CERVECERIA Y MALTERIA.",($AS1416*$AK1416/1000000)*(1-VLOOKUP($N1416,FCST!D:I,6,FALSE)),0)</f>
        <v>0</v>
      </c>
      <c r="AZ1416" s="239">
        <f t="shared" si="208"/>
        <v>0</v>
      </c>
    </row>
    <row r="1417" spans="1:52" x14ac:dyDescent="0.25">
      <c r="A1417" s="209">
        <v>1142323</v>
      </c>
      <c r="B1417" s="209">
        <v>20</v>
      </c>
      <c r="C1417" s="209" t="s">
        <v>2831</v>
      </c>
      <c r="D1417" s="209">
        <v>20</v>
      </c>
      <c r="E1417" s="209">
        <v>10000002</v>
      </c>
      <c r="F1417" s="209">
        <v>20001057</v>
      </c>
      <c r="G1417" s="209" t="s">
        <v>105</v>
      </c>
      <c r="H1417" s="209">
        <v>20001057</v>
      </c>
      <c r="I1417" s="209">
        <v>2</v>
      </c>
      <c r="J1417" s="209" t="s">
        <v>169</v>
      </c>
      <c r="K1417" s="209" t="s">
        <v>2832</v>
      </c>
      <c r="L1417" s="209" t="s">
        <v>2610</v>
      </c>
      <c r="M1417" s="209" t="s">
        <v>184</v>
      </c>
      <c r="N1417" s="209">
        <v>50034616</v>
      </c>
      <c r="O1417" s="209" t="s">
        <v>191</v>
      </c>
      <c r="P1417" s="209">
        <v>5121</v>
      </c>
      <c r="Q1417" s="209" t="s">
        <v>174</v>
      </c>
      <c r="R1417" s="209" t="s">
        <v>175</v>
      </c>
      <c r="S1417" s="209" t="s">
        <v>176</v>
      </c>
      <c r="T1417" s="209" t="s">
        <v>177</v>
      </c>
      <c r="U1417" s="209" t="s">
        <v>178</v>
      </c>
      <c r="V1417" s="209" t="s">
        <v>179</v>
      </c>
      <c r="W1417" s="209" t="s">
        <v>179</v>
      </c>
      <c r="X1417" s="209" t="s">
        <v>180</v>
      </c>
      <c r="Y1417" s="209" t="s">
        <v>180</v>
      </c>
      <c r="Z1417" s="209" t="s">
        <v>2833</v>
      </c>
      <c r="AA1417" s="209" t="s">
        <v>2834</v>
      </c>
      <c r="AB1417" s="209" t="s">
        <v>180</v>
      </c>
      <c r="AC1417" s="209" t="s">
        <v>182</v>
      </c>
      <c r="AD1417" s="209">
        <v>9</v>
      </c>
      <c r="AE1417" s="209">
        <v>2025</v>
      </c>
      <c r="AF1417" s="227">
        <v>45926</v>
      </c>
      <c r="AG1417" s="227">
        <v>45929</v>
      </c>
      <c r="AH1417" s="227">
        <v>45929</v>
      </c>
      <c r="AI1417" s="228">
        <v>246240</v>
      </c>
      <c r="AJ1417" s="228">
        <v>30</v>
      </c>
      <c r="AK1417" s="228">
        <v>246240</v>
      </c>
      <c r="AL1417" s="228">
        <v>30</v>
      </c>
      <c r="AM1417" s="228">
        <v>0</v>
      </c>
      <c r="AN1417" s="228">
        <v>0</v>
      </c>
      <c r="AO1417" s="229">
        <v>40</v>
      </c>
      <c r="AP1417" s="231">
        <v>9</v>
      </c>
      <c r="AQ1417" s="231">
        <v>2025</v>
      </c>
      <c r="AR1417" s="231" t="str">
        <f t="shared" si="204"/>
        <v>09/2025</v>
      </c>
      <c r="AS1417" s="231">
        <f t="shared" si="205"/>
        <v>46.6</v>
      </c>
      <c r="AT1417" s="239">
        <f>IF(G1417="CERVECERIA Y MALTERIA",(AS1417*AK1417/1000000)*(1-VLOOKUP(N1417,FCST!D:I,6,FALSE)),0)</f>
        <v>11.474784</v>
      </c>
      <c r="AU1417" s="232">
        <v>5.0000000000000001E-3</v>
      </c>
      <c r="AV1417" s="239">
        <f t="shared" si="206"/>
        <v>11.532157919999998</v>
      </c>
      <c r="AW1417" s="239">
        <f>(AS1417*AK1417/1000000)*(VLOOKUP(N1417,FCST!D:I,6,FALSE))</f>
        <v>0</v>
      </c>
      <c r="AX1417" s="239">
        <f t="shared" si="207"/>
        <v>0</v>
      </c>
      <c r="AY1417" s="239">
        <f>IF($G1417="CERVECERIA Y MALTERIA.",($AS1417*$AK1417/1000000)*(1-VLOOKUP($N1417,FCST!D:I,6,FALSE)),0)</f>
        <v>0</v>
      </c>
      <c r="AZ1417" s="239">
        <f t="shared" si="208"/>
        <v>0</v>
      </c>
    </row>
    <row r="1418" spans="1:52" x14ac:dyDescent="0.25">
      <c r="A1418" s="209">
        <v>1141508</v>
      </c>
      <c r="B1418" s="209">
        <v>30</v>
      </c>
      <c r="C1418" s="209" t="s">
        <v>3032</v>
      </c>
      <c r="D1418" s="209">
        <v>20</v>
      </c>
      <c r="E1418" s="209">
        <v>10000002</v>
      </c>
      <c r="F1418" s="209">
        <v>20000339</v>
      </c>
      <c r="G1418" s="209" t="s">
        <v>105</v>
      </c>
      <c r="H1418" s="209">
        <v>20000339</v>
      </c>
      <c r="I1418" s="209">
        <v>2</v>
      </c>
      <c r="J1418" s="209" t="s">
        <v>169</v>
      </c>
      <c r="K1418" s="209" t="s">
        <v>3033</v>
      </c>
      <c r="L1418" s="209" t="s">
        <v>2610</v>
      </c>
      <c r="M1418" s="209" t="s">
        <v>227</v>
      </c>
      <c r="N1418" s="209">
        <v>50034194</v>
      </c>
      <c r="O1418" s="209" t="s">
        <v>276</v>
      </c>
      <c r="P1418" s="209">
        <v>5121</v>
      </c>
      <c r="Q1418" s="209" t="s">
        <v>228</v>
      </c>
      <c r="R1418" s="209" t="s">
        <v>229</v>
      </c>
      <c r="S1418" s="209" t="s">
        <v>230</v>
      </c>
      <c r="T1418" s="209" t="s">
        <v>231</v>
      </c>
      <c r="U1418" s="209" t="s">
        <v>232</v>
      </c>
      <c r="V1418" s="209" t="s">
        <v>179</v>
      </c>
      <c r="W1418" s="209" t="s">
        <v>179</v>
      </c>
      <c r="X1418" s="209" t="s">
        <v>180</v>
      </c>
      <c r="Y1418" s="209" t="s">
        <v>180</v>
      </c>
      <c r="Z1418" s="209" t="s">
        <v>3034</v>
      </c>
      <c r="AA1418" s="209" t="s">
        <v>3035</v>
      </c>
      <c r="AB1418" s="209" t="s">
        <v>180</v>
      </c>
      <c r="AC1418" s="209" t="s">
        <v>182</v>
      </c>
      <c r="AD1418" s="209">
        <v>9</v>
      </c>
      <c r="AE1418" s="209">
        <v>2025</v>
      </c>
      <c r="AF1418" s="227">
        <v>45923</v>
      </c>
      <c r="AG1418" s="227">
        <v>45925</v>
      </c>
      <c r="AH1418" s="227">
        <v>45925</v>
      </c>
      <c r="AI1418" s="228">
        <v>256032</v>
      </c>
      <c r="AJ1418" s="228">
        <v>42</v>
      </c>
      <c r="AK1418" s="228">
        <v>256032</v>
      </c>
      <c r="AL1418" s="228">
        <v>42</v>
      </c>
      <c r="AM1418" s="228">
        <v>0</v>
      </c>
      <c r="AN1418" s="228">
        <v>0</v>
      </c>
      <c r="AO1418" s="229">
        <v>39</v>
      </c>
      <c r="AP1418" s="231">
        <v>9</v>
      </c>
      <c r="AQ1418" s="231">
        <v>2025</v>
      </c>
      <c r="AR1418" s="231" t="str">
        <f t="shared" si="204"/>
        <v>09/2025</v>
      </c>
      <c r="AS1418" s="231">
        <f t="shared" si="205"/>
        <v>62</v>
      </c>
      <c r="AT1418" s="239">
        <f>IF(G1418="CERVECERIA Y MALTERIA",(AS1418*AK1418/1000000)*(1-VLOOKUP(N1418,FCST!D:I,6,FALSE)),0)</f>
        <v>15.873984</v>
      </c>
      <c r="AU1418" s="232">
        <v>5.0000000000000001E-3</v>
      </c>
      <c r="AV1418" s="239">
        <f t="shared" si="206"/>
        <v>15.953353919999998</v>
      </c>
      <c r="AW1418" s="239">
        <f>(AS1418*AK1418/1000000)*(VLOOKUP(N1418,FCST!D:I,6,FALSE))</f>
        <v>0</v>
      </c>
      <c r="AX1418" s="239">
        <f t="shared" si="207"/>
        <v>0</v>
      </c>
      <c r="AY1418" s="239">
        <f>IF($G1418="CERVECERIA Y MALTERIA.",($AS1418*$AK1418/1000000)*(1-VLOOKUP($N1418,FCST!D:I,6,FALSE)),0)</f>
        <v>0</v>
      </c>
      <c r="AZ1418" s="239">
        <f t="shared" si="208"/>
        <v>0</v>
      </c>
    </row>
    <row r="1419" spans="1:52" x14ac:dyDescent="0.25">
      <c r="A1419" s="209">
        <v>1138458</v>
      </c>
      <c r="B1419" s="209">
        <v>40</v>
      </c>
      <c r="C1419" s="209" t="s">
        <v>2886</v>
      </c>
      <c r="D1419" s="209">
        <v>20</v>
      </c>
      <c r="E1419" s="209">
        <v>10000002</v>
      </c>
      <c r="F1419" s="209">
        <v>20001057</v>
      </c>
      <c r="G1419" s="209" t="s">
        <v>105</v>
      </c>
      <c r="H1419" s="209">
        <v>20001057</v>
      </c>
      <c r="I1419" s="209">
        <v>2</v>
      </c>
      <c r="J1419" s="209" t="s">
        <v>169</v>
      </c>
      <c r="K1419" s="209" t="s">
        <v>2887</v>
      </c>
      <c r="L1419" s="209" t="s">
        <v>2610</v>
      </c>
      <c r="M1419" s="209" t="s">
        <v>2718</v>
      </c>
      <c r="N1419" s="209">
        <v>50035184</v>
      </c>
      <c r="O1419" s="209" t="s">
        <v>672</v>
      </c>
      <c r="P1419" s="209">
        <v>5121</v>
      </c>
      <c r="Q1419" s="209" t="s">
        <v>174</v>
      </c>
      <c r="R1419" s="209" t="s">
        <v>175</v>
      </c>
      <c r="S1419" s="209" t="s">
        <v>176</v>
      </c>
      <c r="T1419" s="209" t="s">
        <v>177</v>
      </c>
      <c r="U1419" s="209" t="s">
        <v>178</v>
      </c>
      <c r="V1419" s="209" t="s">
        <v>179</v>
      </c>
      <c r="W1419" s="209" t="s">
        <v>179</v>
      </c>
      <c r="X1419" s="209" t="s">
        <v>180</v>
      </c>
      <c r="Y1419" s="209" t="s">
        <v>180</v>
      </c>
      <c r="Z1419" s="209" t="s">
        <v>2888</v>
      </c>
      <c r="AA1419" s="209" t="s">
        <v>2889</v>
      </c>
      <c r="AB1419" s="209" t="s">
        <v>180</v>
      </c>
      <c r="AC1419" s="209" t="s">
        <v>182</v>
      </c>
      <c r="AD1419" s="209">
        <v>9</v>
      </c>
      <c r="AE1419" s="209">
        <v>2025</v>
      </c>
      <c r="AF1419" s="227">
        <v>45905</v>
      </c>
      <c r="AG1419" s="227">
        <v>45908</v>
      </c>
      <c r="AH1419" s="227">
        <v>45908</v>
      </c>
      <c r="AI1419" s="228">
        <v>375840</v>
      </c>
      <c r="AJ1419" s="228">
        <v>20</v>
      </c>
      <c r="AK1419" s="228">
        <v>375840</v>
      </c>
      <c r="AL1419" s="228">
        <v>20</v>
      </c>
      <c r="AM1419" s="228">
        <v>0</v>
      </c>
      <c r="AN1419" s="228">
        <v>0</v>
      </c>
      <c r="AO1419" s="229">
        <v>36</v>
      </c>
      <c r="AP1419" s="231">
        <v>9</v>
      </c>
      <c r="AQ1419" s="231">
        <v>2025</v>
      </c>
      <c r="AR1419" s="231" t="str">
        <f t="shared" si="204"/>
        <v>09/2025</v>
      </c>
      <c r="AS1419" s="231">
        <f t="shared" si="205"/>
        <v>19.5</v>
      </c>
      <c r="AT1419" s="239">
        <f>IF(G1419="CERVECERIA Y MALTERIA",(AS1419*AK1419/1000000)*(1-VLOOKUP(N1419,FCST!D:I,6,FALSE)),0)</f>
        <v>7.3288799999999998</v>
      </c>
      <c r="AU1419" s="232">
        <v>5.0000000000000001E-3</v>
      </c>
      <c r="AV1419" s="239">
        <f t="shared" si="206"/>
        <v>7.3655243999999991</v>
      </c>
      <c r="AW1419" s="239">
        <f>(AS1419*AK1419/1000000)*(VLOOKUP(N1419,FCST!D:I,6,FALSE))</f>
        <v>0</v>
      </c>
      <c r="AX1419" s="239">
        <f t="shared" si="207"/>
        <v>0</v>
      </c>
      <c r="AY1419" s="239">
        <f>IF($G1419="CERVECERIA Y MALTERIA.",($AS1419*$AK1419/1000000)*(1-VLOOKUP($N1419,FCST!D:I,6,FALSE)),0)</f>
        <v>0</v>
      </c>
      <c r="AZ1419" s="239">
        <f t="shared" si="208"/>
        <v>0</v>
      </c>
    </row>
    <row r="1420" spans="1:52" x14ac:dyDescent="0.25">
      <c r="A1420" s="209">
        <v>1138389</v>
      </c>
      <c r="B1420" s="209">
        <v>20</v>
      </c>
      <c r="C1420" s="209" t="s">
        <v>2890</v>
      </c>
      <c r="D1420" s="209">
        <v>20</v>
      </c>
      <c r="E1420" s="209">
        <v>10000002</v>
      </c>
      <c r="F1420" s="209">
        <v>20000339</v>
      </c>
      <c r="G1420" s="209" t="s">
        <v>105</v>
      </c>
      <c r="H1420" s="209">
        <v>20000339</v>
      </c>
      <c r="I1420" s="209">
        <v>2</v>
      </c>
      <c r="J1420" s="209" t="s">
        <v>169</v>
      </c>
      <c r="K1420" s="209" t="s">
        <v>2891</v>
      </c>
      <c r="L1420" s="209" t="s">
        <v>2610</v>
      </c>
      <c r="M1420" s="209" t="s">
        <v>184</v>
      </c>
      <c r="N1420" s="209">
        <v>50036287</v>
      </c>
      <c r="O1420" s="209" t="s">
        <v>2191</v>
      </c>
      <c r="P1420" s="209">
        <v>5121</v>
      </c>
      <c r="Q1420" s="209" t="s">
        <v>174</v>
      </c>
      <c r="R1420" s="209" t="s">
        <v>175</v>
      </c>
      <c r="S1420" s="209" t="s">
        <v>176</v>
      </c>
      <c r="T1420" s="209" t="s">
        <v>177</v>
      </c>
      <c r="U1420" s="209" t="s">
        <v>178</v>
      </c>
      <c r="V1420" s="209" t="s">
        <v>179</v>
      </c>
      <c r="W1420" s="209" t="s">
        <v>179</v>
      </c>
      <c r="X1420" s="209" t="s">
        <v>180</v>
      </c>
      <c r="Y1420" s="209" t="s">
        <v>180</v>
      </c>
      <c r="Z1420" s="209" t="s">
        <v>2892</v>
      </c>
      <c r="AA1420" s="209" t="s">
        <v>2893</v>
      </c>
      <c r="AB1420" s="209" t="s">
        <v>180</v>
      </c>
      <c r="AC1420" s="209" t="s">
        <v>182</v>
      </c>
      <c r="AD1420" s="209">
        <v>9</v>
      </c>
      <c r="AE1420" s="209">
        <v>2025</v>
      </c>
      <c r="AF1420" s="227">
        <v>45904</v>
      </c>
      <c r="AG1420" s="227">
        <v>45906</v>
      </c>
      <c r="AH1420" s="227">
        <v>45906</v>
      </c>
      <c r="AI1420" s="228">
        <v>279360</v>
      </c>
      <c r="AJ1420" s="228">
        <v>40</v>
      </c>
      <c r="AK1420" s="228">
        <v>279360</v>
      </c>
      <c r="AL1420" s="228">
        <v>40</v>
      </c>
      <c r="AM1420" s="228">
        <v>0</v>
      </c>
      <c r="AN1420" s="228">
        <v>0</v>
      </c>
      <c r="AO1420" s="229">
        <v>36</v>
      </c>
      <c r="AP1420" s="231">
        <v>9</v>
      </c>
      <c r="AQ1420" s="231">
        <v>2025</v>
      </c>
      <c r="AR1420" s="231" t="str">
        <f t="shared" si="204"/>
        <v>09/2025</v>
      </c>
      <c r="AS1420" s="231">
        <f t="shared" si="205"/>
        <v>52</v>
      </c>
      <c r="AT1420" s="239">
        <f>IF(G1420="CERVECERIA Y MALTERIA",(AS1420*AK1420/1000000)*(1-VLOOKUP(N1420,FCST!D:I,6,FALSE)),0)</f>
        <v>14.526719999999999</v>
      </c>
      <c r="AU1420" s="232">
        <v>5.0000000000000001E-3</v>
      </c>
      <c r="AV1420" s="239">
        <f t="shared" si="206"/>
        <v>14.599353599999997</v>
      </c>
      <c r="AW1420" s="239">
        <f>(AS1420*AK1420/1000000)*(VLOOKUP(N1420,FCST!D:I,6,FALSE))</f>
        <v>0</v>
      </c>
      <c r="AX1420" s="239">
        <f t="shared" si="207"/>
        <v>0</v>
      </c>
      <c r="AY1420" s="239">
        <f>IF($G1420="CERVECERIA Y MALTERIA.",($AS1420*$AK1420/1000000)*(1-VLOOKUP($N1420,FCST!D:I,6,FALSE)),0)</f>
        <v>0</v>
      </c>
      <c r="AZ1420" s="239">
        <f t="shared" si="208"/>
        <v>0</v>
      </c>
    </row>
    <row r="1421" spans="1:52" x14ac:dyDescent="0.25">
      <c r="A1421" s="209">
        <v>1138458</v>
      </c>
      <c r="B1421" s="209">
        <v>20</v>
      </c>
      <c r="C1421" s="209" t="s">
        <v>2894</v>
      </c>
      <c r="D1421" s="209">
        <v>20</v>
      </c>
      <c r="E1421" s="209">
        <v>10000002</v>
      </c>
      <c r="F1421" s="209">
        <v>20001057</v>
      </c>
      <c r="G1421" s="209" t="s">
        <v>105</v>
      </c>
      <c r="H1421" s="209">
        <v>20001057</v>
      </c>
      <c r="I1421" s="209">
        <v>2</v>
      </c>
      <c r="J1421" s="209" t="s">
        <v>169</v>
      </c>
      <c r="K1421" s="209" t="s">
        <v>2895</v>
      </c>
      <c r="L1421" s="209" t="s">
        <v>2610</v>
      </c>
      <c r="M1421" s="209" t="s">
        <v>2718</v>
      </c>
      <c r="N1421" s="209">
        <v>50034616</v>
      </c>
      <c r="O1421" s="209" t="s">
        <v>191</v>
      </c>
      <c r="P1421" s="209">
        <v>5121</v>
      </c>
      <c r="Q1421" s="209" t="s">
        <v>174</v>
      </c>
      <c r="R1421" s="209" t="s">
        <v>175</v>
      </c>
      <c r="S1421" s="209" t="s">
        <v>176</v>
      </c>
      <c r="T1421" s="209" t="s">
        <v>177</v>
      </c>
      <c r="U1421" s="209" t="s">
        <v>178</v>
      </c>
      <c r="V1421" s="209" t="s">
        <v>179</v>
      </c>
      <c r="W1421" s="209" t="s">
        <v>179</v>
      </c>
      <c r="X1421" s="209" t="s">
        <v>180</v>
      </c>
      <c r="Y1421" s="209" t="s">
        <v>180</v>
      </c>
      <c r="Z1421" s="209" t="s">
        <v>2896</v>
      </c>
      <c r="AA1421" s="209" t="s">
        <v>2897</v>
      </c>
      <c r="AB1421" s="209" t="s">
        <v>180</v>
      </c>
      <c r="AC1421" s="209" t="s">
        <v>182</v>
      </c>
      <c r="AD1421" s="209">
        <v>9</v>
      </c>
      <c r="AE1421" s="209">
        <v>2025</v>
      </c>
      <c r="AF1421" s="227">
        <v>45905</v>
      </c>
      <c r="AG1421" s="227">
        <v>45905</v>
      </c>
      <c r="AH1421" s="227">
        <v>45905</v>
      </c>
      <c r="AI1421" s="228">
        <v>213408</v>
      </c>
      <c r="AJ1421" s="228">
        <v>26</v>
      </c>
      <c r="AK1421" s="228">
        <v>213408</v>
      </c>
      <c r="AL1421" s="228">
        <v>26</v>
      </c>
      <c r="AM1421" s="228">
        <v>0</v>
      </c>
      <c r="AN1421" s="228">
        <v>0</v>
      </c>
      <c r="AO1421" s="229">
        <v>36</v>
      </c>
      <c r="AP1421" s="231">
        <v>9</v>
      </c>
      <c r="AQ1421" s="231">
        <v>2025</v>
      </c>
      <c r="AR1421" s="231" t="str">
        <f t="shared" si="204"/>
        <v>09/2025</v>
      </c>
      <c r="AS1421" s="231">
        <f t="shared" si="205"/>
        <v>46.6</v>
      </c>
      <c r="AT1421" s="239">
        <f>IF(G1421="CERVECERIA Y MALTERIA",(AS1421*AK1421/1000000)*(1-VLOOKUP(N1421,FCST!D:I,6,FALSE)),0)</f>
        <v>9.9448128000000011</v>
      </c>
      <c r="AU1421" s="232">
        <v>5.0000000000000001E-3</v>
      </c>
      <c r="AV1421" s="239">
        <f t="shared" si="206"/>
        <v>9.9945368640000005</v>
      </c>
      <c r="AW1421" s="239">
        <f>(AS1421*AK1421/1000000)*(VLOOKUP(N1421,FCST!D:I,6,FALSE))</f>
        <v>0</v>
      </c>
      <c r="AX1421" s="239">
        <f t="shared" si="207"/>
        <v>0</v>
      </c>
      <c r="AY1421" s="239">
        <f>IF($G1421="CERVECERIA Y MALTERIA.",($AS1421*$AK1421/1000000)*(1-VLOOKUP($N1421,FCST!D:I,6,FALSE)),0)</f>
        <v>0</v>
      </c>
      <c r="AZ1421" s="239">
        <f t="shared" si="208"/>
        <v>0</v>
      </c>
    </row>
    <row r="1423" spans="1:52" x14ac:dyDescent="0.25">
      <c r="A1423" s="209">
        <v>1145503</v>
      </c>
      <c r="B1423" s="209">
        <v>20</v>
      </c>
      <c r="C1423" s="209" t="s">
        <v>3076</v>
      </c>
      <c r="D1423" s="209">
        <v>10</v>
      </c>
      <c r="E1423" s="209">
        <v>10000002</v>
      </c>
      <c r="F1423" s="209">
        <v>20000340</v>
      </c>
      <c r="G1423" s="209" t="s">
        <v>117</v>
      </c>
      <c r="H1423" s="209">
        <v>20000340</v>
      </c>
      <c r="I1423" s="209">
        <v>2</v>
      </c>
      <c r="J1423" s="209" t="s">
        <v>169</v>
      </c>
      <c r="K1423" s="209" t="s">
        <v>3077</v>
      </c>
      <c r="L1423" s="209" t="s">
        <v>265</v>
      </c>
      <c r="M1423" s="209" t="s">
        <v>184</v>
      </c>
      <c r="N1423" s="209">
        <v>50025163</v>
      </c>
      <c r="O1423" s="209" t="s">
        <v>185</v>
      </c>
      <c r="P1423" s="209">
        <v>5101</v>
      </c>
      <c r="Q1423" s="209" t="s">
        <v>186</v>
      </c>
      <c r="R1423" s="209" t="s">
        <v>175</v>
      </c>
      <c r="S1423" s="209" t="s">
        <v>176</v>
      </c>
      <c r="T1423" s="209" t="s">
        <v>187</v>
      </c>
      <c r="U1423" s="209" t="s">
        <v>188</v>
      </c>
      <c r="V1423" s="209" t="s">
        <v>179</v>
      </c>
      <c r="W1423" s="209" t="s">
        <v>179</v>
      </c>
      <c r="X1423" s="209" t="s">
        <v>180</v>
      </c>
      <c r="Y1423" s="209" t="s">
        <v>180</v>
      </c>
      <c r="Z1423" s="209" t="s">
        <v>3078</v>
      </c>
      <c r="AA1423" s="209" t="s">
        <v>3079</v>
      </c>
      <c r="AB1423" s="209" t="s">
        <v>180</v>
      </c>
      <c r="AC1423" s="209" t="s">
        <v>182</v>
      </c>
      <c r="AD1423" s="209">
        <v>10</v>
      </c>
      <c r="AE1423" s="209">
        <v>2025</v>
      </c>
      <c r="AF1423" s="227">
        <v>45945</v>
      </c>
      <c r="AG1423" s="227">
        <v>45951</v>
      </c>
      <c r="AH1423" s="227">
        <v>45951</v>
      </c>
      <c r="AI1423" s="228">
        <v>606528</v>
      </c>
      <c r="AJ1423" s="228">
        <v>52</v>
      </c>
      <c r="AK1423" s="228">
        <v>606528</v>
      </c>
      <c r="AL1423" s="228">
        <v>52</v>
      </c>
      <c r="AM1423" s="228">
        <v>0</v>
      </c>
      <c r="AN1423" s="228">
        <v>0</v>
      </c>
      <c r="AO1423" s="229">
        <v>43</v>
      </c>
      <c r="AP1423" s="231">
        <v>10</v>
      </c>
      <c r="AQ1423" s="231">
        <v>2025</v>
      </c>
      <c r="AR1423" s="231" t="str">
        <f t="shared" ref="AR1423" si="209">+IF(AP1423&lt;10,"0"&amp;AP1423&amp; "/"&amp;AQ1423,AP1423&amp; "/"&amp;AQ1423)</f>
        <v>10/2025</v>
      </c>
      <c r="AS1423" s="231">
        <f t="shared" ref="AS1423" si="210">VALUE(MID(INDEX(_xlfn.TEXTSPLIT(O1423, ","), 1, 3), 1,FIND("G", INDEX(_xlfn.TEXTSPLIT(O1423, ","), 1, 3))-1))</f>
        <v>30</v>
      </c>
      <c r="AT1423" s="239">
        <f>IF(G1423="CERVECERIA Y MALTERIA",(AS1423*AK1423/1000000)*(1-VLOOKUP(N1423,FCST!D:I,6,FALSE)),0)</f>
        <v>0</v>
      </c>
      <c r="AU1423" s="232">
        <v>5.0000000000000001E-3</v>
      </c>
      <c r="AV1423" s="239">
        <f t="shared" ref="AV1423" si="211">+AT1423*(1+AU1423)</f>
        <v>0</v>
      </c>
      <c r="AW1423" s="239">
        <f>(AS1423*AK1423/1000000)*(VLOOKUP(N1423,FCST!D:I,6,FALSE))</f>
        <v>0</v>
      </c>
      <c r="AX1423" s="239">
        <f t="shared" ref="AX1423" si="212">+AW1423*(1+AU1423)</f>
        <v>0</v>
      </c>
      <c r="AY1423" s="239">
        <f>IF($G1423="CERVECERIA Y MALTERIA.",($AS1423*$AK1423/1000000)*(1-VLOOKUP($N1423,FCST!D:I,6,FALSE)),0)</f>
        <v>18.19584</v>
      </c>
      <c r="AZ1423" s="239">
        <f t="shared" ref="AZ1423" si="213">+AY1423*(1+AU1423)</f>
        <v>18.2868192</v>
      </c>
    </row>
    <row r="1424" spans="1:52" x14ac:dyDescent="0.25">
      <c r="A1424" s="209">
        <v>1145496</v>
      </c>
      <c r="B1424" s="209">
        <v>80</v>
      </c>
      <c r="C1424" s="209" t="s">
        <v>3080</v>
      </c>
      <c r="D1424" s="209">
        <v>10</v>
      </c>
      <c r="E1424" s="209">
        <v>10000002</v>
      </c>
      <c r="F1424" s="209">
        <v>20000335</v>
      </c>
      <c r="G1424" s="209" t="s">
        <v>105</v>
      </c>
      <c r="H1424" s="209">
        <v>20000335</v>
      </c>
      <c r="I1424" s="209">
        <v>2</v>
      </c>
      <c r="J1424" s="209" t="s">
        <v>169</v>
      </c>
      <c r="K1424" s="209" t="s">
        <v>3081</v>
      </c>
      <c r="L1424" s="209" t="s">
        <v>265</v>
      </c>
      <c r="M1424" s="209" t="s">
        <v>199</v>
      </c>
      <c r="N1424" s="209">
        <v>50039815</v>
      </c>
      <c r="O1424" s="209" t="s">
        <v>2454</v>
      </c>
      <c r="P1424" s="209">
        <v>5121</v>
      </c>
      <c r="Q1424" s="209" t="s">
        <v>200</v>
      </c>
      <c r="R1424" s="209" t="s">
        <v>201</v>
      </c>
      <c r="S1424" s="209" t="s">
        <v>202</v>
      </c>
      <c r="T1424" s="209" t="s">
        <v>203</v>
      </c>
      <c r="U1424" s="209" t="s">
        <v>201</v>
      </c>
      <c r="V1424" s="209" t="s">
        <v>179</v>
      </c>
      <c r="W1424" s="209" t="s">
        <v>179</v>
      </c>
      <c r="X1424" s="209" t="s">
        <v>180</v>
      </c>
      <c r="Y1424" s="209" t="s">
        <v>180</v>
      </c>
      <c r="Z1424" s="209" t="s">
        <v>3082</v>
      </c>
      <c r="AA1424" s="209" t="s">
        <v>3083</v>
      </c>
      <c r="AB1424" s="209" t="s">
        <v>180</v>
      </c>
      <c r="AC1424" s="209" t="s">
        <v>182</v>
      </c>
      <c r="AD1424" s="209">
        <v>10</v>
      </c>
      <c r="AE1424" s="209">
        <v>2025</v>
      </c>
      <c r="AF1424" s="227">
        <v>45945</v>
      </c>
      <c r="AG1424" s="227">
        <v>45952</v>
      </c>
      <c r="AH1424" s="227">
        <v>45952</v>
      </c>
      <c r="AI1424" s="228">
        <v>426816</v>
      </c>
      <c r="AJ1424" s="228">
        <v>52</v>
      </c>
      <c r="AK1424" s="228">
        <v>426816</v>
      </c>
      <c r="AL1424" s="228">
        <v>52</v>
      </c>
      <c r="AM1424" s="228">
        <v>0</v>
      </c>
      <c r="AN1424" s="228">
        <v>0</v>
      </c>
      <c r="AO1424" s="229">
        <v>42</v>
      </c>
      <c r="AP1424" s="231">
        <v>10</v>
      </c>
      <c r="AQ1424" s="231">
        <v>2025</v>
      </c>
      <c r="AR1424" s="231" t="str">
        <f t="shared" ref="AR1424:AR1487" si="214">+IF(AP1424&lt;10,"0"&amp;AP1424&amp; "/"&amp;AQ1424,AP1424&amp; "/"&amp;AQ1424)</f>
        <v>10/2025</v>
      </c>
      <c r="AS1424" s="231">
        <f t="shared" ref="AS1424:AS1487" si="215">VALUE(MID(INDEX(_xlfn.TEXTSPLIT(O1424, ","), 1, 3), 1,FIND("G", INDEX(_xlfn.TEXTSPLIT(O1424, ","), 1, 3))-1))</f>
        <v>46.6</v>
      </c>
      <c r="AT1424" s="239">
        <f>IF(G1424="CERVECERIA Y MALTERIA",(AS1424*AK1424/1000000)*(1-VLOOKUP(N1424,FCST!D:I,6,FALSE)),0)</f>
        <v>15.911700480000002</v>
      </c>
      <c r="AU1424" s="232">
        <v>5.0000000000000001E-3</v>
      </c>
      <c r="AV1424" s="239">
        <f t="shared" ref="AV1424:AV1487" si="216">+AT1424*(1+AU1424)</f>
        <v>15.9912589824</v>
      </c>
      <c r="AW1424" s="239">
        <f>(AS1424*AK1424/1000000)*(VLOOKUP(N1424,FCST!D:I,6,FALSE))</f>
        <v>3.9779251200000005</v>
      </c>
      <c r="AX1424" s="239">
        <f t="shared" ref="AX1424:AX1487" si="217">+AW1424*(1+AU1424)</f>
        <v>3.9978147455999999</v>
      </c>
      <c r="AY1424" s="239">
        <f>IF($G1424="CERVECERIA Y MALTERIA.",($AS1424*$AK1424/1000000)*(1-VLOOKUP($N1424,FCST!D:I,6,FALSE)),0)</f>
        <v>0</v>
      </c>
      <c r="AZ1424" s="239">
        <f t="shared" ref="AZ1424:AZ1487" si="218">+AY1424*(1+AU1424)</f>
        <v>0</v>
      </c>
    </row>
    <row r="1425" spans="1:52" x14ac:dyDescent="0.25">
      <c r="A1425" s="209">
        <v>1146120</v>
      </c>
      <c r="B1425" s="209">
        <v>20</v>
      </c>
      <c r="C1425" s="209" t="s">
        <v>3084</v>
      </c>
      <c r="D1425" s="209">
        <v>20</v>
      </c>
      <c r="E1425" s="209">
        <v>10000002</v>
      </c>
      <c r="F1425" s="209">
        <v>20000336</v>
      </c>
      <c r="G1425" s="209" t="s">
        <v>105</v>
      </c>
      <c r="H1425" s="209">
        <v>20000336</v>
      </c>
      <c r="I1425" s="209">
        <v>2</v>
      </c>
      <c r="J1425" s="209" t="s">
        <v>169</v>
      </c>
      <c r="K1425" s="209" t="s">
        <v>3085</v>
      </c>
      <c r="L1425" s="209" t="s">
        <v>265</v>
      </c>
      <c r="M1425" s="209" t="s">
        <v>199</v>
      </c>
      <c r="N1425" s="209">
        <v>50037887</v>
      </c>
      <c r="O1425" s="209" t="s">
        <v>679</v>
      </c>
      <c r="P1425" s="209">
        <v>5121</v>
      </c>
      <c r="Q1425" s="209" t="s">
        <v>200</v>
      </c>
      <c r="R1425" s="209" t="s">
        <v>201</v>
      </c>
      <c r="S1425" s="209" t="s">
        <v>202</v>
      </c>
      <c r="T1425" s="209" t="s">
        <v>203</v>
      </c>
      <c r="U1425" s="209" t="s">
        <v>201</v>
      </c>
      <c r="V1425" s="209" t="s">
        <v>179</v>
      </c>
      <c r="W1425" s="209" t="s">
        <v>179</v>
      </c>
      <c r="X1425" s="209" t="s">
        <v>180</v>
      </c>
      <c r="Y1425" s="209" t="s">
        <v>180</v>
      </c>
      <c r="Z1425" s="209" t="s">
        <v>3086</v>
      </c>
      <c r="AA1425" s="209" t="s">
        <v>3087</v>
      </c>
      <c r="AB1425" s="209" t="s">
        <v>180</v>
      </c>
      <c r="AC1425" s="209" t="s">
        <v>182</v>
      </c>
      <c r="AD1425" s="209">
        <v>10</v>
      </c>
      <c r="AE1425" s="209">
        <v>2025</v>
      </c>
      <c r="AF1425" s="227">
        <v>45947</v>
      </c>
      <c r="AG1425" s="227">
        <v>45950</v>
      </c>
      <c r="AH1425" s="227">
        <v>45951</v>
      </c>
      <c r="AI1425" s="228">
        <v>245376</v>
      </c>
      <c r="AJ1425" s="228">
        <v>24</v>
      </c>
      <c r="AK1425" s="228">
        <v>245376</v>
      </c>
      <c r="AL1425" s="228">
        <v>24</v>
      </c>
      <c r="AM1425" s="228">
        <v>0</v>
      </c>
      <c r="AN1425" s="228">
        <v>0</v>
      </c>
      <c r="AO1425" s="229">
        <v>43</v>
      </c>
      <c r="AP1425" s="231">
        <v>10</v>
      </c>
      <c r="AQ1425" s="231">
        <v>2025</v>
      </c>
      <c r="AR1425" s="231" t="str">
        <f t="shared" si="214"/>
        <v>10/2025</v>
      </c>
      <c r="AS1425" s="231">
        <f t="shared" si="215"/>
        <v>37.200000000000003</v>
      </c>
      <c r="AT1425" s="239">
        <f>IF(G1425="CERVECERIA Y MALTERIA",(AS1425*AK1425/1000000)*(1-VLOOKUP(N1425,FCST!D:I,6,FALSE)),0)</f>
        <v>9.1279872000000015</v>
      </c>
      <c r="AU1425" s="232">
        <v>5.0000000000000001E-3</v>
      </c>
      <c r="AV1425" s="239">
        <f t="shared" si="216"/>
        <v>9.1736271360000003</v>
      </c>
      <c r="AW1425" s="239">
        <f>(AS1425*AK1425/1000000)*(VLOOKUP(N1425,FCST!D:I,6,FALSE))</f>
        <v>0</v>
      </c>
      <c r="AX1425" s="239">
        <f t="shared" si="217"/>
        <v>0</v>
      </c>
      <c r="AY1425" s="239">
        <f>IF($G1425="CERVECERIA Y MALTERIA.",($AS1425*$AK1425/1000000)*(1-VLOOKUP($N1425,FCST!D:I,6,FALSE)),0)</f>
        <v>0</v>
      </c>
      <c r="AZ1425" s="239">
        <f t="shared" si="218"/>
        <v>0</v>
      </c>
    </row>
    <row r="1426" spans="1:52" x14ac:dyDescent="0.25">
      <c r="A1426" s="209">
        <v>1145496</v>
      </c>
      <c r="B1426" s="209">
        <v>50</v>
      </c>
      <c r="C1426" s="209" t="s">
        <v>3088</v>
      </c>
      <c r="D1426" s="209">
        <v>10</v>
      </c>
      <c r="E1426" s="209">
        <v>10000002</v>
      </c>
      <c r="F1426" s="209">
        <v>20000335</v>
      </c>
      <c r="G1426" s="209" t="s">
        <v>105</v>
      </c>
      <c r="H1426" s="209">
        <v>20000335</v>
      </c>
      <c r="I1426" s="209">
        <v>2</v>
      </c>
      <c r="J1426" s="209" t="s">
        <v>169</v>
      </c>
      <c r="K1426" s="209" t="s">
        <v>3089</v>
      </c>
      <c r="L1426" s="209" t="s">
        <v>265</v>
      </c>
      <c r="M1426" s="209" t="s">
        <v>2718</v>
      </c>
      <c r="N1426" s="209">
        <v>50037887</v>
      </c>
      <c r="O1426" s="209" t="s">
        <v>679</v>
      </c>
      <c r="P1426" s="209">
        <v>5121</v>
      </c>
      <c r="Q1426" s="209" t="s">
        <v>174</v>
      </c>
      <c r="R1426" s="209" t="s">
        <v>175</v>
      </c>
      <c r="S1426" s="209" t="s">
        <v>176</v>
      </c>
      <c r="T1426" s="209" t="s">
        <v>177</v>
      </c>
      <c r="U1426" s="209" t="s">
        <v>178</v>
      </c>
      <c r="V1426" s="209" t="s">
        <v>179</v>
      </c>
      <c r="W1426" s="209" t="s">
        <v>179</v>
      </c>
      <c r="X1426" s="209" t="s">
        <v>180</v>
      </c>
      <c r="Y1426" s="209" t="s">
        <v>180</v>
      </c>
      <c r="Z1426" s="209" t="s">
        <v>3090</v>
      </c>
      <c r="AA1426" s="209" t="s">
        <v>3091</v>
      </c>
      <c r="AB1426" s="209" t="s">
        <v>180</v>
      </c>
      <c r="AC1426" s="209" t="s">
        <v>182</v>
      </c>
      <c r="AD1426" s="209">
        <v>10</v>
      </c>
      <c r="AE1426" s="209">
        <v>2025</v>
      </c>
      <c r="AF1426" s="227">
        <v>45945</v>
      </c>
      <c r="AG1426" s="227">
        <v>45951</v>
      </c>
      <c r="AH1426" s="227">
        <v>45951</v>
      </c>
      <c r="AI1426" s="228">
        <v>531648</v>
      </c>
      <c r="AJ1426" s="228">
        <v>52</v>
      </c>
      <c r="AK1426" s="228">
        <v>531648</v>
      </c>
      <c r="AL1426" s="228">
        <v>52</v>
      </c>
      <c r="AM1426" s="228">
        <v>0</v>
      </c>
      <c r="AN1426" s="228">
        <v>0</v>
      </c>
      <c r="AO1426" s="229">
        <v>42</v>
      </c>
      <c r="AP1426" s="231">
        <v>10</v>
      </c>
      <c r="AQ1426" s="231">
        <v>2025</v>
      </c>
      <c r="AR1426" s="231" t="str">
        <f t="shared" si="214"/>
        <v>10/2025</v>
      </c>
      <c r="AS1426" s="231">
        <f t="shared" si="215"/>
        <v>37.200000000000003</v>
      </c>
      <c r="AT1426" s="239">
        <f>IF(G1426="CERVECERIA Y MALTERIA",(AS1426*AK1426/1000000)*(1-VLOOKUP(N1426,FCST!D:I,6,FALSE)),0)</f>
        <v>19.777305600000002</v>
      </c>
      <c r="AU1426" s="232">
        <v>5.0000000000000001E-3</v>
      </c>
      <c r="AV1426" s="239">
        <f t="shared" si="216"/>
        <v>19.876192128</v>
      </c>
      <c r="AW1426" s="239">
        <f>(AS1426*AK1426/1000000)*(VLOOKUP(N1426,FCST!D:I,6,FALSE))</f>
        <v>0</v>
      </c>
      <c r="AX1426" s="239">
        <f t="shared" si="217"/>
        <v>0</v>
      </c>
      <c r="AY1426" s="239">
        <f>IF($G1426="CERVECERIA Y MALTERIA.",($AS1426*$AK1426/1000000)*(1-VLOOKUP($N1426,FCST!D:I,6,FALSE)),0)</f>
        <v>0</v>
      </c>
      <c r="AZ1426" s="239">
        <f t="shared" si="218"/>
        <v>0</v>
      </c>
    </row>
    <row r="1427" spans="1:52" x14ac:dyDescent="0.25">
      <c r="A1427" s="209">
        <v>1146120</v>
      </c>
      <c r="B1427" s="209">
        <v>10</v>
      </c>
      <c r="C1427" s="209" t="s">
        <v>3084</v>
      </c>
      <c r="D1427" s="209">
        <v>10</v>
      </c>
      <c r="E1427" s="209">
        <v>10000002</v>
      </c>
      <c r="F1427" s="209">
        <v>20000336</v>
      </c>
      <c r="G1427" s="209" t="s">
        <v>105</v>
      </c>
      <c r="H1427" s="209">
        <v>20000336</v>
      </c>
      <c r="I1427" s="209">
        <v>2</v>
      </c>
      <c r="J1427" s="209" t="s">
        <v>169</v>
      </c>
      <c r="K1427" s="209" t="s">
        <v>3085</v>
      </c>
      <c r="L1427" s="209" t="s">
        <v>265</v>
      </c>
      <c r="M1427" s="209" t="s">
        <v>199</v>
      </c>
      <c r="N1427" s="209">
        <v>50032583</v>
      </c>
      <c r="O1427" s="209" t="s">
        <v>205</v>
      </c>
      <c r="P1427" s="209">
        <v>5121</v>
      </c>
      <c r="Q1427" s="209" t="s">
        <v>200</v>
      </c>
      <c r="R1427" s="209" t="s">
        <v>201</v>
      </c>
      <c r="S1427" s="209" t="s">
        <v>202</v>
      </c>
      <c r="T1427" s="209" t="s">
        <v>203</v>
      </c>
      <c r="U1427" s="209" t="s">
        <v>201</v>
      </c>
      <c r="V1427" s="209" t="s">
        <v>179</v>
      </c>
      <c r="W1427" s="209" t="s">
        <v>179</v>
      </c>
      <c r="X1427" s="209" t="s">
        <v>180</v>
      </c>
      <c r="Y1427" s="209" t="s">
        <v>180</v>
      </c>
      <c r="Z1427" s="209" t="s">
        <v>3086</v>
      </c>
      <c r="AA1427" s="209" t="s">
        <v>3087</v>
      </c>
      <c r="AB1427" s="209" t="s">
        <v>180</v>
      </c>
      <c r="AC1427" s="209" t="s">
        <v>182</v>
      </c>
      <c r="AD1427" s="209">
        <v>10</v>
      </c>
      <c r="AE1427" s="209">
        <v>2025</v>
      </c>
      <c r="AF1427" s="227">
        <v>45947</v>
      </c>
      <c r="AG1427" s="227">
        <v>45950</v>
      </c>
      <c r="AH1427" s="227">
        <v>45951</v>
      </c>
      <c r="AI1427" s="228">
        <v>189504</v>
      </c>
      <c r="AJ1427" s="228">
        <v>28</v>
      </c>
      <c r="AK1427" s="228">
        <v>189504</v>
      </c>
      <c r="AL1427" s="228">
        <v>28</v>
      </c>
      <c r="AM1427" s="228">
        <v>0</v>
      </c>
      <c r="AN1427" s="228">
        <v>0</v>
      </c>
      <c r="AO1427" s="229">
        <v>43</v>
      </c>
      <c r="AP1427" s="231">
        <v>10</v>
      </c>
      <c r="AQ1427" s="231">
        <v>2025</v>
      </c>
      <c r="AR1427" s="231" t="str">
        <f t="shared" si="214"/>
        <v>10/2025</v>
      </c>
      <c r="AS1427" s="231">
        <f t="shared" si="215"/>
        <v>54.7</v>
      </c>
      <c r="AT1427" s="239">
        <f>IF(G1427="CERVECERIA Y MALTERIA",(AS1427*AK1427/1000000)*(1-VLOOKUP(N1427,FCST!D:I,6,FALSE)),0)</f>
        <v>10.365868800000001</v>
      </c>
      <c r="AU1427" s="232">
        <v>5.0000000000000001E-3</v>
      </c>
      <c r="AV1427" s="239">
        <f t="shared" si="216"/>
        <v>10.417698144000001</v>
      </c>
      <c r="AW1427" s="239">
        <f>(AS1427*AK1427/1000000)*(VLOOKUP(N1427,FCST!D:I,6,FALSE))</f>
        <v>0</v>
      </c>
      <c r="AX1427" s="239">
        <f t="shared" si="217"/>
        <v>0</v>
      </c>
      <c r="AY1427" s="239">
        <f>IF($G1427="CERVECERIA Y MALTERIA.",($AS1427*$AK1427/1000000)*(1-VLOOKUP($N1427,FCST!D:I,6,FALSE)),0)</f>
        <v>0</v>
      </c>
      <c r="AZ1427" s="239">
        <f t="shared" si="218"/>
        <v>0</v>
      </c>
    </row>
    <row r="1428" spans="1:52" x14ac:dyDescent="0.25">
      <c r="A1428" s="209">
        <v>1145496</v>
      </c>
      <c r="B1428" s="209">
        <v>70</v>
      </c>
      <c r="C1428" s="209" t="s">
        <v>3092</v>
      </c>
      <c r="D1428" s="209">
        <v>10</v>
      </c>
      <c r="E1428" s="209">
        <v>10000002</v>
      </c>
      <c r="F1428" s="209">
        <v>20000335</v>
      </c>
      <c r="G1428" s="209" t="s">
        <v>105</v>
      </c>
      <c r="H1428" s="209">
        <v>20000335</v>
      </c>
      <c r="I1428" s="209">
        <v>2</v>
      </c>
      <c r="J1428" s="209" t="s">
        <v>169</v>
      </c>
      <c r="K1428" s="209" t="s">
        <v>3093</v>
      </c>
      <c r="L1428" s="209" t="s">
        <v>265</v>
      </c>
      <c r="M1428" s="209" t="s">
        <v>199</v>
      </c>
      <c r="N1428" s="209">
        <v>50037887</v>
      </c>
      <c r="O1428" s="209" t="s">
        <v>679</v>
      </c>
      <c r="P1428" s="209">
        <v>5121</v>
      </c>
      <c r="Q1428" s="209" t="s">
        <v>200</v>
      </c>
      <c r="R1428" s="209" t="s">
        <v>201</v>
      </c>
      <c r="S1428" s="209" t="s">
        <v>202</v>
      </c>
      <c r="T1428" s="209" t="s">
        <v>203</v>
      </c>
      <c r="U1428" s="209" t="s">
        <v>201</v>
      </c>
      <c r="V1428" s="209" t="s">
        <v>179</v>
      </c>
      <c r="W1428" s="209" t="s">
        <v>179</v>
      </c>
      <c r="X1428" s="209" t="s">
        <v>180</v>
      </c>
      <c r="Y1428" s="209" t="s">
        <v>180</v>
      </c>
      <c r="Z1428" s="209" t="s">
        <v>3090</v>
      </c>
      <c r="AA1428" s="209" t="s">
        <v>3091</v>
      </c>
      <c r="AB1428" s="209" t="s">
        <v>180</v>
      </c>
      <c r="AC1428" s="209" t="s">
        <v>182</v>
      </c>
      <c r="AD1428" s="209">
        <v>10</v>
      </c>
      <c r="AE1428" s="209">
        <v>2025</v>
      </c>
      <c r="AF1428" s="227">
        <v>45945</v>
      </c>
      <c r="AG1428" s="227">
        <v>45952</v>
      </c>
      <c r="AH1428" s="227">
        <v>45952</v>
      </c>
      <c r="AI1428" s="228">
        <v>531648</v>
      </c>
      <c r="AJ1428" s="228">
        <v>52</v>
      </c>
      <c r="AK1428" s="228">
        <v>531648</v>
      </c>
      <c r="AL1428" s="228">
        <v>52</v>
      </c>
      <c r="AM1428" s="228">
        <v>0</v>
      </c>
      <c r="AN1428" s="228">
        <v>0</v>
      </c>
      <c r="AO1428" s="229">
        <v>42</v>
      </c>
      <c r="AP1428" s="231">
        <v>10</v>
      </c>
      <c r="AQ1428" s="231">
        <v>2025</v>
      </c>
      <c r="AR1428" s="231" t="str">
        <f t="shared" si="214"/>
        <v>10/2025</v>
      </c>
      <c r="AS1428" s="231">
        <f t="shared" si="215"/>
        <v>37.200000000000003</v>
      </c>
      <c r="AT1428" s="239">
        <f>IF(G1428="CERVECERIA Y MALTERIA",(AS1428*AK1428/1000000)*(1-VLOOKUP(N1428,FCST!D:I,6,FALSE)),0)</f>
        <v>19.777305600000002</v>
      </c>
      <c r="AU1428" s="232">
        <v>5.0000000000000001E-3</v>
      </c>
      <c r="AV1428" s="239">
        <f t="shared" si="216"/>
        <v>19.876192128</v>
      </c>
      <c r="AW1428" s="239">
        <f>(AS1428*AK1428/1000000)*(VLOOKUP(N1428,FCST!D:I,6,FALSE))</f>
        <v>0</v>
      </c>
      <c r="AX1428" s="239">
        <f t="shared" si="217"/>
        <v>0</v>
      </c>
      <c r="AY1428" s="239">
        <f>IF($G1428="CERVECERIA Y MALTERIA.",($AS1428*$AK1428/1000000)*(1-VLOOKUP($N1428,FCST!D:I,6,FALSE)),0)</f>
        <v>0</v>
      </c>
      <c r="AZ1428" s="239">
        <f t="shared" si="218"/>
        <v>0</v>
      </c>
    </row>
    <row r="1429" spans="1:52" x14ac:dyDescent="0.25">
      <c r="A1429" s="209">
        <v>1145496</v>
      </c>
      <c r="B1429" s="209">
        <v>90</v>
      </c>
      <c r="C1429" s="209" t="s">
        <v>3094</v>
      </c>
      <c r="D1429" s="209">
        <v>10</v>
      </c>
      <c r="E1429" s="209">
        <v>10000002</v>
      </c>
      <c r="F1429" s="209">
        <v>20000335</v>
      </c>
      <c r="G1429" s="209" t="s">
        <v>105</v>
      </c>
      <c r="H1429" s="209">
        <v>20000335</v>
      </c>
      <c r="I1429" s="209">
        <v>2</v>
      </c>
      <c r="J1429" s="209" t="s">
        <v>169</v>
      </c>
      <c r="K1429" s="209" t="s">
        <v>3095</v>
      </c>
      <c r="L1429" s="209" t="s">
        <v>265</v>
      </c>
      <c r="M1429" s="209" t="s">
        <v>2718</v>
      </c>
      <c r="N1429" s="209">
        <v>50035184</v>
      </c>
      <c r="O1429" s="209" t="s">
        <v>672</v>
      </c>
      <c r="P1429" s="209">
        <v>5121</v>
      </c>
      <c r="Q1429" s="209" t="s">
        <v>174</v>
      </c>
      <c r="R1429" s="209" t="s">
        <v>175</v>
      </c>
      <c r="S1429" s="209" t="s">
        <v>176</v>
      </c>
      <c r="T1429" s="209" t="s">
        <v>177</v>
      </c>
      <c r="U1429" s="209" t="s">
        <v>178</v>
      </c>
      <c r="V1429" s="209" t="s">
        <v>179</v>
      </c>
      <c r="W1429" s="209" t="s">
        <v>179</v>
      </c>
      <c r="X1429" s="209" t="s">
        <v>180</v>
      </c>
      <c r="Y1429" s="209" t="s">
        <v>180</v>
      </c>
      <c r="Z1429" s="209" t="s">
        <v>3096</v>
      </c>
      <c r="AA1429" s="209" t="s">
        <v>3097</v>
      </c>
      <c r="AB1429" s="209" t="s">
        <v>180</v>
      </c>
      <c r="AC1429" s="209" t="s">
        <v>182</v>
      </c>
      <c r="AD1429" s="209">
        <v>10</v>
      </c>
      <c r="AE1429" s="209">
        <v>2025</v>
      </c>
      <c r="AF1429" s="227">
        <v>45945</v>
      </c>
      <c r="AG1429" s="227">
        <v>45953</v>
      </c>
      <c r="AH1429" s="227">
        <v>45953</v>
      </c>
      <c r="AI1429" s="228">
        <v>977184</v>
      </c>
      <c r="AJ1429" s="228">
        <v>52</v>
      </c>
      <c r="AK1429" s="228">
        <v>977184</v>
      </c>
      <c r="AL1429" s="228">
        <v>52</v>
      </c>
      <c r="AM1429" s="228">
        <v>0</v>
      </c>
      <c r="AN1429" s="228">
        <v>0</v>
      </c>
      <c r="AO1429" s="229">
        <v>42</v>
      </c>
      <c r="AP1429" s="231">
        <v>10</v>
      </c>
      <c r="AQ1429" s="231">
        <v>2025</v>
      </c>
      <c r="AR1429" s="231" t="str">
        <f t="shared" si="214"/>
        <v>10/2025</v>
      </c>
      <c r="AS1429" s="231">
        <f t="shared" si="215"/>
        <v>19.5</v>
      </c>
      <c r="AT1429" s="239">
        <f>IF(G1429="CERVECERIA Y MALTERIA",(AS1429*AK1429/1000000)*(1-VLOOKUP(N1429,FCST!D:I,6,FALSE)),0)</f>
        <v>19.055088000000001</v>
      </c>
      <c r="AU1429" s="232">
        <v>5.0000000000000001E-3</v>
      </c>
      <c r="AV1429" s="239">
        <f t="shared" si="216"/>
        <v>19.15036344</v>
      </c>
      <c r="AW1429" s="239">
        <f>(AS1429*AK1429/1000000)*(VLOOKUP(N1429,FCST!D:I,6,FALSE))</f>
        <v>0</v>
      </c>
      <c r="AX1429" s="239">
        <f t="shared" si="217"/>
        <v>0</v>
      </c>
      <c r="AY1429" s="239">
        <f>IF($G1429="CERVECERIA Y MALTERIA.",($AS1429*$AK1429/1000000)*(1-VLOOKUP($N1429,FCST!D:I,6,FALSE)),0)</f>
        <v>0</v>
      </c>
      <c r="AZ1429" s="239">
        <f t="shared" si="218"/>
        <v>0</v>
      </c>
    </row>
    <row r="1430" spans="1:52" x14ac:dyDescent="0.25">
      <c r="A1430" s="209">
        <v>1145496</v>
      </c>
      <c r="B1430" s="209">
        <v>110</v>
      </c>
      <c r="C1430" s="209" t="s">
        <v>3098</v>
      </c>
      <c r="D1430" s="209">
        <v>10</v>
      </c>
      <c r="E1430" s="209">
        <v>10000002</v>
      </c>
      <c r="F1430" s="209">
        <v>20000335</v>
      </c>
      <c r="G1430" s="209" t="s">
        <v>105</v>
      </c>
      <c r="H1430" s="209">
        <v>20000335</v>
      </c>
      <c r="I1430" s="209">
        <v>2</v>
      </c>
      <c r="J1430" s="209" t="s">
        <v>169</v>
      </c>
      <c r="K1430" s="209" t="s">
        <v>3099</v>
      </c>
      <c r="L1430" s="209" t="s">
        <v>265</v>
      </c>
      <c r="M1430" s="209" t="s">
        <v>199</v>
      </c>
      <c r="N1430" s="209">
        <v>50025345</v>
      </c>
      <c r="O1430" s="209" t="s">
        <v>1998</v>
      </c>
      <c r="P1430" s="209">
        <v>5121</v>
      </c>
      <c r="Q1430" s="209" t="s">
        <v>200</v>
      </c>
      <c r="R1430" s="209" t="s">
        <v>201</v>
      </c>
      <c r="S1430" s="209" t="s">
        <v>202</v>
      </c>
      <c r="T1430" s="209" t="s">
        <v>203</v>
      </c>
      <c r="U1430" s="209" t="s">
        <v>201</v>
      </c>
      <c r="V1430" s="209" t="s">
        <v>179</v>
      </c>
      <c r="W1430" s="209" t="s">
        <v>179</v>
      </c>
      <c r="X1430" s="209" t="s">
        <v>180</v>
      </c>
      <c r="Y1430" s="209" t="s">
        <v>180</v>
      </c>
      <c r="Z1430" s="209" t="s">
        <v>3100</v>
      </c>
      <c r="AA1430" s="209" t="s">
        <v>3101</v>
      </c>
      <c r="AB1430" s="209" t="s">
        <v>180</v>
      </c>
      <c r="AC1430" s="209" t="s">
        <v>182</v>
      </c>
      <c r="AD1430" s="209">
        <v>10</v>
      </c>
      <c r="AE1430" s="209">
        <v>2025</v>
      </c>
      <c r="AF1430" s="227">
        <v>45945</v>
      </c>
      <c r="AG1430" s="227">
        <v>45953</v>
      </c>
      <c r="AH1430" s="227">
        <v>45953</v>
      </c>
      <c r="AI1430" s="228">
        <v>426816</v>
      </c>
      <c r="AJ1430" s="228">
        <v>52</v>
      </c>
      <c r="AK1430" s="228">
        <v>426816</v>
      </c>
      <c r="AL1430" s="228">
        <v>52</v>
      </c>
      <c r="AM1430" s="228">
        <v>0</v>
      </c>
      <c r="AN1430" s="228">
        <v>0</v>
      </c>
      <c r="AO1430" s="229">
        <v>42</v>
      </c>
      <c r="AP1430" s="231">
        <v>10</v>
      </c>
      <c r="AQ1430" s="231">
        <v>2025</v>
      </c>
      <c r="AR1430" s="231" t="str">
        <f t="shared" si="214"/>
        <v>10/2025</v>
      </c>
      <c r="AS1430" s="231">
        <f t="shared" si="215"/>
        <v>46.6</v>
      </c>
      <c r="AT1430" s="239">
        <f>IF(G1430="CERVECERIA Y MALTERIA",(AS1430*AK1430/1000000)*(1-VLOOKUP(N1430,FCST!D:I,6,FALSE)),0)</f>
        <v>19.889625600000002</v>
      </c>
      <c r="AU1430" s="232">
        <v>5.0000000000000001E-3</v>
      </c>
      <c r="AV1430" s="239">
        <f t="shared" si="216"/>
        <v>19.989073728000001</v>
      </c>
      <c r="AW1430" s="239">
        <f>(AS1430*AK1430/1000000)*(VLOOKUP(N1430,FCST!D:I,6,FALSE))</f>
        <v>0</v>
      </c>
      <c r="AX1430" s="239">
        <f t="shared" si="217"/>
        <v>0</v>
      </c>
      <c r="AY1430" s="239">
        <f>IF($G1430="CERVECERIA Y MALTERIA.",($AS1430*$AK1430/1000000)*(1-VLOOKUP($N1430,FCST!D:I,6,FALSE)),0)</f>
        <v>0</v>
      </c>
      <c r="AZ1430" s="239">
        <f t="shared" si="218"/>
        <v>0</v>
      </c>
    </row>
    <row r="1431" spans="1:52" x14ac:dyDescent="0.25">
      <c r="A1431" s="209">
        <v>1146120</v>
      </c>
      <c r="B1431" s="209">
        <v>30</v>
      </c>
      <c r="C1431" s="209" t="s">
        <v>3102</v>
      </c>
      <c r="D1431" s="209">
        <v>10</v>
      </c>
      <c r="E1431" s="209">
        <v>10000002</v>
      </c>
      <c r="F1431" s="209">
        <v>20000336</v>
      </c>
      <c r="G1431" s="209" t="s">
        <v>105</v>
      </c>
      <c r="H1431" s="209">
        <v>20000336</v>
      </c>
      <c r="I1431" s="209">
        <v>2</v>
      </c>
      <c r="J1431" s="209" t="s">
        <v>169</v>
      </c>
      <c r="K1431" s="209" t="s">
        <v>3103</v>
      </c>
      <c r="L1431" s="209" t="s">
        <v>265</v>
      </c>
      <c r="M1431" s="209" t="s">
        <v>2718</v>
      </c>
      <c r="N1431" s="209">
        <v>50034616</v>
      </c>
      <c r="O1431" s="209" t="s">
        <v>191</v>
      </c>
      <c r="P1431" s="209">
        <v>5121</v>
      </c>
      <c r="Q1431" s="209" t="s">
        <v>174</v>
      </c>
      <c r="R1431" s="209" t="s">
        <v>175</v>
      </c>
      <c r="S1431" s="209" t="s">
        <v>176</v>
      </c>
      <c r="T1431" s="209" t="s">
        <v>177</v>
      </c>
      <c r="U1431" s="209" t="s">
        <v>178</v>
      </c>
      <c r="V1431" s="209" t="s">
        <v>179</v>
      </c>
      <c r="W1431" s="209" t="s">
        <v>179</v>
      </c>
      <c r="X1431" s="209" t="s">
        <v>180</v>
      </c>
      <c r="Y1431" s="209" t="s">
        <v>180</v>
      </c>
      <c r="Z1431" s="209" t="s">
        <v>3104</v>
      </c>
      <c r="AA1431" s="209" t="s">
        <v>3105</v>
      </c>
      <c r="AB1431" s="209" t="s">
        <v>180</v>
      </c>
      <c r="AC1431" s="209" t="s">
        <v>182</v>
      </c>
      <c r="AD1431" s="209">
        <v>10</v>
      </c>
      <c r="AE1431" s="209">
        <v>2025</v>
      </c>
      <c r="AF1431" s="227">
        <v>45947</v>
      </c>
      <c r="AG1431" s="227">
        <v>45952</v>
      </c>
      <c r="AH1431" s="227">
        <v>45952</v>
      </c>
      <c r="AI1431" s="228">
        <v>426816</v>
      </c>
      <c r="AJ1431" s="228">
        <v>52</v>
      </c>
      <c r="AK1431" s="228">
        <v>426816</v>
      </c>
      <c r="AL1431" s="228">
        <v>52</v>
      </c>
      <c r="AM1431" s="228">
        <v>0</v>
      </c>
      <c r="AN1431" s="228">
        <v>0</v>
      </c>
      <c r="AO1431" s="229">
        <v>43</v>
      </c>
      <c r="AP1431" s="231">
        <v>10</v>
      </c>
      <c r="AQ1431" s="231">
        <v>2025</v>
      </c>
      <c r="AR1431" s="231" t="str">
        <f t="shared" si="214"/>
        <v>10/2025</v>
      </c>
      <c r="AS1431" s="231">
        <f t="shared" si="215"/>
        <v>46.6</v>
      </c>
      <c r="AT1431" s="239">
        <f>IF(G1431="CERVECERIA Y MALTERIA",(AS1431*AK1431/1000000)*(1-VLOOKUP(N1431,FCST!D:I,6,FALSE)),0)</f>
        <v>19.889625600000002</v>
      </c>
      <c r="AU1431" s="232">
        <v>5.0000000000000001E-3</v>
      </c>
      <c r="AV1431" s="239">
        <f t="shared" si="216"/>
        <v>19.989073728000001</v>
      </c>
      <c r="AW1431" s="239">
        <f>(AS1431*AK1431/1000000)*(VLOOKUP(N1431,FCST!D:I,6,FALSE))</f>
        <v>0</v>
      </c>
      <c r="AX1431" s="239">
        <f t="shared" si="217"/>
        <v>0</v>
      </c>
      <c r="AY1431" s="239">
        <f>IF($G1431="CERVECERIA Y MALTERIA.",($AS1431*$AK1431/1000000)*(1-VLOOKUP($N1431,FCST!D:I,6,FALSE)),0)</f>
        <v>0</v>
      </c>
      <c r="AZ1431" s="239">
        <f t="shared" si="218"/>
        <v>0</v>
      </c>
    </row>
    <row r="1432" spans="1:52" x14ac:dyDescent="0.25">
      <c r="A1432" s="209">
        <v>1145806</v>
      </c>
      <c r="B1432" s="209">
        <v>10</v>
      </c>
      <c r="C1432" s="209" t="s">
        <v>3106</v>
      </c>
      <c r="D1432" s="209">
        <v>10</v>
      </c>
      <c r="E1432" s="209">
        <v>10000002</v>
      </c>
      <c r="F1432" s="209">
        <v>20001057</v>
      </c>
      <c r="G1432" s="209" t="s">
        <v>105</v>
      </c>
      <c r="H1432" s="209">
        <v>20001057</v>
      </c>
      <c r="I1432" s="209">
        <v>2</v>
      </c>
      <c r="J1432" s="209" t="s">
        <v>169</v>
      </c>
      <c r="K1432" s="209" t="s">
        <v>3107</v>
      </c>
      <c r="L1432" s="209" t="s">
        <v>265</v>
      </c>
      <c r="M1432" s="209" t="s">
        <v>199</v>
      </c>
      <c r="N1432" s="209">
        <v>50035184</v>
      </c>
      <c r="O1432" s="209" t="s">
        <v>672</v>
      </c>
      <c r="P1432" s="209">
        <v>5121</v>
      </c>
      <c r="Q1432" s="209" t="s">
        <v>200</v>
      </c>
      <c r="R1432" s="209" t="s">
        <v>201</v>
      </c>
      <c r="S1432" s="209" t="s">
        <v>202</v>
      </c>
      <c r="T1432" s="209" t="s">
        <v>203</v>
      </c>
      <c r="U1432" s="209" t="s">
        <v>201</v>
      </c>
      <c r="V1432" s="209" t="s">
        <v>179</v>
      </c>
      <c r="W1432" s="209" t="s">
        <v>179</v>
      </c>
      <c r="X1432" s="209" t="s">
        <v>180</v>
      </c>
      <c r="Y1432" s="209" t="s">
        <v>180</v>
      </c>
      <c r="Z1432" s="209" t="s">
        <v>3108</v>
      </c>
      <c r="AA1432" s="209" t="s">
        <v>3109</v>
      </c>
      <c r="AB1432" s="209" t="s">
        <v>180</v>
      </c>
      <c r="AC1432" s="209" t="s">
        <v>182</v>
      </c>
      <c r="AD1432" s="209">
        <v>10</v>
      </c>
      <c r="AE1432" s="209">
        <v>2025</v>
      </c>
      <c r="AF1432" s="227">
        <v>45946</v>
      </c>
      <c r="AG1432" s="227">
        <v>45952</v>
      </c>
      <c r="AH1432" s="227">
        <v>45952</v>
      </c>
      <c r="AI1432" s="228">
        <v>281880</v>
      </c>
      <c r="AJ1432" s="228">
        <v>15</v>
      </c>
      <c r="AK1432" s="228">
        <v>281880</v>
      </c>
      <c r="AL1432" s="228">
        <v>15</v>
      </c>
      <c r="AM1432" s="228">
        <v>0</v>
      </c>
      <c r="AN1432" s="228">
        <v>0</v>
      </c>
      <c r="AO1432" s="229">
        <v>43</v>
      </c>
      <c r="AP1432" s="231">
        <v>10</v>
      </c>
      <c r="AQ1432" s="231">
        <v>2025</v>
      </c>
      <c r="AR1432" s="231" t="str">
        <f t="shared" si="214"/>
        <v>10/2025</v>
      </c>
      <c r="AS1432" s="231">
        <f t="shared" si="215"/>
        <v>19.5</v>
      </c>
      <c r="AT1432" s="239">
        <f>IF(G1432="CERVECERIA Y MALTERIA",(AS1432*AK1432/1000000)*(1-VLOOKUP(N1432,FCST!D:I,6,FALSE)),0)</f>
        <v>5.4966600000000003</v>
      </c>
      <c r="AU1432" s="232">
        <v>5.0000000000000001E-3</v>
      </c>
      <c r="AV1432" s="239">
        <f t="shared" si="216"/>
        <v>5.5241432999999995</v>
      </c>
      <c r="AW1432" s="239">
        <f>(AS1432*AK1432/1000000)*(VLOOKUP(N1432,FCST!D:I,6,FALSE))</f>
        <v>0</v>
      </c>
      <c r="AX1432" s="239">
        <f t="shared" si="217"/>
        <v>0</v>
      </c>
      <c r="AY1432" s="239">
        <f>IF($G1432="CERVECERIA Y MALTERIA.",($AS1432*$AK1432/1000000)*(1-VLOOKUP($N1432,FCST!D:I,6,FALSE)),0)</f>
        <v>0</v>
      </c>
      <c r="AZ1432" s="239">
        <f t="shared" si="218"/>
        <v>0</v>
      </c>
    </row>
    <row r="1433" spans="1:52" x14ac:dyDescent="0.25">
      <c r="A1433" s="209">
        <v>1145806</v>
      </c>
      <c r="B1433" s="209">
        <v>20</v>
      </c>
      <c r="C1433" s="209" t="s">
        <v>3106</v>
      </c>
      <c r="D1433" s="209">
        <v>20</v>
      </c>
      <c r="E1433" s="209">
        <v>10000002</v>
      </c>
      <c r="F1433" s="209">
        <v>20001057</v>
      </c>
      <c r="G1433" s="209" t="s">
        <v>105</v>
      </c>
      <c r="H1433" s="209">
        <v>20001057</v>
      </c>
      <c r="I1433" s="209">
        <v>2</v>
      </c>
      <c r="J1433" s="209" t="s">
        <v>169</v>
      </c>
      <c r="K1433" s="209" t="s">
        <v>3107</v>
      </c>
      <c r="L1433" s="209" t="s">
        <v>265</v>
      </c>
      <c r="M1433" s="209" t="s">
        <v>199</v>
      </c>
      <c r="N1433" s="209">
        <v>50032583</v>
      </c>
      <c r="O1433" s="209" t="s">
        <v>205</v>
      </c>
      <c r="P1433" s="209">
        <v>5121</v>
      </c>
      <c r="Q1433" s="209" t="s">
        <v>200</v>
      </c>
      <c r="R1433" s="209" t="s">
        <v>201</v>
      </c>
      <c r="S1433" s="209" t="s">
        <v>202</v>
      </c>
      <c r="T1433" s="209" t="s">
        <v>203</v>
      </c>
      <c r="U1433" s="209" t="s">
        <v>201</v>
      </c>
      <c r="V1433" s="209" t="s">
        <v>179</v>
      </c>
      <c r="W1433" s="209" t="s">
        <v>179</v>
      </c>
      <c r="X1433" s="209" t="s">
        <v>180</v>
      </c>
      <c r="Y1433" s="209" t="s">
        <v>180</v>
      </c>
      <c r="Z1433" s="209" t="s">
        <v>3108</v>
      </c>
      <c r="AA1433" s="209" t="s">
        <v>3109</v>
      </c>
      <c r="AB1433" s="209" t="s">
        <v>180</v>
      </c>
      <c r="AC1433" s="209" t="s">
        <v>182</v>
      </c>
      <c r="AD1433" s="209">
        <v>10</v>
      </c>
      <c r="AE1433" s="209">
        <v>2025</v>
      </c>
      <c r="AF1433" s="227">
        <v>45946</v>
      </c>
      <c r="AG1433" s="227">
        <v>45952</v>
      </c>
      <c r="AH1433" s="227">
        <v>45952</v>
      </c>
      <c r="AI1433" s="228">
        <v>101520</v>
      </c>
      <c r="AJ1433" s="228">
        <v>15</v>
      </c>
      <c r="AK1433" s="228">
        <v>101520</v>
      </c>
      <c r="AL1433" s="228">
        <v>15</v>
      </c>
      <c r="AM1433" s="228">
        <v>0</v>
      </c>
      <c r="AN1433" s="228">
        <v>0</v>
      </c>
      <c r="AO1433" s="229">
        <v>43</v>
      </c>
      <c r="AP1433" s="231">
        <v>10</v>
      </c>
      <c r="AQ1433" s="231">
        <v>2025</v>
      </c>
      <c r="AR1433" s="231" t="str">
        <f t="shared" si="214"/>
        <v>10/2025</v>
      </c>
      <c r="AS1433" s="231">
        <f t="shared" si="215"/>
        <v>54.7</v>
      </c>
      <c r="AT1433" s="239">
        <f>IF(G1433="CERVECERIA Y MALTERIA",(AS1433*AK1433/1000000)*(1-VLOOKUP(N1433,FCST!D:I,6,FALSE)),0)</f>
        <v>5.5531439999999996</v>
      </c>
      <c r="AU1433" s="232">
        <v>5.0000000000000001E-3</v>
      </c>
      <c r="AV1433" s="239">
        <f t="shared" si="216"/>
        <v>5.5809097199999993</v>
      </c>
      <c r="AW1433" s="239">
        <f>(AS1433*AK1433/1000000)*(VLOOKUP(N1433,FCST!D:I,6,FALSE))</f>
        <v>0</v>
      </c>
      <c r="AX1433" s="239">
        <f t="shared" si="217"/>
        <v>0</v>
      </c>
      <c r="AY1433" s="239">
        <f>IF($G1433="CERVECERIA Y MALTERIA.",($AS1433*$AK1433/1000000)*(1-VLOOKUP($N1433,FCST!D:I,6,FALSE)),0)</f>
        <v>0</v>
      </c>
      <c r="AZ1433" s="239">
        <f t="shared" si="218"/>
        <v>0</v>
      </c>
    </row>
    <row r="1434" spans="1:52" x14ac:dyDescent="0.25">
      <c r="A1434" s="209">
        <v>1145806</v>
      </c>
      <c r="B1434" s="209">
        <v>30</v>
      </c>
      <c r="C1434" s="209" t="s">
        <v>3106</v>
      </c>
      <c r="D1434" s="209">
        <v>30</v>
      </c>
      <c r="E1434" s="209">
        <v>10000002</v>
      </c>
      <c r="F1434" s="209">
        <v>20001057</v>
      </c>
      <c r="G1434" s="209" t="s">
        <v>105</v>
      </c>
      <c r="H1434" s="209">
        <v>20001057</v>
      </c>
      <c r="I1434" s="209">
        <v>2</v>
      </c>
      <c r="J1434" s="209" t="s">
        <v>169</v>
      </c>
      <c r="K1434" s="209" t="s">
        <v>3107</v>
      </c>
      <c r="L1434" s="209" t="s">
        <v>265</v>
      </c>
      <c r="M1434" s="209" t="s">
        <v>199</v>
      </c>
      <c r="N1434" s="209">
        <v>50025345</v>
      </c>
      <c r="O1434" s="209" t="s">
        <v>1998</v>
      </c>
      <c r="P1434" s="209">
        <v>5121</v>
      </c>
      <c r="Q1434" s="209" t="s">
        <v>200</v>
      </c>
      <c r="R1434" s="209" t="s">
        <v>201</v>
      </c>
      <c r="S1434" s="209" t="s">
        <v>202</v>
      </c>
      <c r="T1434" s="209" t="s">
        <v>203</v>
      </c>
      <c r="U1434" s="209" t="s">
        <v>201</v>
      </c>
      <c r="V1434" s="209" t="s">
        <v>179</v>
      </c>
      <c r="W1434" s="209" t="s">
        <v>179</v>
      </c>
      <c r="X1434" s="209" t="s">
        <v>180</v>
      </c>
      <c r="Y1434" s="209" t="s">
        <v>180</v>
      </c>
      <c r="Z1434" s="209" t="s">
        <v>3108</v>
      </c>
      <c r="AA1434" s="209" t="s">
        <v>3109</v>
      </c>
      <c r="AB1434" s="209" t="s">
        <v>180</v>
      </c>
      <c r="AC1434" s="209" t="s">
        <v>182</v>
      </c>
      <c r="AD1434" s="209">
        <v>10</v>
      </c>
      <c r="AE1434" s="209">
        <v>2025</v>
      </c>
      <c r="AF1434" s="227">
        <v>45946</v>
      </c>
      <c r="AG1434" s="227">
        <v>45952</v>
      </c>
      <c r="AH1434" s="227">
        <v>45952</v>
      </c>
      <c r="AI1434" s="228">
        <v>180576</v>
      </c>
      <c r="AJ1434" s="228">
        <v>22</v>
      </c>
      <c r="AK1434" s="228">
        <v>180576</v>
      </c>
      <c r="AL1434" s="228">
        <v>22</v>
      </c>
      <c r="AM1434" s="228">
        <v>0</v>
      </c>
      <c r="AN1434" s="228">
        <v>0</v>
      </c>
      <c r="AO1434" s="229">
        <v>43</v>
      </c>
      <c r="AP1434" s="231">
        <v>10</v>
      </c>
      <c r="AQ1434" s="231">
        <v>2025</v>
      </c>
      <c r="AR1434" s="231" t="str">
        <f t="shared" si="214"/>
        <v>10/2025</v>
      </c>
      <c r="AS1434" s="231">
        <f t="shared" si="215"/>
        <v>46.6</v>
      </c>
      <c r="AT1434" s="239">
        <f>IF(G1434="CERVECERIA Y MALTERIA",(AS1434*AK1434/1000000)*(1-VLOOKUP(N1434,FCST!D:I,6,FALSE)),0)</f>
        <v>8.414841599999999</v>
      </c>
      <c r="AU1434" s="232">
        <v>5.0000000000000001E-3</v>
      </c>
      <c r="AV1434" s="239">
        <f t="shared" si="216"/>
        <v>8.456915807999998</v>
      </c>
      <c r="AW1434" s="239">
        <f>(AS1434*AK1434/1000000)*(VLOOKUP(N1434,FCST!D:I,6,FALSE))</f>
        <v>0</v>
      </c>
      <c r="AX1434" s="239">
        <f t="shared" si="217"/>
        <v>0</v>
      </c>
      <c r="AY1434" s="239">
        <f>IF($G1434="CERVECERIA Y MALTERIA.",($AS1434*$AK1434/1000000)*(1-VLOOKUP($N1434,FCST!D:I,6,FALSE)),0)</f>
        <v>0</v>
      </c>
      <c r="AZ1434" s="239">
        <f t="shared" si="218"/>
        <v>0</v>
      </c>
    </row>
    <row r="1435" spans="1:52" x14ac:dyDescent="0.25">
      <c r="A1435" s="209">
        <v>1145496</v>
      </c>
      <c r="B1435" s="209">
        <v>40</v>
      </c>
      <c r="C1435" s="209" t="s">
        <v>3110</v>
      </c>
      <c r="D1435" s="209">
        <v>10</v>
      </c>
      <c r="E1435" s="209">
        <v>10000002</v>
      </c>
      <c r="F1435" s="209">
        <v>20000335</v>
      </c>
      <c r="G1435" s="209" t="s">
        <v>105</v>
      </c>
      <c r="H1435" s="209">
        <v>20000335</v>
      </c>
      <c r="I1435" s="209">
        <v>2</v>
      </c>
      <c r="J1435" s="209" t="s">
        <v>169</v>
      </c>
      <c r="K1435" s="209" t="s">
        <v>3111</v>
      </c>
      <c r="L1435" s="209" t="s">
        <v>265</v>
      </c>
      <c r="M1435" s="209" t="s">
        <v>199</v>
      </c>
      <c r="N1435" s="209">
        <v>50039815</v>
      </c>
      <c r="O1435" s="209" t="s">
        <v>2454</v>
      </c>
      <c r="P1435" s="209">
        <v>5121</v>
      </c>
      <c r="Q1435" s="209" t="s">
        <v>200</v>
      </c>
      <c r="R1435" s="209" t="s">
        <v>201</v>
      </c>
      <c r="S1435" s="209" t="s">
        <v>202</v>
      </c>
      <c r="T1435" s="209" t="s">
        <v>203</v>
      </c>
      <c r="U1435" s="209" t="s">
        <v>201</v>
      </c>
      <c r="V1435" s="209" t="s">
        <v>179</v>
      </c>
      <c r="W1435" s="209" t="s">
        <v>179</v>
      </c>
      <c r="X1435" s="209" t="s">
        <v>180</v>
      </c>
      <c r="Y1435" s="209" t="s">
        <v>180</v>
      </c>
      <c r="Z1435" s="209" t="s">
        <v>3082</v>
      </c>
      <c r="AA1435" s="209" t="s">
        <v>3083</v>
      </c>
      <c r="AB1435" s="209" t="s">
        <v>180</v>
      </c>
      <c r="AC1435" s="209" t="s">
        <v>182</v>
      </c>
      <c r="AD1435" s="209">
        <v>10</v>
      </c>
      <c r="AE1435" s="209">
        <v>2025</v>
      </c>
      <c r="AF1435" s="227">
        <v>45945</v>
      </c>
      <c r="AG1435" s="227">
        <v>45950</v>
      </c>
      <c r="AH1435" s="227">
        <v>45950</v>
      </c>
      <c r="AI1435" s="228">
        <v>426816</v>
      </c>
      <c r="AJ1435" s="228">
        <v>52</v>
      </c>
      <c r="AK1435" s="228">
        <v>426816</v>
      </c>
      <c r="AL1435" s="228">
        <v>52</v>
      </c>
      <c r="AM1435" s="228">
        <v>0</v>
      </c>
      <c r="AN1435" s="228">
        <v>0</v>
      </c>
      <c r="AO1435" s="229">
        <v>42</v>
      </c>
      <c r="AP1435" s="231">
        <v>10</v>
      </c>
      <c r="AQ1435" s="231">
        <v>2025</v>
      </c>
      <c r="AR1435" s="231" t="str">
        <f t="shared" si="214"/>
        <v>10/2025</v>
      </c>
      <c r="AS1435" s="231">
        <f t="shared" si="215"/>
        <v>46.6</v>
      </c>
      <c r="AT1435" s="239">
        <f>IF(G1435="CERVECERIA Y MALTERIA",(AS1435*AK1435/1000000)*(1-VLOOKUP(N1435,FCST!D:I,6,FALSE)),0)</f>
        <v>15.911700480000002</v>
      </c>
      <c r="AU1435" s="232">
        <v>5.0000000000000001E-3</v>
      </c>
      <c r="AV1435" s="239">
        <f t="shared" si="216"/>
        <v>15.9912589824</v>
      </c>
      <c r="AW1435" s="239">
        <f>(AS1435*AK1435/1000000)*(VLOOKUP(N1435,FCST!D:I,6,FALSE))</f>
        <v>3.9779251200000005</v>
      </c>
      <c r="AX1435" s="239">
        <f t="shared" si="217"/>
        <v>3.9978147455999999</v>
      </c>
      <c r="AY1435" s="239">
        <f>IF($G1435="CERVECERIA Y MALTERIA.",($AS1435*$AK1435/1000000)*(1-VLOOKUP($N1435,FCST!D:I,6,FALSE)),0)</f>
        <v>0</v>
      </c>
      <c r="AZ1435" s="239">
        <f t="shared" si="218"/>
        <v>0</v>
      </c>
    </row>
    <row r="1436" spans="1:52" x14ac:dyDescent="0.25">
      <c r="A1436" s="209">
        <v>1145496</v>
      </c>
      <c r="B1436" s="209">
        <v>30</v>
      </c>
      <c r="C1436" s="209" t="s">
        <v>3112</v>
      </c>
      <c r="D1436" s="209">
        <v>10</v>
      </c>
      <c r="E1436" s="209">
        <v>10000002</v>
      </c>
      <c r="F1436" s="209">
        <v>20000335</v>
      </c>
      <c r="G1436" s="209" t="s">
        <v>105</v>
      </c>
      <c r="H1436" s="209">
        <v>20000335</v>
      </c>
      <c r="I1436" s="209">
        <v>2</v>
      </c>
      <c r="J1436" s="209" t="s">
        <v>169</v>
      </c>
      <c r="K1436" s="209" t="s">
        <v>3113</v>
      </c>
      <c r="L1436" s="209" t="s">
        <v>265</v>
      </c>
      <c r="M1436" s="209" t="s">
        <v>199</v>
      </c>
      <c r="N1436" s="209">
        <v>50034616</v>
      </c>
      <c r="O1436" s="209" t="s">
        <v>191</v>
      </c>
      <c r="P1436" s="209">
        <v>5121</v>
      </c>
      <c r="Q1436" s="209" t="s">
        <v>200</v>
      </c>
      <c r="R1436" s="209" t="s">
        <v>201</v>
      </c>
      <c r="S1436" s="209" t="s">
        <v>202</v>
      </c>
      <c r="T1436" s="209" t="s">
        <v>203</v>
      </c>
      <c r="U1436" s="209" t="s">
        <v>201</v>
      </c>
      <c r="V1436" s="209" t="s">
        <v>179</v>
      </c>
      <c r="W1436" s="209" t="s">
        <v>179</v>
      </c>
      <c r="X1436" s="209" t="s">
        <v>180</v>
      </c>
      <c r="Y1436" s="209" t="s">
        <v>180</v>
      </c>
      <c r="Z1436" s="209" t="s">
        <v>3114</v>
      </c>
      <c r="AA1436" s="209" t="s">
        <v>3115</v>
      </c>
      <c r="AB1436" s="209" t="s">
        <v>180</v>
      </c>
      <c r="AC1436" s="209" t="s">
        <v>182</v>
      </c>
      <c r="AD1436" s="209">
        <v>10</v>
      </c>
      <c r="AE1436" s="209">
        <v>2025</v>
      </c>
      <c r="AF1436" s="227">
        <v>45945</v>
      </c>
      <c r="AG1436" s="227">
        <v>45950</v>
      </c>
      <c r="AH1436" s="227">
        <v>45950</v>
      </c>
      <c r="AI1436" s="228">
        <v>426816</v>
      </c>
      <c r="AJ1436" s="228">
        <v>52</v>
      </c>
      <c r="AK1436" s="228">
        <v>426816</v>
      </c>
      <c r="AL1436" s="228">
        <v>52</v>
      </c>
      <c r="AM1436" s="228">
        <v>0</v>
      </c>
      <c r="AN1436" s="228">
        <v>0</v>
      </c>
      <c r="AO1436" s="229">
        <v>42</v>
      </c>
      <c r="AP1436" s="231">
        <v>10</v>
      </c>
      <c r="AQ1436" s="231">
        <v>2025</v>
      </c>
      <c r="AR1436" s="231" t="str">
        <f t="shared" si="214"/>
        <v>10/2025</v>
      </c>
      <c r="AS1436" s="231">
        <f t="shared" si="215"/>
        <v>46.6</v>
      </c>
      <c r="AT1436" s="239">
        <f>IF(G1436="CERVECERIA Y MALTERIA",(AS1436*AK1436/1000000)*(1-VLOOKUP(N1436,FCST!D:I,6,FALSE)),0)</f>
        <v>19.889625600000002</v>
      </c>
      <c r="AU1436" s="232">
        <v>5.0000000000000001E-3</v>
      </c>
      <c r="AV1436" s="239">
        <f t="shared" si="216"/>
        <v>19.989073728000001</v>
      </c>
      <c r="AW1436" s="239">
        <f>(AS1436*AK1436/1000000)*(VLOOKUP(N1436,FCST!D:I,6,FALSE))</f>
        <v>0</v>
      </c>
      <c r="AX1436" s="239">
        <f t="shared" si="217"/>
        <v>0</v>
      </c>
      <c r="AY1436" s="239">
        <f>IF($G1436="CERVECERIA Y MALTERIA.",($AS1436*$AK1436/1000000)*(1-VLOOKUP($N1436,FCST!D:I,6,FALSE)),0)</f>
        <v>0</v>
      </c>
      <c r="AZ1436" s="239">
        <f t="shared" si="218"/>
        <v>0</v>
      </c>
    </row>
    <row r="1437" spans="1:52" x14ac:dyDescent="0.25">
      <c r="A1437" s="209">
        <v>1144410</v>
      </c>
      <c r="B1437" s="209">
        <v>80</v>
      </c>
      <c r="C1437" s="209" t="s">
        <v>3116</v>
      </c>
      <c r="D1437" s="209">
        <v>10</v>
      </c>
      <c r="E1437" s="209">
        <v>10000002</v>
      </c>
      <c r="F1437" s="209">
        <v>20000335</v>
      </c>
      <c r="G1437" s="209" t="s">
        <v>105</v>
      </c>
      <c r="H1437" s="209">
        <v>20000335</v>
      </c>
      <c r="I1437" s="209">
        <v>2</v>
      </c>
      <c r="J1437" s="209" t="s">
        <v>169</v>
      </c>
      <c r="K1437" s="209" t="s">
        <v>3117</v>
      </c>
      <c r="L1437" s="209" t="s">
        <v>265</v>
      </c>
      <c r="M1437" s="209" t="s">
        <v>184</v>
      </c>
      <c r="N1437" s="209">
        <v>50037887</v>
      </c>
      <c r="O1437" s="209" t="s">
        <v>679</v>
      </c>
      <c r="P1437" s="209">
        <v>5121</v>
      </c>
      <c r="Q1437" s="209" t="s">
        <v>174</v>
      </c>
      <c r="R1437" s="209" t="s">
        <v>175</v>
      </c>
      <c r="S1437" s="209" t="s">
        <v>176</v>
      </c>
      <c r="T1437" s="209" t="s">
        <v>177</v>
      </c>
      <c r="U1437" s="209" t="s">
        <v>178</v>
      </c>
      <c r="V1437" s="209" t="s">
        <v>179</v>
      </c>
      <c r="W1437" s="209" t="s">
        <v>179</v>
      </c>
      <c r="X1437" s="209" t="s">
        <v>180</v>
      </c>
      <c r="Y1437" s="209" t="s">
        <v>180</v>
      </c>
      <c r="Z1437" s="209" t="s">
        <v>3090</v>
      </c>
      <c r="AA1437" s="209" t="s">
        <v>3091</v>
      </c>
      <c r="AB1437" s="209" t="s">
        <v>180</v>
      </c>
      <c r="AC1437" s="209" t="s">
        <v>182</v>
      </c>
      <c r="AD1437" s="209">
        <v>10</v>
      </c>
      <c r="AE1437" s="209">
        <v>2025</v>
      </c>
      <c r="AF1437" s="227">
        <v>45938</v>
      </c>
      <c r="AG1437" s="227">
        <v>45946</v>
      </c>
      <c r="AH1437" s="227">
        <v>45947</v>
      </c>
      <c r="AI1437" s="228">
        <v>531648</v>
      </c>
      <c r="AJ1437" s="228">
        <v>52</v>
      </c>
      <c r="AK1437" s="228">
        <v>531648</v>
      </c>
      <c r="AL1437" s="228">
        <v>52</v>
      </c>
      <c r="AM1437" s="228">
        <v>0</v>
      </c>
      <c r="AN1437" s="228">
        <v>0</v>
      </c>
      <c r="AO1437" s="229">
        <v>42</v>
      </c>
      <c r="AP1437" s="231">
        <v>10</v>
      </c>
      <c r="AQ1437" s="231">
        <v>2025</v>
      </c>
      <c r="AR1437" s="231" t="str">
        <f t="shared" si="214"/>
        <v>10/2025</v>
      </c>
      <c r="AS1437" s="231">
        <f t="shared" si="215"/>
        <v>37.200000000000003</v>
      </c>
      <c r="AT1437" s="239">
        <f>IF(G1437="CERVECERIA Y MALTERIA",(AS1437*AK1437/1000000)*(1-VLOOKUP(N1437,FCST!D:I,6,FALSE)),0)</f>
        <v>19.777305600000002</v>
      </c>
      <c r="AU1437" s="232">
        <v>5.0000000000000001E-3</v>
      </c>
      <c r="AV1437" s="239">
        <f t="shared" si="216"/>
        <v>19.876192128</v>
      </c>
      <c r="AW1437" s="239">
        <f>(AS1437*AK1437/1000000)*(VLOOKUP(N1437,FCST!D:I,6,FALSE))</f>
        <v>0</v>
      </c>
      <c r="AX1437" s="239">
        <f t="shared" si="217"/>
        <v>0</v>
      </c>
      <c r="AY1437" s="239">
        <f>IF($G1437="CERVECERIA Y MALTERIA.",($AS1437*$AK1437/1000000)*(1-VLOOKUP($N1437,FCST!D:I,6,FALSE)),0)</f>
        <v>0</v>
      </c>
      <c r="AZ1437" s="239">
        <f t="shared" si="218"/>
        <v>0</v>
      </c>
    </row>
    <row r="1438" spans="1:52" x14ac:dyDescent="0.25">
      <c r="A1438" s="209">
        <v>1145496</v>
      </c>
      <c r="B1438" s="209">
        <v>10</v>
      </c>
      <c r="C1438" s="209" t="s">
        <v>3118</v>
      </c>
      <c r="D1438" s="209">
        <v>10</v>
      </c>
      <c r="E1438" s="209">
        <v>10000002</v>
      </c>
      <c r="F1438" s="209">
        <v>20000335</v>
      </c>
      <c r="G1438" s="209" t="s">
        <v>105</v>
      </c>
      <c r="H1438" s="209">
        <v>20000335</v>
      </c>
      <c r="I1438" s="209">
        <v>2</v>
      </c>
      <c r="J1438" s="209" t="s">
        <v>169</v>
      </c>
      <c r="K1438" s="209" t="s">
        <v>3119</v>
      </c>
      <c r="L1438" s="209" t="s">
        <v>265</v>
      </c>
      <c r="M1438" s="209" t="s">
        <v>199</v>
      </c>
      <c r="N1438" s="209">
        <v>50039815</v>
      </c>
      <c r="O1438" s="209" t="s">
        <v>2454</v>
      </c>
      <c r="P1438" s="209">
        <v>5121</v>
      </c>
      <c r="Q1438" s="209" t="s">
        <v>200</v>
      </c>
      <c r="R1438" s="209" t="s">
        <v>201</v>
      </c>
      <c r="S1438" s="209" t="s">
        <v>202</v>
      </c>
      <c r="T1438" s="209" t="s">
        <v>203</v>
      </c>
      <c r="U1438" s="209" t="s">
        <v>201</v>
      </c>
      <c r="V1438" s="209" t="s">
        <v>179</v>
      </c>
      <c r="W1438" s="209" t="s">
        <v>179</v>
      </c>
      <c r="X1438" s="209" t="s">
        <v>180</v>
      </c>
      <c r="Y1438" s="209" t="s">
        <v>180</v>
      </c>
      <c r="Z1438" s="209" t="s">
        <v>3082</v>
      </c>
      <c r="AA1438" s="209" t="s">
        <v>3083</v>
      </c>
      <c r="AB1438" s="209" t="s">
        <v>180</v>
      </c>
      <c r="AC1438" s="209" t="s">
        <v>182</v>
      </c>
      <c r="AD1438" s="209">
        <v>10</v>
      </c>
      <c r="AE1438" s="209">
        <v>2025</v>
      </c>
      <c r="AF1438" s="227">
        <v>45945</v>
      </c>
      <c r="AG1438" s="227">
        <v>45947</v>
      </c>
      <c r="AH1438" s="227">
        <v>45947</v>
      </c>
      <c r="AI1438" s="228">
        <v>426816</v>
      </c>
      <c r="AJ1438" s="228">
        <v>52</v>
      </c>
      <c r="AK1438" s="228">
        <v>426816</v>
      </c>
      <c r="AL1438" s="228">
        <v>52</v>
      </c>
      <c r="AM1438" s="228">
        <v>0</v>
      </c>
      <c r="AN1438" s="228">
        <v>0</v>
      </c>
      <c r="AO1438" s="229">
        <v>42</v>
      </c>
      <c r="AP1438" s="231">
        <v>10</v>
      </c>
      <c r="AQ1438" s="231">
        <v>2025</v>
      </c>
      <c r="AR1438" s="231" t="str">
        <f t="shared" si="214"/>
        <v>10/2025</v>
      </c>
      <c r="AS1438" s="231">
        <f t="shared" si="215"/>
        <v>46.6</v>
      </c>
      <c r="AT1438" s="239">
        <f>IF(G1438="CERVECERIA Y MALTERIA",(AS1438*AK1438/1000000)*(1-VLOOKUP(N1438,FCST!D:I,6,FALSE)),0)</f>
        <v>15.911700480000002</v>
      </c>
      <c r="AU1438" s="232">
        <v>5.0000000000000001E-3</v>
      </c>
      <c r="AV1438" s="239">
        <f t="shared" si="216"/>
        <v>15.9912589824</v>
      </c>
      <c r="AW1438" s="239">
        <f>(AS1438*AK1438/1000000)*(VLOOKUP(N1438,FCST!D:I,6,FALSE))</f>
        <v>3.9779251200000005</v>
      </c>
      <c r="AX1438" s="239">
        <f t="shared" si="217"/>
        <v>3.9978147455999999</v>
      </c>
      <c r="AY1438" s="239">
        <f>IF($G1438="CERVECERIA Y MALTERIA.",($AS1438*$AK1438/1000000)*(1-VLOOKUP($N1438,FCST!D:I,6,FALSE)),0)</f>
        <v>0</v>
      </c>
      <c r="AZ1438" s="239">
        <f t="shared" si="218"/>
        <v>0</v>
      </c>
    </row>
    <row r="1439" spans="1:52" x14ac:dyDescent="0.25">
      <c r="A1439" s="209">
        <v>1144590</v>
      </c>
      <c r="B1439" s="209">
        <v>30</v>
      </c>
      <c r="C1439" s="209" t="s">
        <v>3120</v>
      </c>
      <c r="D1439" s="209">
        <v>10</v>
      </c>
      <c r="E1439" s="209">
        <v>10000002</v>
      </c>
      <c r="F1439" s="209">
        <v>20000337</v>
      </c>
      <c r="G1439" s="209" t="s">
        <v>105</v>
      </c>
      <c r="H1439" s="209">
        <v>20000337</v>
      </c>
      <c r="I1439" s="209">
        <v>2</v>
      </c>
      <c r="J1439" s="209" t="s">
        <v>169</v>
      </c>
      <c r="K1439" s="209" t="s">
        <v>3121</v>
      </c>
      <c r="L1439" s="209" t="s">
        <v>265</v>
      </c>
      <c r="M1439" s="209" t="s">
        <v>199</v>
      </c>
      <c r="N1439" s="209">
        <v>50034616</v>
      </c>
      <c r="O1439" s="209" t="s">
        <v>191</v>
      </c>
      <c r="P1439" s="209">
        <v>5121</v>
      </c>
      <c r="Q1439" s="209" t="s">
        <v>200</v>
      </c>
      <c r="R1439" s="209" t="s">
        <v>201</v>
      </c>
      <c r="S1439" s="209" t="s">
        <v>202</v>
      </c>
      <c r="T1439" s="209" t="s">
        <v>203</v>
      </c>
      <c r="U1439" s="209" t="s">
        <v>201</v>
      </c>
      <c r="V1439" s="209" t="s">
        <v>179</v>
      </c>
      <c r="W1439" s="209" t="s">
        <v>179</v>
      </c>
      <c r="X1439" s="209" t="s">
        <v>180</v>
      </c>
      <c r="Y1439" s="209" t="s">
        <v>180</v>
      </c>
      <c r="Z1439" s="209" t="s">
        <v>3122</v>
      </c>
      <c r="AA1439" s="209" t="s">
        <v>3123</v>
      </c>
      <c r="AB1439" s="209" t="s">
        <v>180</v>
      </c>
      <c r="AC1439" s="209" t="s">
        <v>182</v>
      </c>
      <c r="AD1439" s="209">
        <v>10</v>
      </c>
      <c r="AE1439" s="209">
        <v>2025</v>
      </c>
      <c r="AF1439" s="227">
        <v>45939</v>
      </c>
      <c r="AG1439" s="227">
        <v>45948</v>
      </c>
      <c r="AH1439" s="227">
        <v>45948</v>
      </c>
      <c r="AI1439" s="228">
        <v>426816</v>
      </c>
      <c r="AJ1439" s="228">
        <v>52</v>
      </c>
      <c r="AK1439" s="228">
        <v>426816</v>
      </c>
      <c r="AL1439" s="228">
        <v>52</v>
      </c>
      <c r="AM1439" s="228">
        <v>0</v>
      </c>
      <c r="AN1439" s="228">
        <v>0</v>
      </c>
      <c r="AO1439" s="229">
        <v>42</v>
      </c>
      <c r="AP1439" s="231">
        <v>10</v>
      </c>
      <c r="AQ1439" s="231">
        <v>2025</v>
      </c>
      <c r="AR1439" s="231" t="str">
        <f t="shared" si="214"/>
        <v>10/2025</v>
      </c>
      <c r="AS1439" s="231">
        <f t="shared" si="215"/>
        <v>46.6</v>
      </c>
      <c r="AT1439" s="239">
        <f>IF(G1439="CERVECERIA Y MALTERIA",(AS1439*AK1439/1000000)*(1-VLOOKUP(N1439,FCST!D:I,6,FALSE)),0)</f>
        <v>19.889625600000002</v>
      </c>
      <c r="AU1439" s="232">
        <v>5.0000000000000001E-3</v>
      </c>
      <c r="AV1439" s="239">
        <f t="shared" si="216"/>
        <v>19.989073728000001</v>
      </c>
      <c r="AW1439" s="239">
        <f>(AS1439*AK1439/1000000)*(VLOOKUP(N1439,FCST!D:I,6,FALSE))</f>
        <v>0</v>
      </c>
      <c r="AX1439" s="239">
        <f t="shared" si="217"/>
        <v>0</v>
      </c>
      <c r="AY1439" s="239">
        <f>IF($G1439="CERVECERIA Y MALTERIA.",($AS1439*$AK1439/1000000)*(1-VLOOKUP($N1439,FCST!D:I,6,FALSE)),0)</f>
        <v>0</v>
      </c>
      <c r="AZ1439" s="239">
        <f t="shared" si="218"/>
        <v>0</v>
      </c>
    </row>
    <row r="1440" spans="1:52" x14ac:dyDescent="0.25">
      <c r="A1440" s="209">
        <v>1145496</v>
      </c>
      <c r="B1440" s="209">
        <v>20</v>
      </c>
      <c r="C1440" s="209" t="s">
        <v>3124</v>
      </c>
      <c r="D1440" s="209">
        <v>10</v>
      </c>
      <c r="E1440" s="209">
        <v>10000002</v>
      </c>
      <c r="F1440" s="209">
        <v>20000335</v>
      </c>
      <c r="G1440" s="209" t="s">
        <v>105</v>
      </c>
      <c r="H1440" s="209">
        <v>20000335</v>
      </c>
      <c r="I1440" s="209">
        <v>2</v>
      </c>
      <c r="J1440" s="209" t="s">
        <v>169</v>
      </c>
      <c r="K1440" s="209" t="s">
        <v>3125</v>
      </c>
      <c r="L1440" s="209" t="s">
        <v>265</v>
      </c>
      <c r="M1440" s="209" t="s">
        <v>184</v>
      </c>
      <c r="N1440" s="209">
        <v>50035184</v>
      </c>
      <c r="O1440" s="209" t="s">
        <v>672</v>
      </c>
      <c r="P1440" s="209">
        <v>5121</v>
      </c>
      <c r="Q1440" s="209" t="s">
        <v>174</v>
      </c>
      <c r="R1440" s="209" t="s">
        <v>175</v>
      </c>
      <c r="S1440" s="209" t="s">
        <v>176</v>
      </c>
      <c r="T1440" s="209" t="s">
        <v>177</v>
      </c>
      <c r="U1440" s="209" t="s">
        <v>178</v>
      </c>
      <c r="V1440" s="209" t="s">
        <v>179</v>
      </c>
      <c r="W1440" s="209" t="s">
        <v>179</v>
      </c>
      <c r="X1440" s="209" t="s">
        <v>180</v>
      </c>
      <c r="Y1440" s="209" t="s">
        <v>180</v>
      </c>
      <c r="Z1440" s="209" t="s">
        <v>3096</v>
      </c>
      <c r="AA1440" s="209" t="s">
        <v>3097</v>
      </c>
      <c r="AB1440" s="209" t="s">
        <v>180</v>
      </c>
      <c r="AC1440" s="209" t="s">
        <v>182</v>
      </c>
      <c r="AD1440" s="209">
        <v>10</v>
      </c>
      <c r="AE1440" s="209">
        <v>2025</v>
      </c>
      <c r="AF1440" s="227">
        <v>45945</v>
      </c>
      <c r="AG1440" s="227">
        <v>45950</v>
      </c>
      <c r="AH1440" s="227">
        <v>45950</v>
      </c>
      <c r="AI1440" s="228">
        <v>977184</v>
      </c>
      <c r="AJ1440" s="228">
        <v>52</v>
      </c>
      <c r="AK1440" s="228">
        <v>977184</v>
      </c>
      <c r="AL1440" s="228">
        <v>52</v>
      </c>
      <c r="AM1440" s="228">
        <v>0</v>
      </c>
      <c r="AN1440" s="228">
        <v>0</v>
      </c>
      <c r="AO1440" s="229">
        <v>42</v>
      </c>
      <c r="AP1440" s="231">
        <v>10</v>
      </c>
      <c r="AQ1440" s="231">
        <v>2025</v>
      </c>
      <c r="AR1440" s="231" t="str">
        <f t="shared" si="214"/>
        <v>10/2025</v>
      </c>
      <c r="AS1440" s="231">
        <f t="shared" si="215"/>
        <v>19.5</v>
      </c>
      <c r="AT1440" s="239">
        <f>IF(G1440="CERVECERIA Y MALTERIA",(AS1440*AK1440/1000000)*(1-VLOOKUP(N1440,FCST!D:I,6,FALSE)),0)</f>
        <v>19.055088000000001</v>
      </c>
      <c r="AU1440" s="232">
        <v>5.0000000000000001E-3</v>
      </c>
      <c r="AV1440" s="239">
        <f t="shared" si="216"/>
        <v>19.15036344</v>
      </c>
      <c r="AW1440" s="239">
        <f>(AS1440*AK1440/1000000)*(VLOOKUP(N1440,FCST!D:I,6,FALSE))</f>
        <v>0</v>
      </c>
      <c r="AX1440" s="239">
        <f t="shared" si="217"/>
        <v>0</v>
      </c>
      <c r="AY1440" s="239">
        <f>IF($G1440="CERVECERIA Y MALTERIA.",($AS1440*$AK1440/1000000)*(1-VLOOKUP($N1440,FCST!D:I,6,FALSE)),0)</f>
        <v>0</v>
      </c>
      <c r="AZ1440" s="239">
        <f t="shared" si="218"/>
        <v>0</v>
      </c>
    </row>
    <row r="1441" spans="1:52" x14ac:dyDescent="0.25">
      <c r="A1441" s="209">
        <v>1145496</v>
      </c>
      <c r="B1441" s="209">
        <v>60</v>
      </c>
      <c r="C1441" s="209" t="s">
        <v>3126</v>
      </c>
      <c r="D1441" s="209">
        <v>10</v>
      </c>
      <c r="E1441" s="209">
        <v>10000002</v>
      </c>
      <c r="F1441" s="209">
        <v>20000335</v>
      </c>
      <c r="G1441" s="209" t="s">
        <v>105</v>
      </c>
      <c r="H1441" s="209">
        <v>20000335</v>
      </c>
      <c r="I1441" s="209">
        <v>2</v>
      </c>
      <c r="J1441" s="209" t="s">
        <v>169</v>
      </c>
      <c r="K1441" s="209" t="s">
        <v>3127</v>
      </c>
      <c r="L1441" s="209" t="s">
        <v>265</v>
      </c>
      <c r="M1441" s="209" t="s">
        <v>199</v>
      </c>
      <c r="N1441" s="209">
        <v>50039815</v>
      </c>
      <c r="O1441" s="209" t="s">
        <v>2454</v>
      </c>
      <c r="P1441" s="209">
        <v>5121</v>
      </c>
      <c r="Q1441" s="209" t="s">
        <v>200</v>
      </c>
      <c r="R1441" s="209" t="s">
        <v>201</v>
      </c>
      <c r="S1441" s="209" t="s">
        <v>202</v>
      </c>
      <c r="T1441" s="209" t="s">
        <v>203</v>
      </c>
      <c r="U1441" s="209" t="s">
        <v>201</v>
      </c>
      <c r="V1441" s="209" t="s">
        <v>179</v>
      </c>
      <c r="W1441" s="209" t="s">
        <v>179</v>
      </c>
      <c r="X1441" s="209" t="s">
        <v>180</v>
      </c>
      <c r="Y1441" s="209" t="s">
        <v>180</v>
      </c>
      <c r="Z1441" s="209" t="s">
        <v>3082</v>
      </c>
      <c r="AA1441" s="209" t="s">
        <v>3083</v>
      </c>
      <c r="AB1441" s="209" t="s">
        <v>180</v>
      </c>
      <c r="AC1441" s="209" t="s">
        <v>182</v>
      </c>
      <c r="AD1441" s="209">
        <v>10</v>
      </c>
      <c r="AE1441" s="209">
        <v>2025</v>
      </c>
      <c r="AF1441" s="227">
        <v>45945</v>
      </c>
      <c r="AG1441" s="227">
        <v>45951</v>
      </c>
      <c r="AH1441" s="227">
        <v>45951</v>
      </c>
      <c r="AI1441" s="228">
        <v>426816</v>
      </c>
      <c r="AJ1441" s="228">
        <v>52</v>
      </c>
      <c r="AK1441" s="228">
        <v>426816</v>
      </c>
      <c r="AL1441" s="228">
        <v>52</v>
      </c>
      <c r="AM1441" s="228">
        <v>0</v>
      </c>
      <c r="AN1441" s="228">
        <v>0</v>
      </c>
      <c r="AO1441" s="229">
        <v>42</v>
      </c>
      <c r="AP1441" s="231">
        <v>10</v>
      </c>
      <c r="AQ1441" s="231">
        <v>2025</v>
      </c>
      <c r="AR1441" s="231" t="str">
        <f t="shared" si="214"/>
        <v>10/2025</v>
      </c>
      <c r="AS1441" s="231">
        <f t="shared" si="215"/>
        <v>46.6</v>
      </c>
      <c r="AT1441" s="239">
        <f>IF(G1441="CERVECERIA Y MALTERIA",(AS1441*AK1441/1000000)*(1-VLOOKUP(N1441,FCST!D:I,6,FALSE)),0)</f>
        <v>15.911700480000002</v>
      </c>
      <c r="AU1441" s="232">
        <v>5.0000000000000001E-3</v>
      </c>
      <c r="AV1441" s="239">
        <f t="shared" si="216"/>
        <v>15.9912589824</v>
      </c>
      <c r="AW1441" s="239">
        <f>(AS1441*AK1441/1000000)*(VLOOKUP(N1441,FCST!D:I,6,FALSE))</f>
        <v>3.9779251200000005</v>
      </c>
      <c r="AX1441" s="239">
        <f t="shared" si="217"/>
        <v>3.9978147455999999</v>
      </c>
      <c r="AY1441" s="239">
        <f>IF($G1441="CERVECERIA Y MALTERIA.",($AS1441*$AK1441/1000000)*(1-VLOOKUP($N1441,FCST!D:I,6,FALSE)),0)</f>
        <v>0</v>
      </c>
      <c r="AZ1441" s="239">
        <f t="shared" si="218"/>
        <v>0</v>
      </c>
    </row>
    <row r="1442" spans="1:52" x14ac:dyDescent="0.25">
      <c r="A1442" s="209">
        <v>1145503</v>
      </c>
      <c r="B1442" s="209">
        <v>10</v>
      </c>
      <c r="C1442" s="209" t="s">
        <v>3128</v>
      </c>
      <c r="D1442" s="209">
        <v>10</v>
      </c>
      <c r="E1442" s="209">
        <v>10000002</v>
      </c>
      <c r="F1442" s="209">
        <v>20000340</v>
      </c>
      <c r="G1442" s="209" t="s">
        <v>117</v>
      </c>
      <c r="H1442" s="209">
        <v>20000340</v>
      </c>
      <c r="I1442" s="209">
        <v>2</v>
      </c>
      <c r="J1442" s="209" t="s">
        <v>169</v>
      </c>
      <c r="K1442" s="209" t="s">
        <v>3129</v>
      </c>
      <c r="L1442" s="209" t="s">
        <v>265</v>
      </c>
      <c r="M1442" s="209" t="s">
        <v>2718</v>
      </c>
      <c r="N1442" s="209">
        <v>50025163</v>
      </c>
      <c r="O1442" s="209" t="s">
        <v>185</v>
      </c>
      <c r="P1442" s="209">
        <v>5101</v>
      </c>
      <c r="Q1442" s="209" t="s">
        <v>186</v>
      </c>
      <c r="R1442" s="209" t="s">
        <v>175</v>
      </c>
      <c r="S1442" s="209" t="s">
        <v>176</v>
      </c>
      <c r="T1442" s="209" t="s">
        <v>187</v>
      </c>
      <c r="U1442" s="209" t="s">
        <v>188</v>
      </c>
      <c r="V1442" s="209" t="s">
        <v>179</v>
      </c>
      <c r="W1442" s="209" t="s">
        <v>179</v>
      </c>
      <c r="X1442" s="209" t="s">
        <v>180</v>
      </c>
      <c r="Y1442" s="209" t="s">
        <v>180</v>
      </c>
      <c r="Z1442" s="209" t="s">
        <v>3078</v>
      </c>
      <c r="AA1442" s="209" t="s">
        <v>3079</v>
      </c>
      <c r="AB1442" s="209" t="s">
        <v>180</v>
      </c>
      <c r="AC1442" s="209" t="s">
        <v>182</v>
      </c>
      <c r="AD1442" s="209">
        <v>10</v>
      </c>
      <c r="AE1442" s="209">
        <v>2025</v>
      </c>
      <c r="AF1442" s="227">
        <v>45945</v>
      </c>
      <c r="AG1442" s="227">
        <v>45951</v>
      </c>
      <c r="AH1442" s="227">
        <v>45951</v>
      </c>
      <c r="AI1442" s="228">
        <v>606528</v>
      </c>
      <c r="AJ1442" s="228">
        <v>52</v>
      </c>
      <c r="AK1442" s="228">
        <v>606528</v>
      </c>
      <c r="AL1442" s="228">
        <v>52</v>
      </c>
      <c r="AM1442" s="228">
        <v>0</v>
      </c>
      <c r="AN1442" s="228">
        <v>0</v>
      </c>
      <c r="AO1442" s="229">
        <v>43</v>
      </c>
      <c r="AP1442" s="231">
        <v>10</v>
      </c>
      <c r="AQ1442" s="231">
        <v>2025</v>
      </c>
      <c r="AR1442" s="231" t="str">
        <f t="shared" si="214"/>
        <v>10/2025</v>
      </c>
      <c r="AS1442" s="231">
        <f t="shared" si="215"/>
        <v>30</v>
      </c>
      <c r="AT1442" s="239">
        <f>IF(G1442="CERVECERIA Y MALTERIA",(AS1442*AK1442/1000000)*(1-VLOOKUP(N1442,FCST!D:I,6,FALSE)),0)</f>
        <v>0</v>
      </c>
      <c r="AU1442" s="232">
        <v>5.0000000000000001E-3</v>
      </c>
      <c r="AV1442" s="239">
        <f t="shared" si="216"/>
        <v>0</v>
      </c>
      <c r="AW1442" s="239">
        <f>(AS1442*AK1442/1000000)*(VLOOKUP(N1442,FCST!D:I,6,FALSE))</f>
        <v>0</v>
      </c>
      <c r="AX1442" s="239">
        <f t="shared" si="217"/>
        <v>0</v>
      </c>
      <c r="AY1442" s="239">
        <f>IF($G1442="CERVECERIA Y MALTERIA.",($AS1442*$AK1442/1000000)*(1-VLOOKUP($N1442,FCST!D:I,6,FALSE)),0)</f>
        <v>18.19584</v>
      </c>
      <c r="AZ1442" s="239">
        <f t="shared" si="218"/>
        <v>18.2868192</v>
      </c>
    </row>
    <row r="1443" spans="1:52" x14ac:dyDescent="0.25">
      <c r="A1443" s="209">
        <v>1145808</v>
      </c>
      <c r="B1443" s="209">
        <v>20</v>
      </c>
      <c r="C1443" s="209" t="s">
        <v>3130</v>
      </c>
      <c r="D1443" s="209">
        <v>10</v>
      </c>
      <c r="E1443" s="209">
        <v>10000002</v>
      </c>
      <c r="F1443" s="209">
        <v>20000339</v>
      </c>
      <c r="G1443" s="209" t="s">
        <v>105</v>
      </c>
      <c r="H1443" s="209">
        <v>20000339</v>
      </c>
      <c r="I1443" s="209">
        <v>2</v>
      </c>
      <c r="J1443" s="209" t="s">
        <v>169</v>
      </c>
      <c r="K1443" s="209" t="s">
        <v>3131</v>
      </c>
      <c r="L1443" s="209" t="s">
        <v>265</v>
      </c>
      <c r="M1443" s="209" t="s">
        <v>227</v>
      </c>
      <c r="N1443" s="209">
        <v>50036287</v>
      </c>
      <c r="O1443" s="209" t="s">
        <v>2191</v>
      </c>
      <c r="P1443" s="209">
        <v>5121</v>
      </c>
      <c r="Q1443" s="209" t="s">
        <v>228</v>
      </c>
      <c r="R1443" s="209" t="s">
        <v>229</v>
      </c>
      <c r="S1443" s="209" t="s">
        <v>230</v>
      </c>
      <c r="T1443" s="209" t="s">
        <v>231</v>
      </c>
      <c r="U1443" s="209" t="s">
        <v>232</v>
      </c>
      <c r="V1443" s="209" t="s">
        <v>179</v>
      </c>
      <c r="W1443" s="209" t="s">
        <v>179</v>
      </c>
      <c r="X1443" s="209" t="s">
        <v>180</v>
      </c>
      <c r="Y1443" s="209" t="s">
        <v>180</v>
      </c>
      <c r="Z1443" s="209" t="s">
        <v>3132</v>
      </c>
      <c r="AA1443" s="209" t="s">
        <v>3133</v>
      </c>
      <c r="AB1443" s="209" t="s">
        <v>180</v>
      </c>
      <c r="AC1443" s="209" t="s">
        <v>182</v>
      </c>
      <c r="AD1443" s="209">
        <v>10</v>
      </c>
      <c r="AE1443" s="209">
        <v>2025</v>
      </c>
      <c r="AF1443" s="227">
        <v>45946</v>
      </c>
      <c r="AG1443" s="227">
        <v>45951</v>
      </c>
      <c r="AH1443" s="227">
        <v>45951</v>
      </c>
      <c r="AI1443" s="228">
        <v>363168</v>
      </c>
      <c r="AJ1443" s="228">
        <v>52</v>
      </c>
      <c r="AK1443" s="228">
        <v>363168</v>
      </c>
      <c r="AL1443" s="228">
        <v>52</v>
      </c>
      <c r="AM1443" s="228">
        <v>0</v>
      </c>
      <c r="AN1443" s="228">
        <v>0</v>
      </c>
      <c r="AO1443" s="229">
        <v>43</v>
      </c>
      <c r="AP1443" s="231">
        <v>10</v>
      </c>
      <c r="AQ1443" s="231">
        <v>2025</v>
      </c>
      <c r="AR1443" s="231" t="str">
        <f t="shared" si="214"/>
        <v>10/2025</v>
      </c>
      <c r="AS1443" s="231">
        <f t="shared" si="215"/>
        <v>52</v>
      </c>
      <c r="AT1443" s="239">
        <f>IF(G1443="CERVECERIA Y MALTERIA",(AS1443*AK1443/1000000)*(1-VLOOKUP(N1443,FCST!D:I,6,FALSE)),0)</f>
        <v>18.884736</v>
      </c>
      <c r="AU1443" s="232">
        <v>5.0000000000000001E-3</v>
      </c>
      <c r="AV1443" s="239">
        <f t="shared" si="216"/>
        <v>18.979159679999999</v>
      </c>
      <c r="AW1443" s="239">
        <f>(AS1443*AK1443/1000000)*(VLOOKUP(N1443,FCST!D:I,6,FALSE))</f>
        <v>0</v>
      </c>
      <c r="AX1443" s="239">
        <f t="shared" si="217"/>
        <v>0</v>
      </c>
      <c r="AY1443" s="239">
        <f>IF($G1443="CERVECERIA Y MALTERIA.",($AS1443*$AK1443/1000000)*(1-VLOOKUP($N1443,FCST!D:I,6,FALSE)),0)</f>
        <v>0</v>
      </c>
      <c r="AZ1443" s="239">
        <f t="shared" si="218"/>
        <v>0</v>
      </c>
    </row>
    <row r="1444" spans="1:52" x14ac:dyDescent="0.25">
      <c r="A1444" s="209">
        <v>1145808</v>
      </c>
      <c r="B1444" s="209">
        <v>10</v>
      </c>
      <c r="C1444" s="209" t="s">
        <v>3134</v>
      </c>
      <c r="D1444" s="209">
        <v>10</v>
      </c>
      <c r="E1444" s="209">
        <v>10000002</v>
      </c>
      <c r="F1444" s="209">
        <v>20000339</v>
      </c>
      <c r="G1444" s="209" t="s">
        <v>105</v>
      </c>
      <c r="H1444" s="209">
        <v>20000339</v>
      </c>
      <c r="I1444" s="209">
        <v>2</v>
      </c>
      <c r="J1444" s="209" t="s">
        <v>169</v>
      </c>
      <c r="K1444" s="209" t="s">
        <v>3135</v>
      </c>
      <c r="L1444" s="209" t="s">
        <v>265</v>
      </c>
      <c r="M1444" s="209" t="s">
        <v>227</v>
      </c>
      <c r="N1444" s="209">
        <v>50036287</v>
      </c>
      <c r="O1444" s="209" t="s">
        <v>2191</v>
      </c>
      <c r="P1444" s="209">
        <v>5121</v>
      </c>
      <c r="Q1444" s="209" t="s">
        <v>228</v>
      </c>
      <c r="R1444" s="209" t="s">
        <v>229</v>
      </c>
      <c r="S1444" s="209" t="s">
        <v>230</v>
      </c>
      <c r="T1444" s="209" t="s">
        <v>231</v>
      </c>
      <c r="U1444" s="209" t="s">
        <v>232</v>
      </c>
      <c r="V1444" s="209" t="s">
        <v>179</v>
      </c>
      <c r="W1444" s="209" t="s">
        <v>179</v>
      </c>
      <c r="X1444" s="209" t="s">
        <v>180</v>
      </c>
      <c r="Y1444" s="209" t="s">
        <v>180</v>
      </c>
      <c r="Z1444" s="209" t="s">
        <v>3136</v>
      </c>
      <c r="AA1444" s="209" t="s">
        <v>3137</v>
      </c>
      <c r="AB1444" s="209" t="s">
        <v>180</v>
      </c>
      <c r="AC1444" s="209" t="s">
        <v>182</v>
      </c>
      <c r="AD1444" s="209">
        <v>10</v>
      </c>
      <c r="AE1444" s="209">
        <v>2025</v>
      </c>
      <c r="AF1444" s="227">
        <v>45946</v>
      </c>
      <c r="AG1444" s="227">
        <v>45950</v>
      </c>
      <c r="AH1444" s="227">
        <v>45950</v>
      </c>
      <c r="AI1444" s="228">
        <v>363168</v>
      </c>
      <c r="AJ1444" s="228">
        <v>52</v>
      </c>
      <c r="AK1444" s="228">
        <v>363168</v>
      </c>
      <c r="AL1444" s="228">
        <v>52</v>
      </c>
      <c r="AM1444" s="228">
        <v>0</v>
      </c>
      <c r="AN1444" s="228">
        <v>0</v>
      </c>
      <c r="AO1444" s="229">
        <v>43</v>
      </c>
      <c r="AP1444" s="231">
        <v>10</v>
      </c>
      <c r="AQ1444" s="231">
        <v>2025</v>
      </c>
      <c r="AR1444" s="231" t="str">
        <f t="shared" si="214"/>
        <v>10/2025</v>
      </c>
      <c r="AS1444" s="231">
        <f t="shared" si="215"/>
        <v>52</v>
      </c>
      <c r="AT1444" s="239">
        <f>IF(G1444="CERVECERIA Y MALTERIA",(AS1444*AK1444/1000000)*(1-VLOOKUP(N1444,FCST!D:I,6,FALSE)),0)</f>
        <v>18.884736</v>
      </c>
      <c r="AU1444" s="232">
        <v>5.0000000000000001E-3</v>
      </c>
      <c r="AV1444" s="239">
        <f t="shared" si="216"/>
        <v>18.979159679999999</v>
      </c>
      <c r="AW1444" s="239">
        <f>(AS1444*AK1444/1000000)*(VLOOKUP(N1444,FCST!D:I,6,FALSE))</f>
        <v>0</v>
      </c>
      <c r="AX1444" s="239">
        <f t="shared" si="217"/>
        <v>0</v>
      </c>
      <c r="AY1444" s="239">
        <f>IF($G1444="CERVECERIA Y MALTERIA.",($AS1444*$AK1444/1000000)*(1-VLOOKUP($N1444,FCST!D:I,6,FALSE)),0)</f>
        <v>0</v>
      </c>
      <c r="AZ1444" s="239">
        <f t="shared" si="218"/>
        <v>0</v>
      </c>
    </row>
    <row r="1445" spans="1:52" x14ac:dyDescent="0.25">
      <c r="A1445" s="209">
        <v>1146749</v>
      </c>
      <c r="B1445" s="209">
        <v>80</v>
      </c>
      <c r="C1445" s="209" t="s">
        <v>3138</v>
      </c>
      <c r="D1445" s="209">
        <v>10</v>
      </c>
      <c r="E1445" s="209">
        <v>10000002</v>
      </c>
      <c r="F1445" s="209">
        <v>20000335</v>
      </c>
      <c r="G1445" s="209" t="s">
        <v>105</v>
      </c>
      <c r="H1445" s="209">
        <v>20000335</v>
      </c>
      <c r="I1445" s="209">
        <v>2</v>
      </c>
      <c r="J1445" s="209" t="s">
        <v>169</v>
      </c>
      <c r="K1445" s="209" t="s">
        <v>3139</v>
      </c>
      <c r="L1445" s="209" t="s">
        <v>265</v>
      </c>
      <c r="M1445" s="209" t="s">
        <v>184</v>
      </c>
      <c r="N1445" s="209">
        <v>50021818</v>
      </c>
      <c r="O1445" s="209" t="s">
        <v>2170</v>
      </c>
      <c r="P1445" s="209">
        <v>5121</v>
      </c>
      <c r="Q1445" s="209" t="s">
        <v>174</v>
      </c>
      <c r="R1445" s="209" t="s">
        <v>175</v>
      </c>
      <c r="S1445" s="209" t="s">
        <v>176</v>
      </c>
      <c r="T1445" s="209" t="s">
        <v>177</v>
      </c>
      <c r="U1445" s="209" t="s">
        <v>178</v>
      </c>
      <c r="V1445" s="209" t="s">
        <v>179</v>
      </c>
      <c r="W1445" s="209" t="s">
        <v>179</v>
      </c>
      <c r="X1445" s="209" t="s">
        <v>180</v>
      </c>
      <c r="Y1445" s="209" t="s">
        <v>180</v>
      </c>
      <c r="Z1445" s="209" t="s">
        <v>3140</v>
      </c>
      <c r="AA1445" s="209" t="s">
        <v>3141</v>
      </c>
      <c r="AB1445" s="209" t="s">
        <v>180</v>
      </c>
      <c r="AC1445" s="209" t="s">
        <v>182</v>
      </c>
      <c r="AD1445" s="209">
        <v>10</v>
      </c>
      <c r="AE1445" s="209">
        <v>2025</v>
      </c>
      <c r="AF1445" s="227">
        <v>45952</v>
      </c>
      <c r="AG1445" s="227">
        <v>45960</v>
      </c>
      <c r="AH1445" s="227">
        <v>45960</v>
      </c>
      <c r="AI1445" s="228">
        <v>426816</v>
      </c>
      <c r="AJ1445" s="228">
        <v>52</v>
      </c>
      <c r="AK1445" s="228">
        <v>426816</v>
      </c>
      <c r="AL1445" s="228">
        <v>52</v>
      </c>
      <c r="AM1445" s="228">
        <v>0</v>
      </c>
      <c r="AN1445" s="228">
        <v>0</v>
      </c>
      <c r="AO1445" s="229">
        <v>44</v>
      </c>
      <c r="AP1445" s="231">
        <v>10</v>
      </c>
      <c r="AQ1445" s="231">
        <v>2025</v>
      </c>
      <c r="AR1445" s="231" t="str">
        <f t="shared" si="214"/>
        <v>10/2025</v>
      </c>
      <c r="AS1445" s="231">
        <f t="shared" si="215"/>
        <v>46.6</v>
      </c>
      <c r="AT1445" s="239">
        <f>IF(G1445="CERVECERIA Y MALTERIA",(AS1445*AK1445/1000000)*(1-VLOOKUP(N1445,FCST!D:I,6,FALSE)),0)</f>
        <v>19.889625600000002</v>
      </c>
      <c r="AU1445" s="232">
        <v>5.0000000000000001E-3</v>
      </c>
      <c r="AV1445" s="239">
        <f t="shared" si="216"/>
        <v>19.989073728000001</v>
      </c>
      <c r="AW1445" s="239">
        <f>(AS1445*AK1445/1000000)*(VLOOKUP(N1445,FCST!D:I,6,FALSE))</f>
        <v>0</v>
      </c>
      <c r="AX1445" s="239">
        <f t="shared" si="217"/>
        <v>0</v>
      </c>
      <c r="AY1445" s="239">
        <f>IF($G1445="CERVECERIA Y MALTERIA.",($AS1445*$AK1445/1000000)*(1-VLOOKUP($N1445,FCST!D:I,6,FALSE)),0)</f>
        <v>0</v>
      </c>
      <c r="AZ1445" s="239">
        <f t="shared" si="218"/>
        <v>0</v>
      </c>
    </row>
    <row r="1446" spans="1:52" x14ac:dyDescent="0.25">
      <c r="A1446" s="209">
        <v>1146750</v>
      </c>
      <c r="B1446" s="209">
        <v>20</v>
      </c>
      <c r="C1446" s="209" t="s">
        <v>3142</v>
      </c>
      <c r="D1446" s="209">
        <v>10</v>
      </c>
      <c r="E1446" s="209">
        <v>10000002</v>
      </c>
      <c r="F1446" s="209">
        <v>20000340</v>
      </c>
      <c r="G1446" s="209" t="s">
        <v>117</v>
      </c>
      <c r="H1446" s="209">
        <v>20000340</v>
      </c>
      <c r="I1446" s="209">
        <v>2</v>
      </c>
      <c r="J1446" s="209" t="s">
        <v>169</v>
      </c>
      <c r="K1446" s="209" t="s">
        <v>3143</v>
      </c>
      <c r="L1446" s="209" t="s">
        <v>265</v>
      </c>
      <c r="M1446" s="209" t="s">
        <v>184</v>
      </c>
      <c r="N1446" s="209">
        <v>50025163</v>
      </c>
      <c r="O1446" s="209" t="s">
        <v>185</v>
      </c>
      <c r="P1446" s="209">
        <v>5101</v>
      </c>
      <c r="Q1446" s="209" t="s">
        <v>186</v>
      </c>
      <c r="R1446" s="209" t="s">
        <v>175</v>
      </c>
      <c r="S1446" s="209" t="s">
        <v>176</v>
      </c>
      <c r="T1446" s="209" t="s">
        <v>187</v>
      </c>
      <c r="U1446" s="209" t="s">
        <v>188</v>
      </c>
      <c r="V1446" s="209" t="s">
        <v>179</v>
      </c>
      <c r="W1446" s="209" t="s">
        <v>179</v>
      </c>
      <c r="X1446" s="209" t="s">
        <v>180</v>
      </c>
      <c r="Y1446" s="209" t="s">
        <v>180</v>
      </c>
      <c r="Z1446" s="209" t="s">
        <v>3078</v>
      </c>
      <c r="AA1446" s="209" t="s">
        <v>3079</v>
      </c>
      <c r="AB1446" s="209" t="s">
        <v>180</v>
      </c>
      <c r="AC1446" s="209" t="s">
        <v>182</v>
      </c>
      <c r="AD1446" s="209">
        <v>10</v>
      </c>
      <c r="AE1446" s="209">
        <v>2025</v>
      </c>
      <c r="AF1446" s="227">
        <v>45952</v>
      </c>
      <c r="AG1446" s="227">
        <v>45959</v>
      </c>
      <c r="AH1446" s="227">
        <v>45959</v>
      </c>
      <c r="AI1446" s="228">
        <v>606528</v>
      </c>
      <c r="AJ1446" s="228">
        <v>52</v>
      </c>
      <c r="AK1446" s="228">
        <v>606528</v>
      </c>
      <c r="AL1446" s="228">
        <v>52</v>
      </c>
      <c r="AM1446" s="228">
        <v>0</v>
      </c>
      <c r="AN1446" s="228">
        <v>0</v>
      </c>
      <c r="AO1446" s="229">
        <v>44</v>
      </c>
      <c r="AP1446" s="231">
        <v>10</v>
      </c>
      <c r="AQ1446" s="231">
        <v>2025</v>
      </c>
      <c r="AR1446" s="231" t="str">
        <f t="shared" si="214"/>
        <v>10/2025</v>
      </c>
      <c r="AS1446" s="231">
        <f t="shared" si="215"/>
        <v>30</v>
      </c>
      <c r="AT1446" s="239">
        <f>IF(G1446="CERVECERIA Y MALTERIA",(AS1446*AK1446/1000000)*(1-VLOOKUP(N1446,FCST!D:I,6,FALSE)),0)</f>
        <v>0</v>
      </c>
      <c r="AU1446" s="232">
        <v>5.0000000000000001E-3</v>
      </c>
      <c r="AV1446" s="239">
        <f t="shared" si="216"/>
        <v>0</v>
      </c>
      <c r="AW1446" s="239">
        <f>(AS1446*AK1446/1000000)*(VLOOKUP(N1446,FCST!D:I,6,FALSE))</f>
        <v>0</v>
      </c>
      <c r="AX1446" s="239">
        <f t="shared" si="217"/>
        <v>0</v>
      </c>
      <c r="AY1446" s="239">
        <f>IF($G1446="CERVECERIA Y MALTERIA.",($AS1446*$AK1446/1000000)*(1-VLOOKUP($N1446,FCST!D:I,6,FALSE)),0)</f>
        <v>18.19584</v>
      </c>
      <c r="AZ1446" s="239">
        <f t="shared" si="218"/>
        <v>18.2868192</v>
      </c>
    </row>
    <row r="1447" spans="1:52" x14ac:dyDescent="0.25">
      <c r="A1447" s="209">
        <v>1146749</v>
      </c>
      <c r="B1447" s="209">
        <v>70</v>
      </c>
      <c r="C1447" s="209" t="s">
        <v>3144</v>
      </c>
      <c r="D1447" s="209">
        <v>10</v>
      </c>
      <c r="E1447" s="209">
        <v>10000002</v>
      </c>
      <c r="F1447" s="209">
        <v>20000335</v>
      </c>
      <c r="G1447" s="209" t="s">
        <v>105</v>
      </c>
      <c r="H1447" s="209">
        <v>20000335</v>
      </c>
      <c r="I1447" s="209">
        <v>2</v>
      </c>
      <c r="J1447" s="209" t="s">
        <v>169</v>
      </c>
      <c r="K1447" s="209" t="s">
        <v>3145</v>
      </c>
      <c r="L1447" s="209" t="s">
        <v>265</v>
      </c>
      <c r="M1447" s="209" t="s">
        <v>199</v>
      </c>
      <c r="N1447" s="209">
        <v>50039815</v>
      </c>
      <c r="O1447" s="209" t="s">
        <v>2454</v>
      </c>
      <c r="P1447" s="209">
        <v>5121</v>
      </c>
      <c r="Q1447" s="209" t="s">
        <v>200</v>
      </c>
      <c r="R1447" s="209" t="s">
        <v>201</v>
      </c>
      <c r="S1447" s="209" t="s">
        <v>202</v>
      </c>
      <c r="T1447" s="209" t="s">
        <v>203</v>
      </c>
      <c r="U1447" s="209" t="s">
        <v>201</v>
      </c>
      <c r="V1447" s="209" t="s">
        <v>179</v>
      </c>
      <c r="W1447" s="209" t="s">
        <v>179</v>
      </c>
      <c r="X1447" s="209" t="s">
        <v>180</v>
      </c>
      <c r="Y1447" s="209" t="s">
        <v>180</v>
      </c>
      <c r="Z1447" s="209" t="s">
        <v>3146</v>
      </c>
      <c r="AA1447" s="209" t="s">
        <v>3147</v>
      </c>
      <c r="AB1447" s="209" t="s">
        <v>180</v>
      </c>
      <c r="AC1447" s="209" t="s">
        <v>182</v>
      </c>
      <c r="AD1447" s="209">
        <v>10</v>
      </c>
      <c r="AE1447" s="209">
        <v>2025</v>
      </c>
      <c r="AF1447" s="227">
        <v>45952</v>
      </c>
      <c r="AG1447" s="227">
        <v>45959</v>
      </c>
      <c r="AH1447" s="227">
        <v>45959</v>
      </c>
      <c r="AI1447" s="228">
        <v>426816</v>
      </c>
      <c r="AJ1447" s="228">
        <v>52</v>
      </c>
      <c r="AK1447" s="228">
        <v>426816</v>
      </c>
      <c r="AL1447" s="228">
        <v>52</v>
      </c>
      <c r="AM1447" s="228">
        <v>0</v>
      </c>
      <c r="AN1447" s="228">
        <v>0</v>
      </c>
      <c r="AO1447" s="229">
        <v>44</v>
      </c>
      <c r="AP1447" s="231">
        <v>10</v>
      </c>
      <c r="AQ1447" s="231">
        <v>2025</v>
      </c>
      <c r="AR1447" s="231" t="str">
        <f t="shared" si="214"/>
        <v>10/2025</v>
      </c>
      <c r="AS1447" s="231">
        <f t="shared" si="215"/>
        <v>46.6</v>
      </c>
      <c r="AT1447" s="239">
        <f>IF(G1447="CERVECERIA Y MALTERIA",(AS1447*AK1447/1000000)*(1-VLOOKUP(N1447,FCST!D:I,6,FALSE)),0)</f>
        <v>15.911700480000002</v>
      </c>
      <c r="AU1447" s="232">
        <v>5.0000000000000001E-3</v>
      </c>
      <c r="AV1447" s="239">
        <f t="shared" si="216"/>
        <v>15.9912589824</v>
      </c>
      <c r="AW1447" s="239">
        <f>(AS1447*AK1447/1000000)*(VLOOKUP(N1447,FCST!D:I,6,FALSE))</f>
        <v>3.9779251200000005</v>
      </c>
      <c r="AX1447" s="239">
        <f t="shared" si="217"/>
        <v>3.9978147455999999</v>
      </c>
      <c r="AY1447" s="239">
        <f>IF($G1447="CERVECERIA Y MALTERIA.",($AS1447*$AK1447/1000000)*(1-VLOOKUP($N1447,FCST!D:I,6,FALSE)),0)</f>
        <v>0</v>
      </c>
      <c r="AZ1447" s="239">
        <f t="shared" si="218"/>
        <v>0</v>
      </c>
    </row>
    <row r="1448" spans="1:52" x14ac:dyDescent="0.25">
      <c r="A1448" s="209">
        <v>1146749</v>
      </c>
      <c r="B1448" s="209">
        <v>60</v>
      </c>
      <c r="C1448" s="209" t="s">
        <v>3148</v>
      </c>
      <c r="D1448" s="209">
        <v>10</v>
      </c>
      <c r="E1448" s="209">
        <v>10000002</v>
      </c>
      <c r="F1448" s="209">
        <v>20000335</v>
      </c>
      <c r="G1448" s="209" t="s">
        <v>105</v>
      </c>
      <c r="H1448" s="209">
        <v>20000335</v>
      </c>
      <c r="I1448" s="209">
        <v>2</v>
      </c>
      <c r="J1448" s="209" t="s">
        <v>169</v>
      </c>
      <c r="K1448" s="209" t="s">
        <v>3149</v>
      </c>
      <c r="L1448" s="209" t="s">
        <v>265</v>
      </c>
      <c r="M1448" s="209" t="s">
        <v>2718</v>
      </c>
      <c r="N1448" s="209">
        <v>50021818</v>
      </c>
      <c r="O1448" s="209" t="s">
        <v>2170</v>
      </c>
      <c r="P1448" s="209">
        <v>5121</v>
      </c>
      <c r="Q1448" s="209" t="s">
        <v>174</v>
      </c>
      <c r="R1448" s="209" t="s">
        <v>175</v>
      </c>
      <c r="S1448" s="209" t="s">
        <v>176</v>
      </c>
      <c r="T1448" s="209" t="s">
        <v>177</v>
      </c>
      <c r="U1448" s="209" t="s">
        <v>178</v>
      </c>
      <c r="V1448" s="209" t="s">
        <v>179</v>
      </c>
      <c r="W1448" s="209" t="s">
        <v>179</v>
      </c>
      <c r="X1448" s="209" t="s">
        <v>180</v>
      </c>
      <c r="Y1448" s="209" t="s">
        <v>180</v>
      </c>
      <c r="Z1448" s="209" t="s">
        <v>3140</v>
      </c>
      <c r="AA1448" s="209" t="s">
        <v>3141</v>
      </c>
      <c r="AB1448" s="209" t="s">
        <v>180</v>
      </c>
      <c r="AC1448" s="209" t="s">
        <v>182</v>
      </c>
      <c r="AD1448" s="209">
        <v>10</v>
      </c>
      <c r="AE1448" s="209">
        <v>2025</v>
      </c>
      <c r="AF1448" s="227">
        <v>45952</v>
      </c>
      <c r="AG1448" s="227">
        <v>45959</v>
      </c>
      <c r="AH1448" s="227">
        <v>45959</v>
      </c>
      <c r="AI1448" s="228">
        <v>426816</v>
      </c>
      <c r="AJ1448" s="228">
        <v>52</v>
      </c>
      <c r="AK1448" s="228">
        <v>426816</v>
      </c>
      <c r="AL1448" s="228">
        <v>52</v>
      </c>
      <c r="AM1448" s="228">
        <v>0</v>
      </c>
      <c r="AN1448" s="228">
        <v>0</v>
      </c>
      <c r="AO1448" s="229">
        <v>44</v>
      </c>
      <c r="AP1448" s="231">
        <v>10</v>
      </c>
      <c r="AQ1448" s="231">
        <v>2025</v>
      </c>
      <c r="AR1448" s="231" t="str">
        <f t="shared" si="214"/>
        <v>10/2025</v>
      </c>
      <c r="AS1448" s="231">
        <f t="shared" si="215"/>
        <v>46.6</v>
      </c>
      <c r="AT1448" s="239">
        <f>IF(G1448="CERVECERIA Y MALTERIA",(AS1448*AK1448/1000000)*(1-VLOOKUP(N1448,FCST!D:I,6,FALSE)),0)</f>
        <v>19.889625600000002</v>
      </c>
      <c r="AU1448" s="232">
        <v>5.0000000000000001E-3</v>
      </c>
      <c r="AV1448" s="239">
        <f t="shared" si="216"/>
        <v>19.989073728000001</v>
      </c>
      <c r="AW1448" s="239">
        <f>(AS1448*AK1448/1000000)*(VLOOKUP(N1448,FCST!D:I,6,FALSE))</f>
        <v>0</v>
      </c>
      <c r="AX1448" s="239">
        <f t="shared" si="217"/>
        <v>0</v>
      </c>
      <c r="AY1448" s="239">
        <f>IF($G1448="CERVECERIA Y MALTERIA.",($AS1448*$AK1448/1000000)*(1-VLOOKUP($N1448,FCST!D:I,6,FALSE)),0)</f>
        <v>0</v>
      </c>
      <c r="AZ1448" s="239">
        <f t="shared" si="218"/>
        <v>0</v>
      </c>
    </row>
    <row r="1449" spans="1:52" x14ac:dyDescent="0.25">
      <c r="A1449" s="209">
        <v>1147556</v>
      </c>
      <c r="B1449" s="209">
        <v>20</v>
      </c>
      <c r="C1449" s="209" t="s">
        <v>3150</v>
      </c>
      <c r="D1449" s="209">
        <v>10</v>
      </c>
      <c r="E1449" s="209">
        <v>10000002</v>
      </c>
      <c r="F1449" s="209">
        <v>20000337</v>
      </c>
      <c r="G1449" s="209" t="s">
        <v>105</v>
      </c>
      <c r="H1449" s="209">
        <v>20000337</v>
      </c>
      <c r="I1449" s="209">
        <v>2</v>
      </c>
      <c r="J1449" s="209" t="s">
        <v>169</v>
      </c>
      <c r="K1449" s="209" t="s">
        <v>3151</v>
      </c>
      <c r="L1449" s="209" t="s">
        <v>265</v>
      </c>
      <c r="M1449" s="209" t="s">
        <v>199</v>
      </c>
      <c r="N1449" s="209">
        <v>50039815</v>
      </c>
      <c r="O1449" s="209" t="s">
        <v>2454</v>
      </c>
      <c r="P1449" s="209">
        <v>5121</v>
      </c>
      <c r="Q1449" s="209" t="s">
        <v>200</v>
      </c>
      <c r="R1449" s="209" t="s">
        <v>201</v>
      </c>
      <c r="S1449" s="209" t="s">
        <v>202</v>
      </c>
      <c r="T1449" s="209" t="s">
        <v>203</v>
      </c>
      <c r="U1449" s="209" t="s">
        <v>201</v>
      </c>
      <c r="V1449" s="209" t="s">
        <v>179</v>
      </c>
      <c r="W1449" s="209" t="s">
        <v>179</v>
      </c>
      <c r="X1449" s="209" t="s">
        <v>180</v>
      </c>
      <c r="Y1449" s="209" t="s">
        <v>180</v>
      </c>
      <c r="Z1449" s="209" t="s">
        <v>3152</v>
      </c>
      <c r="AA1449" s="209" t="s">
        <v>3153</v>
      </c>
      <c r="AB1449" s="209" t="s">
        <v>180</v>
      </c>
      <c r="AC1449" s="209" t="s">
        <v>182</v>
      </c>
      <c r="AD1449" s="209">
        <v>10</v>
      </c>
      <c r="AE1449" s="209">
        <v>2025</v>
      </c>
      <c r="AF1449" s="227">
        <v>45954</v>
      </c>
      <c r="AG1449" s="227">
        <v>45959</v>
      </c>
      <c r="AH1449" s="227">
        <v>45959</v>
      </c>
      <c r="AI1449" s="228">
        <v>426816</v>
      </c>
      <c r="AJ1449" s="228">
        <v>52</v>
      </c>
      <c r="AK1449" s="228">
        <v>426816</v>
      </c>
      <c r="AL1449" s="228">
        <v>52</v>
      </c>
      <c r="AM1449" s="228">
        <v>0</v>
      </c>
      <c r="AN1449" s="228">
        <v>0</v>
      </c>
      <c r="AO1449" s="229">
        <v>44</v>
      </c>
      <c r="AP1449" s="231">
        <v>10</v>
      </c>
      <c r="AQ1449" s="231">
        <v>2025</v>
      </c>
      <c r="AR1449" s="231" t="str">
        <f t="shared" si="214"/>
        <v>10/2025</v>
      </c>
      <c r="AS1449" s="231">
        <f t="shared" si="215"/>
        <v>46.6</v>
      </c>
      <c r="AT1449" s="239">
        <f>IF(G1449="CERVECERIA Y MALTERIA",(AS1449*AK1449/1000000)*(1-VLOOKUP(N1449,FCST!D:I,6,FALSE)),0)</f>
        <v>15.911700480000002</v>
      </c>
      <c r="AU1449" s="232">
        <v>5.0000000000000001E-3</v>
      </c>
      <c r="AV1449" s="239">
        <f t="shared" si="216"/>
        <v>15.9912589824</v>
      </c>
      <c r="AW1449" s="239">
        <f>(AS1449*AK1449/1000000)*(VLOOKUP(N1449,FCST!D:I,6,FALSE))</f>
        <v>3.9779251200000005</v>
      </c>
      <c r="AX1449" s="239">
        <f t="shared" si="217"/>
        <v>3.9978147455999999</v>
      </c>
      <c r="AY1449" s="239">
        <f>IF($G1449="CERVECERIA Y MALTERIA.",($AS1449*$AK1449/1000000)*(1-VLOOKUP($N1449,FCST!D:I,6,FALSE)),0)</f>
        <v>0</v>
      </c>
      <c r="AZ1449" s="239">
        <f t="shared" si="218"/>
        <v>0</v>
      </c>
    </row>
    <row r="1450" spans="1:52" x14ac:dyDescent="0.25">
      <c r="A1450" s="209">
        <v>1147557</v>
      </c>
      <c r="B1450" s="209">
        <v>20</v>
      </c>
      <c r="C1450" s="209" t="s">
        <v>3154</v>
      </c>
      <c r="D1450" s="209">
        <v>10</v>
      </c>
      <c r="E1450" s="209">
        <v>10000002</v>
      </c>
      <c r="F1450" s="209">
        <v>20000336</v>
      </c>
      <c r="G1450" s="209" t="s">
        <v>105</v>
      </c>
      <c r="H1450" s="209">
        <v>20000336</v>
      </c>
      <c r="I1450" s="209">
        <v>2</v>
      </c>
      <c r="J1450" s="209" t="s">
        <v>169</v>
      </c>
      <c r="K1450" s="209" t="s">
        <v>3155</v>
      </c>
      <c r="L1450" s="209" t="s">
        <v>265</v>
      </c>
      <c r="M1450" s="209" t="s">
        <v>2718</v>
      </c>
      <c r="N1450" s="209">
        <v>50021818</v>
      </c>
      <c r="O1450" s="209" t="s">
        <v>2170</v>
      </c>
      <c r="P1450" s="209">
        <v>5121</v>
      </c>
      <c r="Q1450" s="209" t="s">
        <v>174</v>
      </c>
      <c r="R1450" s="209" t="s">
        <v>175</v>
      </c>
      <c r="S1450" s="209" t="s">
        <v>176</v>
      </c>
      <c r="T1450" s="209" t="s">
        <v>177</v>
      </c>
      <c r="U1450" s="209" t="s">
        <v>178</v>
      </c>
      <c r="V1450" s="209" t="s">
        <v>179</v>
      </c>
      <c r="W1450" s="209" t="s">
        <v>179</v>
      </c>
      <c r="X1450" s="209" t="s">
        <v>180</v>
      </c>
      <c r="Y1450" s="209" t="s">
        <v>180</v>
      </c>
      <c r="Z1450" s="209" t="s">
        <v>3156</v>
      </c>
      <c r="AA1450" s="209" t="s">
        <v>3157</v>
      </c>
      <c r="AB1450" s="209" t="s">
        <v>180</v>
      </c>
      <c r="AC1450" s="209" t="s">
        <v>182</v>
      </c>
      <c r="AD1450" s="209">
        <v>10</v>
      </c>
      <c r="AE1450" s="209">
        <v>2025</v>
      </c>
      <c r="AF1450" s="227">
        <v>45954</v>
      </c>
      <c r="AG1450" s="227">
        <v>45959</v>
      </c>
      <c r="AH1450" s="227">
        <v>45959</v>
      </c>
      <c r="AI1450" s="228">
        <v>426816</v>
      </c>
      <c r="AJ1450" s="228">
        <v>52</v>
      </c>
      <c r="AK1450" s="228">
        <v>426816</v>
      </c>
      <c r="AL1450" s="228">
        <v>52</v>
      </c>
      <c r="AM1450" s="228">
        <v>0</v>
      </c>
      <c r="AN1450" s="228">
        <v>0</v>
      </c>
      <c r="AO1450" s="229">
        <v>44</v>
      </c>
      <c r="AP1450" s="231">
        <v>10</v>
      </c>
      <c r="AQ1450" s="231">
        <v>2025</v>
      </c>
      <c r="AR1450" s="231" t="str">
        <f t="shared" si="214"/>
        <v>10/2025</v>
      </c>
      <c r="AS1450" s="231">
        <f t="shared" si="215"/>
        <v>46.6</v>
      </c>
      <c r="AT1450" s="239">
        <f>IF(G1450="CERVECERIA Y MALTERIA",(AS1450*AK1450/1000000)*(1-VLOOKUP(N1450,FCST!D:I,6,FALSE)),0)</f>
        <v>19.889625600000002</v>
      </c>
      <c r="AU1450" s="232">
        <v>5.0000000000000001E-3</v>
      </c>
      <c r="AV1450" s="239">
        <f t="shared" si="216"/>
        <v>19.989073728000001</v>
      </c>
      <c r="AW1450" s="239">
        <f>(AS1450*AK1450/1000000)*(VLOOKUP(N1450,FCST!D:I,6,FALSE))</f>
        <v>0</v>
      </c>
      <c r="AX1450" s="239">
        <f t="shared" si="217"/>
        <v>0</v>
      </c>
      <c r="AY1450" s="239">
        <f>IF($G1450="CERVECERIA Y MALTERIA.",($AS1450*$AK1450/1000000)*(1-VLOOKUP($N1450,FCST!D:I,6,FALSE)),0)</f>
        <v>0</v>
      </c>
      <c r="AZ1450" s="239">
        <f t="shared" si="218"/>
        <v>0</v>
      </c>
    </row>
    <row r="1451" spans="1:52" x14ac:dyDescent="0.25">
      <c r="A1451" s="209">
        <v>1146749</v>
      </c>
      <c r="B1451" s="209">
        <v>110</v>
      </c>
      <c r="C1451" s="209" t="s">
        <v>3158</v>
      </c>
      <c r="D1451" s="209">
        <v>10</v>
      </c>
      <c r="E1451" s="209">
        <v>10000002</v>
      </c>
      <c r="F1451" s="209">
        <v>20000335</v>
      </c>
      <c r="G1451" s="209" t="s">
        <v>105</v>
      </c>
      <c r="H1451" s="209">
        <v>20000335</v>
      </c>
      <c r="I1451" s="209">
        <v>2</v>
      </c>
      <c r="J1451" s="209" t="s">
        <v>169</v>
      </c>
      <c r="K1451" s="209" t="s">
        <v>3159</v>
      </c>
      <c r="L1451" s="209" t="s">
        <v>265</v>
      </c>
      <c r="M1451" s="209" t="s">
        <v>199</v>
      </c>
      <c r="N1451" s="209">
        <v>50035184</v>
      </c>
      <c r="O1451" s="209" t="s">
        <v>672</v>
      </c>
      <c r="P1451" s="209">
        <v>5121</v>
      </c>
      <c r="Q1451" s="209" t="s">
        <v>200</v>
      </c>
      <c r="R1451" s="209" t="s">
        <v>201</v>
      </c>
      <c r="S1451" s="209" t="s">
        <v>202</v>
      </c>
      <c r="T1451" s="209" t="s">
        <v>203</v>
      </c>
      <c r="U1451" s="209" t="s">
        <v>201</v>
      </c>
      <c r="V1451" s="209" t="s">
        <v>179</v>
      </c>
      <c r="W1451" s="209" t="s">
        <v>179</v>
      </c>
      <c r="X1451" s="209" t="s">
        <v>180</v>
      </c>
      <c r="Y1451" s="209" t="s">
        <v>180</v>
      </c>
      <c r="Z1451" s="209" t="s">
        <v>3160</v>
      </c>
      <c r="AA1451" s="209" t="s">
        <v>3161</v>
      </c>
      <c r="AB1451" s="209" t="s">
        <v>180</v>
      </c>
      <c r="AC1451" s="209" t="s">
        <v>182</v>
      </c>
      <c r="AD1451" s="209">
        <v>10</v>
      </c>
      <c r="AE1451" s="209">
        <v>2025</v>
      </c>
      <c r="AF1451" s="227">
        <v>45952</v>
      </c>
      <c r="AG1451" s="227">
        <v>45961</v>
      </c>
      <c r="AH1451" s="227">
        <v>45961</v>
      </c>
      <c r="AI1451" s="228">
        <v>977184</v>
      </c>
      <c r="AJ1451" s="228">
        <v>52</v>
      </c>
      <c r="AK1451" s="228">
        <v>977184</v>
      </c>
      <c r="AL1451" s="228">
        <v>52</v>
      </c>
      <c r="AM1451" s="228">
        <v>0</v>
      </c>
      <c r="AN1451" s="228">
        <v>0</v>
      </c>
      <c r="AO1451" s="229">
        <v>44</v>
      </c>
      <c r="AP1451" s="231">
        <v>10</v>
      </c>
      <c r="AQ1451" s="231">
        <v>2025</v>
      </c>
      <c r="AR1451" s="231" t="str">
        <f t="shared" si="214"/>
        <v>10/2025</v>
      </c>
      <c r="AS1451" s="231">
        <f t="shared" si="215"/>
        <v>19.5</v>
      </c>
      <c r="AT1451" s="239">
        <f>IF(G1451="CERVECERIA Y MALTERIA",(AS1451*AK1451/1000000)*(1-VLOOKUP(N1451,FCST!D:I,6,FALSE)),0)</f>
        <v>19.055088000000001</v>
      </c>
      <c r="AU1451" s="232">
        <v>5.0000000000000001E-3</v>
      </c>
      <c r="AV1451" s="239">
        <f t="shared" si="216"/>
        <v>19.15036344</v>
      </c>
      <c r="AW1451" s="239">
        <f>(AS1451*AK1451/1000000)*(VLOOKUP(N1451,FCST!D:I,6,FALSE))</f>
        <v>0</v>
      </c>
      <c r="AX1451" s="239">
        <f t="shared" si="217"/>
        <v>0</v>
      </c>
      <c r="AY1451" s="239">
        <f>IF($G1451="CERVECERIA Y MALTERIA.",($AS1451*$AK1451/1000000)*(1-VLOOKUP($N1451,FCST!D:I,6,FALSE)),0)</f>
        <v>0</v>
      </c>
      <c r="AZ1451" s="239">
        <f t="shared" si="218"/>
        <v>0</v>
      </c>
    </row>
    <row r="1452" spans="1:52" x14ac:dyDescent="0.25">
      <c r="A1452" s="209">
        <v>1147556</v>
      </c>
      <c r="B1452" s="209">
        <v>30</v>
      </c>
      <c r="C1452" s="209" t="s">
        <v>3162</v>
      </c>
      <c r="D1452" s="209">
        <v>10</v>
      </c>
      <c r="E1452" s="209">
        <v>10000002</v>
      </c>
      <c r="F1452" s="209">
        <v>20000337</v>
      </c>
      <c r="G1452" s="209" t="s">
        <v>105</v>
      </c>
      <c r="H1452" s="209">
        <v>20000337</v>
      </c>
      <c r="I1452" s="209">
        <v>2</v>
      </c>
      <c r="J1452" s="209" t="s">
        <v>169</v>
      </c>
      <c r="K1452" s="209" t="s">
        <v>3163</v>
      </c>
      <c r="L1452" s="209" t="s">
        <v>265</v>
      </c>
      <c r="M1452" s="209" t="s">
        <v>184</v>
      </c>
      <c r="N1452" s="209">
        <v>50024497</v>
      </c>
      <c r="O1452" s="209" t="s">
        <v>1352</v>
      </c>
      <c r="P1452" s="209">
        <v>5121</v>
      </c>
      <c r="Q1452" s="209" t="s">
        <v>174</v>
      </c>
      <c r="R1452" s="209" t="s">
        <v>175</v>
      </c>
      <c r="S1452" s="209" t="s">
        <v>176</v>
      </c>
      <c r="T1452" s="209" t="s">
        <v>177</v>
      </c>
      <c r="U1452" s="209" t="s">
        <v>178</v>
      </c>
      <c r="V1452" s="209" t="s">
        <v>179</v>
      </c>
      <c r="W1452" s="209" t="s">
        <v>179</v>
      </c>
      <c r="X1452" s="209" t="s">
        <v>180</v>
      </c>
      <c r="Y1452" s="209" t="s">
        <v>180</v>
      </c>
      <c r="Z1452" s="209" t="s">
        <v>3164</v>
      </c>
      <c r="AA1452" s="209" t="s">
        <v>3165</v>
      </c>
      <c r="AB1452" s="209" t="s">
        <v>180</v>
      </c>
      <c r="AC1452" s="209" t="s">
        <v>182</v>
      </c>
      <c r="AD1452" s="209">
        <v>10</v>
      </c>
      <c r="AE1452" s="209">
        <v>2025</v>
      </c>
      <c r="AF1452" s="227">
        <v>45954</v>
      </c>
      <c r="AG1452" s="227">
        <v>45961</v>
      </c>
      <c r="AH1452" s="227">
        <v>45961</v>
      </c>
      <c r="AI1452" s="228">
        <v>351936</v>
      </c>
      <c r="AJ1452" s="228">
        <v>52</v>
      </c>
      <c r="AK1452" s="228">
        <v>351936</v>
      </c>
      <c r="AL1452" s="228">
        <v>52</v>
      </c>
      <c r="AM1452" s="228">
        <v>0</v>
      </c>
      <c r="AN1452" s="228">
        <v>0</v>
      </c>
      <c r="AO1452" s="229">
        <v>44</v>
      </c>
      <c r="AP1452" s="231">
        <v>10</v>
      </c>
      <c r="AQ1452" s="231">
        <v>2025</v>
      </c>
      <c r="AR1452" s="231" t="str">
        <f t="shared" si="214"/>
        <v>10/2025</v>
      </c>
      <c r="AS1452" s="231">
        <f t="shared" si="215"/>
        <v>54.7</v>
      </c>
      <c r="AT1452" s="239">
        <f>IF(G1452="CERVECERIA Y MALTERIA",(AS1452*AK1452/1000000)*(1-VLOOKUP(N1452,FCST!D:I,6,FALSE)),0)</f>
        <v>19.250899199999999</v>
      </c>
      <c r="AU1452" s="232">
        <v>5.0000000000000001E-3</v>
      </c>
      <c r="AV1452" s="239">
        <f t="shared" si="216"/>
        <v>19.347153695999996</v>
      </c>
      <c r="AW1452" s="239">
        <f>(AS1452*AK1452/1000000)*(VLOOKUP(N1452,FCST!D:I,6,FALSE))</f>
        <v>0</v>
      </c>
      <c r="AX1452" s="239">
        <f t="shared" si="217"/>
        <v>0</v>
      </c>
      <c r="AY1452" s="239">
        <f>IF($G1452="CERVECERIA Y MALTERIA.",($AS1452*$AK1452/1000000)*(1-VLOOKUP($N1452,FCST!D:I,6,FALSE)),0)</f>
        <v>0</v>
      </c>
      <c r="AZ1452" s="239">
        <f t="shared" si="218"/>
        <v>0</v>
      </c>
    </row>
    <row r="1453" spans="1:52" x14ac:dyDescent="0.25">
      <c r="A1453" s="209">
        <v>1148752</v>
      </c>
      <c r="B1453" s="209">
        <v>20</v>
      </c>
      <c r="C1453" s="209" t="s">
        <v>3166</v>
      </c>
      <c r="D1453" s="209">
        <v>10</v>
      </c>
      <c r="E1453" s="209">
        <v>10000002</v>
      </c>
      <c r="F1453" s="209">
        <v>20000339</v>
      </c>
      <c r="G1453" s="209" t="s">
        <v>105</v>
      </c>
      <c r="H1453" s="209">
        <v>20000339</v>
      </c>
      <c r="I1453" s="209">
        <v>2</v>
      </c>
      <c r="J1453" s="209" t="s">
        <v>169</v>
      </c>
      <c r="K1453" s="209" t="s">
        <v>3167</v>
      </c>
      <c r="L1453" s="209" t="s">
        <v>2610</v>
      </c>
      <c r="M1453" s="209" t="s">
        <v>184</v>
      </c>
      <c r="N1453" s="209">
        <v>50036287</v>
      </c>
      <c r="O1453" s="209" t="s">
        <v>2191</v>
      </c>
      <c r="P1453" s="209">
        <v>5121</v>
      </c>
      <c r="Q1453" s="209" t="s">
        <v>174</v>
      </c>
      <c r="R1453" s="209" t="s">
        <v>175</v>
      </c>
      <c r="S1453" s="209" t="s">
        <v>176</v>
      </c>
      <c r="T1453" s="209" t="s">
        <v>177</v>
      </c>
      <c r="U1453" s="209" t="s">
        <v>178</v>
      </c>
      <c r="V1453" s="209" t="s">
        <v>179</v>
      </c>
      <c r="W1453" s="209" t="s">
        <v>179</v>
      </c>
      <c r="X1453" s="209" t="s">
        <v>180</v>
      </c>
      <c r="Y1453" s="209" t="s">
        <v>180</v>
      </c>
      <c r="Z1453" s="209" t="s">
        <v>3168</v>
      </c>
      <c r="AA1453" s="209" t="s">
        <v>3169</v>
      </c>
      <c r="AB1453" s="209" t="s">
        <v>180</v>
      </c>
      <c r="AC1453" s="209" t="s">
        <v>182</v>
      </c>
      <c r="AD1453" s="209">
        <v>10</v>
      </c>
      <c r="AE1453" s="209">
        <v>2025</v>
      </c>
      <c r="AF1453" s="227">
        <v>45961</v>
      </c>
      <c r="AG1453" s="227">
        <v>45961</v>
      </c>
      <c r="AH1453" s="227">
        <v>45961</v>
      </c>
      <c r="AI1453" s="228">
        <v>363168</v>
      </c>
      <c r="AJ1453" s="228">
        <v>52</v>
      </c>
      <c r="AK1453" s="228">
        <v>363168</v>
      </c>
      <c r="AL1453" s="228">
        <v>52</v>
      </c>
      <c r="AM1453" s="228">
        <v>0</v>
      </c>
      <c r="AN1453" s="228">
        <v>0</v>
      </c>
      <c r="AO1453" s="229">
        <v>44</v>
      </c>
      <c r="AP1453" s="231">
        <v>10</v>
      </c>
      <c r="AQ1453" s="231">
        <v>2025</v>
      </c>
      <c r="AR1453" s="231" t="str">
        <f t="shared" si="214"/>
        <v>10/2025</v>
      </c>
      <c r="AS1453" s="231">
        <f t="shared" si="215"/>
        <v>52</v>
      </c>
      <c r="AT1453" s="239">
        <f>IF(G1453="CERVECERIA Y MALTERIA",(AS1453*AK1453/1000000)*(1-VLOOKUP(N1453,FCST!D:I,6,FALSE)),0)</f>
        <v>18.884736</v>
      </c>
      <c r="AU1453" s="232">
        <v>5.0000000000000001E-3</v>
      </c>
      <c r="AV1453" s="239">
        <f t="shared" si="216"/>
        <v>18.979159679999999</v>
      </c>
      <c r="AW1453" s="239">
        <f>(AS1453*AK1453/1000000)*(VLOOKUP(N1453,FCST!D:I,6,FALSE))</f>
        <v>0</v>
      </c>
      <c r="AX1453" s="239">
        <f t="shared" si="217"/>
        <v>0</v>
      </c>
      <c r="AY1453" s="239">
        <f>IF($G1453="CERVECERIA Y MALTERIA.",($AS1453*$AK1453/1000000)*(1-VLOOKUP($N1453,FCST!D:I,6,FALSE)),0)</f>
        <v>0</v>
      </c>
      <c r="AZ1453" s="239">
        <f t="shared" si="218"/>
        <v>0</v>
      </c>
    </row>
    <row r="1454" spans="1:52" x14ac:dyDescent="0.25">
      <c r="A1454" s="209">
        <v>1146749</v>
      </c>
      <c r="B1454" s="209">
        <v>120</v>
      </c>
      <c r="C1454" s="209" t="s">
        <v>3170</v>
      </c>
      <c r="D1454" s="209">
        <v>10</v>
      </c>
      <c r="E1454" s="209">
        <v>10000002</v>
      </c>
      <c r="F1454" s="209">
        <v>20000335</v>
      </c>
      <c r="G1454" s="209" t="s">
        <v>105</v>
      </c>
      <c r="H1454" s="209">
        <v>20000335</v>
      </c>
      <c r="I1454" s="209">
        <v>2</v>
      </c>
      <c r="J1454" s="209" t="s">
        <v>169</v>
      </c>
      <c r="K1454" s="209" t="s">
        <v>3171</v>
      </c>
      <c r="L1454" s="209" t="s">
        <v>265</v>
      </c>
      <c r="M1454" s="209" t="s">
        <v>199</v>
      </c>
      <c r="N1454" s="209">
        <v>50035184</v>
      </c>
      <c r="O1454" s="209" t="s">
        <v>672</v>
      </c>
      <c r="P1454" s="209">
        <v>5121</v>
      </c>
      <c r="Q1454" s="209" t="s">
        <v>200</v>
      </c>
      <c r="R1454" s="209" t="s">
        <v>201</v>
      </c>
      <c r="S1454" s="209" t="s">
        <v>202</v>
      </c>
      <c r="T1454" s="209" t="s">
        <v>203</v>
      </c>
      <c r="U1454" s="209" t="s">
        <v>201</v>
      </c>
      <c r="V1454" s="209" t="s">
        <v>179</v>
      </c>
      <c r="W1454" s="209" t="s">
        <v>179</v>
      </c>
      <c r="X1454" s="209" t="s">
        <v>180</v>
      </c>
      <c r="Y1454" s="209" t="s">
        <v>180</v>
      </c>
      <c r="Z1454" s="209" t="s">
        <v>3160</v>
      </c>
      <c r="AA1454" s="209" t="s">
        <v>3161</v>
      </c>
      <c r="AB1454" s="209" t="s">
        <v>180</v>
      </c>
      <c r="AC1454" s="209" t="s">
        <v>182</v>
      </c>
      <c r="AD1454" s="209">
        <v>10</v>
      </c>
      <c r="AE1454" s="209">
        <v>2025</v>
      </c>
      <c r="AF1454" s="227">
        <v>45952</v>
      </c>
      <c r="AG1454" s="227">
        <v>45961</v>
      </c>
      <c r="AH1454" s="227">
        <v>45961</v>
      </c>
      <c r="AI1454" s="228">
        <v>977184</v>
      </c>
      <c r="AJ1454" s="228">
        <v>52</v>
      </c>
      <c r="AK1454" s="228">
        <v>977184</v>
      </c>
      <c r="AL1454" s="228">
        <v>52</v>
      </c>
      <c r="AM1454" s="228">
        <v>0</v>
      </c>
      <c r="AN1454" s="228">
        <v>0</v>
      </c>
      <c r="AO1454" s="229">
        <v>44</v>
      </c>
      <c r="AP1454" s="231">
        <v>10</v>
      </c>
      <c r="AQ1454" s="231">
        <v>2025</v>
      </c>
      <c r="AR1454" s="231" t="str">
        <f t="shared" si="214"/>
        <v>10/2025</v>
      </c>
      <c r="AS1454" s="231">
        <f t="shared" si="215"/>
        <v>19.5</v>
      </c>
      <c r="AT1454" s="239">
        <f>IF(G1454="CERVECERIA Y MALTERIA",(AS1454*AK1454/1000000)*(1-VLOOKUP(N1454,FCST!D:I,6,FALSE)),0)</f>
        <v>19.055088000000001</v>
      </c>
      <c r="AU1454" s="232">
        <v>5.0000000000000001E-3</v>
      </c>
      <c r="AV1454" s="239">
        <f t="shared" si="216"/>
        <v>19.15036344</v>
      </c>
      <c r="AW1454" s="239">
        <f>(AS1454*AK1454/1000000)*(VLOOKUP(N1454,FCST!D:I,6,FALSE))</f>
        <v>0</v>
      </c>
      <c r="AX1454" s="239">
        <f t="shared" si="217"/>
        <v>0</v>
      </c>
      <c r="AY1454" s="239">
        <f>IF($G1454="CERVECERIA Y MALTERIA.",($AS1454*$AK1454/1000000)*(1-VLOOKUP($N1454,FCST!D:I,6,FALSE)),0)</f>
        <v>0</v>
      </c>
      <c r="AZ1454" s="239">
        <f t="shared" si="218"/>
        <v>0</v>
      </c>
    </row>
    <row r="1455" spans="1:52" x14ac:dyDescent="0.25">
      <c r="A1455" s="209">
        <v>1148378</v>
      </c>
      <c r="B1455" s="209">
        <v>10</v>
      </c>
      <c r="C1455" s="209" t="s">
        <v>3172</v>
      </c>
      <c r="D1455" s="209">
        <v>10</v>
      </c>
      <c r="E1455" s="209">
        <v>10000002</v>
      </c>
      <c r="F1455" s="209">
        <v>20001057</v>
      </c>
      <c r="G1455" s="209" t="s">
        <v>105</v>
      </c>
      <c r="H1455" s="209">
        <v>20001057</v>
      </c>
      <c r="I1455" s="209">
        <v>2</v>
      </c>
      <c r="J1455" s="209" t="s">
        <v>169</v>
      </c>
      <c r="K1455" s="209" t="s">
        <v>3173</v>
      </c>
      <c r="L1455" s="209" t="s">
        <v>2610</v>
      </c>
      <c r="M1455" s="209" t="s">
        <v>2718</v>
      </c>
      <c r="N1455" s="209">
        <v>50037887</v>
      </c>
      <c r="O1455" s="209" t="s">
        <v>679</v>
      </c>
      <c r="P1455" s="209">
        <v>5121</v>
      </c>
      <c r="Q1455" s="209" t="s">
        <v>174</v>
      </c>
      <c r="R1455" s="209" t="s">
        <v>175</v>
      </c>
      <c r="S1455" s="209" t="s">
        <v>176</v>
      </c>
      <c r="T1455" s="209" t="s">
        <v>177</v>
      </c>
      <c r="U1455" s="209" t="s">
        <v>178</v>
      </c>
      <c r="V1455" s="209" t="s">
        <v>179</v>
      </c>
      <c r="W1455" s="209" t="s">
        <v>179</v>
      </c>
      <c r="X1455" s="209" t="s">
        <v>180</v>
      </c>
      <c r="Y1455" s="209" t="s">
        <v>180</v>
      </c>
      <c r="Z1455" s="209" t="s">
        <v>3174</v>
      </c>
      <c r="AA1455" s="209" t="s">
        <v>3175</v>
      </c>
      <c r="AB1455" s="209" t="s">
        <v>180</v>
      </c>
      <c r="AC1455" s="209" t="s">
        <v>182</v>
      </c>
      <c r="AD1455" s="209">
        <v>10</v>
      </c>
      <c r="AE1455" s="209">
        <v>2025</v>
      </c>
      <c r="AF1455" s="227">
        <v>45960</v>
      </c>
      <c r="AG1455" s="227">
        <v>45961</v>
      </c>
      <c r="AH1455" s="227">
        <v>45961</v>
      </c>
      <c r="AI1455" s="228">
        <v>265824</v>
      </c>
      <c r="AJ1455" s="228">
        <v>26</v>
      </c>
      <c r="AK1455" s="228">
        <v>265824</v>
      </c>
      <c r="AL1455" s="228">
        <v>26</v>
      </c>
      <c r="AM1455" s="228">
        <v>0</v>
      </c>
      <c r="AN1455" s="228">
        <v>0</v>
      </c>
      <c r="AO1455" s="229">
        <v>44</v>
      </c>
      <c r="AP1455" s="231">
        <v>10</v>
      </c>
      <c r="AQ1455" s="231">
        <v>2025</v>
      </c>
      <c r="AR1455" s="231" t="str">
        <f t="shared" si="214"/>
        <v>10/2025</v>
      </c>
      <c r="AS1455" s="231">
        <f t="shared" si="215"/>
        <v>37.200000000000003</v>
      </c>
      <c r="AT1455" s="239">
        <f>IF(G1455="CERVECERIA Y MALTERIA",(AS1455*AK1455/1000000)*(1-VLOOKUP(N1455,FCST!D:I,6,FALSE)),0)</f>
        <v>9.8886528000000009</v>
      </c>
      <c r="AU1455" s="232">
        <v>5.0000000000000001E-3</v>
      </c>
      <c r="AV1455" s="239">
        <f t="shared" si="216"/>
        <v>9.9380960639999998</v>
      </c>
      <c r="AW1455" s="239">
        <f>(AS1455*AK1455/1000000)*(VLOOKUP(N1455,FCST!D:I,6,FALSE))</f>
        <v>0</v>
      </c>
      <c r="AX1455" s="239">
        <f t="shared" si="217"/>
        <v>0</v>
      </c>
      <c r="AY1455" s="239">
        <f>IF($G1455="CERVECERIA Y MALTERIA.",($AS1455*$AK1455/1000000)*(1-VLOOKUP($N1455,FCST!D:I,6,FALSE)),0)</f>
        <v>0</v>
      </c>
      <c r="AZ1455" s="239">
        <f t="shared" si="218"/>
        <v>0</v>
      </c>
    </row>
    <row r="1456" spans="1:52" x14ac:dyDescent="0.25">
      <c r="A1456" s="209">
        <v>1148378</v>
      </c>
      <c r="B1456" s="209">
        <v>20</v>
      </c>
      <c r="C1456" s="209" t="s">
        <v>3172</v>
      </c>
      <c r="D1456" s="209">
        <v>20</v>
      </c>
      <c r="E1456" s="209">
        <v>10000002</v>
      </c>
      <c r="F1456" s="209">
        <v>20001057</v>
      </c>
      <c r="G1456" s="209" t="s">
        <v>105</v>
      </c>
      <c r="H1456" s="209">
        <v>20001057</v>
      </c>
      <c r="I1456" s="209">
        <v>2</v>
      </c>
      <c r="J1456" s="209" t="s">
        <v>169</v>
      </c>
      <c r="K1456" s="209" t="s">
        <v>3173</v>
      </c>
      <c r="L1456" s="209" t="s">
        <v>2610</v>
      </c>
      <c r="M1456" s="209" t="s">
        <v>2718</v>
      </c>
      <c r="N1456" s="209">
        <v>50032578</v>
      </c>
      <c r="O1456" s="209" t="s">
        <v>329</v>
      </c>
      <c r="P1456" s="209">
        <v>5121</v>
      </c>
      <c r="Q1456" s="209" t="s">
        <v>174</v>
      </c>
      <c r="R1456" s="209" t="s">
        <v>175</v>
      </c>
      <c r="S1456" s="209" t="s">
        <v>176</v>
      </c>
      <c r="T1456" s="209" t="s">
        <v>177</v>
      </c>
      <c r="U1456" s="209" t="s">
        <v>178</v>
      </c>
      <c r="V1456" s="209" t="s">
        <v>179</v>
      </c>
      <c r="W1456" s="209" t="s">
        <v>179</v>
      </c>
      <c r="X1456" s="209" t="s">
        <v>180</v>
      </c>
      <c r="Y1456" s="209" t="s">
        <v>180</v>
      </c>
      <c r="Z1456" s="209" t="s">
        <v>3174</v>
      </c>
      <c r="AA1456" s="209" t="s">
        <v>3175</v>
      </c>
      <c r="AB1456" s="209" t="s">
        <v>180</v>
      </c>
      <c r="AC1456" s="209" t="s">
        <v>182</v>
      </c>
      <c r="AD1456" s="209">
        <v>10</v>
      </c>
      <c r="AE1456" s="209">
        <v>2025</v>
      </c>
      <c r="AF1456" s="227">
        <v>45960</v>
      </c>
      <c r="AG1456" s="227">
        <v>45961</v>
      </c>
      <c r="AH1456" s="227">
        <v>45961</v>
      </c>
      <c r="AI1456" s="228">
        <v>265824</v>
      </c>
      <c r="AJ1456" s="228">
        <v>26</v>
      </c>
      <c r="AK1456" s="228">
        <v>265824</v>
      </c>
      <c r="AL1456" s="228">
        <v>26</v>
      </c>
      <c r="AM1456" s="228">
        <v>0</v>
      </c>
      <c r="AN1456" s="228">
        <v>0</v>
      </c>
      <c r="AO1456" s="229">
        <v>44</v>
      </c>
      <c r="AP1456" s="231">
        <v>10</v>
      </c>
      <c r="AQ1456" s="231">
        <v>2025</v>
      </c>
      <c r="AR1456" s="231" t="str">
        <f t="shared" si="214"/>
        <v>10/2025</v>
      </c>
      <c r="AS1456" s="231">
        <f t="shared" si="215"/>
        <v>37.200000000000003</v>
      </c>
      <c r="AT1456" s="239">
        <f>IF(G1456="CERVECERIA Y MALTERIA",(AS1456*AK1456/1000000)*(1-VLOOKUP(N1456,FCST!D:I,6,FALSE)),0)</f>
        <v>9.8886528000000009</v>
      </c>
      <c r="AU1456" s="232">
        <v>5.0000000000000001E-3</v>
      </c>
      <c r="AV1456" s="239">
        <f t="shared" si="216"/>
        <v>9.9380960639999998</v>
      </c>
      <c r="AW1456" s="239">
        <f>(AS1456*AK1456/1000000)*(VLOOKUP(N1456,FCST!D:I,6,FALSE))</f>
        <v>0</v>
      </c>
      <c r="AX1456" s="239">
        <f t="shared" si="217"/>
        <v>0</v>
      </c>
      <c r="AY1456" s="239">
        <f>IF($G1456="CERVECERIA Y MALTERIA.",($AS1456*$AK1456/1000000)*(1-VLOOKUP($N1456,FCST!D:I,6,FALSE)),0)</f>
        <v>0</v>
      </c>
      <c r="AZ1456" s="239">
        <f t="shared" si="218"/>
        <v>0</v>
      </c>
    </row>
    <row r="1457" spans="1:52" x14ac:dyDescent="0.25">
      <c r="A1457" s="209">
        <v>1147766</v>
      </c>
      <c r="B1457" s="209">
        <v>20</v>
      </c>
      <c r="C1457" s="209" t="s">
        <v>3176</v>
      </c>
      <c r="D1457" s="209">
        <v>10</v>
      </c>
      <c r="E1457" s="209">
        <v>10000002</v>
      </c>
      <c r="F1457" s="209">
        <v>20000335</v>
      </c>
      <c r="G1457" s="209" t="s">
        <v>105</v>
      </c>
      <c r="H1457" s="209">
        <v>20000335</v>
      </c>
      <c r="I1457" s="209">
        <v>2</v>
      </c>
      <c r="J1457" s="209" t="s">
        <v>169</v>
      </c>
      <c r="K1457" s="209" t="s">
        <v>3177</v>
      </c>
      <c r="L1457" s="209" t="s">
        <v>265</v>
      </c>
      <c r="M1457" s="209" t="s">
        <v>2718</v>
      </c>
      <c r="N1457" s="209">
        <v>50034561</v>
      </c>
      <c r="O1457" s="209" t="s">
        <v>307</v>
      </c>
      <c r="P1457" s="209">
        <v>5121</v>
      </c>
      <c r="Q1457" s="209" t="s">
        <v>174</v>
      </c>
      <c r="R1457" s="209" t="s">
        <v>175</v>
      </c>
      <c r="S1457" s="209" t="s">
        <v>176</v>
      </c>
      <c r="T1457" s="209" t="s">
        <v>177</v>
      </c>
      <c r="U1457" s="209" t="s">
        <v>178</v>
      </c>
      <c r="V1457" s="209" t="s">
        <v>179</v>
      </c>
      <c r="W1457" s="209" t="s">
        <v>179</v>
      </c>
      <c r="X1457" s="209" t="s">
        <v>180</v>
      </c>
      <c r="Y1457" s="209" t="s">
        <v>180</v>
      </c>
      <c r="Z1457" s="209" t="s">
        <v>3178</v>
      </c>
      <c r="AA1457" s="209" t="s">
        <v>3179</v>
      </c>
      <c r="AB1457" s="209" t="s">
        <v>180</v>
      </c>
      <c r="AC1457" s="209" t="s">
        <v>182</v>
      </c>
      <c r="AD1457" s="209">
        <v>10</v>
      </c>
      <c r="AE1457" s="209">
        <v>2025</v>
      </c>
      <c r="AF1457" s="227">
        <v>45958</v>
      </c>
      <c r="AG1457" s="227">
        <v>45961</v>
      </c>
      <c r="AH1457" s="227">
        <v>45961</v>
      </c>
      <c r="AI1457" s="228">
        <v>657720</v>
      </c>
      <c r="AJ1457" s="228">
        <v>35</v>
      </c>
      <c r="AK1457" s="228">
        <v>657720</v>
      </c>
      <c r="AL1457" s="228">
        <v>35</v>
      </c>
      <c r="AM1457" s="228">
        <v>0</v>
      </c>
      <c r="AN1457" s="228">
        <v>0</v>
      </c>
      <c r="AO1457" s="229">
        <v>44</v>
      </c>
      <c r="AP1457" s="231">
        <v>10</v>
      </c>
      <c r="AQ1457" s="231">
        <v>2025</v>
      </c>
      <c r="AR1457" s="231" t="str">
        <f t="shared" si="214"/>
        <v>10/2025</v>
      </c>
      <c r="AS1457" s="231">
        <f t="shared" si="215"/>
        <v>19.5</v>
      </c>
      <c r="AT1457" s="239">
        <f>IF(G1457="CERVECERIA Y MALTERIA",(AS1457*AK1457/1000000)*(1-VLOOKUP(N1457,FCST!D:I,6,FALSE)),0)</f>
        <v>12.82554</v>
      </c>
      <c r="AU1457" s="232">
        <v>5.0000000000000001E-3</v>
      </c>
      <c r="AV1457" s="239">
        <f t="shared" si="216"/>
        <v>12.889667699999999</v>
      </c>
      <c r="AW1457" s="239">
        <f>(AS1457*AK1457/1000000)*(VLOOKUP(N1457,FCST!D:I,6,FALSE))</f>
        <v>0</v>
      </c>
      <c r="AX1457" s="239">
        <f t="shared" si="217"/>
        <v>0</v>
      </c>
      <c r="AY1457" s="239">
        <f>IF($G1457="CERVECERIA Y MALTERIA.",($AS1457*$AK1457/1000000)*(1-VLOOKUP($N1457,FCST!D:I,6,FALSE)),0)</f>
        <v>0</v>
      </c>
      <c r="AZ1457" s="239">
        <f t="shared" si="218"/>
        <v>0</v>
      </c>
    </row>
    <row r="1458" spans="1:52" x14ac:dyDescent="0.25">
      <c r="A1458" s="209">
        <v>1147766</v>
      </c>
      <c r="B1458" s="209">
        <v>30</v>
      </c>
      <c r="C1458" s="209" t="s">
        <v>3176</v>
      </c>
      <c r="D1458" s="209">
        <v>20</v>
      </c>
      <c r="E1458" s="209">
        <v>10000002</v>
      </c>
      <c r="F1458" s="209">
        <v>20000335</v>
      </c>
      <c r="G1458" s="209" t="s">
        <v>105</v>
      </c>
      <c r="H1458" s="209">
        <v>20000335</v>
      </c>
      <c r="I1458" s="209">
        <v>2</v>
      </c>
      <c r="J1458" s="209" t="s">
        <v>169</v>
      </c>
      <c r="K1458" s="209" t="s">
        <v>3177</v>
      </c>
      <c r="L1458" s="209" t="s">
        <v>265</v>
      </c>
      <c r="M1458" s="209" t="s">
        <v>2718</v>
      </c>
      <c r="N1458" s="209">
        <v>50037887</v>
      </c>
      <c r="O1458" s="209" t="s">
        <v>679</v>
      </c>
      <c r="P1458" s="209">
        <v>5121</v>
      </c>
      <c r="Q1458" s="209" t="s">
        <v>174</v>
      </c>
      <c r="R1458" s="209" t="s">
        <v>175</v>
      </c>
      <c r="S1458" s="209" t="s">
        <v>176</v>
      </c>
      <c r="T1458" s="209" t="s">
        <v>177</v>
      </c>
      <c r="U1458" s="209" t="s">
        <v>178</v>
      </c>
      <c r="V1458" s="209" t="s">
        <v>179</v>
      </c>
      <c r="W1458" s="209" t="s">
        <v>179</v>
      </c>
      <c r="X1458" s="209" t="s">
        <v>180</v>
      </c>
      <c r="Y1458" s="209" t="s">
        <v>180</v>
      </c>
      <c r="Z1458" s="209" t="s">
        <v>3178</v>
      </c>
      <c r="AA1458" s="209" t="s">
        <v>3179</v>
      </c>
      <c r="AB1458" s="209" t="s">
        <v>180</v>
      </c>
      <c r="AC1458" s="209" t="s">
        <v>182</v>
      </c>
      <c r="AD1458" s="209">
        <v>10</v>
      </c>
      <c r="AE1458" s="209">
        <v>2025</v>
      </c>
      <c r="AF1458" s="227">
        <v>45958</v>
      </c>
      <c r="AG1458" s="227">
        <v>45961</v>
      </c>
      <c r="AH1458" s="227">
        <v>45961</v>
      </c>
      <c r="AI1458" s="228">
        <v>163584</v>
      </c>
      <c r="AJ1458" s="228">
        <v>16</v>
      </c>
      <c r="AK1458" s="228">
        <v>163584</v>
      </c>
      <c r="AL1458" s="228">
        <v>16</v>
      </c>
      <c r="AM1458" s="228">
        <v>0</v>
      </c>
      <c r="AN1458" s="228">
        <v>0</v>
      </c>
      <c r="AO1458" s="229">
        <v>44</v>
      </c>
      <c r="AP1458" s="231">
        <v>10</v>
      </c>
      <c r="AQ1458" s="231">
        <v>2025</v>
      </c>
      <c r="AR1458" s="231" t="str">
        <f t="shared" si="214"/>
        <v>10/2025</v>
      </c>
      <c r="AS1458" s="231">
        <f t="shared" si="215"/>
        <v>37.200000000000003</v>
      </c>
      <c r="AT1458" s="239">
        <f>IF(G1458="CERVECERIA Y MALTERIA",(AS1458*AK1458/1000000)*(1-VLOOKUP(N1458,FCST!D:I,6,FALSE)),0)</f>
        <v>6.0853248000000004</v>
      </c>
      <c r="AU1458" s="232">
        <v>5.0000000000000001E-3</v>
      </c>
      <c r="AV1458" s="239">
        <f t="shared" si="216"/>
        <v>6.1157514239999999</v>
      </c>
      <c r="AW1458" s="239">
        <f>(AS1458*AK1458/1000000)*(VLOOKUP(N1458,FCST!D:I,6,FALSE))</f>
        <v>0</v>
      </c>
      <c r="AX1458" s="239">
        <f t="shared" si="217"/>
        <v>0</v>
      </c>
      <c r="AY1458" s="239">
        <f>IF($G1458="CERVECERIA Y MALTERIA.",($AS1458*$AK1458/1000000)*(1-VLOOKUP($N1458,FCST!D:I,6,FALSE)),0)</f>
        <v>0</v>
      </c>
      <c r="AZ1458" s="239">
        <f t="shared" si="218"/>
        <v>0</v>
      </c>
    </row>
    <row r="1459" spans="1:52" x14ac:dyDescent="0.25">
      <c r="A1459" s="209">
        <v>1148752</v>
      </c>
      <c r="B1459" s="209">
        <v>10</v>
      </c>
      <c r="C1459" s="209" t="s">
        <v>3180</v>
      </c>
      <c r="D1459" s="209">
        <v>10</v>
      </c>
      <c r="E1459" s="209">
        <v>10000002</v>
      </c>
      <c r="F1459" s="209">
        <v>20000339</v>
      </c>
      <c r="G1459" s="209" t="s">
        <v>105</v>
      </c>
      <c r="H1459" s="209">
        <v>20000339</v>
      </c>
      <c r="I1459" s="209">
        <v>2</v>
      </c>
      <c r="J1459" s="209" t="s">
        <v>169</v>
      </c>
      <c r="K1459" s="209" t="s">
        <v>3181</v>
      </c>
      <c r="L1459" s="209" t="s">
        <v>2610</v>
      </c>
      <c r="M1459" s="209" t="s">
        <v>2718</v>
      </c>
      <c r="N1459" s="209">
        <v>50034194</v>
      </c>
      <c r="O1459" s="209" t="s">
        <v>276</v>
      </c>
      <c r="P1459" s="209">
        <v>5121</v>
      </c>
      <c r="Q1459" s="209" t="s">
        <v>174</v>
      </c>
      <c r="R1459" s="209" t="s">
        <v>175</v>
      </c>
      <c r="S1459" s="209" t="s">
        <v>176</v>
      </c>
      <c r="T1459" s="209" t="s">
        <v>177</v>
      </c>
      <c r="U1459" s="209" t="s">
        <v>178</v>
      </c>
      <c r="V1459" s="209" t="s">
        <v>179</v>
      </c>
      <c r="W1459" s="209" t="s">
        <v>179</v>
      </c>
      <c r="X1459" s="209" t="s">
        <v>180</v>
      </c>
      <c r="Y1459" s="209" t="s">
        <v>180</v>
      </c>
      <c r="Z1459" s="209" t="s">
        <v>3182</v>
      </c>
      <c r="AA1459" s="209" t="s">
        <v>3183</v>
      </c>
      <c r="AB1459" s="209" t="s">
        <v>180</v>
      </c>
      <c r="AC1459" s="209" t="s">
        <v>182</v>
      </c>
      <c r="AD1459" s="209">
        <v>10</v>
      </c>
      <c r="AE1459" s="209">
        <v>2025</v>
      </c>
      <c r="AF1459" s="227">
        <v>45961</v>
      </c>
      <c r="AG1459" s="227">
        <v>45961</v>
      </c>
      <c r="AH1459" s="227">
        <v>45961</v>
      </c>
      <c r="AI1459" s="228">
        <v>152400</v>
      </c>
      <c r="AJ1459" s="228">
        <v>25</v>
      </c>
      <c r="AK1459" s="228">
        <v>152400</v>
      </c>
      <c r="AL1459" s="228">
        <v>25</v>
      </c>
      <c r="AM1459" s="228">
        <v>0</v>
      </c>
      <c r="AN1459" s="228">
        <v>0</v>
      </c>
      <c r="AO1459" s="229">
        <v>44</v>
      </c>
      <c r="AP1459" s="231">
        <v>10</v>
      </c>
      <c r="AQ1459" s="231">
        <v>2025</v>
      </c>
      <c r="AR1459" s="231" t="str">
        <f t="shared" si="214"/>
        <v>10/2025</v>
      </c>
      <c r="AS1459" s="231">
        <f t="shared" si="215"/>
        <v>62</v>
      </c>
      <c r="AT1459" s="239">
        <f>IF(G1459="CERVECERIA Y MALTERIA",(AS1459*AK1459/1000000)*(1-VLOOKUP(N1459,FCST!D:I,6,FALSE)),0)</f>
        <v>9.4488000000000003</v>
      </c>
      <c r="AU1459" s="232">
        <v>5.0000000000000001E-3</v>
      </c>
      <c r="AV1459" s="239">
        <f t="shared" si="216"/>
        <v>9.4960439999999995</v>
      </c>
      <c r="AW1459" s="239">
        <f>(AS1459*AK1459/1000000)*(VLOOKUP(N1459,FCST!D:I,6,FALSE))</f>
        <v>0</v>
      </c>
      <c r="AX1459" s="239">
        <f t="shared" si="217"/>
        <v>0</v>
      </c>
      <c r="AY1459" s="239">
        <f>IF($G1459="CERVECERIA Y MALTERIA.",($AS1459*$AK1459/1000000)*(1-VLOOKUP($N1459,FCST!D:I,6,FALSE)),0)</f>
        <v>0</v>
      </c>
      <c r="AZ1459" s="239">
        <f t="shared" si="218"/>
        <v>0</v>
      </c>
    </row>
    <row r="1460" spans="1:52" x14ac:dyDescent="0.25">
      <c r="A1460" s="209">
        <v>1148753</v>
      </c>
      <c r="B1460" s="209">
        <v>10</v>
      </c>
      <c r="C1460" s="209" t="s">
        <v>3184</v>
      </c>
      <c r="D1460" s="209">
        <v>10</v>
      </c>
      <c r="E1460" s="209">
        <v>10000002</v>
      </c>
      <c r="F1460" s="209">
        <v>20000339</v>
      </c>
      <c r="G1460" s="209" t="s">
        <v>105</v>
      </c>
      <c r="H1460" s="209">
        <v>20000339</v>
      </c>
      <c r="I1460" s="209">
        <v>2</v>
      </c>
      <c r="J1460" s="209" t="s">
        <v>169</v>
      </c>
      <c r="K1460" s="209" t="s">
        <v>3185</v>
      </c>
      <c r="L1460" s="209" t="s">
        <v>2610</v>
      </c>
      <c r="M1460" s="209" t="s">
        <v>2718</v>
      </c>
      <c r="N1460" s="209">
        <v>50038607</v>
      </c>
      <c r="O1460" s="209" t="s">
        <v>1992</v>
      </c>
      <c r="P1460" s="209">
        <v>5101</v>
      </c>
      <c r="Q1460" s="209" t="s">
        <v>186</v>
      </c>
      <c r="R1460" s="209" t="s">
        <v>175</v>
      </c>
      <c r="S1460" s="209" t="s">
        <v>176</v>
      </c>
      <c r="T1460" s="209" t="s">
        <v>187</v>
      </c>
      <c r="U1460" s="209" t="s">
        <v>188</v>
      </c>
      <c r="V1460" s="209" t="s">
        <v>179</v>
      </c>
      <c r="W1460" s="209" t="s">
        <v>179</v>
      </c>
      <c r="X1460" s="209" t="s">
        <v>180</v>
      </c>
      <c r="Y1460" s="209" t="s">
        <v>180</v>
      </c>
      <c r="Z1460" s="209" t="s">
        <v>3186</v>
      </c>
      <c r="AA1460" s="209" t="s">
        <v>3187</v>
      </c>
      <c r="AB1460" s="209" t="s">
        <v>180</v>
      </c>
      <c r="AC1460" s="209" t="s">
        <v>182</v>
      </c>
      <c r="AD1460" s="209">
        <v>10</v>
      </c>
      <c r="AE1460" s="209">
        <v>2025</v>
      </c>
      <c r="AF1460" s="227">
        <v>45961</v>
      </c>
      <c r="AG1460" s="227">
        <v>45961</v>
      </c>
      <c r="AH1460" s="227">
        <v>45961</v>
      </c>
      <c r="AI1460" s="228">
        <v>386208</v>
      </c>
      <c r="AJ1460" s="228">
        <v>27</v>
      </c>
      <c r="AK1460" s="228">
        <v>386208</v>
      </c>
      <c r="AL1460" s="228">
        <v>27</v>
      </c>
      <c r="AM1460" s="228">
        <v>0</v>
      </c>
      <c r="AN1460" s="228">
        <v>0</v>
      </c>
      <c r="AO1460" s="229">
        <v>44</v>
      </c>
      <c r="AP1460" s="231">
        <v>10</v>
      </c>
      <c r="AQ1460" s="231">
        <v>2025</v>
      </c>
      <c r="AR1460" s="231" t="str">
        <f t="shared" si="214"/>
        <v>10/2025</v>
      </c>
      <c r="AS1460" s="231">
        <f t="shared" si="215"/>
        <v>25</v>
      </c>
      <c r="AT1460" s="239">
        <f>IF(G1460="CERVECERIA Y MALTERIA",(AS1460*AK1460/1000000)*(1-VLOOKUP(N1460,FCST!D:I,6,FALSE)),0)</f>
        <v>9.6552000000000007</v>
      </c>
      <c r="AU1460" s="232">
        <v>5.0000000000000001E-3</v>
      </c>
      <c r="AV1460" s="239">
        <f t="shared" si="216"/>
        <v>9.7034760000000002</v>
      </c>
      <c r="AW1460" s="239">
        <f>(AS1460*AK1460/1000000)*(VLOOKUP(N1460,FCST!D:I,6,FALSE))</f>
        <v>0</v>
      </c>
      <c r="AX1460" s="239">
        <f t="shared" si="217"/>
        <v>0</v>
      </c>
      <c r="AY1460" s="239">
        <f>IF($G1460="CERVECERIA Y MALTERIA.",($AS1460*$AK1460/1000000)*(1-VLOOKUP($N1460,FCST!D:I,6,FALSE)),0)</f>
        <v>0</v>
      </c>
      <c r="AZ1460" s="239">
        <f t="shared" si="218"/>
        <v>0</v>
      </c>
    </row>
    <row r="1461" spans="1:52" x14ac:dyDescent="0.25">
      <c r="A1461" s="209">
        <v>1147782</v>
      </c>
      <c r="B1461" s="209">
        <v>10</v>
      </c>
      <c r="C1461" s="209" t="s">
        <v>3188</v>
      </c>
      <c r="D1461" s="209">
        <v>10</v>
      </c>
      <c r="E1461" s="209">
        <v>10000002</v>
      </c>
      <c r="F1461" s="209">
        <v>20000339</v>
      </c>
      <c r="G1461" s="209" t="s">
        <v>105</v>
      </c>
      <c r="H1461" s="209">
        <v>20000339</v>
      </c>
      <c r="I1461" s="209">
        <v>2</v>
      </c>
      <c r="J1461" s="209" t="s">
        <v>169</v>
      </c>
      <c r="K1461" s="209" t="s">
        <v>3189</v>
      </c>
      <c r="L1461" s="209" t="s">
        <v>265</v>
      </c>
      <c r="M1461" s="209" t="s">
        <v>227</v>
      </c>
      <c r="N1461" s="209">
        <v>50034194</v>
      </c>
      <c r="O1461" s="209" t="s">
        <v>276</v>
      </c>
      <c r="P1461" s="209">
        <v>5121</v>
      </c>
      <c r="Q1461" s="209" t="s">
        <v>228</v>
      </c>
      <c r="R1461" s="209" t="s">
        <v>229</v>
      </c>
      <c r="S1461" s="209" t="s">
        <v>230</v>
      </c>
      <c r="T1461" s="209" t="s">
        <v>231</v>
      </c>
      <c r="U1461" s="209" t="s">
        <v>232</v>
      </c>
      <c r="V1461" s="209" t="s">
        <v>179</v>
      </c>
      <c r="W1461" s="209" t="s">
        <v>179</v>
      </c>
      <c r="X1461" s="209" t="s">
        <v>180</v>
      </c>
      <c r="Y1461" s="209" t="s">
        <v>180</v>
      </c>
      <c r="Z1461" s="209" t="s">
        <v>3190</v>
      </c>
      <c r="AA1461" s="209" t="s">
        <v>3191</v>
      </c>
      <c r="AB1461" s="209" t="s">
        <v>180</v>
      </c>
      <c r="AC1461" s="209" t="s">
        <v>182</v>
      </c>
      <c r="AD1461" s="209">
        <v>10</v>
      </c>
      <c r="AE1461" s="209">
        <v>2025</v>
      </c>
      <c r="AF1461" s="227">
        <v>45958</v>
      </c>
      <c r="AG1461" s="227">
        <v>45960</v>
      </c>
      <c r="AH1461" s="227">
        <v>45960</v>
      </c>
      <c r="AI1461" s="228">
        <v>146304</v>
      </c>
      <c r="AJ1461" s="228">
        <v>24</v>
      </c>
      <c r="AK1461" s="228">
        <v>146304</v>
      </c>
      <c r="AL1461" s="228">
        <v>24</v>
      </c>
      <c r="AM1461" s="228">
        <v>0</v>
      </c>
      <c r="AN1461" s="228">
        <v>0</v>
      </c>
      <c r="AO1461" s="229">
        <v>44</v>
      </c>
      <c r="AP1461" s="231">
        <v>10</v>
      </c>
      <c r="AQ1461" s="231">
        <v>2025</v>
      </c>
      <c r="AR1461" s="231" t="str">
        <f t="shared" si="214"/>
        <v>10/2025</v>
      </c>
      <c r="AS1461" s="231">
        <f t="shared" si="215"/>
        <v>62</v>
      </c>
      <c r="AT1461" s="239">
        <f>IF(G1461="CERVECERIA Y MALTERIA",(AS1461*AK1461/1000000)*(1-VLOOKUP(N1461,FCST!D:I,6,FALSE)),0)</f>
        <v>9.0708479999999998</v>
      </c>
      <c r="AU1461" s="232">
        <v>5.0000000000000001E-3</v>
      </c>
      <c r="AV1461" s="239">
        <f t="shared" si="216"/>
        <v>9.116202239999998</v>
      </c>
      <c r="AW1461" s="239">
        <f>(AS1461*AK1461/1000000)*(VLOOKUP(N1461,FCST!D:I,6,FALSE))</f>
        <v>0</v>
      </c>
      <c r="AX1461" s="239">
        <f t="shared" si="217"/>
        <v>0</v>
      </c>
      <c r="AY1461" s="239">
        <f>IF($G1461="CERVECERIA Y MALTERIA.",($AS1461*$AK1461/1000000)*(1-VLOOKUP($N1461,FCST!D:I,6,FALSE)),0)</f>
        <v>0</v>
      </c>
      <c r="AZ1461" s="239">
        <f t="shared" si="218"/>
        <v>0</v>
      </c>
    </row>
    <row r="1462" spans="1:52" x14ac:dyDescent="0.25">
      <c r="A1462" s="209">
        <v>1146749</v>
      </c>
      <c r="B1462" s="209">
        <v>130</v>
      </c>
      <c r="C1462" s="209" t="s">
        <v>3192</v>
      </c>
      <c r="D1462" s="209">
        <v>10</v>
      </c>
      <c r="E1462" s="209">
        <v>10000002</v>
      </c>
      <c r="F1462" s="209">
        <v>20000335</v>
      </c>
      <c r="G1462" s="209" t="s">
        <v>105</v>
      </c>
      <c r="H1462" s="209">
        <v>20000335</v>
      </c>
      <c r="I1462" s="209">
        <v>2</v>
      </c>
      <c r="J1462" s="209" t="s">
        <v>169</v>
      </c>
      <c r="K1462" s="209" t="s">
        <v>3193</v>
      </c>
      <c r="L1462" s="209" t="s">
        <v>265</v>
      </c>
      <c r="M1462" s="209" t="s">
        <v>199</v>
      </c>
      <c r="N1462" s="209">
        <v>50025345</v>
      </c>
      <c r="O1462" s="209" t="s">
        <v>1998</v>
      </c>
      <c r="P1462" s="209">
        <v>5121</v>
      </c>
      <c r="Q1462" s="209" t="s">
        <v>200</v>
      </c>
      <c r="R1462" s="209" t="s">
        <v>201</v>
      </c>
      <c r="S1462" s="209" t="s">
        <v>202</v>
      </c>
      <c r="T1462" s="209" t="s">
        <v>203</v>
      </c>
      <c r="U1462" s="209" t="s">
        <v>201</v>
      </c>
      <c r="V1462" s="209" t="s">
        <v>179</v>
      </c>
      <c r="W1462" s="209" t="s">
        <v>179</v>
      </c>
      <c r="X1462" s="209" t="s">
        <v>180</v>
      </c>
      <c r="Y1462" s="209" t="s">
        <v>180</v>
      </c>
      <c r="Z1462" s="209" t="s">
        <v>3194</v>
      </c>
      <c r="AA1462" s="209" t="s">
        <v>3195</v>
      </c>
      <c r="AB1462" s="209" t="s">
        <v>180</v>
      </c>
      <c r="AC1462" s="209" t="s">
        <v>182</v>
      </c>
      <c r="AD1462" s="209">
        <v>10</v>
      </c>
      <c r="AE1462" s="209">
        <v>2025</v>
      </c>
      <c r="AF1462" s="227">
        <v>45952</v>
      </c>
      <c r="AG1462" s="227">
        <v>45960</v>
      </c>
      <c r="AH1462" s="227">
        <v>45960</v>
      </c>
      <c r="AI1462" s="228">
        <v>426816</v>
      </c>
      <c r="AJ1462" s="228">
        <v>52</v>
      </c>
      <c r="AK1462" s="228">
        <v>426816</v>
      </c>
      <c r="AL1462" s="228">
        <v>52</v>
      </c>
      <c r="AM1462" s="228">
        <v>0</v>
      </c>
      <c r="AN1462" s="228">
        <v>0</v>
      </c>
      <c r="AO1462" s="229">
        <v>44</v>
      </c>
      <c r="AP1462" s="231">
        <v>10</v>
      </c>
      <c r="AQ1462" s="231">
        <v>2025</v>
      </c>
      <c r="AR1462" s="231" t="str">
        <f t="shared" si="214"/>
        <v>10/2025</v>
      </c>
      <c r="AS1462" s="231">
        <f t="shared" si="215"/>
        <v>46.6</v>
      </c>
      <c r="AT1462" s="239">
        <f>IF(G1462="CERVECERIA Y MALTERIA",(AS1462*AK1462/1000000)*(1-VLOOKUP(N1462,FCST!D:I,6,FALSE)),0)</f>
        <v>19.889625600000002</v>
      </c>
      <c r="AU1462" s="232">
        <v>5.0000000000000001E-3</v>
      </c>
      <c r="AV1462" s="239">
        <f t="shared" si="216"/>
        <v>19.989073728000001</v>
      </c>
      <c r="AW1462" s="239">
        <f>(AS1462*AK1462/1000000)*(VLOOKUP(N1462,FCST!D:I,6,FALSE))</f>
        <v>0</v>
      </c>
      <c r="AX1462" s="239">
        <f t="shared" si="217"/>
        <v>0</v>
      </c>
      <c r="AY1462" s="239">
        <f>IF($G1462="CERVECERIA Y MALTERIA.",($AS1462*$AK1462/1000000)*(1-VLOOKUP($N1462,FCST!D:I,6,FALSE)),0)</f>
        <v>0</v>
      </c>
      <c r="AZ1462" s="239">
        <f t="shared" si="218"/>
        <v>0</v>
      </c>
    </row>
    <row r="1463" spans="1:52" x14ac:dyDescent="0.25">
      <c r="A1463" s="209">
        <v>1147556</v>
      </c>
      <c r="B1463" s="209">
        <v>40</v>
      </c>
      <c r="C1463" s="209" t="s">
        <v>3196</v>
      </c>
      <c r="D1463" s="209">
        <v>10</v>
      </c>
      <c r="E1463" s="209">
        <v>10000002</v>
      </c>
      <c r="F1463" s="209">
        <v>20000337</v>
      </c>
      <c r="G1463" s="209" t="s">
        <v>105</v>
      </c>
      <c r="H1463" s="209">
        <v>20000337</v>
      </c>
      <c r="I1463" s="209">
        <v>2</v>
      </c>
      <c r="J1463" s="209" t="s">
        <v>169</v>
      </c>
      <c r="K1463" s="209" t="s">
        <v>3197</v>
      </c>
      <c r="L1463" s="209" t="s">
        <v>265</v>
      </c>
      <c r="M1463" s="209" t="s">
        <v>184</v>
      </c>
      <c r="N1463" s="209">
        <v>50039815</v>
      </c>
      <c r="O1463" s="209" t="s">
        <v>2454</v>
      </c>
      <c r="P1463" s="209">
        <v>5121</v>
      </c>
      <c r="Q1463" s="209" t="s">
        <v>174</v>
      </c>
      <c r="R1463" s="209" t="s">
        <v>175</v>
      </c>
      <c r="S1463" s="209" t="s">
        <v>176</v>
      </c>
      <c r="T1463" s="209" t="s">
        <v>177</v>
      </c>
      <c r="U1463" s="209" t="s">
        <v>178</v>
      </c>
      <c r="V1463" s="209" t="s">
        <v>179</v>
      </c>
      <c r="W1463" s="209" t="s">
        <v>179</v>
      </c>
      <c r="X1463" s="209" t="s">
        <v>180</v>
      </c>
      <c r="Y1463" s="209" t="s">
        <v>180</v>
      </c>
      <c r="Z1463" s="209" t="s">
        <v>3152</v>
      </c>
      <c r="AA1463" s="209" t="s">
        <v>3153</v>
      </c>
      <c r="AB1463" s="209" t="s">
        <v>180</v>
      </c>
      <c r="AC1463" s="209" t="s">
        <v>182</v>
      </c>
      <c r="AD1463" s="209">
        <v>10</v>
      </c>
      <c r="AE1463" s="209">
        <v>2025</v>
      </c>
      <c r="AF1463" s="227">
        <v>45954</v>
      </c>
      <c r="AG1463" s="227">
        <v>45960</v>
      </c>
      <c r="AH1463" s="227">
        <v>45960</v>
      </c>
      <c r="AI1463" s="228">
        <v>369360</v>
      </c>
      <c r="AJ1463" s="228">
        <v>45</v>
      </c>
      <c r="AK1463" s="228">
        <v>369360</v>
      </c>
      <c r="AL1463" s="228">
        <v>45</v>
      </c>
      <c r="AM1463" s="228">
        <v>0</v>
      </c>
      <c r="AN1463" s="228">
        <v>0</v>
      </c>
      <c r="AO1463" s="229">
        <v>44</v>
      </c>
      <c r="AP1463" s="231">
        <v>10</v>
      </c>
      <c r="AQ1463" s="231">
        <v>2025</v>
      </c>
      <c r="AR1463" s="231" t="str">
        <f t="shared" si="214"/>
        <v>10/2025</v>
      </c>
      <c r="AS1463" s="231">
        <f t="shared" si="215"/>
        <v>46.6</v>
      </c>
      <c r="AT1463" s="239">
        <f>IF(G1463="CERVECERIA Y MALTERIA",(AS1463*AK1463/1000000)*(1-VLOOKUP(N1463,FCST!D:I,6,FALSE)),0)</f>
        <v>13.769740800000001</v>
      </c>
      <c r="AU1463" s="232">
        <v>5.0000000000000001E-3</v>
      </c>
      <c r="AV1463" s="239">
        <f t="shared" si="216"/>
        <v>13.838589504</v>
      </c>
      <c r="AW1463" s="239">
        <f>(AS1463*AK1463/1000000)*(VLOOKUP(N1463,FCST!D:I,6,FALSE))</f>
        <v>3.4424352000000003</v>
      </c>
      <c r="AX1463" s="239">
        <f t="shared" si="217"/>
        <v>3.4596473759999999</v>
      </c>
      <c r="AY1463" s="239">
        <f>IF($G1463="CERVECERIA Y MALTERIA.",($AS1463*$AK1463/1000000)*(1-VLOOKUP($N1463,FCST!D:I,6,FALSE)),0)</f>
        <v>0</v>
      </c>
      <c r="AZ1463" s="239">
        <f t="shared" si="218"/>
        <v>0</v>
      </c>
    </row>
    <row r="1464" spans="1:52" x14ac:dyDescent="0.25">
      <c r="A1464" s="209">
        <v>1147789</v>
      </c>
      <c r="B1464" s="209">
        <v>10</v>
      </c>
      <c r="C1464" s="209" t="s">
        <v>3198</v>
      </c>
      <c r="D1464" s="209">
        <v>10</v>
      </c>
      <c r="E1464" s="209">
        <v>10000002</v>
      </c>
      <c r="F1464" s="209">
        <v>20000339</v>
      </c>
      <c r="G1464" s="209" t="s">
        <v>105</v>
      </c>
      <c r="H1464" s="209">
        <v>20000339</v>
      </c>
      <c r="I1464" s="209">
        <v>2</v>
      </c>
      <c r="J1464" s="209" t="s">
        <v>169</v>
      </c>
      <c r="K1464" s="209" t="s">
        <v>3199</v>
      </c>
      <c r="L1464" s="209" t="s">
        <v>265</v>
      </c>
      <c r="M1464" s="209" t="s">
        <v>227</v>
      </c>
      <c r="N1464" s="209">
        <v>50038607</v>
      </c>
      <c r="O1464" s="209" t="s">
        <v>1992</v>
      </c>
      <c r="P1464" s="209">
        <v>5101</v>
      </c>
      <c r="Q1464" s="209" t="s">
        <v>444</v>
      </c>
      <c r="R1464" s="209" t="s">
        <v>445</v>
      </c>
      <c r="S1464" s="209" t="s">
        <v>230</v>
      </c>
      <c r="T1464" s="209" t="s">
        <v>446</v>
      </c>
      <c r="U1464" s="209" t="s">
        <v>447</v>
      </c>
      <c r="V1464" s="209" t="s">
        <v>179</v>
      </c>
      <c r="W1464" s="209" t="s">
        <v>179</v>
      </c>
      <c r="X1464" s="209" t="s">
        <v>180</v>
      </c>
      <c r="Y1464" s="209" t="s">
        <v>180</v>
      </c>
      <c r="Z1464" s="209" t="s">
        <v>3200</v>
      </c>
      <c r="AA1464" s="209" t="s">
        <v>3201</v>
      </c>
      <c r="AB1464" s="209" t="s">
        <v>180</v>
      </c>
      <c r="AC1464" s="209" t="s">
        <v>182</v>
      </c>
      <c r="AD1464" s="209">
        <v>10</v>
      </c>
      <c r="AE1464" s="209">
        <v>2025</v>
      </c>
      <c r="AF1464" s="227">
        <v>45958</v>
      </c>
      <c r="AG1464" s="227">
        <v>45960</v>
      </c>
      <c r="AH1464" s="227">
        <v>45960</v>
      </c>
      <c r="AI1464" s="228">
        <v>400512</v>
      </c>
      <c r="AJ1464" s="228">
        <v>28</v>
      </c>
      <c r="AK1464" s="228">
        <v>400512</v>
      </c>
      <c r="AL1464" s="228">
        <v>28</v>
      </c>
      <c r="AM1464" s="228">
        <v>0</v>
      </c>
      <c r="AN1464" s="228">
        <v>0</v>
      </c>
      <c r="AO1464" s="229">
        <v>44</v>
      </c>
      <c r="AP1464" s="231">
        <v>10</v>
      </c>
      <c r="AQ1464" s="231">
        <v>2025</v>
      </c>
      <c r="AR1464" s="231" t="str">
        <f t="shared" si="214"/>
        <v>10/2025</v>
      </c>
      <c r="AS1464" s="231">
        <f t="shared" si="215"/>
        <v>25</v>
      </c>
      <c r="AT1464" s="239">
        <f>IF(G1464="CERVECERIA Y MALTERIA",(AS1464*AK1464/1000000)*(1-VLOOKUP(N1464,FCST!D:I,6,FALSE)),0)</f>
        <v>10.0128</v>
      </c>
      <c r="AU1464" s="232">
        <v>5.0000000000000001E-3</v>
      </c>
      <c r="AV1464" s="239">
        <f t="shared" si="216"/>
        <v>10.062863999999999</v>
      </c>
      <c r="AW1464" s="239">
        <f>(AS1464*AK1464/1000000)*(VLOOKUP(N1464,FCST!D:I,6,FALSE))</f>
        <v>0</v>
      </c>
      <c r="AX1464" s="239">
        <f t="shared" si="217"/>
        <v>0</v>
      </c>
      <c r="AY1464" s="239">
        <f>IF($G1464="CERVECERIA Y MALTERIA.",($AS1464*$AK1464/1000000)*(1-VLOOKUP($N1464,FCST!D:I,6,FALSE)),0)</f>
        <v>0</v>
      </c>
      <c r="AZ1464" s="239">
        <f t="shared" si="218"/>
        <v>0</v>
      </c>
    </row>
    <row r="1465" spans="1:52" x14ac:dyDescent="0.25">
      <c r="A1465" s="209">
        <v>1147766</v>
      </c>
      <c r="B1465" s="209">
        <v>10</v>
      </c>
      <c r="C1465" s="209" t="s">
        <v>3202</v>
      </c>
      <c r="D1465" s="209">
        <v>10</v>
      </c>
      <c r="E1465" s="209">
        <v>10000002</v>
      </c>
      <c r="F1465" s="209">
        <v>20000335</v>
      </c>
      <c r="G1465" s="209" t="s">
        <v>105</v>
      </c>
      <c r="H1465" s="209">
        <v>20000335</v>
      </c>
      <c r="I1465" s="209">
        <v>2</v>
      </c>
      <c r="J1465" s="209" t="s">
        <v>169</v>
      </c>
      <c r="K1465" s="209" t="s">
        <v>3203</v>
      </c>
      <c r="L1465" s="209" t="s">
        <v>265</v>
      </c>
      <c r="M1465" s="209" t="s">
        <v>2718</v>
      </c>
      <c r="N1465" s="209">
        <v>50034561</v>
      </c>
      <c r="O1465" s="209" t="s">
        <v>307</v>
      </c>
      <c r="P1465" s="209">
        <v>5121</v>
      </c>
      <c r="Q1465" s="209" t="s">
        <v>174</v>
      </c>
      <c r="R1465" s="209" t="s">
        <v>175</v>
      </c>
      <c r="S1465" s="209" t="s">
        <v>176</v>
      </c>
      <c r="T1465" s="209" t="s">
        <v>177</v>
      </c>
      <c r="U1465" s="209" t="s">
        <v>178</v>
      </c>
      <c r="V1465" s="209" t="s">
        <v>179</v>
      </c>
      <c r="W1465" s="209" t="s">
        <v>179</v>
      </c>
      <c r="X1465" s="209" t="s">
        <v>180</v>
      </c>
      <c r="Y1465" s="209" t="s">
        <v>180</v>
      </c>
      <c r="Z1465" s="209" t="s">
        <v>3204</v>
      </c>
      <c r="AA1465" s="209" t="s">
        <v>3205</v>
      </c>
      <c r="AB1465" s="209" t="s">
        <v>180</v>
      </c>
      <c r="AC1465" s="209" t="s">
        <v>182</v>
      </c>
      <c r="AD1465" s="209">
        <v>10</v>
      </c>
      <c r="AE1465" s="209">
        <v>2025</v>
      </c>
      <c r="AF1465" s="227">
        <v>45958</v>
      </c>
      <c r="AG1465" s="227">
        <v>45960</v>
      </c>
      <c r="AH1465" s="227">
        <v>45960</v>
      </c>
      <c r="AI1465" s="228">
        <v>977184</v>
      </c>
      <c r="AJ1465" s="228">
        <v>52</v>
      </c>
      <c r="AK1465" s="228">
        <v>977184</v>
      </c>
      <c r="AL1465" s="228">
        <v>52</v>
      </c>
      <c r="AM1465" s="228">
        <v>0</v>
      </c>
      <c r="AN1465" s="228">
        <v>0</v>
      </c>
      <c r="AO1465" s="229">
        <v>44</v>
      </c>
      <c r="AP1465" s="231">
        <v>10</v>
      </c>
      <c r="AQ1465" s="231">
        <v>2025</v>
      </c>
      <c r="AR1465" s="231" t="str">
        <f t="shared" si="214"/>
        <v>10/2025</v>
      </c>
      <c r="AS1465" s="231">
        <f t="shared" si="215"/>
        <v>19.5</v>
      </c>
      <c r="AT1465" s="239">
        <f>IF(G1465="CERVECERIA Y MALTERIA",(AS1465*AK1465/1000000)*(1-VLOOKUP(N1465,FCST!D:I,6,FALSE)),0)</f>
        <v>19.055088000000001</v>
      </c>
      <c r="AU1465" s="232">
        <v>5.0000000000000001E-3</v>
      </c>
      <c r="AV1465" s="239">
        <f t="shared" si="216"/>
        <v>19.15036344</v>
      </c>
      <c r="AW1465" s="239">
        <f>(AS1465*AK1465/1000000)*(VLOOKUP(N1465,FCST!D:I,6,FALSE))</f>
        <v>0</v>
      </c>
      <c r="AX1465" s="239">
        <f t="shared" si="217"/>
        <v>0</v>
      </c>
      <c r="AY1465" s="239">
        <f>IF($G1465="CERVECERIA Y MALTERIA.",($AS1465*$AK1465/1000000)*(1-VLOOKUP($N1465,FCST!D:I,6,FALSE)),0)</f>
        <v>0</v>
      </c>
      <c r="AZ1465" s="239">
        <f t="shared" si="218"/>
        <v>0</v>
      </c>
    </row>
    <row r="1466" spans="1:52" x14ac:dyDescent="0.25">
      <c r="A1466" s="209">
        <v>1145496</v>
      </c>
      <c r="B1466" s="209">
        <v>100</v>
      </c>
      <c r="C1466" s="209" t="s">
        <v>3206</v>
      </c>
      <c r="D1466" s="209">
        <v>10</v>
      </c>
      <c r="E1466" s="209">
        <v>10000002</v>
      </c>
      <c r="F1466" s="209">
        <v>20000335</v>
      </c>
      <c r="G1466" s="209" t="s">
        <v>105</v>
      </c>
      <c r="H1466" s="209">
        <v>20000335</v>
      </c>
      <c r="I1466" s="209">
        <v>2</v>
      </c>
      <c r="J1466" s="209" t="s">
        <v>169</v>
      </c>
      <c r="K1466" s="209" t="s">
        <v>3207</v>
      </c>
      <c r="L1466" s="209" t="s">
        <v>265</v>
      </c>
      <c r="M1466" s="209" t="s">
        <v>184</v>
      </c>
      <c r="N1466" s="209">
        <v>50034561</v>
      </c>
      <c r="O1466" s="209" t="s">
        <v>307</v>
      </c>
      <c r="P1466" s="209">
        <v>5121</v>
      </c>
      <c r="Q1466" s="209" t="s">
        <v>174</v>
      </c>
      <c r="R1466" s="209" t="s">
        <v>175</v>
      </c>
      <c r="S1466" s="209" t="s">
        <v>176</v>
      </c>
      <c r="T1466" s="209" t="s">
        <v>177</v>
      </c>
      <c r="U1466" s="209" t="s">
        <v>178</v>
      </c>
      <c r="V1466" s="209" t="s">
        <v>179</v>
      </c>
      <c r="W1466" s="209" t="s">
        <v>179</v>
      </c>
      <c r="X1466" s="209" t="s">
        <v>180</v>
      </c>
      <c r="Y1466" s="209" t="s">
        <v>180</v>
      </c>
      <c r="Z1466" s="209" t="s">
        <v>3208</v>
      </c>
      <c r="AA1466" s="209" t="s">
        <v>3209</v>
      </c>
      <c r="AB1466" s="209" t="s">
        <v>180</v>
      </c>
      <c r="AC1466" s="209" t="s">
        <v>182</v>
      </c>
      <c r="AD1466" s="209">
        <v>10</v>
      </c>
      <c r="AE1466" s="209">
        <v>2025</v>
      </c>
      <c r="AF1466" s="227">
        <v>45945</v>
      </c>
      <c r="AG1466" s="227">
        <v>45953</v>
      </c>
      <c r="AH1466" s="227">
        <v>45953</v>
      </c>
      <c r="AI1466" s="228">
        <v>977184</v>
      </c>
      <c r="AJ1466" s="228">
        <v>52</v>
      </c>
      <c r="AK1466" s="228">
        <v>977184</v>
      </c>
      <c r="AL1466" s="228">
        <v>52</v>
      </c>
      <c r="AM1466" s="228">
        <v>0</v>
      </c>
      <c r="AN1466" s="228">
        <v>0</v>
      </c>
      <c r="AO1466" s="229">
        <v>42</v>
      </c>
      <c r="AP1466" s="231">
        <v>10</v>
      </c>
      <c r="AQ1466" s="231">
        <v>2025</v>
      </c>
      <c r="AR1466" s="231" t="str">
        <f t="shared" si="214"/>
        <v>10/2025</v>
      </c>
      <c r="AS1466" s="231">
        <f t="shared" si="215"/>
        <v>19.5</v>
      </c>
      <c r="AT1466" s="239">
        <f>IF(G1466="CERVECERIA Y MALTERIA",(AS1466*AK1466/1000000)*(1-VLOOKUP(N1466,FCST!D:I,6,FALSE)),0)</f>
        <v>19.055088000000001</v>
      </c>
      <c r="AU1466" s="232">
        <v>5.0000000000000001E-3</v>
      </c>
      <c r="AV1466" s="239">
        <f t="shared" si="216"/>
        <v>19.15036344</v>
      </c>
      <c r="AW1466" s="239">
        <f>(AS1466*AK1466/1000000)*(VLOOKUP(N1466,FCST!D:I,6,FALSE))</f>
        <v>0</v>
      </c>
      <c r="AX1466" s="239">
        <f t="shared" si="217"/>
        <v>0</v>
      </c>
      <c r="AY1466" s="239">
        <f>IF($G1466="CERVECERIA Y MALTERIA.",($AS1466*$AK1466/1000000)*(1-VLOOKUP($N1466,FCST!D:I,6,FALSE)),0)</f>
        <v>0</v>
      </c>
      <c r="AZ1466" s="239">
        <f t="shared" si="218"/>
        <v>0</v>
      </c>
    </row>
    <row r="1467" spans="1:52" x14ac:dyDescent="0.25">
      <c r="A1467" s="209">
        <v>1145496</v>
      </c>
      <c r="B1467" s="209">
        <v>120</v>
      </c>
      <c r="C1467" s="209" t="s">
        <v>3210</v>
      </c>
      <c r="D1467" s="209">
        <v>10</v>
      </c>
      <c r="E1467" s="209">
        <v>10000002</v>
      </c>
      <c r="F1467" s="209">
        <v>20000335</v>
      </c>
      <c r="G1467" s="209" t="s">
        <v>105</v>
      </c>
      <c r="H1467" s="209">
        <v>20000335</v>
      </c>
      <c r="I1467" s="209">
        <v>2</v>
      </c>
      <c r="J1467" s="209" t="s">
        <v>169</v>
      </c>
      <c r="K1467" s="209" t="s">
        <v>3211</v>
      </c>
      <c r="L1467" s="209" t="s">
        <v>265</v>
      </c>
      <c r="M1467" s="209" t="s">
        <v>2718</v>
      </c>
      <c r="N1467" s="209">
        <v>50021818</v>
      </c>
      <c r="O1467" s="209" t="s">
        <v>2170</v>
      </c>
      <c r="P1467" s="209">
        <v>5121</v>
      </c>
      <c r="Q1467" s="209" t="s">
        <v>174</v>
      </c>
      <c r="R1467" s="209" t="s">
        <v>175</v>
      </c>
      <c r="S1467" s="209" t="s">
        <v>176</v>
      </c>
      <c r="T1467" s="209" t="s">
        <v>177</v>
      </c>
      <c r="U1467" s="209" t="s">
        <v>178</v>
      </c>
      <c r="V1467" s="209" t="s">
        <v>179</v>
      </c>
      <c r="W1467" s="209" t="s">
        <v>179</v>
      </c>
      <c r="X1467" s="209" t="s">
        <v>180</v>
      </c>
      <c r="Y1467" s="209" t="s">
        <v>180</v>
      </c>
      <c r="Z1467" s="209" t="s">
        <v>3212</v>
      </c>
      <c r="AA1467" s="209" t="s">
        <v>3213</v>
      </c>
      <c r="AB1467" s="209" t="s">
        <v>180</v>
      </c>
      <c r="AC1467" s="209" t="s">
        <v>182</v>
      </c>
      <c r="AD1467" s="209">
        <v>10</v>
      </c>
      <c r="AE1467" s="209">
        <v>2025</v>
      </c>
      <c r="AF1467" s="227">
        <v>45945</v>
      </c>
      <c r="AG1467" s="227">
        <v>45954</v>
      </c>
      <c r="AH1467" s="227">
        <v>45954</v>
      </c>
      <c r="AI1467" s="228">
        <v>426816</v>
      </c>
      <c r="AJ1467" s="228">
        <v>52</v>
      </c>
      <c r="AK1467" s="228">
        <v>426816</v>
      </c>
      <c r="AL1467" s="228">
        <v>52</v>
      </c>
      <c r="AM1467" s="228">
        <v>0</v>
      </c>
      <c r="AN1467" s="228">
        <v>0</v>
      </c>
      <c r="AO1467" s="229">
        <v>42</v>
      </c>
      <c r="AP1467" s="231">
        <v>10</v>
      </c>
      <c r="AQ1467" s="231">
        <v>2025</v>
      </c>
      <c r="AR1467" s="231" t="str">
        <f t="shared" si="214"/>
        <v>10/2025</v>
      </c>
      <c r="AS1467" s="231">
        <f t="shared" si="215"/>
        <v>46.6</v>
      </c>
      <c r="AT1467" s="239">
        <f>IF(G1467="CERVECERIA Y MALTERIA",(AS1467*AK1467/1000000)*(1-VLOOKUP(N1467,FCST!D:I,6,FALSE)),0)</f>
        <v>19.889625600000002</v>
      </c>
      <c r="AU1467" s="232">
        <v>5.0000000000000001E-3</v>
      </c>
      <c r="AV1467" s="239">
        <f t="shared" si="216"/>
        <v>19.989073728000001</v>
      </c>
      <c r="AW1467" s="239">
        <f>(AS1467*AK1467/1000000)*(VLOOKUP(N1467,FCST!D:I,6,FALSE))</f>
        <v>0</v>
      </c>
      <c r="AX1467" s="239">
        <f t="shared" si="217"/>
        <v>0</v>
      </c>
      <c r="AY1467" s="239">
        <f>IF($G1467="CERVECERIA Y MALTERIA.",($AS1467*$AK1467/1000000)*(1-VLOOKUP($N1467,FCST!D:I,6,FALSE)),0)</f>
        <v>0</v>
      </c>
      <c r="AZ1467" s="239">
        <f t="shared" si="218"/>
        <v>0</v>
      </c>
    </row>
    <row r="1468" spans="1:52" x14ac:dyDescent="0.25">
      <c r="A1468" s="209">
        <v>1146121</v>
      </c>
      <c r="B1468" s="209">
        <v>10</v>
      </c>
      <c r="C1468" s="209" t="s">
        <v>3214</v>
      </c>
      <c r="D1468" s="209">
        <v>10</v>
      </c>
      <c r="E1468" s="209">
        <v>10000002</v>
      </c>
      <c r="F1468" s="209">
        <v>20000337</v>
      </c>
      <c r="G1468" s="209" t="s">
        <v>105</v>
      </c>
      <c r="H1468" s="209">
        <v>20000337</v>
      </c>
      <c r="I1468" s="209">
        <v>2</v>
      </c>
      <c r="J1468" s="209" t="s">
        <v>169</v>
      </c>
      <c r="K1468" s="209" t="s">
        <v>3215</v>
      </c>
      <c r="L1468" s="209" t="s">
        <v>265</v>
      </c>
      <c r="M1468" s="209" t="s">
        <v>199</v>
      </c>
      <c r="N1468" s="209">
        <v>50034616</v>
      </c>
      <c r="O1468" s="209" t="s">
        <v>191</v>
      </c>
      <c r="P1468" s="209">
        <v>5121</v>
      </c>
      <c r="Q1468" s="209" t="s">
        <v>200</v>
      </c>
      <c r="R1468" s="209" t="s">
        <v>201</v>
      </c>
      <c r="S1468" s="209" t="s">
        <v>202</v>
      </c>
      <c r="T1468" s="209" t="s">
        <v>203</v>
      </c>
      <c r="U1468" s="209" t="s">
        <v>201</v>
      </c>
      <c r="V1468" s="209" t="s">
        <v>179</v>
      </c>
      <c r="W1468" s="209" t="s">
        <v>179</v>
      </c>
      <c r="X1468" s="209" t="s">
        <v>180</v>
      </c>
      <c r="Y1468" s="209" t="s">
        <v>180</v>
      </c>
      <c r="Z1468" s="209" t="s">
        <v>3122</v>
      </c>
      <c r="AA1468" s="209" t="s">
        <v>3123</v>
      </c>
      <c r="AB1468" s="209" t="s">
        <v>180</v>
      </c>
      <c r="AC1468" s="209" t="s">
        <v>182</v>
      </c>
      <c r="AD1468" s="209">
        <v>10</v>
      </c>
      <c r="AE1468" s="209">
        <v>2025</v>
      </c>
      <c r="AF1468" s="227">
        <v>45947</v>
      </c>
      <c r="AG1468" s="227">
        <v>45952</v>
      </c>
      <c r="AH1468" s="227">
        <v>45954</v>
      </c>
      <c r="AI1468" s="228">
        <v>426816</v>
      </c>
      <c r="AJ1468" s="228">
        <v>52</v>
      </c>
      <c r="AK1468" s="228">
        <v>426816</v>
      </c>
      <c r="AL1468" s="228">
        <v>52</v>
      </c>
      <c r="AM1468" s="228">
        <v>0</v>
      </c>
      <c r="AN1468" s="228">
        <v>0</v>
      </c>
      <c r="AO1468" s="229">
        <v>43</v>
      </c>
      <c r="AP1468" s="231">
        <v>10</v>
      </c>
      <c r="AQ1468" s="231">
        <v>2025</v>
      </c>
      <c r="AR1468" s="231" t="str">
        <f t="shared" si="214"/>
        <v>10/2025</v>
      </c>
      <c r="AS1468" s="231">
        <f t="shared" si="215"/>
        <v>46.6</v>
      </c>
      <c r="AT1468" s="239">
        <f>IF(G1468="CERVECERIA Y MALTERIA",(AS1468*AK1468/1000000)*(1-VLOOKUP(N1468,FCST!D:I,6,FALSE)),0)</f>
        <v>19.889625600000002</v>
      </c>
      <c r="AU1468" s="232">
        <v>5.0000000000000001E-3</v>
      </c>
      <c r="AV1468" s="239">
        <f t="shared" si="216"/>
        <v>19.989073728000001</v>
      </c>
      <c r="AW1468" s="239">
        <f>(AS1468*AK1468/1000000)*(VLOOKUP(N1468,FCST!D:I,6,FALSE))</f>
        <v>0</v>
      </c>
      <c r="AX1468" s="239">
        <f t="shared" si="217"/>
        <v>0</v>
      </c>
      <c r="AY1468" s="239">
        <f>IF($G1468="CERVECERIA Y MALTERIA.",($AS1468*$AK1468/1000000)*(1-VLOOKUP($N1468,FCST!D:I,6,FALSE)),0)</f>
        <v>0</v>
      </c>
      <c r="AZ1468" s="239">
        <f t="shared" si="218"/>
        <v>0</v>
      </c>
    </row>
    <row r="1469" spans="1:52" x14ac:dyDescent="0.25">
      <c r="A1469" s="209">
        <v>1145503</v>
      </c>
      <c r="B1469" s="209">
        <v>30</v>
      </c>
      <c r="C1469" s="209" t="s">
        <v>3216</v>
      </c>
      <c r="D1469" s="209">
        <v>10</v>
      </c>
      <c r="E1469" s="209">
        <v>10000002</v>
      </c>
      <c r="F1469" s="209">
        <v>20000340</v>
      </c>
      <c r="G1469" s="209" t="s">
        <v>117</v>
      </c>
      <c r="H1469" s="209">
        <v>20000340</v>
      </c>
      <c r="I1469" s="209">
        <v>2</v>
      </c>
      <c r="J1469" s="209" t="s">
        <v>169</v>
      </c>
      <c r="K1469" s="209" t="s">
        <v>3217</v>
      </c>
      <c r="L1469" s="209" t="s">
        <v>265</v>
      </c>
      <c r="M1469" s="209" t="s">
        <v>2718</v>
      </c>
      <c r="N1469" s="209">
        <v>50025163</v>
      </c>
      <c r="O1469" s="209" t="s">
        <v>185</v>
      </c>
      <c r="P1469" s="209">
        <v>5101</v>
      </c>
      <c r="Q1469" s="209" t="s">
        <v>186</v>
      </c>
      <c r="R1469" s="209" t="s">
        <v>175</v>
      </c>
      <c r="S1469" s="209" t="s">
        <v>176</v>
      </c>
      <c r="T1469" s="209" t="s">
        <v>187</v>
      </c>
      <c r="U1469" s="209" t="s">
        <v>188</v>
      </c>
      <c r="V1469" s="209" t="s">
        <v>179</v>
      </c>
      <c r="W1469" s="209" t="s">
        <v>179</v>
      </c>
      <c r="X1469" s="209" t="s">
        <v>180</v>
      </c>
      <c r="Y1469" s="209" t="s">
        <v>180</v>
      </c>
      <c r="Z1469" s="209" t="s">
        <v>3078</v>
      </c>
      <c r="AA1469" s="209" t="s">
        <v>3079</v>
      </c>
      <c r="AB1469" s="209" t="s">
        <v>180</v>
      </c>
      <c r="AC1469" s="209" t="s">
        <v>182</v>
      </c>
      <c r="AD1469" s="209">
        <v>10</v>
      </c>
      <c r="AE1469" s="209">
        <v>2025</v>
      </c>
      <c r="AF1469" s="227">
        <v>45945</v>
      </c>
      <c r="AG1469" s="227">
        <v>45954</v>
      </c>
      <c r="AH1469" s="227">
        <v>45954</v>
      </c>
      <c r="AI1469" s="228">
        <v>606528</v>
      </c>
      <c r="AJ1469" s="228">
        <v>52</v>
      </c>
      <c r="AK1469" s="228">
        <v>606528</v>
      </c>
      <c r="AL1469" s="228">
        <v>52</v>
      </c>
      <c r="AM1469" s="228">
        <v>0</v>
      </c>
      <c r="AN1469" s="228">
        <v>0</v>
      </c>
      <c r="AO1469" s="229">
        <v>43</v>
      </c>
      <c r="AP1469" s="231">
        <v>10</v>
      </c>
      <c r="AQ1469" s="231">
        <v>2025</v>
      </c>
      <c r="AR1469" s="231" t="str">
        <f t="shared" si="214"/>
        <v>10/2025</v>
      </c>
      <c r="AS1469" s="231">
        <f t="shared" si="215"/>
        <v>30</v>
      </c>
      <c r="AT1469" s="239">
        <f>IF(G1469="CERVECERIA Y MALTERIA",(AS1469*AK1469/1000000)*(1-VLOOKUP(N1469,FCST!D:I,6,FALSE)),0)</f>
        <v>0</v>
      </c>
      <c r="AU1469" s="232">
        <v>5.0000000000000001E-3</v>
      </c>
      <c r="AV1469" s="239">
        <f t="shared" si="216"/>
        <v>0</v>
      </c>
      <c r="AW1469" s="239">
        <f>(AS1469*AK1469/1000000)*(VLOOKUP(N1469,FCST!D:I,6,FALSE))</f>
        <v>0</v>
      </c>
      <c r="AX1469" s="239">
        <f t="shared" si="217"/>
        <v>0</v>
      </c>
      <c r="AY1469" s="239">
        <f>IF($G1469="CERVECERIA Y MALTERIA.",($AS1469*$AK1469/1000000)*(1-VLOOKUP($N1469,FCST!D:I,6,FALSE)),0)</f>
        <v>18.19584</v>
      </c>
      <c r="AZ1469" s="239">
        <f t="shared" si="218"/>
        <v>18.2868192</v>
      </c>
    </row>
    <row r="1470" spans="1:52" x14ac:dyDescent="0.25">
      <c r="A1470" s="209">
        <v>1147557</v>
      </c>
      <c r="B1470" s="209">
        <v>10</v>
      </c>
      <c r="C1470" s="209" t="s">
        <v>3218</v>
      </c>
      <c r="D1470" s="209">
        <v>10</v>
      </c>
      <c r="E1470" s="209">
        <v>10000002</v>
      </c>
      <c r="F1470" s="209">
        <v>20000336</v>
      </c>
      <c r="G1470" s="209" t="s">
        <v>105</v>
      </c>
      <c r="H1470" s="209">
        <v>20000336</v>
      </c>
      <c r="I1470" s="209">
        <v>2</v>
      </c>
      <c r="J1470" s="209" t="s">
        <v>169</v>
      </c>
      <c r="K1470" s="209" t="s">
        <v>3219</v>
      </c>
      <c r="L1470" s="209" t="s">
        <v>265</v>
      </c>
      <c r="M1470" s="209" t="s">
        <v>184</v>
      </c>
      <c r="N1470" s="209">
        <v>50021818</v>
      </c>
      <c r="O1470" s="209" t="s">
        <v>2170</v>
      </c>
      <c r="P1470" s="209">
        <v>5121</v>
      </c>
      <c r="Q1470" s="209" t="s">
        <v>174</v>
      </c>
      <c r="R1470" s="209" t="s">
        <v>175</v>
      </c>
      <c r="S1470" s="209" t="s">
        <v>176</v>
      </c>
      <c r="T1470" s="209" t="s">
        <v>177</v>
      </c>
      <c r="U1470" s="209" t="s">
        <v>178</v>
      </c>
      <c r="V1470" s="209" t="s">
        <v>179</v>
      </c>
      <c r="W1470" s="209" t="s">
        <v>179</v>
      </c>
      <c r="X1470" s="209" t="s">
        <v>180</v>
      </c>
      <c r="Y1470" s="209" t="s">
        <v>180</v>
      </c>
      <c r="Z1470" s="209" t="s">
        <v>3220</v>
      </c>
      <c r="AA1470" s="209" t="s">
        <v>3221</v>
      </c>
      <c r="AB1470" s="209" t="s">
        <v>180</v>
      </c>
      <c r="AC1470" s="209" t="s">
        <v>182</v>
      </c>
      <c r="AD1470" s="209">
        <v>10</v>
      </c>
      <c r="AE1470" s="209">
        <v>2025</v>
      </c>
      <c r="AF1470" s="227">
        <v>45954</v>
      </c>
      <c r="AG1470" s="227">
        <v>45957</v>
      </c>
      <c r="AH1470" s="227">
        <v>45958</v>
      </c>
      <c r="AI1470" s="228">
        <v>426816</v>
      </c>
      <c r="AJ1470" s="228">
        <v>52</v>
      </c>
      <c r="AK1470" s="228">
        <v>426816</v>
      </c>
      <c r="AL1470" s="228">
        <v>52</v>
      </c>
      <c r="AM1470" s="228">
        <v>0</v>
      </c>
      <c r="AN1470" s="228">
        <v>0</v>
      </c>
      <c r="AO1470" s="229">
        <v>44</v>
      </c>
      <c r="AP1470" s="231">
        <v>10</v>
      </c>
      <c r="AQ1470" s="231">
        <v>2025</v>
      </c>
      <c r="AR1470" s="231" t="str">
        <f t="shared" si="214"/>
        <v>10/2025</v>
      </c>
      <c r="AS1470" s="231">
        <f t="shared" si="215"/>
        <v>46.6</v>
      </c>
      <c r="AT1470" s="239">
        <f>IF(G1470="CERVECERIA Y MALTERIA",(AS1470*AK1470/1000000)*(1-VLOOKUP(N1470,FCST!D:I,6,FALSE)),0)</f>
        <v>19.889625600000002</v>
      </c>
      <c r="AU1470" s="232">
        <v>5.0000000000000001E-3</v>
      </c>
      <c r="AV1470" s="239">
        <f t="shared" si="216"/>
        <v>19.989073728000001</v>
      </c>
      <c r="AW1470" s="239">
        <f>(AS1470*AK1470/1000000)*(VLOOKUP(N1470,FCST!D:I,6,FALSE))</f>
        <v>0</v>
      </c>
      <c r="AX1470" s="239">
        <f t="shared" si="217"/>
        <v>0</v>
      </c>
      <c r="AY1470" s="239">
        <f>IF($G1470="CERVECERIA Y MALTERIA.",($AS1470*$AK1470/1000000)*(1-VLOOKUP($N1470,FCST!D:I,6,FALSE)),0)</f>
        <v>0</v>
      </c>
      <c r="AZ1470" s="239">
        <f t="shared" si="218"/>
        <v>0</v>
      </c>
    </row>
    <row r="1471" spans="1:52" x14ac:dyDescent="0.25">
      <c r="A1471" s="209">
        <v>1147556</v>
      </c>
      <c r="B1471" s="209">
        <v>10</v>
      </c>
      <c r="C1471" s="209" t="s">
        <v>3222</v>
      </c>
      <c r="D1471" s="209">
        <v>10</v>
      </c>
      <c r="E1471" s="209">
        <v>10000002</v>
      </c>
      <c r="F1471" s="209">
        <v>20000337</v>
      </c>
      <c r="G1471" s="209" t="s">
        <v>105</v>
      </c>
      <c r="H1471" s="209">
        <v>20000337</v>
      </c>
      <c r="I1471" s="209">
        <v>2</v>
      </c>
      <c r="J1471" s="209" t="s">
        <v>169</v>
      </c>
      <c r="K1471" s="209" t="s">
        <v>3223</v>
      </c>
      <c r="L1471" s="209" t="s">
        <v>265</v>
      </c>
      <c r="M1471" s="209" t="s">
        <v>184</v>
      </c>
      <c r="N1471" s="209">
        <v>50025345</v>
      </c>
      <c r="O1471" s="209" t="s">
        <v>1998</v>
      </c>
      <c r="P1471" s="209">
        <v>5121</v>
      </c>
      <c r="Q1471" s="209" t="s">
        <v>174</v>
      </c>
      <c r="R1471" s="209" t="s">
        <v>175</v>
      </c>
      <c r="S1471" s="209" t="s">
        <v>176</v>
      </c>
      <c r="T1471" s="209" t="s">
        <v>177</v>
      </c>
      <c r="U1471" s="209" t="s">
        <v>178</v>
      </c>
      <c r="V1471" s="209" t="s">
        <v>179</v>
      </c>
      <c r="W1471" s="209" t="s">
        <v>179</v>
      </c>
      <c r="X1471" s="209" t="s">
        <v>180</v>
      </c>
      <c r="Y1471" s="209" t="s">
        <v>180</v>
      </c>
      <c r="Z1471" s="209" t="s">
        <v>3224</v>
      </c>
      <c r="AA1471" s="209" t="s">
        <v>3225</v>
      </c>
      <c r="AB1471" s="209" t="s">
        <v>180</v>
      </c>
      <c r="AC1471" s="209" t="s">
        <v>182</v>
      </c>
      <c r="AD1471" s="209">
        <v>10</v>
      </c>
      <c r="AE1471" s="209">
        <v>2025</v>
      </c>
      <c r="AF1471" s="227">
        <v>45954</v>
      </c>
      <c r="AG1471" s="227">
        <v>45958</v>
      </c>
      <c r="AH1471" s="227">
        <v>45958</v>
      </c>
      <c r="AI1471" s="228">
        <v>426816</v>
      </c>
      <c r="AJ1471" s="228">
        <v>52</v>
      </c>
      <c r="AK1471" s="228">
        <v>426816</v>
      </c>
      <c r="AL1471" s="228">
        <v>52</v>
      </c>
      <c r="AM1471" s="228">
        <v>0</v>
      </c>
      <c r="AN1471" s="228">
        <v>0</v>
      </c>
      <c r="AO1471" s="229">
        <v>44</v>
      </c>
      <c r="AP1471" s="231">
        <v>10</v>
      </c>
      <c r="AQ1471" s="231">
        <v>2025</v>
      </c>
      <c r="AR1471" s="231" t="str">
        <f t="shared" si="214"/>
        <v>10/2025</v>
      </c>
      <c r="AS1471" s="231">
        <f t="shared" si="215"/>
        <v>46.6</v>
      </c>
      <c r="AT1471" s="239">
        <f>IF(G1471="CERVECERIA Y MALTERIA",(AS1471*AK1471/1000000)*(1-VLOOKUP(N1471,FCST!D:I,6,FALSE)),0)</f>
        <v>19.889625600000002</v>
      </c>
      <c r="AU1471" s="232">
        <v>5.0000000000000001E-3</v>
      </c>
      <c r="AV1471" s="239">
        <f t="shared" si="216"/>
        <v>19.989073728000001</v>
      </c>
      <c r="AW1471" s="239">
        <f>(AS1471*AK1471/1000000)*(VLOOKUP(N1471,FCST!D:I,6,FALSE))</f>
        <v>0</v>
      </c>
      <c r="AX1471" s="239">
        <f t="shared" si="217"/>
        <v>0</v>
      </c>
      <c r="AY1471" s="239">
        <f>IF($G1471="CERVECERIA Y MALTERIA.",($AS1471*$AK1471/1000000)*(1-VLOOKUP($N1471,FCST!D:I,6,FALSE)),0)</f>
        <v>0</v>
      </c>
      <c r="AZ1471" s="239">
        <f t="shared" si="218"/>
        <v>0</v>
      </c>
    </row>
    <row r="1472" spans="1:52" x14ac:dyDescent="0.25">
      <c r="A1472" s="209">
        <v>1146749</v>
      </c>
      <c r="B1472" s="209">
        <v>30</v>
      </c>
      <c r="C1472" s="209" t="s">
        <v>3226</v>
      </c>
      <c r="D1472" s="209">
        <v>10</v>
      </c>
      <c r="E1472" s="209">
        <v>10000002</v>
      </c>
      <c r="F1472" s="209">
        <v>20000335</v>
      </c>
      <c r="G1472" s="209" t="s">
        <v>105</v>
      </c>
      <c r="H1472" s="209">
        <v>20000335</v>
      </c>
      <c r="I1472" s="209">
        <v>2</v>
      </c>
      <c r="J1472" s="209" t="s">
        <v>169</v>
      </c>
      <c r="K1472" s="209" t="s">
        <v>3227</v>
      </c>
      <c r="L1472" s="209" t="s">
        <v>265</v>
      </c>
      <c r="M1472" s="209" t="s">
        <v>199</v>
      </c>
      <c r="N1472" s="209">
        <v>50037887</v>
      </c>
      <c r="O1472" s="209" t="s">
        <v>679</v>
      </c>
      <c r="P1472" s="209">
        <v>5121</v>
      </c>
      <c r="Q1472" s="209" t="s">
        <v>200</v>
      </c>
      <c r="R1472" s="209" t="s">
        <v>201</v>
      </c>
      <c r="S1472" s="209" t="s">
        <v>202</v>
      </c>
      <c r="T1472" s="209" t="s">
        <v>203</v>
      </c>
      <c r="U1472" s="209" t="s">
        <v>201</v>
      </c>
      <c r="V1472" s="209" t="s">
        <v>179</v>
      </c>
      <c r="W1472" s="209" t="s">
        <v>179</v>
      </c>
      <c r="X1472" s="209" t="s">
        <v>180</v>
      </c>
      <c r="Y1472" s="209" t="s">
        <v>180</v>
      </c>
      <c r="Z1472" s="209" t="s">
        <v>3090</v>
      </c>
      <c r="AA1472" s="209" t="s">
        <v>3091</v>
      </c>
      <c r="AB1472" s="209" t="s">
        <v>180</v>
      </c>
      <c r="AC1472" s="209" t="s">
        <v>182</v>
      </c>
      <c r="AD1472" s="209">
        <v>10</v>
      </c>
      <c r="AE1472" s="209">
        <v>2025</v>
      </c>
      <c r="AF1472" s="227">
        <v>45952</v>
      </c>
      <c r="AG1472" s="227">
        <v>45958</v>
      </c>
      <c r="AH1472" s="227">
        <v>45958</v>
      </c>
      <c r="AI1472" s="228">
        <v>531648</v>
      </c>
      <c r="AJ1472" s="228">
        <v>52</v>
      </c>
      <c r="AK1472" s="228">
        <v>531648</v>
      </c>
      <c r="AL1472" s="228">
        <v>52</v>
      </c>
      <c r="AM1472" s="228">
        <v>0</v>
      </c>
      <c r="AN1472" s="228">
        <v>0</v>
      </c>
      <c r="AO1472" s="229">
        <v>44</v>
      </c>
      <c r="AP1472" s="231">
        <v>10</v>
      </c>
      <c r="AQ1472" s="231">
        <v>2025</v>
      </c>
      <c r="AR1472" s="231" t="str">
        <f t="shared" si="214"/>
        <v>10/2025</v>
      </c>
      <c r="AS1472" s="231">
        <f t="shared" si="215"/>
        <v>37.200000000000003</v>
      </c>
      <c r="AT1472" s="239">
        <f>IF(G1472="CERVECERIA Y MALTERIA",(AS1472*AK1472/1000000)*(1-VLOOKUP(N1472,FCST!D:I,6,FALSE)),0)</f>
        <v>19.777305600000002</v>
      </c>
      <c r="AU1472" s="232">
        <v>5.0000000000000001E-3</v>
      </c>
      <c r="AV1472" s="239">
        <f t="shared" si="216"/>
        <v>19.876192128</v>
      </c>
      <c r="AW1472" s="239">
        <f>(AS1472*AK1472/1000000)*(VLOOKUP(N1472,FCST!D:I,6,FALSE))</f>
        <v>0</v>
      </c>
      <c r="AX1472" s="239">
        <f t="shared" si="217"/>
        <v>0</v>
      </c>
      <c r="AY1472" s="239">
        <f>IF($G1472="CERVECERIA Y MALTERIA.",($AS1472*$AK1472/1000000)*(1-VLOOKUP($N1472,FCST!D:I,6,FALSE)),0)</f>
        <v>0</v>
      </c>
      <c r="AZ1472" s="239">
        <f t="shared" si="218"/>
        <v>0</v>
      </c>
    </row>
    <row r="1473" spans="1:52" x14ac:dyDescent="0.25">
      <c r="A1473" s="209">
        <v>1146749</v>
      </c>
      <c r="B1473" s="209">
        <v>50</v>
      </c>
      <c r="C1473" s="209" t="s">
        <v>3228</v>
      </c>
      <c r="D1473" s="209">
        <v>10</v>
      </c>
      <c r="E1473" s="209">
        <v>10000002</v>
      </c>
      <c r="F1473" s="209">
        <v>20000335</v>
      </c>
      <c r="G1473" s="209" t="s">
        <v>105</v>
      </c>
      <c r="H1473" s="209">
        <v>20000335</v>
      </c>
      <c r="I1473" s="209">
        <v>2</v>
      </c>
      <c r="J1473" s="209" t="s">
        <v>169</v>
      </c>
      <c r="K1473" s="209" t="s">
        <v>3229</v>
      </c>
      <c r="L1473" s="209" t="s">
        <v>265</v>
      </c>
      <c r="M1473" s="209" t="s">
        <v>199</v>
      </c>
      <c r="N1473" s="209">
        <v>50039815</v>
      </c>
      <c r="O1473" s="209" t="s">
        <v>2454</v>
      </c>
      <c r="P1473" s="209">
        <v>5121</v>
      </c>
      <c r="Q1473" s="209" t="s">
        <v>200</v>
      </c>
      <c r="R1473" s="209" t="s">
        <v>201</v>
      </c>
      <c r="S1473" s="209" t="s">
        <v>202</v>
      </c>
      <c r="T1473" s="209" t="s">
        <v>203</v>
      </c>
      <c r="U1473" s="209" t="s">
        <v>201</v>
      </c>
      <c r="V1473" s="209" t="s">
        <v>179</v>
      </c>
      <c r="W1473" s="209" t="s">
        <v>179</v>
      </c>
      <c r="X1473" s="209" t="s">
        <v>180</v>
      </c>
      <c r="Y1473" s="209" t="s">
        <v>180</v>
      </c>
      <c r="Z1473" s="209" t="s">
        <v>3082</v>
      </c>
      <c r="AA1473" s="209" t="s">
        <v>3083</v>
      </c>
      <c r="AB1473" s="209" t="s">
        <v>180</v>
      </c>
      <c r="AC1473" s="209" t="s">
        <v>182</v>
      </c>
      <c r="AD1473" s="209">
        <v>10</v>
      </c>
      <c r="AE1473" s="209">
        <v>2025</v>
      </c>
      <c r="AF1473" s="227">
        <v>45952</v>
      </c>
      <c r="AG1473" s="227">
        <v>45958</v>
      </c>
      <c r="AH1473" s="227">
        <v>45958</v>
      </c>
      <c r="AI1473" s="228">
        <v>426816</v>
      </c>
      <c r="AJ1473" s="228">
        <v>52</v>
      </c>
      <c r="AK1473" s="228">
        <v>426816</v>
      </c>
      <c r="AL1473" s="228">
        <v>52</v>
      </c>
      <c r="AM1473" s="228">
        <v>0</v>
      </c>
      <c r="AN1473" s="228">
        <v>0</v>
      </c>
      <c r="AO1473" s="229">
        <v>44</v>
      </c>
      <c r="AP1473" s="231">
        <v>10</v>
      </c>
      <c r="AQ1473" s="231">
        <v>2025</v>
      </c>
      <c r="AR1473" s="231" t="str">
        <f t="shared" si="214"/>
        <v>10/2025</v>
      </c>
      <c r="AS1473" s="231">
        <f t="shared" si="215"/>
        <v>46.6</v>
      </c>
      <c r="AT1473" s="239">
        <f>IF(G1473="CERVECERIA Y MALTERIA",(AS1473*AK1473/1000000)*(1-VLOOKUP(N1473,FCST!D:I,6,FALSE)),0)</f>
        <v>15.911700480000002</v>
      </c>
      <c r="AU1473" s="232">
        <v>5.0000000000000001E-3</v>
      </c>
      <c r="AV1473" s="239">
        <f t="shared" si="216"/>
        <v>15.9912589824</v>
      </c>
      <c r="AW1473" s="239">
        <f>(AS1473*AK1473/1000000)*(VLOOKUP(N1473,FCST!D:I,6,FALSE))</f>
        <v>3.9779251200000005</v>
      </c>
      <c r="AX1473" s="239">
        <f t="shared" si="217"/>
        <v>3.9978147455999999</v>
      </c>
      <c r="AY1473" s="239">
        <f>IF($G1473="CERVECERIA Y MALTERIA.",($AS1473*$AK1473/1000000)*(1-VLOOKUP($N1473,FCST!D:I,6,FALSE)),0)</f>
        <v>0</v>
      </c>
      <c r="AZ1473" s="239">
        <f t="shared" si="218"/>
        <v>0</v>
      </c>
    </row>
    <row r="1474" spans="1:52" x14ac:dyDescent="0.25">
      <c r="A1474" s="209">
        <v>1146749</v>
      </c>
      <c r="B1474" s="209">
        <v>40</v>
      </c>
      <c r="C1474" s="209" t="s">
        <v>3230</v>
      </c>
      <c r="D1474" s="209">
        <v>10</v>
      </c>
      <c r="E1474" s="209">
        <v>10000002</v>
      </c>
      <c r="F1474" s="209">
        <v>20000335</v>
      </c>
      <c r="G1474" s="209" t="s">
        <v>105</v>
      </c>
      <c r="H1474" s="209">
        <v>20000335</v>
      </c>
      <c r="I1474" s="209">
        <v>2</v>
      </c>
      <c r="J1474" s="209" t="s">
        <v>169</v>
      </c>
      <c r="K1474" s="209" t="s">
        <v>3231</v>
      </c>
      <c r="L1474" s="209" t="s">
        <v>265</v>
      </c>
      <c r="M1474" s="209" t="s">
        <v>199</v>
      </c>
      <c r="N1474" s="209">
        <v>50034616</v>
      </c>
      <c r="O1474" s="209" t="s">
        <v>191</v>
      </c>
      <c r="P1474" s="209">
        <v>5121</v>
      </c>
      <c r="Q1474" s="209" t="s">
        <v>200</v>
      </c>
      <c r="R1474" s="209" t="s">
        <v>201</v>
      </c>
      <c r="S1474" s="209" t="s">
        <v>202</v>
      </c>
      <c r="T1474" s="209" t="s">
        <v>203</v>
      </c>
      <c r="U1474" s="209" t="s">
        <v>201</v>
      </c>
      <c r="V1474" s="209" t="s">
        <v>179</v>
      </c>
      <c r="W1474" s="209" t="s">
        <v>179</v>
      </c>
      <c r="X1474" s="209" t="s">
        <v>180</v>
      </c>
      <c r="Y1474" s="209" t="s">
        <v>180</v>
      </c>
      <c r="Z1474" s="209" t="s">
        <v>3114</v>
      </c>
      <c r="AA1474" s="209" t="s">
        <v>3115</v>
      </c>
      <c r="AB1474" s="209" t="s">
        <v>180</v>
      </c>
      <c r="AC1474" s="209" t="s">
        <v>182</v>
      </c>
      <c r="AD1474" s="209">
        <v>10</v>
      </c>
      <c r="AE1474" s="209">
        <v>2025</v>
      </c>
      <c r="AF1474" s="227">
        <v>45952</v>
      </c>
      <c r="AG1474" s="227">
        <v>45958</v>
      </c>
      <c r="AH1474" s="227">
        <v>45958</v>
      </c>
      <c r="AI1474" s="228">
        <v>426816</v>
      </c>
      <c r="AJ1474" s="228">
        <v>52</v>
      </c>
      <c r="AK1474" s="228">
        <v>426816</v>
      </c>
      <c r="AL1474" s="228">
        <v>52</v>
      </c>
      <c r="AM1474" s="228">
        <v>0</v>
      </c>
      <c r="AN1474" s="228">
        <v>0</v>
      </c>
      <c r="AO1474" s="229">
        <v>44</v>
      </c>
      <c r="AP1474" s="231">
        <v>10</v>
      </c>
      <c r="AQ1474" s="231">
        <v>2025</v>
      </c>
      <c r="AR1474" s="231" t="str">
        <f t="shared" si="214"/>
        <v>10/2025</v>
      </c>
      <c r="AS1474" s="231">
        <f t="shared" si="215"/>
        <v>46.6</v>
      </c>
      <c r="AT1474" s="239">
        <f>IF(G1474="CERVECERIA Y MALTERIA",(AS1474*AK1474/1000000)*(1-VLOOKUP(N1474,FCST!D:I,6,FALSE)),0)</f>
        <v>19.889625600000002</v>
      </c>
      <c r="AU1474" s="232">
        <v>5.0000000000000001E-3</v>
      </c>
      <c r="AV1474" s="239">
        <f t="shared" si="216"/>
        <v>19.989073728000001</v>
      </c>
      <c r="AW1474" s="239">
        <f>(AS1474*AK1474/1000000)*(VLOOKUP(N1474,FCST!D:I,6,FALSE))</f>
        <v>0</v>
      </c>
      <c r="AX1474" s="239">
        <f t="shared" si="217"/>
        <v>0</v>
      </c>
      <c r="AY1474" s="239">
        <f>IF($G1474="CERVECERIA Y MALTERIA.",($AS1474*$AK1474/1000000)*(1-VLOOKUP($N1474,FCST!D:I,6,FALSE)),0)</f>
        <v>0</v>
      </c>
      <c r="AZ1474" s="239">
        <f t="shared" si="218"/>
        <v>0</v>
      </c>
    </row>
    <row r="1475" spans="1:52" x14ac:dyDescent="0.25">
      <c r="A1475" s="209">
        <v>1146749</v>
      </c>
      <c r="B1475" s="209">
        <v>20</v>
      </c>
      <c r="C1475" s="209" t="s">
        <v>3232</v>
      </c>
      <c r="D1475" s="209">
        <v>10</v>
      </c>
      <c r="E1475" s="209">
        <v>10000002</v>
      </c>
      <c r="F1475" s="209">
        <v>20000335</v>
      </c>
      <c r="G1475" s="209" t="s">
        <v>105</v>
      </c>
      <c r="H1475" s="209">
        <v>20000335</v>
      </c>
      <c r="I1475" s="209">
        <v>2</v>
      </c>
      <c r="J1475" s="209" t="s">
        <v>169</v>
      </c>
      <c r="K1475" s="209" t="s">
        <v>3233</v>
      </c>
      <c r="L1475" s="209" t="s">
        <v>265</v>
      </c>
      <c r="M1475" s="209" t="s">
        <v>199</v>
      </c>
      <c r="N1475" s="209">
        <v>50037887</v>
      </c>
      <c r="O1475" s="209" t="s">
        <v>679</v>
      </c>
      <c r="P1475" s="209">
        <v>5121</v>
      </c>
      <c r="Q1475" s="209" t="s">
        <v>200</v>
      </c>
      <c r="R1475" s="209" t="s">
        <v>201</v>
      </c>
      <c r="S1475" s="209" t="s">
        <v>202</v>
      </c>
      <c r="T1475" s="209" t="s">
        <v>203</v>
      </c>
      <c r="U1475" s="209" t="s">
        <v>201</v>
      </c>
      <c r="V1475" s="209" t="s">
        <v>179</v>
      </c>
      <c r="W1475" s="209" t="s">
        <v>179</v>
      </c>
      <c r="X1475" s="209" t="s">
        <v>180</v>
      </c>
      <c r="Y1475" s="209" t="s">
        <v>180</v>
      </c>
      <c r="Z1475" s="209" t="s">
        <v>3090</v>
      </c>
      <c r="AA1475" s="209" t="s">
        <v>3091</v>
      </c>
      <c r="AB1475" s="209" t="s">
        <v>180</v>
      </c>
      <c r="AC1475" s="209" t="s">
        <v>182</v>
      </c>
      <c r="AD1475" s="209">
        <v>10</v>
      </c>
      <c r="AE1475" s="209">
        <v>2025</v>
      </c>
      <c r="AF1475" s="227">
        <v>45952</v>
      </c>
      <c r="AG1475" s="227">
        <v>45957</v>
      </c>
      <c r="AH1475" s="227">
        <v>45957</v>
      </c>
      <c r="AI1475" s="228">
        <v>531648</v>
      </c>
      <c r="AJ1475" s="228">
        <v>52</v>
      </c>
      <c r="AK1475" s="228">
        <v>531648</v>
      </c>
      <c r="AL1475" s="228">
        <v>52</v>
      </c>
      <c r="AM1475" s="228">
        <v>0</v>
      </c>
      <c r="AN1475" s="228">
        <v>0</v>
      </c>
      <c r="AO1475" s="229">
        <v>44</v>
      </c>
      <c r="AP1475" s="231">
        <v>10</v>
      </c>
      <c r="AQ1475" s="231">
        <v>2025</v>
      </c>
      <c r="AR1475" s="231" t="str">
        <f t="shared" si="214"/>
        <v>10/2025</v>
      </c>
      <c r="AS1475" s="231">
        <f t="shared" si="215"/>
        <v>37.200000000000003</v>
      </c>
      <c r="AT1475" s="239">
        <f>IF(G1475="CERVECERIA Y MALTERIA",(AS1475*AK1475/1000000)*(1-VLOOKUP(N1475,FCST!D:I,6,FALSE)),0)</f>
        <v>19.777305600000002</v>
      </c>
      <c r="AU1475" s="232">
        <v>5.0000000000000001E-3</v>
      </c>
      <c r="AV1475" s="239">
        <f t="shared" si="216"/>
        <v>19.876192128</v>
      </c>
      <c r="AW1475" s="239">
        <f>(AS1475*AK1475/1000000)*(VLOOKUP(N1475,FCST!D:I,6,FALSE))</f>
        <v>0</v>
      </c>
      <c r="AX1475" s="239">
        <f t="shared" si="217"/>
        <v>0</v>
      </c>
      <c r="AY1475" s="239">
        <f>IF($G1475="CERVECERIA Y MALTERIA.",($AS1475*$AK1475/1000000)*(1-VLOOKUP($N1475,FCST!D:I,6,FALSE)),0)</f>
        <v>0</v>
      </c>
      <c r="AZ1475" s="239">
        <f t="shared" si="218"/>
        <v>0</v>
      </c>
    </row>
    <row r="1476" spans="1:52" x14ac:dyDescent="0.25">
      <c r="A1476" s="209">
        <v>1146750</v>
      </c>
      <c r="B1476" s="209">
        <v>10</v>
      </c>
      <c r="C1476" s="209" t="s">
        <v>3234</v>
      </c>
      <c r="D1476" s="209">
        <v>10</v>
      </c>
      <c r="E1476" s="209">
        <v>10000002</v>
      </c>
      <c r="F1476" s="209">
        <v>20000340</v>
      </c>
      <c r="G1476" s="209" t="s">
        <v>117</v>
      </c>
      <c r="H1476" s="209">
        <v>20000340</v>
      </c>
      <c r="I1476" s="209">
        <v>2</v>
      </c>
      <c r="J1476" s="209" t="s">
        <v>169</v>
      </c>
      <c r="K1476" s="209" t="s">
        <v>3235</v>
      </c>
      <c r="L1476" s="209" t="s">
        <v>265</v>
      </c>
      <c r="M1476" s="209" t="s">
        <v>184</v>
      </c>
      <c r="N1476" s="209">
        <v>50025163</v>
      </c>
      <c r="O1476" s="209" t="s">
        <v>185</v>
      </c>
      <c r="P1476" s="209">
        <v>5101</v>
      </c>
      <c r="Q1476" s="209" t="s">
        <v>186</v>
      </c>
      <c r="R1476" s="209" t="s">
        <v>175</v>
      </c>
      <c r="S1476" s="209" t="s">
        <v>176</v>
      </c>
      <c r="T1476" s="209" t="s">
        <v>187</v>
      </c>
      <c r="U1476" s="209" t="s">
        <v>188</v>
      </c>
      <c r="V1476" s="209" t="s">
        <v>179</v>
      </c>
      <c r="W1476" s="209" t="s">
        <v>179</v>
      </c>
      <c r="X1476" s="209" t="s">
        <v>180</v>
      </c>
      <c r="Y1476" s="209" t="s">
        <v>180</v>
      </c>
      <c r="Z1476" s="209" t="s">
        <v>3078</v>
      </c>
      <c r="AA1476" s="209" t="s">
        <v>3079</v>
      </c>
      <c r="AB1476" s="209" t="s">
        <v>180</v>
      </c>
      <c r="AC1476" s="209" t="s">
        <v>182</v>
      </c>
      <c r="AD1476" s="209">
        <v>10</v>
      </c>
      <c r="AE1476" s="209">
        <v>2025</v>
      </c>
      <c r="AF1476" s="227">
        <v>45952</v>
      </c>
      <c r="AG1476" s="227">
        <v>45957</v>
      </c>
      <c r="AH1476" s="227">
        <v>45957</v>
      </c>
      <c r="AI1476" s="228">
        <v>606528</v>
      </c>
      <c r="AJ1476" s="228">
        <v>52</v>
      </c>
      <c r="AK1476" s="228">
        <v>606528</v>
      </c>
      <c r="AL1476" s="228">
        <v>52</v>
      </c>
      <c r="AM1476" s="228">
        <v>0</v>
      </c>
      <c r="AN1476" s="228">
        <v>0</v>
      </c>
      <c r="AO1476" s="229">
        <v>44</v>
      </c>
      <c r="AP1476" s="231">
        <v>10</v>
      </c>
      <c r="AQ1476" s="231">
        <v>2025</v>
      </c>
      <c r="AR1476" s="231" t="str">
        <f t="shared" si="214"/>
        <v>10/2025</v>
      </c>
      <c r="AS1476" s="231">
        <f t="shared" si="215"/>
        <v>30</v>
      </c>
      <c r="AT1476" s="239">
        <f>IF(G1476="CERVECERIA Y MALTERIA",(AS1476*AK1476/1000000)*(1-VLOOKUP(N1476,FCST!D:I,6,FALSE)),0)</f>
        <v>0</v>
      </c>
      <c r="AU1476" s="232">
        <v>5.0000000000000001E-3</v>
      </c>
      <c r="AV1476" s="239">
        <f t="shared" si="216"/>
        <v>0</v>
      </c>
      <c r="AW1476" s="239">
        <f>(AS1476*AK1476/1000000)*(VLOOKUP(N1476,FCST!D:I,6,FALSE))</f>
        <v>0</v>
      </c>
      <c r="AX1476" s="239">
        <f t="shared" si="217"/>
        <v>0</v>
      </c>
      <c r="AY1476" s="239">
        <f>IF($G1476="CERVECERIA Y MALTERIA.",($AS1476*$AK1476/1000000)*(1-VLOOKUP($N1476,FCST!D:I,6,FALSE)),0)</f>
        <v>18.19584</v>
      </c>
      <c r="AZ1476" s="239">
        <f t="shared" si="218"/>
        <v>18.2868192</v>
      </c>
    </row>
    <row r="1477" spans="1:52" x14ac:dyDescent="0.25">
      <c r="A1477" s="209">
        <v>1146749</v>
      </c>
      <c r="B1477" s="209">
        <v>10</v>
      </c>
      <c r="C1477" s="209" t="s">
        <v>3236</v>
      </c>
      <c r="D1477" s="209">
        <v>10</v>
      </c>
      <c r="E1477" s="209">
        <v>10000002</v>
      </c>
      <c r="F1477" s="209">
        <v>20000335</v>
      </c>
      <c r="G1477" s="209" t="s">
        <v>105</v>
      </c>
      <c r="H1477" s="209">
        <v>20000335</v>
      </c>
      <c r="I1477" s="209">
        <v>2</v>
      </c>
      <c r="J1477" s="209" t="s">
        <v>169</v>
      </c>
      <c r="K1477" s="209" t="s">
        <v>3237</v>
      </c>
      <c r="L1477" s="209" t="s">
        <v>265</v>
      </c>
      <c r="M1477" s="209" t="s">
        <v>184</v>
      </c>
      <c r="N1477" s="209">
        <v>50035184</v>
      </c>
      <c r="O1477" s="209" t="s">
        <v>672</v>
      </c>
      <c r="P1477" s="209">
        <v>5121</v>
      </c>
      <c r="Q1477" s="209" t="s">
        <v>174</v>
      </c>
      <c r="R1477" s="209" t="s">
        <v>175</v>
      </c>
      <c r="S1477" s="209" t="s">
        <v>176</v>
      </c>
      <c r="T1477" s="209" t="s">
        <v>177</v>
      </c>
      <c r="U1477" s="209" t="s">
        <v>178</v>
      </c>
      <c r="V1477" s="209" t="s">
        <v>179</v>
      </c>
      <c r="W1477" s="209" t="s">
        <v>179</v>
      </c>
      <c r="X1477" s="209" t="s">
        <v>180</v>
      </c>
      <c r="Y1477" s="209" t="s">
        <v>180</v>
      </c>
      <c r="Z1477" s="209" t="s">
        <v>3096</v>
      </c>
      <c r="AA1477" s="209" t="s">
        <v>3097</v>
      </c>
      <c r="AB1477" s="209" t="s">
        <v>180</v>
      </c>
      <c r="AC1477" s="209" t="s">
        <v>182</v>
      </c>
      <c r="AD1477" s="209">
        <v>10</v>
      </c>
      <c r="AE1477" s="209">
        <v>2025</v>
      </c>
      <c r="AF1477" s="227">
        <v>45952</v>
      </c>
      <c r="AG1477" s="227">
        <v>45957</v>
      </c>
      <c r="AH1477" s="227">
        <v>45957</v>
      </c>
      <c r="AI1477" s="228">
        <v>977184</v>
      </c>
      <c r="AJ1477" s="228">
        <v>52</v>
      </c>
      <c r="AK1477" s="228">
        <v>977184</v>
      </c>
      <c r="AL1477" s="228">
        <v>52</v>
      </c>
      <c r="AM1477" s="228">
        <v>0</v>
      </c>
      <c r="AN1477" s="228">
        <v>0</v>
      </c>
      <c r="AO1477" s="229">
        <v>44</v>
      </c>
      <c r="AP1477" s="231">
        <v>10</v>
      </c>
      <c r="AQ1477" s="231">
        <v>2025</v>
      </c>
      <c r="AR1477" s="231" t="str">
        <f t="shared" si="214"/>
        <v>10/2025</v>
      </c>
      <c r="AS1477" s="231">
        <f t="shared" si="215"/>
        <v>19.5</v>
      </c>
      <c r="AT1477" s="239">
        <f>IF(G1477="CERVECERIA Y MALTERIA",(AS1477*AK1477/1000000)*(1-VLOOKUP(N1477,FCST!D:I,6,FALSE)),0)</f>
        <v>19.055088000000001</v>
      </c>
      <c r="AU1477" s="232">
        <v>5.0000000000000001E-3</v>
      </c>
      <c r="AV1477" s="239">
        <f t="shared" si="216"/>
        <v>19.15036344</v>
      </c>
      <c r="AW1477" s="239">
        <f>(AS1477*AK1477/1000000)*(VLOOKUP(N1477,FCST!D:I,6,FALSE))</f>
        <v>0</v>
      </c>
      <c r="AX1477" s="239">
        <f t="shared" si="217"/>
        <v>0</v>
      </c>
      <c r="AY1477" s="239">
        <f>IF($G1477="CERVECERIA Y MALTERIA.",($AS1477*$AK1477/1000000)*(1-VLOOKUP($N1477,FCST!D:I,6,FALSE)),0)</f>
        <v>0</v>
      </c>
      <c r="AZ1477" s="239">
        <f t="shared" si="218"/>
        <v>0</v>
      </c>
    </row>
    <row r="1478" spans="1:52" x14ac:dyDescent="0.25">
      <c r="A1478" s="209">
        <v>1143367</v>
      </c>
      <c r="B1478" s="209">
        <v>10</v>
      </c>
      <c r="C1478" s="209" t="s">
        <v>3238</v>
      </c>
      <c r="D1478" s="209">
        <v>10</v>
      </c>
      <c r="E1478" s="209">
        <v>10000002</v>
      </c>
      <c r="F1478" s="209">
        <v>20000340</v>
      </c>
      <c r="G1478" s="209" t="s">
        <v>117</v>
      </c>
      <c r="H1478" s="209">
        <v>20000340</v>
      </c>
      <c r="I1478" s="209">
        <v>2</v>
      </c>
      <c r="J1478" s="209" t="s">
        <v>169</v>
      </c>
      <c r="K1478" s="209" t="s">
        <v>3239</v>
      </c>
      <c r="L1478" s="209" t="s">
        <v>2610</v>
      </c>
      <c r="M1478" s="209" t="s">
        <v>2718</v>
      </c>
      <c r="N1478" s="209">
        <v>50039856</v>
      </c>
      <c r="O1478" s="209" t="s">
        <v>2871</v>
      </c>
      <c r="P1478" s="209">
        <v>5101</v>
      </c>
      <c r="Q1478" s="209" t="s">
        <v>186</v>
      </c>
      <c r="R1478" s="209" t="s">
        <v>175</v>
      </c>
      <c r="S1478" s="209" t="s">
        <v>176</v>
      </c>
      <c r="T1478" s="209" t="s">
        <v>187</v>
      </c>
      <c r="U1478" s="209" t="s">
        <v>188</v>
      </c>
      <c r="V1478" s="209" t="s">
        <v>179</v>
      </c>
      <c r="W1478" s="209" t="s">
        <v>179</v>
      </c>
      <c r="X1478" s="209" t="s">
        <v>180</v>
      </c>
      <c r="Y1478" s="209" t="s">
        <v>180</v>
      </c>
      <c r="Z1478" s="209" t="s">
        <v>3240</v>
      </c>
      <c r="AA1478" s="209" t="s">
        <v>3241</v>
      </c>
      <c r="AB1478" s="209" t="s">
        <v>180</v>
      </c>
      <c r="AC1478" s="209" t="s">
        <v>182</v>
      </c>
      <c r="AD1478" s="209">
        <v>10</v>
      </c>
      <c r="AE1478" s="209">
        <v>2025</v>
      </c>
      <c r="AF1478" s="227">
        <v>45932</v>
      </c>
      <c r="AG1478" s="227">
        <v>45937</v>
      </c>
      <c r="AH1478" s="227">
        <v>45937</v>
      </c>
      <c r="AI1478" s="228">
        <v>399360</v>
      </c>
      <c r="AJ1478" s="228">
        <v>52</v>
      </c>
      <c r="AK1478" s="228">
        <v>399360</v>
      </c>
      <c r="AL1478" s="228">
        <v>52</v>
      </c>
      <c r="AM1478" s="228">
        <v>0</v>
      </c>
      <c r="AN1478" s="228">
        <v>0</v>
      </c>
      <c r="AO1478" s="229">
        <v>41</v>
      </c>
      <c r="AP1478" s="231">
        <v>10</v>
      </c>
      <c r="AQ1478" s="231">
        <v>2025</v>
      </c>
      <c r="AR1478" s="231" t="str">
        <f t="shared" si="214"/>
        <v>10/2025</v>
      </c>
      <c r="AS1478" s="231">
        <f t="shared" si="215"/>
        <v>52</v>
      </c>
      <c r="AT1478" s="239">
        <f>IF(G1478="CERVECERIA Y MALTERIA",(AS1478*AK1478/1000000)*(1-VLOOKUP(N1478,FCST!D:I,6,FALSE)),0)</f>
        <v>0</v>
      </c>
      <c r="AU1478" s="232">
        <v>5.0000000000000001E-3</v>
      </c>
      <c r="AV1478" s="239">
        <f t="shared" si="216"/>
        <v>0</v>
      </c>
      <c r="AW1478" s="239">
        <f>(AS1478*AK1478/1000000)*(VLOOKUP(N1478,FCST!D:I,6,FALSE))</f>
        <v>0</v>
      </c>
      <c r="AX1478" s="239">
        <f t="shared" si="217"/>
        <v>0</v>
      </c>
      <c r="AY1478" s="239">
        <f>IF($G1478="CERVECERIA Y MALTERIA.",($AS1478*$AK1478/1000000)*(1-VLOOKUP($N1478,FCST!D:I,6,FALSE)),0)</f>
        <v>20.766719999999999</v>
      </c>
      <c r="AZ1478" s="239">
        <f t="shared" si="218"/>
        <v>20.870553599999997</v>
      </c>
    </row>
    <row r="1479" spans="1:52" x14ac:dyDescent="0.25">
      <c r="A1479" s="209">
        <v>1143362</v>
      </c>
      <c r="B1479" s="209">
        <v>60</v>
      </c>
      <c r="C1479" s="209" t="s">
        <v>3242</v>
      </c>
      <c r="D1479" s="209">
        <v>10</v>
      </c>
      <c r="E1479" s="209">
        <v>10000002</v>
      </c>
      <c r="F1479" s="209">
        <v>20000335</v>
      </c>
      <c r="G1479" s="209" t="s">
        <v>105</v>
      </c>
      <c r="H1479" s="209">
        <v>20000335</v>
      </c>
      <c r="I1479" s="209">
        <v>2</v>
      </c>
      <c r="J1479" s="209" t="s">
        <v>169</v>
      </c>
      <c r="K1479" s="209" t="s">
        <v>3243</v>
      </c>
      <c r="L1479" s="209" t="s">
        <v>2610</v>
      </c>
      <c r="M1479" s="209" t="s">
        <v>2718</v>
      </c>
      <c r="N1479" s="209">
        <v>50035184</v>
      </c>
      <c r="O1479" s="209" t="s">
        <v>672</v>
      </c>
      <c r="P1479" s="209">
        <v>5121</v>
      </c>
      <c r="Q1479" s="209" t="s">
        <v>174</v>
      </c>
      <c r="R1479" s="209" t="s">
        <v>175</v>
      </c>
      <c r="S1479" s="209" t="s">
        <v>176</v>
      </c>
      <c r="T1479" s="209" t="s">
        <v>177</v>
      </c>
      <c r="U1479" s="209" t="s">
        <v>178</v>
      </c>
      <c r="V1479" s="209" t="s">
        <v>179</v>
      </c>
      <c r="W1479" s="209" t="s">
        <v>179</v>
      </c>
      <c r="X1479" s="209" t="s">
        <v>180</v>
      </c>
      <c r="Y1479" s="209" t="s">
        <v>180</v>
      </c>
      <c r="Z1479" s="209" t="s">
        <v>3096</v>
      </c>
      <c r="AA1479" s="209" t="s">
        <v>3097</v>
      </c>
      <c r="AB1479" s="209" t="s">
        <v>180</v>
      </c>
      <c r="AC1479" s="209" t="s">
        <v>182</v>
      </c>
      <c r="AD1479" s="209">
        <v>10</v>
      </c>
      <c r="AE1479" s="209">
        <v>2025</v>
      </c>
      <c r="AF1479" s="227">
        <v>45932</v>
      </c>
      <c r="AG1479" s="227">
        <v>45937</v>
      </c>
      <c r="AH1479" s="227">
        <v>45937</v>
      </c>
      <c r="AI1479" s="228">
        <v>977184</v>
      </c>
      <c r="AJ1479" s="228">
        <v>52</v>
      </c>
      <c r="AK1479" s="228">
        <v>977184</v>
      </c>
      <c r="AL1479" s="228">
        <v>52</v>
      </c>
      <c r="AM1479" s="228">
        <v>0</v>
      </c>
      <c r="AN1479" s="228">
        <v>0</v>
      </c>
      <c r="AO1479" s="229">
        <v>41</v>
      </c>
      <c r="AP1479" s="231">
        <v>10</v>
      </c>
      <c r="AQ1479" s="231">
        <v>2025</v>
      </c>
      <c r="AR1479" s="231" t="str">
        <f t="shared" si="214"/>
        <v>10/2025</v>
      </c>
      <c r="AS1479" s="231">
        <f t="shared" si="215"/>
        <v>19.5</v>
      </c>
      <c r="AT1479" s="239">
        <f>IF(G1479="CERVECERIA Y MALTERIA",(AS1479*AK1479/1000000)*(1-VLOOKUP(N1479,FCST!D:I,6,FALSE)),0)</f>
        <v>19.055088000000001</v>
      </c>
      <c r="AU1479" s="232">
        <v>5.0000000000000001E-3</v>
      </c>
      <c r="AV1479" s="239">
        <f t="shared" si="216"/>
        <v>19.15036344</v>
      </c>
      <c r="AW1479" s="239">
        <f>(AS1479*AK1479/1000000)*(VLOOKUP(N1479,FCST!D:I,6,FALSE))</f>
        <v>0</v>
      </c>
      <c r="AX1479" s="239">
        <f t="shared" si="217"/>
        <v>0</v>
      </c>
      <c r="AY1479" s="239">
        <f>IF($G1479="CERVECERIA Y MALTERIA.",($AS1479*$AK1479/1000000)*(1-VLOOKUP($N1479,FCST!D:I,6,FALSE)),0)</f>
        <v>0</v>
      </c>
      <c r="AZ1479" s="239">
        <f t="shared" si="218"/>
        <v>0</v>
      </c>
    </row>
    <row r="1480" spans="1:52" x14ac:dyDescent="0.25">
      <c r="A1480" s="209">
        <v>1143739</v>
      </c>
      <c r="B1480" s="209">
        <v>30</v>
      </c>
      <c r="C1480" s="209" t="s">
        <v>3244</v>
      </c>
      <c r="D1480" s="209">
        <v>10</v>
      </c>
      <c r="E1480" s="209">
        <v>10000002</v>
      </c>
      <c r="F1480" s="209">
        <v>20000337</v>
      </c>
      <c r="G1480" s="209" t="s">
        <v>105</v>
      </c>
      <c r="H1480" s="209">
        <v>20000337</v>
      </c>
      <c r="I1480" s="209">
        <v>2</v>
      </c>
      <c r="J1480" s="209" t="s">
        <v>169</v>
      </c>
      <c r="K1480" s="209" t="s">
        <v>3245</v>
      </c>
      <c r="L1480" s="209" t="s">
        <v>265</v>
      </c>
      <c r="M1480" s="209" t="s">
        <v>2718</v>
      </c>
      <c r="N1480" s="209">
        <v>50032583</v>
      </c>
      <c r="O1480" s="209" t="s">
        <v>205</v>
      </c>
      <c r="P1480" s="209">
        <v>5121</v>
      </c>
      <c r="Q1480" s="209" t="s">
        <v>174</v>
      </c>
      <c r="R1480" s="209" t="s">
        <v>175</v>
      </c>
      <c r="S1480" s="209" t="s">
        <v>176</v>
      </c>
      <c r="T1480" s="209" t="s">
        <v>177</v>
      </c>
      <c r="U1480" s="209" t="s">
        <v>178</v>
      </c>
      <c r="V1480" s="209" t="s">
        <v>179</v>
      </c>
      <c r="W1480" s="209" t="s">
        <v>179</v>
      </c>
      <c r="X1480" s="209" t="s">
        <v>180</v>
      </c>
      <c r="Y1480" s="209" t="s">
        <v>180</v>
      </c>
      <c r="Z1480" s="209" t="s">
        <v>3246</v>
      </c>
      <c r="AA1480" s="209" t="s">
        <v>3247</v>
      </c>
      <c r="AB1480" s="209" t="s">
        <v>180</v>
      </c>
      <c r="AC1480" s="209" t="s">
        <v>182</v>
      </c>
      <c r="AD1480" s="209">
        <v>10</v>
      </c>
      <c r="AE1480" s="209">
        <v>2025</v>
      </c>
      <c r="AF1480" s="227">
        <v>45936</v>
      </c>
      <c r="AG1480" s="227">
        <v>45937</v>
      </c>
      <c r="AH1480" s="227">
        <v>45937</v>
      </c>
      <c r="AI1480" s="228">
        <v>351936</v>
      </c>
      <c r="AJ1480" s="228">
        <v>52</v>
      </c>
      <c r="AK1480" s="228">
        <v>351936</v>
      </c>
      <c r="AL1480" s="228">
        <v>52</v>
      </c>
      <c r="AM1480" s="228">
        <v>0</v>
      </c>
      <c r="AN1480" s="228">
        <v>0</v>
      </c>
      <c r="AO1480" s="229">
        <v>41</v>
      </c>
      <c r="AP1480" s="231">
        <v>10</v>
      </c>
      <c r="AQ1480" s="231">
        <v>2025</v>
      </c>
      <c r="AR1480" s="231" t="str">
        <f t="shared" si="214"/>
        <v>10/2025</v>
      </c>
      <c r="AS1480" s="231">
        <f t="shared" si="215"/>
        <v>54.7</v>
      </c>
      <c r="AT1480" s="239">
        <f>IF(G1480="CERVECERIA Y MALTERIA",(AS1480*AK1480/1000000)*(1-VLOOKUP(N1480,FCST!D:I,6,FALSE)),0)</f>
        <v>19.250899199999999</v>
      </c>
      <c r="AU1480" s="232">
        <v>5.0000000000000001E-3</v>
      </c>
      <c r="AV1480" s="239">
        <f t="shared" si="216"/>
        <v>19.347153695999996</v>
      </c>
      <c r="AW1480" s="239">
        <f>(AS1480*AK1480/1000000)*(VLOOKUP(N1480,FCST!D:I,6,FALSE))</f>
        <v>0</v>
      </c>
      <c r="AX1480" s="239">
        <f t="shared" si="217"/>
        <v>0</v>
      </c>
      <c r="AY1480" s="239">
        <f>IF($G1480="CERVECERIA Y MALTERIA.",($AS1480*$AK1480/1000000)*(1-VLOOKUP($N1480,FCST!D:I,6,FALSE)),0)</f>
        <v>0</v>
      </c>
      <c r="AZ1480" s="239">
        <f t="shared" si="218"/>
        <v>0</v>
      </c>
    </row>
    <row r="1481" spans="1:52" x14ac:dyDescent="0.25">
      <c r="A1481" s="209">
        <v>1143607</v>
      </c>
      <c r="B1481" s="209">
        <v>10</v>
      </c>
      <c r="C1481" s="209" t="s">
        <v>3248</v>
      </c>
      <c r="D1481" s="209">
        <v>10</v>
      </c>
      <c r="E1481" s="209">
        <v>10000002</v>
      </c>
      <c r="F1481" s="209">
        <v>20000336</v>
      </c>
      <c r="G1481" s="209" t="s">
        <v>105</v>
      </c>
      <c r="H1481" s="209">
        <v>20000336</v>
      </c>
      <c r="I1481" s="209">
        <v>2</v>
      </c>
      <c r="J1481" s="209" t="s">
        <v>169</v>
      </c>
      <c r="K1481" s="209" t="s">
        <v>3249</v>
      </c>
      <c r="L1481" s="209" t="s">
        <v>2610</v>
      </c>
      <c r="M1481" s="209" t="s">
        <v>184</v>
      </c>
      <c r="N1481" s="209">
        <v>50021818</v>
      </c>
      <c r="O1481" s="209" t="s">
        <v>2170</v>
      </c>
      <c r="P1481" s="209">
        <v>5121</v>
      </c>
      <c r="Q1481" s="209" t="s">
        <v>174</v>
      </c>
      <c r="R1481" s="209" t="s">
        <v>175</v>
      </c>
      <c r="S1481" s="209" t="s">
        <v>176</v>
      </c>
      <c r="T1481" s="209" t="s">
        <v>177</v>
      </c>
      <c r="U1481" s="209" t="s">
        <v>178</v>
      </c>
      <c r="V1481" s="209" t="s">
        <v>179</v>
      </c>
      <c r="W1481" s="209" t="s">
        <v>179</v>
      </c>
      <c r="X1481" s="209" t="s">
        <v>180</v>
      </c>
      <c r="Y1481" s="209" t="s">
        <v>180</v>
      </c>
      <c r="Z1481" s="209" t="s">
        <v>3220</v>
      </c>
      <c r="AA1481" s="209" t="s">
        <v>3221</v>
      </c>
      <c r="AB1481" s="209" t="s">
        <v>180</v>
      </c>
      <c r="AC1481" s="209" t="s">
        <v>182</v>
      </c>
      <c r="AD1481" s="209">
        <v>10</v>
      </c>
      <c r="AE1481" s="209">
        <v>2025</v>
      </c>
      <c r="AF1481" s="227">
        <v>45933</v>
      </c>
      <c r="AG1481" s="227">
        <v>45936</v>
      </c>
      <c r="AH1481" s="227">
        <v>45936</v>
      </c>
      <c r="AI1481" s="228">
        <v>426816</v>
      </c>
      <c r="AJ1481" s="228">
        <v>52</v>
      </c>
      <c r="AK1481" s="228">
        <v>426816</v>
      </c>
      <c r="AL1481" s="228">
        <v>52</v>
      </c>
      <c r="AM1481" s="228">
        <v>0</v>
      </c>
      <c r="AN1481" s="228">
        <v>0</v>
      </c>
      <c r="AO1481" s="229">
        <v>41</v>
      </c>
      <c r="AP1481" s="231">
        <v>10</v>
      </c>
      <c r="AQ1481" s="231">
        <v>2025</v>
      </c>
      <c r="AR1481" s="231" t="str">
        <f t="shared" si="214"/>
        <v>10/2025</v>
      </c>
      <c r="AS1481" s="231">
        <f t="shared" si="215"/>
        <v>46.6</v>
      </c>
      <c r="AT1481" s="239">
        <f>IF(G1481="CERVECERIA Y MALTERIA",(AS1481*AK1481/1000000)*(1-VLOOKUP(N1481,FCST!D:I,6,FALSE)),0)</f>
        <v>19.889625600000002</v>
      </c>
      <c r="AU1481" s="232">
        <v>5.0000000000000001E-3</v>
      </c>
      <c r="AV1481" s="239">
        <f t="shared" si="216"/>
        <v>19.989073728000001</v>
      </c>
      <c r="AW1481" s="239">
        <f>(AS1481*AK1481/1000000)*(VLOOKUP(N1481,FCST!D:I,6,FALSE))</f>
        <v>0</v>
      </c>
      <c r="AX1481" s="239">
        <f t="shared" si="217"/>
        <v>0</v>
      </c>
      <c r="AY1481" s="239">
        <f>IF($G1481="CERVECERIA Y MALTERIA.",($AS1481*$AK1481/1000000)*(1-VLOOKUP($N1481,FCST!D:I,6,FALSE)),0)</f>
        <v>0</v>
      </c>
      <c r="AZ1481" s="239">
        <f t="shared" si="218"/>
        <v>0</v>
      </c>
    </row>
    <row r="1482" spans="1:52" x14ac:dyDescent="0.25">
      <c r="A1482" s="209">
        <v>1143362</v>
      </c>
      <c r="B1482" s="209">
        <v>50</v>
      </c>
      <c r="C1482" s="209" t="s">
        <v>3250</v>
      </c>
      <c r="D1482" s="209">
        <v>10</v>
      </c>
      <c r="E1482" s="209">
        <v>10000002</v>
      </c>
      <c r="F1482" s="209">
        <v>20000335</v>
      </c>
      <c r="G1482" s="209" t="s">
        <v>105</v>
      </c>
      <c r="H1482" s="209">
        <v>20000335</v>
      </c>
      <c r="I1482" s="209">
        <v>2</v>
      </c>
      <c r="J1482" s="209" t="s">
        <v>169</v>
      </c>
      <c r="K1482" s="209" t="s">
        <v>3251</v>
      </c>
      <c r="L1482" s="209" t="s">
        <v>2610</v>
      </c>
      <c r="M1482" s="209" t="s">
        <v>184</v>
      </c>
      <c r="N1482" s="209">
        <v>50035184</v>
      </c>
      <c r="O1482" s="209" t="s">
        <v>672</v>
      </c>
      <c r="P1482" s="209">
        <v>5121</v>
      </c>
      <c r="Q1482" s="209" t="s">
        <v>174</v>
      </c>
      <c r="R1482" s="209" t="s">
        <v>175</v>
      </c>
      <c r="S1482" s="209" t="s">
        <v>176</v>
      </c>
      <c r="T1482" s="209" t="s">
        <v>177</v>
      </c>
      <c r="U1482" s="209" t="s">
        <v>178</v>
      </c>
      <c r="V1482" s="209" t="s">
        <v>179</v>
      </c>
      <c r="W1482" s="209" t="s">
        <v>179</v>
      </c>
      <c r="X1482" s="209" t="s">
        <v>180</v>
      </c>
      <c r="Y1482" s="209" t="s">
        <v>180</v>
      </c>
      <c r="Z1482" s="209" t="s">
        <v>3096</v>
      </c>
      <c r="AA1482" s="209" t="s">
        <v>3097</v>
      </c>
      <c r="AB1482" s="209" t="s">
        <v>180</v>
      </c>
      <c r="AC1482" s="209" t="s">
        <v>182</v>
      </c>
      <c r="AD1482" s="209">
        <v>10</v>
      </c>
      <c r="AE1482" s="209">
        <v>2025</v>
      </c>
      <c r="AF1482" s="227">
        <v>45932</v>
      </c>
      <c r="AG1482" s="227">
        <v>45936</v>
      </c>
      <c r="AH1482" s="227">
        <v>45936</v>
      </c>
      <c r="AI1482" s="228">
        <v>939600</v>
      </c>
      <c r="AJ1482" s="228">
        <v>50</v>
      </c>
      <c r="AK1482" s="228">
        <v>939600</v>
      </c>
      <c r="AL1482" s="228">
        <v>50</v>
      </c>
      <c r="AM1482" s="228">
        <v>0</v>
      </c>
      <c r="AN1482" s="228">
        <v>0</v>
      </c>
      <c r="AO1482" s="229">
        <v>41</v>
      </c>
      <c r="AP1482" s="231">
        <v>10</v>
      </c>
      <c r="AQ1482" s="231">
        <v>2025</v>
      </c>
      <c r="AR1482" s="231" t="str">
        <f t="shared" si="214"/>
        <v>10/2025</v>
      </c>
      <c r="AS1482" s="231">
        <f t="shared" si="215"/>
        <v>19.5</v>
      </c>
      <c r="AT1482" s="239">
        <f>IF(G1482="CERVECERIA Y MALTERIA",(AS1482*AK1482/1000000)*(1-VLOOKUP(N1482,FCST!D:I,6,FALSE)),0)</f>
        <v>18.322199999999999</v>
      </c>
      <c r="AU1482" s="232">
        <v>5.0000000000000001E-3</v>
      </c>
      <c r="AV1482" s="239">
        <f t="shared" si="216"/>
        <v>18.413810999999995</v>
      </c>
      <c r="AW1482" s="239">
        <f>(AS1482*AK1482/1000000)*(VLOOKUP(N1482,FCST!D:I,6,FALSE))</f>
        <v>0</v>
      </c>
      <c r="AX1482" s="239">
        <f t="shared" si="217"/>
        <v>0</v>
      </c>
      <c r="AY1482" s="239">
        <f>IF($G1482="CERVECERIA Y MALTERIA.",($AS1482*$AK1482/1000000)*(1-VLOOKUP($N1482,FCST!D:I,6,FALSE)),0)</f>
        <v>0</v>
      </c>
      <c r="AZ1482" s="239">
        <f t="shared" si="218"/>
        <v>0</v>
      </c>
    </row>
    <row r="1483" spans="1:52" x14ac:dyDescent="0.25">
      <c r="A1483" s="209">
        <v>1143509</v>
      </c>
      <c r="B1483" s="209">
        <v>40</v>
      </c>
      <c r="C1483" s="209" t="s">
        <v>3252</v>
      </c>
      <c r="D1483" s="209">
        <v>10</v>
      </c>
      <c r="E1483" s="209">
        <v>10000002</v>
      </c>
      <c r="F1483" s="209">
        <v>20001057</v>
      </c>
      <c r="G1483" s="209" t="s">
        <v>105</v>
      </c>
      <c r="H1483" s="209">
        <v>20001057</v>
      </c>
      <c r="I1483" s="209">
        <v>2</v>
      </c>
      <c r="J1483" s="209" t="s">
        <v>169</v>
      </c>
      <c r="K1483" s="209" t="s">
        <v>3253</v>
      </c>
      <c r="L1483" s="209" t="s">
        <v>2610</v>
      </c>
      <c r="M1483" s="209" t="s">
        <v>2718</v>
      </c>
      <c r="N1483" s="209">
        <v>50035184</v>
      </c>
      <c r="O1483" s="209" t="s">
        <v>672</v>
      </c>
      <c r="P1483" s="209">
        <v>5121</v>
      </c>
      <c r="Q1483" s="209" t="s">
        <v>174</v>
      </c>
      <c r="R1483" s="209" t="s">
        <v>175</v>
      </c>
      <c r="S1483" s="209" t="s">
        <v>176</v>
      </c>
      <c r="T1483" s="209" t="s">
        <v>177</v>
      </c>
      <c r="U1483" s="209" t="s">
        <v>178</v>
      </c>
      <c r="V1483" s="209" t="s">
        <v>179</v>
      </c>
      <c r="W1483" s="209" t="s">
        <v>179</v>
      </c>
      <c r="X1483" s="209" t="s">
        <v>180</v>
      </c>
      <c r="Y1483" s="209" t="s">
        <v>180</v>
      </c>
      <c r="Z1483" s="209" t="s">
        <v>3254</v>
      </c>
      <c r="AA1483" s="209" t="s">
        <v>3255</v>
      </c>
      <c r="AB1483" s="209" t="s">
        <v>180</v>
      </c>
      <c r="AC1483" s="209" t="s">
        <v>182</v>
      </c>
      <c r="AD1483" s="209">
        <v>10</v>
      </c>
      <c r="AE1483" s="209">
        <v>2025</v>
      </c>
      <c r="AF1483" s="227">
        <v>45933</v>
      </c>
      <c r="AG1483" s="227">
        <v>45937</v>
      </c>
      <c r="AH1483" s="227">
        <v>45937</v>
      </c>
      <c r="AI1483" s="228">
        <v>977184</v>
      </c>
      <c r="AJ1483" s="228">
        <v>52</v>
      </c>
      <c r="AK1483" s="228">
        <v>977184</v>
      </c>
      <c r="AL1483" s="228">
        <v>52</v>
      </c>
      <c r="AM1483" s="228">
        <v>0</v>
      </c>
      <c r="AN1483" s="228">
        <v>0</v>
      </c>
      <c r="AO1483" s="229">
        <v>41</v>
      </c>
      <c r="AP1483" s="231">
        <v>10</v>
      </c>
      <c r="AQ1483" s="231">
        <v>2025</v>
      </c>
      <c r="AR1483" s="231" t="str">
        <f t="shared" si="214"/>
        <v>10/2025</v>
      </c>
      <c r="AS1483" s="231">
        <f t="shared" si="215"/>
        <v>19.5</v>
      </c>
      <c r="AT1483" s="239">
        <f>IF(G1483="CERVECERIA Y MALTERIA",(AS1483*AK1483/1000000)*(1-VLOOKUP(N1483,FCST!D:I,6,FALSE)),0)</f>
        <v>19.055088000000001</v>
      </c>
      <c r="AU1483" s="232">
        <v>5.0000000000000001E-3</v>
      </c>
      <c r="AV1483" s="239">
        <f t="shared" si="216"/>
        <v>19.15036344</v>
      </c>
      <c r="AW1483" s="239">
        <f>(AS1483*AK1483/1000000)*(VLOOKUP(N1483,FCST!D:I,6,FALSE))</f>
        <v>0</v>
      </c>
      <c r="AX1483" s="239">
        <f t="shared" si="217"/>
        <v>0</v>
      </c>
      <c r="AY1483" s="239">
        <f>IF($G1483="CERVECERIA Y MALTERIA.",($AS1483*$AK1483/1000000)*(1-VLOOKUP($N1483,FCST!D:I,6,FALSE)),0)</f>
        <v>0</v>
      </c>
      <c r="AZ1483" s="239">
        <f t="shared" si="218"/>
        <v>0</v>
      </c>
    </row>
    <row r="1484" spans="1:52" x14ac:dyDescent="0.25">
      <c r="A1484" s="209">
        <v>1143362</v>
      </c>
      <c r="B1484" s="209">
        <v>30</v>
      </c>
      <c r="C1484" s="209" t="s">
        <v>3256</v>
      </c>
      <c r="D1484" s="209">
        <v>10</v>
      </c>
      <c r="E1484" s="209">
        <v>10000002</v>
      </c>
      <c r="F1484" s="209">
        <v>20000335</v>
      </c>
      <c r="G1484" s="209" t="s">
        <v>105</v>
      </c>
      <c r="H1484" s="209">
        <v>20000335</v>
      </c>
      <c r="I1484" s="209">
        <v>2</v>
      </c>
      <c r="J1484" s="209" t="s">
        <v>169</v>
      </c>
      <c r="K1484" s="209" t="s">
        <v>3257</v>
      </c>
      <c r="L1484" s="209" t="s">
        <v>2610</v>
      </c>
      <c r="M1484" s="209" t="s">
        <v>199</v>
      </c>
      <c r="N1484" s="209">
        <v>50039815</v>
      </c>
      <c r="O1484" s="209" t="s">
        <v>2454</v>
      </c>
      <c r="P1484" s="209">
        <v>5121</v>
      </c>
      <c r="Q1484" s="209" t="s">
        <v>200</v>
      </c>
      <c r="R1484" s="209" t="s">
        <v>201</v>
      </c>
      <c r="S1484" s="209" t="s">
        <v>202</v>
      </c>
      <c r="T1484" s="209" t="s">
        <v>203</v>
      </c>
      <c r="U1484" s="209" t="s">
        <v>201</v>
      </c>
      <c r="V1484" s="209" t="s">
        <v>179</v>
      </c>
      <c r="W1484" s="209" t="s">
        <v>179</v>
      </c>
      <c r="X1484" s="209" t="s">
        <v>180</v>
      </c>
      <c r="Y1484" s="209" t="s">
        <v>180</v>
      </c>
      <c r="Z1484" s="209" t="s">
        <v>3082</v>
      </c>
      <c r="AA1484" s="209" t="s">
        <v>3083</v>
      </c>
      <c r="AB1484" s="209" t="s">
        <v>180</v>
      </c>
      <c r="AC1484" s="209" t="s">
        <v>182</v>
      </c>
      <c r="AD1484" s="209">
        <v>10</v>
      </c>
      <c r="AE1484" s="209">
        <v>2025</v>
      </c>
      <c r="AF1484" s="227">
        <v>45932</v>
      </c>
      <c r="AG1484" s="227">
        <v>45938</v>
      </c>
      <c r="AH1484" s="227">
        <v>45938</v>
      </c>
      <c r="AI1484" s="228">
        <v>426816</v>
      </c>
      <c r="AJ1484" s="228">
        <v>52</v>
      </c>
      <c r="AK1484" s="228">
        <v>426816</v>
      </c>
      <c r="AL1484" s="228">
        <v>52</v>
      </c>
      <c r="AM1484" s="228">
        <v>0</v>
      </c>
      <c r="AN1484" s="228">
        <v>0</v>
      </c>
      <c r="AO1484" s="229">
        <v>41</v>
      </c>
      <c r="AP1484" s="231">
        <v>10</v>
      </c>
      <c r="AQ1484" s="231">
        <v>2025</v>
      </c>
      <c r="AR1484" s="231" t="str">
        <f t="shared" si="214"/>
        <v>10/2025</v>
      </c>
      <c r="AS1484" s="231">
        <f t="shared" si="215"/>
        <v>46.6</v>
      </c>
      <c r="AT1484" s="239">
        <f>IF(G1484="CERVECERIA Y MALTERIA",(AS1484*AK1484/1000000)*(1-VLOOKUP(N1484,FCST!D:I,6,FALSE)),0)</f>
        <v>15.911700480000002</v>
      </c>
      <c r="AU1484" s="232">
        <v>5.0000000000000001E-3</v>
      </c>
      <c r="AV1484" s="239">
        <f t="shared" si="216"/>
        <v>15.9912589824</v>
      </c>
      <c r="AW1484" s="239">
        <f>(AS1484*AK1484/1000000)*(VLOOKUP(N1484,FCST!D:I,6,FALSE))</f>
        <v>3.9779251200000005</v>
      </c>
      <c r="AX1484" s="239">
        <f t="shared" si="217"/>
        <v>3.9978147455999999</v>
      </c>
      <c r="AY1484" s="239">
        <f>IF($G1484="CERVECERIA Y MALTERIA.",($AS1484*$AK1484/1000000)*(1-VLOOKUP($N1484,FCST!D:I,6,FALSE)),0)</f>
        <v>0</v>
      </c>
      <c r="AZ1484" s="239">
        <f t="shared" si="218"/>
        <v>0</v>
      </c>
    </row>
    <row r="1485" spans="1:52" x14ac:dyDescent="0.25">
      <c r="A1485" s="209">
        <v>1143362</v>
      </c>
      <c r="B1485" s="209">
        <v>80</v>
      </c>
      <c r="C1485" s="209" t="s">
        <v>3258</v>
      </c>
      <c r="D1485" s="209">
        <v>10</v>
      </c>
      <c r="E1485" s="209">
        <v>10000002</v>
      </c>
      <c r="F1485" s="209">
        <v>20000335</v>
      </c>
      <c r="G1485" s="209" t="s">
        <v>105</v>
      </c>
      <c r="H1485" s="209">
        <v>20000335</v>
      </c>
      <c r="I1485" s="209">
        <v>2</v>
      </c>
      <c r="J1485" s="209" t="s">
        <v>169</v>
      </c>
      <c r="K1485" s="209" t="s">
        <v>3259</v>
      </c>
      <c r="L1485" s="209" t="s">
        <v>2610</v>
      </c>
      <c r="M1485" s="209" t="s">
        <v>199</v>
      </c>
      <c r="N1485" s="209">
        <v>50037887</v>
      </c>
      <c r="O1485" s="209" t="s">
        <v>679</v>
      </c>
      <c r="P1485" s="209">
        <v>5121</v>
      </c>
      <c r="Q1485" s="209" t="s">
        <v>200</v>
      </c>
      <c r="R1485" s="209" t="s">
        <v>201</v>
      </c>
      <c r="S1485" s="209" t="s">
        <v>202</v>
      </c>
      <c r="T1485" s="209" t="s">
        <v>203</v>
      </c>
      <c r="U1485" s="209" t="s">
        <v>201</v>
      </c>
      <c r="V1485" s="209" t="s">
        <v>179</v>
      </c>
      <c r="W1485" s="209" t="s">
        <v>179</v>
      </c>
      <c r="X1485" s="209" t="s">
        <v>180</v>
      </c>
      <c r="Y1485" s="209" t="s">
        <v>180</v>
      </c>
      <c r="Z1485" s="209" t="s">
        <v>3090</v>
      </c>
      <c r="AA1485" s="209" t="s">
        <v>3091</v>
      </c>
      <c r="AB1485" s="209" t="s">
        <v>180</v>
      </c>
      <c r="AC1485" s="209" t="s">
        <v>182</v>
      </c>
      <c r="AD1485" s="209">
        <v>10</v>
      </c>
      <c r="AE1485" s="209">
        <v>2025</v>
      </c>
      <c r="AF1485" s="227">
        <v>45932</v>
      </c>
      <c r="AG1485" s="227">
        <v>45938</v>
      </c>
      <c r="AH1485" s="227">
        <v>45938</v>
      </c>
      <c r="AI1485" s="228">
        <v>531648</v>
      </c>
      <c r="AJ1485" s="228">
        <v>52</v>
      </c>
      <c r="AK1485" s="228">
        <v>531648</v>
      </c>
      <c r="AL1485" s="228">
        <v>52</v>
      </c>
      <c r="AM1485" s="228">
        <v>0</v>
      </c>
      <c r="AN1485" s="228">
        <v>0</v>
      </c>
      <c r="AO1485" s="229">
        <v>41</v>
      </c>
      <c r="AP1485" s="231">
        <v>10</v>
      </c>
      <c r="AQ1485" s="231">
        <v>2025</v>
      </c>
      <c r="AR1485" s="231" t="str">
        <f t="shared" si="214"/>
        <v>10/2025</v>
      </c>
      <c r="AS1485" s="231">
        <f t="shared" si="215"/>
        <v>37.200000000000003</v>
      </c>
      <c r="AT1485" s="239">
        <f>IF(G1485="CERVECERIA Y MALTERIA",(AS1485*AK1485/1000000)*(1-VLOOKUP(N1485,FCST!D:I,6,FALSE)),0)</f>
        <v>19.777305600000002</v>
      </c>
      <c r="AU1485" s="232">
        <v>5.0000000000000001E-3</v>
      </c>
      <c r="AV1485" s="239">
        <f t="shared" si="216"/>
        <v>19.876192128</v>
      </c>
      <c r="AW1485" s="239">
        <f>(AS1485*AK1485/1000000)*(VLOOKUP(N1485,FCST!D:I,6,FALSE))</f>
        <v>0</v>
      </c>
      <c r="AX1485" s="239">
        <f t="shared" si="217"/>
        <v>0</v>
      </c>
      <c r="AY1485" s="239">
        <f>IF($G1485="CERVECERIA Y MALTERIA.",($AS1485*$AK1485/1000000)*(1-VLOOKUP($N1485,FCST!D:I,6,FALSE)),0)</f>
        <v>0</v>
      </c>
      <c r="AZ1485" s="239">
        <f t="shared" si="218"/>
        <v>0</v>
      </c>
    </row>
    <row r="1486" spans="1:52" x14ac:dyDescent="0.25">
      <c r="A1486" s="209">
        <v>1143367</v>
      </c>
      <c r="B1486" s="209">
        <v>20</v>
      </c>
      <c r="C1486" s="209" t="s">
        <v>3260</v>
      </c>
      <c r="D1486" s="209">
        <v>10</v>
      </c>
      <c r="E1486" s="209">
        <v>10000002</v>
      </c>
      <c r="F1486" s="209">
        <v>20000340</v>
      </c>
      <c r="G1486" s="209" t="s">
        <v>117</v>
      </c>
      <c r="H1486" s="209">
        <v>20000340</v>
      </c>
      <c r="I1486" s="209">
        <v>2</v>
      </c>
      <c r="J1486" s="209" t="s">
        <v>169</v>
      </c>
      <c r="K1486" s="209" t="s">
        <v>3261</v>
      </c>
      <c r="L1486" s="209" t="s">
        <v>2610</v>
      </c>
      <c r="M1486" s="209" t="s">
        <v>2718</v>
      </c>
      <c r="N1486" s="209">
        <v>50039856</v>
      </c>
      <c r="O1486" s="209" t="s">
        <v>2871</v>
      </c>
      <c r="P1486" s="209">
        <v>5101</v>
      </c>
      <c r="Q1486" s="209" t="s">
        <v>186</v>
      </c>
      <c r="R1486" s="209" t="s">
        <v>175</v>
      </c>
      <c r="S1486" s="209" t="s">
        <v>176</v>
      </c>
      <c r="T1486" s="209" t="s">
        <v>187</v>
      </c>
      <c r="U1486" s="209" t="s">
        <v>188</v>
      </c>
      <c r="V1486" s="209" t="s">
        <v>179</v>
      </c>
      <c r="W1486" s="209" t="s">
        <v>179</v>
      </c>
      <c r="X1486" s="209" t="s">
        <v>180</v>
      </c>
      <c r="Y1486" s="209" t="s">
        <v>180</v>
      </c>
      <c r="Z1486" s="209" t="s">
        <v>3240</v>
      </c>
      <c r="AA1486" s="209" t="s">
        <v>3241</v>
      </c>
      <c r="AB1486" s="209" t="s">
        <v>180</v>
      </c>
      <c r="AC1486" s="209" t="s">
        <v>182</v>
      </c>
      <c r="AD1486" s="209">
        <v>10</v>
      </c>
      <c r="AE1486" s="209">
        <v>2025</v>
      </c>
      <c r="AF1486" s="227">
        <v>45932</v>
      </c>
      <c r="AG1486" s="227">
        <v>45938</v>
      </c>
      <c r="AH1486" s="227">
        <v>45938</v>
      </c>
      <c r="AI1486" s="228">
        <v>399360</v>
      </c>
      <c r="AJ1486" s="228">
        <v>52</v>
      </c>
      <c r="AK1486" s="228">
        <v>399360</v>
      </c>
      <c r="AL1486" s="228">
        <v>52</v>
      </c>
      <c r="AM1486" s="228">
        <v>0</v>
      </c>
      <c r="AN1486" s="228">
        <v>0</v>
      </c>
      <c r="AO1486" s="229">
        <v>41</v>
      </c>
      <c r="AP1486" s="231">
        <v>10</v>
      </c>
      <c r="AQ1486" s="231">
        <v>2025</v>
      </c>
      <c r="AR1486" s="231" t="str">
        <f t="shared" si="214"/>
        <v>10/2025</v>
      </c>
      <c r="AS1486" s="231">
        <f t="shared" si="215"/>
        <v>52</v>
      </c>
      <c r="AT1486" s="239">
        <f>IF(G1486="CERVECERIA Y MALTERIA",(AS1486*AK1486/1000000)*(1-VLOOKUP(N1486,FCST!D:I,6,FALSE)),0)</f>
        <v>0</v>
      </c>
      <c r="AU1486" s="232">
        <v>5.0000000000000001E-3</v>
      </c>
      <c r="AV1486" s="239">
        <f t="shared" si="216"/>
        <v>0</v>
      </c>
      <c r="AW1486" s="239">
        <f>(AS1486*AK1486/1000000)*(VLOOKUP(N1486,FCST!D:I,6,FALSE))</f>
        <v>0</v>
      </c>
      <c r="AX1486" s="239">
        <f t="shared" si="217"/>
        <v>0</v>
      </c>
      <c r="AY1486" s="239">
        <f>IF($G1486="CERVECERIA Y MALTERIA.",($AS1486*$AK1486/1000000)*(1-VLOOKUP($N1486,FCST!D:I,6,FALSE)),0)</f>
        <v>20.766719999999999</v>
      </c>
      <c r="AZ1486" s="239">
        <f t="shared" si="218"/>
        <v>20.870553599999997</v>
      </c>
    </row>
    <row r="1487" spans="1:52" x14ac:dyDescent="0.25">
      <c r="A1487" s="209">
        <v>1143891</v>
      </c>
      <c r="B1487" s="209">
        <v>10</v>
      </c>
      <c r="C1487" s="209" t="s">
        <v>3262</v>
      </c>
      <c r="D1487" s="209">
        <v>10</v>
      </c>
      <c r="E1487" s="209">
        <v>10000002</v>
      </c>
      <c r="F1487" s="209">
        <v>20000339</v>
      </c>
      <c r="G1487" s="209" t="s">
        <v>105</v>
      </c>
      <c r="H1487" s="209">
        <v>20000339</v>
      </c>
      <c r="I1487" s="209">
        <v>2</v>
      </c>
      <c r="J1487" s="209" t="s">
        <v>169</v>
      </c>
      <c r="K1487" s="209" t="s">
        <v>3263</v>
      </c>
      <c r="L1487" s="209" t="s">
        <v>265</v>
      </c>
      <c r="M1487" s="209" t="s">
        <v>227</v>
      </c>
      <c r="N1487" s="209">
        <v>50030542</v>
      </c>
      <c r="O1487" s="209" t="s">
        <v>2453</v>
      </c>
      <c r="P1487" s="209">
        <v>5121</v>
      </c>
      <c r="Q1487" s="209" t="s">
        <v>228</v>
      </c>
      <c r="R1487" s="209" t="s">
        <v>229</v>
      </c>
      <c r="S1487" s="209" t="s">
        <v>230</v>
      </c>
      <c r="T1487" s="209" t="s">
        <v>231</v>
      </c>
      <c r="U1487" s="209" t="s">
        <v>232</v>
      </c>
      <c r="V1487" s="209" t="s">
        <v>179</v>
      </c>
      <c r="W1487" s="209" t="s">
        <v>179</v>
      </c>
      <c r="X1487" s="209" t="s">
        <v>180</v>
      </c>
      <c r="Y1487" s="209" t="s">
        <v>180</v>
      </c>
      <c r="Z1487" s="209" t="s">
        <v>3264</v>
      </c>
      <c r="AA1487" s="209" t="s">
        <v>3265</v>
      </c>
      <c r="AB1487" s="209" t="s">
        <v>180</v>
      </c>
      <c r="AC1487" s="209" t="s">
        <v>182</v>
      </c>
      <c r="AD1487" s="209">
        <v>10</v>
      </c>
      <c r="AE1487" s="209">
        <v>2025</v>
      </c>
      <c r="AF1487" s="227">
        <v>45936</v>
      </c>
      <c r="AG1487" s="227">
        <v>45938</v>
      </c>
      <c r="AH1487" s="227">
        <v>45938</v>
      </c>
      <c r="AI1487" s="228">
        <v>406848</v>
      </c>
      <c r="AJ1487" s="228">
        <v>52</v>
      </c>
      <c r="AK1487" s="228">
        <v>406848</v>
      </c>
      <c r="AL1487" s="228">
        <v>52</v>
      </c>
      <c r="AM1487" s="228">
        <v>0</v>
      </c>
      <c r="AN1487" s="228">
        <v>0</v>
      </c>
      <c r="AO1487" s="229">
        <v>41</v>
      </c>
      <c r="AP1487" s="231">
        <v>10</v>
      </c>
      <c r="AQ1487" s="231">
        <v>2025</v>
      </c>
      <c r="AR1487" s="231" t="str">
        <f t="shared" si="214"/>
        <v>10/2025</v>
      </c>
      <c r="AS1487" s="231">
        <f t="shared" si="215"/>
        <v>44</v>
      </c>
      <c r="AT1487" s="239">
        <f>IF(G1487="CERVECERIA Y MALTERIA",(AS1487*AK1487/1000000)*(1-VLOOKUP(N1487,FCST!D:I,6,FALSE)),0)</f>
        <v>17.901312000000001</v>
      </c>
      <c r="AU1487" s="232">
        <v>5.0000000000000001E-3</v>
      </c>
      <c r="AV1487" s="239">
        <f t="shared" si="216"/>
        <v>17.990818559999997</v>
      </c>
      <c r="AW1487" s="239">
        <f>(AS1487*AK1487/1000000)*(VLOOKUP(N1487,FCST!D:I,6,FALSE))</f>
        <v>0</v>
      </c>
      <c r="AX1487" s="239">
        <f t="shared" si="217"/>
        <v>0</v>
      </c>
      <c r="AY1487" s="239">
        <f>IF($G1487="CERVECERIA Y MALTERIA.",($AS1487*$AK1487/1000000)*(1-VLOOKUP($N1487,FCST!D:I,6,FALSE)),0)</f>
        <v>0</v>
      </c>
      <c r="AZ1487" s="239">
        <f t="shared" si="218"/>
        <v>0</v>
      </c>
    </row>
    <row r="1488" spans="1:52" x14ac:dyDescent="0.25">
      <c r="A1488" s="209">
        <v>1143362</v>
      </c>
      <c r="B1488" s="209">
        <v>100</v>
      </c>
      <c r="C1488" s="209" t="s">
        <v>3266</v>
      </c>
      <c r="D1488" s="209">
        <v>10</v>
      </c>
      <c r="E1488" s="209">
        <v>10000002</v>
      </c>
      <c r="F1488" s="209">
        <v>20000335</v>
      </c>
      <c r="G1488" s="209" t="s">
        <v>105</v>
      </c>
      <c r="H1488" s="209">
        <v>20000335</v>
      </c>
      <c r="I1488" s="209">
        <v>2</v>
      </c>
      <c r="J1488" s="209" t="s">
        <v>169</v>
      </c>
      <c r="K1488" s="209" t="s">
        <v>3267</v>
      </c>
      <c r="L1488" s="209" t="s">
        <v>2610</v>
      </c>
      <c r="M1488" s="209" t="s">
        <v>184</v>
      </c>
      <c r="N1488" s="209">
        <v>50037887</v>
      </c>
      <c r="O1488" s="209" t="s">
        <v>679</v>
      </c>
      <c r="P1488" s="209">
        <v>5121</v>
      </c>
      <c r="Q1488" s="209" t="s">
        <v>174</v>
      </c>
      <c r="R1488" s="209" t="s">
        <v>175</v>
      </c>
      <c r="S1488" s="209" t="s">
        <v>176</v>
      </c>
      <c r="T1488" s="209" t="s">
        <v>177</v>
      </c>
      <c r="U1488" s="209" t="s">
        <v>178</v>
      </c>
      <c r="V1488" s="209" t="s">
        <v>179</v>
      </c>
      <c r="W1488" s="209" t="s">
        <v>179</v>
      </c>
      <c r="X1488" s="209" t="s">
        <v>180</v>
      </c>
      <c r="Y1488" s="209" t="s">
        <v>180</v>
      </c>
      <c r="Z1488" s="209" t="s">
        <v>3090</v>
      </c>
      <c r="AA1488" s="209" t="s">
        <v>3091</v>
      </c>
      <c r="AB1488" s="209" t="s">
        <v>180</v>
      </c>
      <c r="AC1488" s="209" t="s">
        <v>182</v>
      </c>
      <c r="AD1488" s="209">
        <v>10</v>
      </c>
      <c r="AE1488" s="209">
        <v>2025</v>
      </c>
      <c r="AF1488" s="227">
        <v>45932</v>
      </c>
      <c r="AG1488" s="227">
        <v>45938</v>
      </c>
      <c r="AH1488" s="227">
        <v>45938</v>
      </c>
      <c r="AI1488" s="228">
        <v>531648</v>
      </c>
      <c r="AJ1488" s="228">
        <v>52</v>
      </c>
      <c r="AK1488" s="228">
        <v>531648</v>
      </c>
      <c r="AL1488" s="228">
        <v>52</v>
      </c>
      <c r="AM1488" s="228">
        <v>0</v>
      </c>
      <c r="AN1488" s="228">
        <v>0</v>
      </c>
      <c r="AO1488" s="229">
        <v>41</v>
      </c>
      <c r="AP1488" s="231">
        <v>10</v>
      </c>
      <c r="AQ1488" s="231">
        <v>2025</v>
      </c>
      <c r="AR1488" s="231" t="str">
        <f t="shared" ref="AR1488:AR1538" si="219">+IF(AP1488&lt;10,"0"&amp;AP1488&amp; "/"&amp;AQ1488,AP1488&amp; "/"&amp;AQ1488)</f>
        <v>10/2025</v>
      </c>
      <c r="AS1488" s="231">
        <f t="shared" ref="AS1488:AS1538" si="220">VALUE(MID(INDEX(_xlfn.TEXTSPLIT(O1488, ","), 1, 3), 1,FIND("G", INDEX(_xlfn.TEXTSPLIT(O1488, ","), 1, 3))-1))</f>
        <v>37.200000000000003</v>
      </c>
      <c r="AT1488" s="239">
        <f>IF(G1488="CERVECERIA Y MALTERIA",(AS1488*AK1488/1000000)*(1-VLOOKUP(N1488,FCST!D:I,6,FALSE)),0)</f>
        <v>19.777305600000002</v>
      </c>
      <c r="AU1488" s="232">
        <v>5.0000000000000001E-3</v>
      </c>
      <c r="AV1488" s="239">
        <f t="shared" ref="AV1488:AV1538" si="221">+AT1488*(1+AU1488)</f>
        <v>19.876192128</v>
      </c>
      <c r="AW1488" s="239">
        <f>(AS1488*AK1488/1000000)*(VLOOKUP(N1488,FCST!D:I,6,FALSE))</f>
        <v>0</v>
      </c>
      <c r="AX1488" s="239">
        <f t="shared" ref="AX1488:AX1538" si="222">+AW1488*(1+AU1488)</f>
        <v>0</v>
      </c>
      <c r="AY1488" s="239">
        <f>IF($G1488="CERVECERIA Y MALTERIA.",($AS1488*$AK1488/1000000)*(1-VLOOKUP($N1488,FCST!D:I,6,FALSE)),0)</f>
        <v>0</v>
      </c>
      <c r="AZ1488" s="239">
        <f t="shared" ref="AZ1488:AZ1538" si="223">+AY1488*(1+AU1488)</f>
        <v>0</v>
      </c>
    </row>
    <row r="1489" spans="1:52" x14ac:dyDescent="0.25">
      <c r="A1489" s="209">
        <v>1143509</v>
      </c>
      <c r="B1489" s="209">
        <v>20</v>
      </c>
      <c r="C1489" s="209" t="s">
        <v>3268</v>
      </c>
      <c r="D1489" s="209">
        <v>10</v>
      </c>
      <c r="E1489" s="209">
        <v>10000002</v>
      </c>
      <c r="F1489" s="209">
        <v>20001057</v>
      </c>
      <c r="G1489" s="209" t="s">
        <v>105</v>
      </c>
      <c r="H1489" s="209">
        <v>20001057</v>
      </c>
      <c r="I1489" s="209">
        <v>2</v>
      </c>
      <c r="J1489" s="209" t="s">
        <v>169</v>
      </c>
      <c r="K1489" s="209" t="s">
        <v>3269</v>
      </c>
      <c r="L1489" s="209" t="s">
        <v>2610</v>
      </c>
      <c r="M1489" s="209" t="s">
        <v>2718</v>
      </c>
      <c r="N1489" s="209">
        <v>50037887</v>
      </c>
      <c r="O1489" s="209" t="s">
        <v>679</v>
      </c>
      <c r="P1489" s="209">
        <v>5121</v>
      </c>
      <c r="Q1489" s="209" t="s">
        <v>174</v>
      </c>
      <c r="R1489" s="209" t="s">
        <v>175</v>
      </c>
      <c r="S1489" s="209" t="s">
        <v>176</v>
      </c>
      <c r="T1489" s="209" t="s">
        <v>177</v>
      </c>
      <c r="U1489" s="209" t="s">
        <v>178</v>
      </c>
      <c r="V1489" s="209" t="s">
        <v>179</v>
      </c>
      <c r="W1489" s="209" t="s">
        <v>179</v>
      </c>
      <c r="X1489" s="209" t="s">
        <v>180</v>
      </c>
      <c r="Y1489" s="209" t="s">
        <v>180</v>
      </c>
      <c r="Z1489" s="209" t="s">
        <v>3270</v>
      </c>
      <c r="AA1489" s="209" t="s">
        <v>3271</v>
      </c>
      <c r="AB1489" s="209" t="s">
        <v>180</v>
      </c>
      <c r="AC1489" s="209" t="s">
        <v>182</v>
      </c>
      <c r="AD1489" s="209">
        <v>10</v>
      </c>
      <c r="AE1489" s="209">
        <v>2025</v>
      </c>
      <c r="AF1489" s="227">
        <v>45933</v>
      </c>
      <c r="AG1489" s="227">
        <v>45937</v>
      </c>
      <c r="AH1489" s="227">
        <v>45937</v>
      </c>
      <c r="AI1489" s="228">
        <v>102240</v>
      </c>
      <c r="AJ1489" s="228">
        <v>10</v>
      </c>
      <c r="AK1489" s="228">
        <v>102240</v>
      </c>
      <c r="AL1489" s="228">
        <v>10</v>
      </c>
      <c r="AM1489" s="228">
        <v>0</v>
      </c>
      <c r="AN1489" s="228">
        <v>0</v>
      </c>
      <c r="AO1489" s="229">
        <v>41</v>
      </c>
      <c r="AP1489" s="231">
        <v>10</v>
      </c>
      <c r="AQ1489" s="231">
        <v>2025</v>
      </c>
      <c r="AR1489" s="231" t="str">
        <f t="shared" si="219"/>
        <v>10/2025</v>
      </c>
      <c r="AS1489" s="231">
        <f t="shared" si="220"/>
        <v>37.200000000000003</v>
      </c>
      <c r="AT1489" s="239">
        <f>IF(G1489="CERVECERIA Y MALTERIA",(AS1489*AK1489/1000000)*(1-VLOOKUP(N1489,FCST!D:I,6,FALSE)),0)</f>
        <v>3.8033280000000005</v>
      </c>
      <c r="AU1489" s="232">
        <v>5.0000000000000001E-3</v>
      </c>
      <c r="AV1489" s="239">
        <f t="shared" si="221"/>
        <v>3.8223446400000003</v>
      </c>
      <c r="AW1489" s="239">
        <f>(AS1489*AK1489/1000000)*(VLOOKUP(N1489,FCST!D:I,6,FALSE))</f>
        <v>0</v>
      </c>
      <c r="AX1489" s="239">
        <f t="shared" si="222"/>
        <v>0</v>
      </c>
      <c r="AY1489" s="239">
        <f>IF($G1489="CERVECERIA Y MALTERIA.",($AS1489*$AK1489/1000000)*(1-VLOOKUP($N1489,FCST!D:I,6,FALSE)),0)</f>
        <v>0</v>
      </c>
      <c r="AZ1489" s="239">
        <f t="shared" si="223"/>
        <v>0</v>
      </c>
    </row>
    <row r="1490" spans="1:52" x14ac:dyDescent="0.25">
      <c r="A1490" s="209">
        <v>1143509</v>
      </c>
      <c r="B1490" s="209">
        <v>30</v>
      </c>
      <c r="C1490" s="209" t="s">
        <v>3268</v>
      </c>
      <c r="D1490" s="209">
        <v>20</v>
      </c>
      <c r="E1490" s="209">
        <v>10000002</v>
      </c>
      <c r="F1490" s="209">
        <v>20001057</v>
      </c>
      <c r="G1490" s="209" t="s">
        <v>105</v>
      </c>
      <c r="H1490" s="209">
        <v>20001057</v>
      </c>
      <c r="I1490" s="209">
        <v>2</v>
      </c>
      <c r="J1490" s="209" t="s">
        <v>169</v>
      </c>
      <c r="K1490" s="209" t="s">
        <v>3269</v>
      </c>
      <c r="L1490" s="209" t="s">
        <v>2610</v>
      </c>
      <c r="M1490" s="209" t="s">
        <v>2718</v>
      </c>
      <c r="N1490" s="209">
        <v>50035184</v>
      </c>
      <c r="O1490" s="209" t="s">
        <v>672</v>
      </c>
      <c r="P1490" s="209">
        <v>5121</v>
      </c>
      <c r="Q1490" s="209" t="s">
        <v>174</v>
      </c>
      <c r="R1490" s="209" t="s">
        <v>175</v>
      </c>
      <c r="S1490" s="209" t="s">
        <v>176</v>
      </c>
      <c r="T1490" s="209" t="s">
        <v>177</v>
      </c>
      <c r="U1490" s="209" t="s">
        <v>178</v>
      </c>
      <c r="V1490" s="209" t="s">
        <v>179</v>
      </c>
      <c r="W1490" s="209" t="s">
        <v>179</v>
      </c>
      <c r="X1490" s="209" t="s">
        <v>180</v>
      </c>
      <c r="Y1490" s="209" t="s">
        <v>180</v>
      </c>
      <c r="Z1490" s="209" t="s">
        <v>3270</v>
      </c>
      <c r="AA1490" s="209" t="s">
        <v>3271</v>
      </c>
      <c r="AB1490" s="209" t="s">
        <v>180</v>
      </c>
      <c r="AC1490" s="209" t="s">
        <v>182</v>
      </c>
      <c r="AD1490" s="209">
        <v>10</v>
      </c>
      <c r="AE1490" s="209">
        <v>2025</v>
      </c>
      <c r="AF1490" s="227">
        <v>45933</v>
      </c>
      <c r="AG1490" s="227">
        <v>45937</v>
      </c>
      <c r="AH1490" s="227">
        <v>45937</v>
      </c>
      <c r="AI1490" s="228">
        <v>789264</v>
      </c>
      <c r="AJ1490" s="228">
        <v>42</v>
      </c>
      <c r="AK1490" s="228">
        <v>789264</v>
      </c>
      <c r="AL1490" s="228">
        <v>42</v>
      </c>
      <c r="AM1490" s="228">
        <v>0</v>
      </c>
      <c r="AN1490" s="228">
        <v>0</v>
      </c>
      <c r="AO1490" s="229">
        <v>41</v>
      </c>
      <c r="AP1490" s="231">
        <v>10</v>
      </c>
      <c r="AQ1490" s="231">
        <v>2025</v>
      </c>
      <c r="AR1490" s="231" t="str">
        <f t="shared" si="219"/>
        <v>10/2025</v>
      </c>
      <c r="AS1490" s="231">
        <f t="shared" si="220"/>
        <v>19.5</v>
      </c>
      <c r="AT1490" s="239">
        <f>IF(G1490="CERVECERIA Y MALTERIA",(AS1490*AK1490/1000000)*(1-VLOOKUP(N1490,FCST!D:I,6,FALSE)),0)</f>
        <v>15.390648000000001</v>
      </c>
      <c r="AU1490" s="232">
        <v>5.0000000000000001E-3</v>
      </c>
      <c r="AV1490" s="239">
        <f t="shared" si="221"/>
        <v>15.467601239999999</v>
      </c>
      <c r="AW1490" s="239">
        <f>(AS1490*AK1490/1000000)*(VLOOKUP(N1490,FCST!D:I,6,FALSE))</f>
        <v>0</v>
      </c>
      <c r="AX1490" s="239">
        <f t="shared" si="222"/>
        <v>0</v>
      </c>
      <c r="AY1490" s="239">
        <f>IF($G1490="CERVECERIA Y MALTERIA.",($AS1490*$AK1490/1000000)*(1-VLOOKUP($N1490,FCST!D:I,6,FALSE)),0)</f>
        <v>0</v>
      </c>
      <c r="AZ1490" s="239">
        <f t="shared" si="223"/>
        <v>0</v>
      </c>
    </row>
    <row r="1491" spans="1:52" x14ac:dyDescent="0.25">
      <c r="A1491" s="209">
        <v>1143362</v>
      </c>
      <c r="B1491" s="209">
        <v>20</v>
      </c>
      <c r="C1491" s="209" t="s">
        <v>3272</v>
      </c>
      <c r="D1491" s="209">
        <v>10</v>
      </c>
      <c r="E1491" s="209">
        <v>10000002</v>
      </c>
      <c r="F1491" s="209">
        <v>20000335</v>
      </c>
      <c r="G1491" s="209" t="s">
        <v>105</v>
      </c>
      <c r="H1491" s="209">
        <v>20000335</v>
      </c>
      <c r="I1491" s="209">
        <v>2</v>
      </c>
      <c r="J1491" s="209" t="s">
        <v>169</v>
      </c>
      <c r="K1491" s="209" t="s">
        <v>3273</v>
      </c>
      <c r="L1491" s="209" t="s">
        <v>2610</v>
      </c>
      <c r="M1491" s="209" t="s">
        <v>2718</v>
      </c>
      <c r="N1491" s="209">
        <v>50039815</v>
      </c>
      <c r="O1491" s="209" t="s">
        <v>2454</v>
      </c>
      <c r="P1491" s="209">
        <v>5121</v>
      </c>
      <c r="Q1491" s="209" t="s">
        <v>174</v>
      </c>
      <c r="R1491" s="209" t="s">
        <v>175</v>
      </c>
      <c r="S1491" s="209" t="s">
        <v>176</v>
      </c>
      <c r="T1491" s="209" t="s">
        <v>177</v>
      </c>
      <c r="U1491" s="209" t="s">
        <v>178</v>
      </c>
      <c r="V1491" s="209" t="s">
        <v>179</v>
      </c>
      <c r="W1491" s="209" t="s">
        <v>179</v>
      </c>
      <c r="X1491" s="209" t="s">
        <v>180</v>
      </c>
      <c r="Y1491" s="209" t="s">
        <v>180</v>
      </c>
      <c r="Z1491" s="209" t="s">
        <v>3082</v>
      </c>
      <c r="AA1491" s="209" t="s">
        <v>3083</v>
      </c>
      <c r="AB1491" s="209" t="s">
        <v>180</v>
      </c>
      <c r="AC1491" s="209" t="s">
        <v>182</v>
      </c>
      <c r="AD1491" s="209">
        <v>10</v>
      </c>
      <c r="AE1491" s="209">
        <v>2025</v>
      </c>
      <c r="AF1491" s="227">
        <v>45932</v>
      </c>
      <c r="AG1491" s="227">
        <v>45937</v>
      </c>
      <c r="AH1491" s="227">
        <v>45937</v>
      </c>
      <c r="AI1491" s="228">
        <v>426816</v>
      </c>
      <c r="AJ1491" s="228">
        <v>52</v>
      </c>
      <c r="AK1491" s="228">
        <v>426816</v>
      </c>
      <c r="AL1491" s="228">
        <v>52</v>
      </c>
      <c r="AM1491" s="228">
        <v>0</v>
      </c>
      <c r="AN1491" s="228">
        <v>0</v>
      </c>
      <c r="AO1491" s="229">
        <v>41</v>
      </c>
      <c r="AP1491" s="231">
        <v>10</v>
      </c>
      <c r="AQ1491" s="231">
        <v>2025</v>
      </c>
      <c r="AR1491" s="231" t="str">
        <f t="shared" si="219"/>
        <v>10/2025</v>
      </c>
      <c r="AS1491" s="231">
        <f t="shared" si="220"/>
        <v>46.6</v>
      </c>
      <c r="AT1491" s="239">
        <f>IF(G1491="CERVECERIA Y MALTERIA",(AS1491*AK1491/1000000)*(1-VLOOKUP(N1491,FCST!D:I,6,FALSE)),0)</f>
        <v>15.911700480000002</v>
      </c>
      <c r="AU1491" s="232">
        <v>5.0000000000000001E-3</v>
      </c>
      <c r="AV1491" s="239">
        <f t="shared" si="221"/>
        <v>15.9912589824</v>
      </c>
      <c r="AW1491" s="239">
        <f>(AS1491*AK1491/1000000)*(VLOOKUP(N1491,FCST!D:I,6,FALSE))</f>
        <v>3.9779251200000005</v>
      </c>
      <c r="AX1491" s="239">
        <f t="shared" si="222"/>
        <v>3.9978147455999999</v>
      </c>
      <c r="AY1491" s="239">
        <f>IF($G1491="CERVECERIA Y MALTERIA.",($AS1491*$AK1491/1000000)*(1-VLOOKUP($N1491,FCST!D:I,6,FALSE)),0)</f>
        <v>0</v>
      </c>
      <c r="AZ1491" s="239">
        <f t="shared" si="223"/>
        <v>0</v>
      </c>
    </row>
    <row r="1492" spans="1:52" x14ac:dyDescent="0.25">
      <c r="A1492" s="209">
        <v>1143739</v>
      </c>
      <c r="B1492" s="209">
        <v>10</v>
      </c>
      <c r="C1492" s="209" t="s">
        <v>3274</v>
      </c>
      <c r="D1492" s="209">
        <v>10</v>
      </c>
      <c r="E1492" s="209">
        <v>10000002</v>
      </c>
      <c r="F1492" s="209">
        <v>20000337</v>
      </c>
      <c r="G1492" s="209" t="s">
        <v>105</v>
      </c>
      <c r="H1492" s="209">
        <v>20000337</v>
      </c>
      <c r="I1492" s="209">
        <v>2</v>
      </c>
      <c r="J1492" s="209" t="s">
        <v>169</v>
      </c>
      <c r="K1492" s="209" t="s">
        <v>3275</v>
      </c>
      <c r="L1492" s="209" t="s">
        <v>265</v>
      </c>
      <c r="M1492" s="209" t="s">
        <v>199</v>
      </c>
      <c r="N1492" s="209">
        <v>50024497</v>
      </c>
      <c r="O1492" s="209" t="s">
        <v>1352</v>
      </c>
      <c r="P1492" s="209">
        <v>5121</v>
      </c>
      <c r="Q1492" s="209" t="s">
        <v>200</v>
      </c>
      <c r="R1492" s="209" t="s">
        <v>201</v>
      </c>
      <c r="S1492" s="209" t="s">
        <v>202</v>
      </c>
      <c r="T1492" s="209" t="s">
        <v>203</v>
      </c>
      <c r="U1492" s="209" t="s">
        <v>201</v>
      </c>
      <c r="V1492" s="209" t="s">
        <v>179</v>
      </c>
      <c r="W1492" s="209" t="s">
        <v>179</v>
      </c>
      <c r="X1492" s="209" t="s">
        <v>180</v>
      </c>
      <c r="Y1492" s="209" t="s">
        <v>180</v>
      </c>
      <c r="Z1492" s="209" t="s">
        <v>3276</v>
      </c>
      <c r="AA1492" s="209" t="s">
        <v>3277</v>
      </c>
      <c r="AB1492" s="209" t="s">
        <v>180</v>
      </c>
      <c r="AC1492" s="209" t="s">
        <v>182</v>
      </c>
      <c r="AD1492" s="209">
        <v>10</v>
      </c>
      <c r="AE1492" s="209">
        <v>2025</v>
      </c>
      <c r="AF1492" s="227">
        <v>45936</v>
      </c>
      <c r="AG1492" s="227">
        <v>45937</v>
      </c>
      <c r="AH1492" s="227">
        <v>45937</v>
      </c>
      <c r="AI1492" s="228">
        <v>351936</v>
      </c>
      <c r="AJ1492" s="228">
        <v>52</v>
      </c>
      <c r="AK1492" s="228">
        <v>351936</v>
      </c>
      <c r="AL1492" s="228">
        <v>52</v>
      </c>
      <c r="AM1492" s="228">
        <v>0</v>
      </c>
      <c r="AN1492" s="228">
        <v>0</v>
      </c>
      <c r="AO1492" s="229">
        <v>41</v>
      </c>
      <c r="AP1492" s="231">
        <v>10</v>
      </c>
      <c r="AQ1492" s="231">
        <v>2025</v>
      </c>
      <c r="AR1492" s="231" t="str">
        <f t="shared" si="219"/>
        <v>10/2025</v>
      </c>
      <c r="AS1492" s="231">
        <f t="shared" si="220"/>
        <v>54.7</v>
      </c>
      <c r="AT1492" s="239">
        <f>IF(G1492="CERVECERIA Y MALTERIA",(AS1492*AK1492/1000000)*(1-VLOOKUP(N1492,FCST!D:I,6,FALSE)),0)</f>
        <v>19.250899199999999</v>
      </c>
      <c r="AU1492" s="232">
        <v>5.0000000000000001E-3</v>
      </c>
      <c r="AV1492" s="239">
        <f t="shared" si="221"/>
        <v>19.347153695999996</v>
      </c>
      <c r="AW1492" s="239">
        <f>(AS1492*AK1492/1000000)*(VLOOKUP(N1492,FCST!D:I,6,FALSE))</f>
        <v>0</v>
      </c>
      <c r="AX1492" s="239">
        <f t="shared" si="222"/>
        <v>0</v>
      </c>
      <c r="AY1492" s="239">
        <f>IF($G1492="CERVECERIA Y MALTERIA.",($AS1492*$AK1492/1000000)*(1-VLOOKUP($N1492,FCST!D:I,6,FALSE)),0)</f>
        <v>0</v>
      </c>
      <c r="AZ1492" s="239">
        <f t="shared" si="223"/>
        <v>0</v>
      </c>
    </row>
    <row r="1493" spans="1:52" x14ac:dyDescent="0.25">
      <c r="A1493" s="209">
        <v>1142886</v>
      </c>
      <c r="B1493" s="209">
        <v>20</v>
      </c>
      <c r="C1493" s="209" t="s">
        <v>3278</v>
      </c>
      <c r="D1493" s="209">
        <v>10</v>
      </c>
      <c r="E1493" s="209">
        <v>10000002</v>
      </c>
      <c r="F1493" s="209">
        <v>20000340</v>
      </c>
      <c r="G1493" s="209" t="s">
        <v>117</v>
      </c>
      <c r="H1493" s="209">
        <v>20000340</v>
      </c>
      <c r="I1493" s="209">
        <v>2</v>
      </c>
      <c r="J1493" s="209" t="s">
        <v>169</v>
      </c>
      <c r="K1493" s="209" t="s">
        <v>3279</v>
      </c>
      <c r="L1493" s="209" t="s">
        <v>2610</v>
      </c>
      <c r="M1493" s="209" t="s">
        <v>184</v>
      </c>
      <c r="N1493" s="209">
        <v>50029843</v>
      </c>
      <c r="O1493" s="209" t="s">
        <v>460</v>
      </c>
      <c r="P1493" s="209">
        <v>5121</v>
      </c>
      <c r="Q1493" s="209" t="s">
        <v>174</v>
      </c>
      <c r="R1493" s="209" t="s">
        <v>175</v>
      </c>
      <c r="S1493" s="209" t="s">
        <v>176</v>
      </c>
      <c r="T1493" s="209" t="s">
        <v>177</v>
      </c>
      <c r="U1493" s="209" t="s">
        <v>178</v>
      </c>
      <c r="V1493" s="209" t="s">
        <v>179</v>
      </c>
      <c r="W1493" s="209" t="s">
        <v>179</v>
      </c>
      <c r="X1493" s="209" t="s">
        <v>180</v>
      </c>
      <c r="Y1493" s="209" t="s">
        <v>180</v>
      </c>
      <c r="Z1493" s="209" t="s">
        <v>3280</v>
      </c>
      <c r="AA1493" s="209" t="s">
        <v>3281</v>
      </c>
      <c r="AB1493" s="209" t="s">
        <v>180</v>
      </c>
      <c r="AC1493" s="209" t="s">
        <v>182</v>
      </c>
      <c r="AD1493" s="209">
        <v>10</v>
      </c>
      <c r="AE1493" s="209">
        <v>2025</v>
      </c>
      <c r="AF1493" s="227">
        <v>45930</v>
      </c>
      <c r="AG1493" s="227">
        <v>45932</v>
      </c>
      <c r="AH1493" s="227">
        <v>45932</v>
      </c>
      <c r="AI1493" s="228">
        <v>419328</v>
      </c>
      <c r="AJ1493" s="228">
        <v>52</v>
      </c>
      <c r="AK1493" s="228">
        <v>419328</v>
      </c>
      <c r="AL1493" s="228">
        <v>52</v>
      </c>
      <c r="AM1493" s="228">
        <v>0</v>
      </c>
      <c r="AN1493" s="228">
        <v>0</v>
      </c>
      <c r="AO1493" s="229">
        <v>40</v>
      </c>
      <c r="AP1493" s="231">
        <v>10</v>
      </c>
      <c r="AQ1493" s="231">
        <v>2025</v>
      </c>
      <c r="AR1493" s="231" t="str">
        <f t="shared" si="219"/>
        <v>10/2025</v>
      </c>
      <c r="AS1493" s="231">
        <f t="shared" si="220"/>
        <v>44.8</v>
      </c>
      <c r="AT1493" s="239">
        <f>IF(G1493="CERVECERIA Y MALTERIA",(AS1493*AK1493/1000000)*(1-VLOOKUP(N1493,FCST!D:I,6,FALSE)),0)</f>
        <v>0</v>
      </c>
      <c r="AU1493" s="232">
        <v>5.0000000000000001E-3</v>
      </c>
      <c r="AV1493" s="239">
        <f t="shared" si="221"/>
        <v>0</v>
      </c>
      <c r="AW1493" s="239">
        <f>(AS1493*AK1493/1000000)*(VLOOKUP(N1493,FCST!D:I,6,FALSE))</f>
        <v>0</v>
      </c>
      <c r="AX1493" s="239">
        <f t="shared" si="222"/>
        <v>0</v>
      </c>
      <c r="AY1493" s="239">
        <f>IF($G1493="CERVECERIA Y MALTERIA.",($AS1493*$AK1493/1000000)*(1-VLOOKUP($N1493,FCST!D:I,6,FALSE)),0)</f>
        <v>18.7858944</v>
      </c>
      <c r="AZ1493" s="239">
        <f t="shared" si="223"/>
        <v>18.879823871999999</v>
      </c>
    </row>
    <row r="1494" spans="1:52" x14ac:dyDescent="0.25">
      <c r="A1494" s="209">
        <v>1142946</v>
      </c>
      <c r="B1494" s="209">
        <v>10</v>
      </c>
      <c r="C1494" s="209" t="s">
        <v>3282</v>
      </c>
      <c r="D1494" s="209">
        <v>10</v>
      </c>
      <c r="E1494" s="209">
        <v>10000002</v>
      </c>
      <c r="F1494" s="209">
        <v>20000336</v>
      </c>
      <c r="G1494" s="209" t="s">
        <v>105</v>
      </c>
      <c r="H1494" s="209">
        <v>20000336</v>
      </c>
      <c r="I1494" s="209">
        <v>2</v>
      </c>
      <c r="J1494" s="209" t="s">
        <v>169</v>
      </c>
      <c r="K1494" s="209" t="s">
        <v>3283</v>
      </c>
      <c r="L1494" s="209" t="s">
        <v>2610</v>
      </c>
      <c r="M1494" s="209" t="s">
        <v>184</v>
      </c>
      <c r="N1494" s="209">
        <v>50021818</v>
      </c>
      <c r="O1494" s="209" t="s">
        <v>2170</v>
      </c>
      <c r="P1494" s="209">
        <v>5121</v>
      </c>
      <c r="Q1494" s="209" t="s">
        <v>174</v>
      </c>
      <c r="R1494" s="209" t="s">
        <v>175</v>
      </c>
      <c r="S1494" s="209" t="s">
        <v>176</v>
      </c>
      <c r="T1494" s="209" t="s">
        <v>177</v>
      </c>
      <c r="U1494" s="209" t="s">
        <v>178</v>
      </c>
      <c r="V1494" s="209" t="s">
        <v>179</v>
      </c>
      <c r="W1494" s="209" t="s">
        <v>179</v>
      </c>
      <c r="X1494" s="209" t="s">
        <v>180</v>
      </c>
      <c r="Y1494" s="209" t="s">
        <v>180</v>
      </c>
      <c r="Z1494" s="209" t="s">
        <v>3284</v>
      </c>
      <c r="AA1494" s="209" t="s">
        <v>3285</v>
      </c>
      <c r="AB1494" s="209" t="s">
        <v>180</v>
      </c>
      <c r="AC1494" s="209" t="s">
        <v>182</v>
      </c>
      <c r="AD1494" s="209">
        <v>10</v>
      </c>
      <c r="AE1494" s="209">
        <v>2025</v>
      </c>
      <c r="AF1494" s="227">
        <v>45930</v>
      </c>
      <c r="AG1494" s="227">
        <v>45931</v>
      </c>
      <c r="AH1494" s="227">
        <v>45932</v>
      </c>
      <c r="AI1494" s="228">
        <v>393984</v>
      </c>
      <c r="AJ1494" s="228">
        <v>48</v>
      </c>
      <c r="AK1494" s="228">
        <v>393984</v>
      </c>
      <c r="AL1494" s="228">
        <v>48</v>
      </c>
      <c r="AM1494" s="228">
        <v>0</v>
      </c>
      <c r="AN1494" s="228">
        <v>0</v>
      </c>
      <c r="AO1494" s="229">
        <v>40</v>
      </c>
      <c r="AP1494" s="231">
        <v>10</v>
      </c>
      <c r="AQ1494" s="231">
        <v>2025</v>
      </c>
      <c r="AR1494" s="231" t="str">
        <f t="shared" si="219"/>
        <v>10/2025</v>
      </c>
      <c r="AS1494" s="231">
        <f t="shared" si="220"/>
        <v>46.6</v>
      </c>
      <c r="AT1494" s="239">
        <f>IF(G1494="CERVECERIA Y MALTERIA",(AS1494*AK1494/1000000)*(1-VLOOKUP(N1494,FCST!D:I,6,FALSE)),0)</f>
        <v>18.359654400000004</v>
      </c>
      <c r="AU1494" s="232">
        <v>5.0000000000000001E-3</v>
      </c>
      <c r="AV1494" s="239">
        <f t="shared" si="221"/>
        <v>18.451452672000002</v>
      </c>
      <c r="AW1494" s="239">
        <f>(AS1494*AK1494/1000000)*(VLOOKUP(N1494,FCST!D:I,6,FALSE))</f>
        <v>0</v>
      </c>
      <c r="AX1494" s="239">
        <f t="shared" si="222"/>
        <v>0</v>
      </c>
      <c r="AY1494" s="239">
        <f>IF($G1494="CERVECERIA Y MALTERIA.",($AS1494*$AK1494/1000000)*(1-VLOOKUP($N1494,FCST!D:I,6,FALSE)),0)</f>
        <v>0</v>
      </c>
      <c r="AZ1494" s="239">
        <f t="shared" si="223"/>
        <v>0</v>
      </c>
    </row>
    <row r="1495" spans="1:52" x14ac:dyDescent="0.25">
      <c r="A1495" s="209">
        <v>1142946</v>
      </c>
      <c r="B1495" s="209">
        <v>20</v>
      </c>
      <c r="C1495" s="209" t="s">
        <v>3282</v>
      </c>
      <c r="D1495" s="209">
        <v>20</v>
      </c>
      <c r="E1495" s="209">
        <v>10000002</v>
      </c>
      <c r="F1495" s="209">
        <v>20000336</v>
      </c>
      <c r="G1495" s="209" t="s">
        <v>105</v>
      </c>
      <c r="H1495" s="209">
        <v>20000336</v>
      </c>
      <c r="I1495" s="209">
        <v>2</v>
      </c>
      <c r="J1495" s="209" t="s">
        <v>169</v>
      </c>
      <c r="K1495" s="209" t="s">
        <v>3283</v>
      </c>
      <c r="L1495" s="209" t="s">
        <v>2610</v>
      </c>
      <c r="M1495" s="209" t="s">
        <v>184</v>
      </c>
      <c r="N1495" s="209">
        <v>50039815</v>
      </c>
      <c r="O1495" s="209" t="s">
        <v>2454</v>
      </c>
      <c r="P1495" s="209">
        <v>5121</v>
      </c>
      <c r="Q1495" s="209" t="s">
        <v>174</v>
      </c>
      <c r="R1495" s="209" t="s">
        <v>175</v>
      </c>
      <c r="S1495" s="209" t="s">
        <v>176</v>
      </c>
      <c r="T1495" s="209" t="s">
        <v>177</v>
      </c>
      <c r="U1495" s="209" t="s">
        <v>178</v>
      </c>
      <c r="V1495" s="209" t="s">
        <v>179</v>
      </c>
      <c r="W1495" s="209" t="s">
        <v>179</v>
      </c>
      <c r="X1495" s="209" t="s">
        <v>180</v>
      </c>
      <c r="Y1495" s="209" t="s">
        <v>180</v>
      </c>
      <c r="Z1495" s="209" t="s">
        <v>3284</v>
      </c>
      <c r="AA1495" s="209" t="s">
        <v>3285</v>
      </c>
      <c r="AB1495" s="209" t="s">
        <v>180</v>
      </c>
      <c r="AC1495" s="209" t="s">
        <v>182</v>
      </c>
      <c r="AD1495" s="209">
        <v>10</v>
      </c>
      <c r="AE1495" s="209">
        <v>2025</v>
      </c>
      <c r="AF1495" s="227">
        <v>45930</v>
      </c>
      <c r="AG1495" s="227">
        <v>45931</v>
      </c>
      <c r="AH1495" s="227">
        <v>45932</v>
      </c>
      <c r="AI1495" s="228">
        <v>16416</v>
      </c>
      <c r="AJ1495" s="228">
        <v>2</v>
      </c>
      <c r="AK1495" s="228">
        <v>16416</v>
      </c>
      <c r="AL1495" s="228">
        <v>2</v>
      </c>
      <c r="AM1495" s="228">
        <v>0</v>
      </c>
      <c r="AN1495" s="228">
        <v>0</v>
      </c>
      <c r="AO1495" s="229">
        <v>40</v>
      </c>
      <c r="AP1495" s="231">
        <v>10</v>
      </c>
      <c r="AQ1495" s="231">
        <v>2025</v>
      </c>
      <c r="AR1495" s="231" t="str">
        <f t="shared" si="219"/>
        <v>10/2025</v>
      </c>
      <c r="AS1495" s="231">
        <f t="shared" si="220"/>
        <v>46.6</v>
      </c>
      <c r="AT1495" s="239">
        <f>IF(G1495="CERVECERIA Y MALTERIA",(AS1495*AK1495/1000000)*(1-VLOOKUP(N1495,FCST!D:I,6,FALSE)),0)</f>
        <v>0.61198847999999995</v>
      </c>
      <c r="AU1495" s="232">
        <v>5.0000000000000001E-3</v>
      </c>
      <c r="AV1495" s="239">
        <f t="shared" si="221"/>
        <v>0.61504842239999991</v>
      </c>
      <c r="AW1495" s="239">
        <f>(AS1495*AK1495/1000000)*(VLOOKUP(N1495,FCST!D:I,6,FALSE))</f>
        <v>0.15299711999999999</v>
      </c>
      <c r="AX1495" s="239">
        <f t="shared" si="222"/>
        <v>0.15376210559999998</v>
      </c>
      <c r="AY1495" s="239">
        <f>IF($G1495="CERVECERIA Y MALTERIA.",($AS1495*$AK1495/1000000)*(1-VLOOKUP($N1495,FCST!D:I,6,FALSE)),0)</f>
        <v>0</v>
      </c>
      <c r="AZ1495" s="239">
        <f t="shared" si="223"/>
        <v>0</v>
      </c>
    </row>
    <row r="1496" spans="1:52" x14ac:dyDescent="0.25">
      <c r="A1496" s="209">
        <v>1142946</v>
      </c>
      <c r="B1496" s="209">
        <v>30</v>
      </c>
      <c r="C1496" s="209" t="s">
        <v>3282</v>
      </c>
      <c r="D1496" s="209">
        <v>30</v>
      </c>
      <c r="E1496" s="209">
        <v>10000002</v>
      </c>
      <c r="F1496" s="209">
        <v>20000336</v>
      </c>
      <c r="G1496" s="209" t="s">
        <v>105</v>
      </c>
      <c r="H1496" s="209">
        <v>20000336</v>
      </c>
      <c r="I1496" s="209">
        <v>2</v>
      </c>
      <c r="J1496" s="209" t="s">
        <v>169</v>
      </c>
      <c r="K1496" s="209" t="s">
        <v>3283</v>
      </c>
      <c r="L1496" s="209" t="s">
        <v>2610</v>
      </c>
      <c r="M1496" s="209" t="s">
        <v>184</v>
      </c>
      <c r="N1496" s="209">
        <v>50036915</v>
      </c>
      <c r="O1496" s="209" t="s">
        <v>541</v>
      </c>
      <c r="P1496" s="209">
        <v>5121</v>
      </c>
      <c r="Q1496" s="209" t="s">
        <v>174</v>
      </c>
      <c r="R1496" s="209" t="s">
        <v>175</v>
      </c>
      <c r="S1496" s="209" t="s">
        <v>176</v>
      </c>
      <c r="T1496" s="209" t="s">
        <v>177</v>
      </c>
      <c r="U1496" s="209" t="s">
        <v>178</v>
      </c>
      <c r="V1496" s="209" t="s">
        <v>179</v>
      </c>
      <c r="W1496" s="209" t="s">
        <v>179</v>
      </c>
      <c r="X1496" s="209" t="s">
        <v>180</v>
      </c>
      <c r="Y1496" s="209" t="s">
        <v>180</v>
      </c>
      <c r="Z1496" s="209" t="s">
        <v>3284</v>
      </c>
      <c r="AA1496" s="209" t="s">
        <v>3285</v>
      </c>
      <c r="AB1496" s="209" t="s">
        <v>180</v>
      </c>
      <c r="AC1496" s="209" t="s">
        <v>182</v>
      </c>
      <c r="AD1496" s="209">
        <v>10</v>
      </c>
      <c r="AE1496" s="209">
        <v>2025</v>
      </c>
      <c r="AF1496" s="227">
        <v>45930</v>
      </c>
      <c r="AG1496" s="227">
        <v>45931</v>
      </c>
      <c r="AH1496" s="227">
        <v>45932</v>
      </c>
      <c r="AI1496" s="228">
        <v>16416</v>
      </c>
      <c r="AJ1496" s="228">
        <v>2</v>
      </c>
      <c r="AK1496" s="228">
        <v>16416</v>
      </c>
      <c r="AL1496" s="228">
        <v>2</v>
      </c>
      <c r="AM1496" s="228">
        <v>0</v>
      </c>
      <c r="AN1496" s="228">
        <v>0</v>
      </c>
      <c r="AO1496" s="229">
        <v>40</v>
      </c>
      <c r="AP1496" s="231">
        <v>10</v>
      </c>
      <c r="AQ1496" s="231">
        <v>2025</v>
      </c>
      <c r="AR1496" s="231" t="str">
        <f t="shared" si="219"/>
        <v>10/2025</v>
      </c>
      <c r="AS1496" s="231">
        <f t="shared" si="220"/>
        <v>46.6</v>
      </c>
      <c r="AT1496" s="239">
        <f>IF(G1496="CERVECERIA Y MALTERIA",(AS1496*AK1496/1000000)*(1-VLOOKUP(N1496,FCST!D:I,6,FALSE)),0)</f>
        <v>0.61198847999999995</v>
      </c>
      <c r="AU1496" s="232">
        <v>5.0000000000000001E-3</v>
      </c>
      <c r="AV1496" s="239">
        <f t="shared" si="221"/>
        <v>0.61504842239999991</v>
      </c>
      <c r="AW1496" s="239">
        <f>(AS1496*AK1496/1000000)*(VLOOKUP(N1496,FCST!D:I,6,FALSE))</f>
        <v>0.15299711999999999</v>
      </c>
      <c r="AX1496" s="239">
        <f t="shared" si="222"/>
        <v>0.15376210559999998</v>
      </c>
      <c r="AY1496" s="239">
        <f>IF($G1496="CERVECERIA Y MALTERIA.",($AS1496*$AK1496/1000000)*(1-VLOOKUP($N1496,FCST!D:I,6,FALSE)),0)</f>
        <v>0</v>
      </c>
      <c r="AZ1496" s="239">
        <f t="shared" si="223"/>
        <v>0</v>
      </c>
    </row>
    <row r="1497" spans="1:52" x14ac:dyDescent="0.25">
      <c r="A1497" s="209">
        <v>1142858</v>
      </c>
      <c r="B1497" s="209">
        <v>20</v>
      </c>
      <c r="C1497" s="209" t="s">
        <v>3286</v>
      </c>
      <c r="D1497" s="209">
        <v>10</v>
      </c>
      <c r="E1497" s="209">
        <v>10000002</v>
      </c>
      <c r="F1497" s="209">
        <v>20000335</v>
      </c>
      <c r="G1497" s="209" t="s">
        <v>105</v>
      </c>
      <c r="H1497" s="209">
        <v>20000335</v>
      </c>
      <c r="I1497" s="209">
        <v>2</v>
      </c>
      <c r="J1497" s="209" t="s">
        <v>169</v>
      </c>
      <c r="K1497" s="209" t="s">
        <v>3287</v>
      </c>
      <c r="L1497" s="209" t="s">
        <v>2610</v>
      </c>
      <c r="M1497" s="209" t="s">
        <v>184</v>
      </c>
      <c r="N1497" s="209">
        <v>50035183</v>
      </c>
      <c r="O1497" s="209" t="s">
        <v>215</v>
      </c>
      <c r="P1497" s="209">
        <v>5121</v>
      </c>
      <c r="Q1497" s="209" t="s">
        <v>174</v>
      </c>
      <c r="R1497" s="209" t="s">
        <v>175</v>
      </c>
      <c r="S1497" s="209" t="s">
        <v>176</v>
      </c>
      <c r="T1497" s="209" t="s">
        <v>177</v>
      </c>
      <c r="U1497" s="209" t="s">
        <v>178</v>
      </c>
      <c r="V1497" s="209" t="s">
        <v>179</v>
      </c>
      <c r="W1497" s="209" t="s">
        <v>179</v>
      </c>
      <c r="X1497" s="209" t="s">
        <v>180</v>
      </c>
      <c r="Y1497" s="209" t="s">
        <v>180</v>
      </c>
      <c r="Z1497" s="209" t="s">
        <v>3288</v>
      </c>
      <c r="AA1497" s="209" t="s">
        <v>3289</v>
      </c>
      <c r="AB1497" s="209" t="s">
        <v>180</v>
      </c>
      <c r="AC1497" s="209" t="s">
        <v>182</v>
      </c>
      <c r="AD1497" s="209">
        <v>10</v>
      </c>
      <c r="AE1497" s="209">
        <v>2025</v>
      </c>
      <c r="AF1497" s="227">
        <v>45930</v>
      </c>
      <c r="AG1497" s="227">
        <v>45932</v>
      </c>
      <c r="AH1497" s="227">
        <v>45932</v>
      </c>
      <c r="AI1497" s="228">
        <v>426816</v>
      </c>
      <c r="AJ1497" s="228">
        <v>52</v>
      </c>
      <c r="AK1497" s="228">
        <v>426816</v>
      </c>
      <c r="AL1497" s="228">
        <v>52</v>
      </c>
      <c r="AM1497" s="228">
        <v>0</v>
      </c>
      <c r="AN1497" s="228">
        <v>0</v>
      </c>
      <c r="AO1497" s="229">
        <v>40</v>
      </c>
      <c r="AP1497" s="231">
        <v>10</v>
      </c>
      <c r="AQ1497" s="231">
        <v>2025</v>
      </c>
      <c r="AR1497" s="231" t="str">
        <f t="shared" si="219"/>
        <v>10/2025</v>
      </c>
      <c r="AS1497" s="231">
        <f t="shared" si="220"/>
        <v>46.6</v>
      </c>
      <c r="AT1497" s="239">
        <f>IF(G1497="CERVECERIA Y MALTERIA",(AS1497*AK1497/1000000)*(1-VLOOKUP(N1497,FCST!D:I,6,FALSE)),0)</f>
        <v>19.889625600000002</v>
      </c>
      <c r="AU1497" s="232">
        <v>5.0000000000000001E-3</v>
      </c>
      <c r="AV1497" s="239">
        <f t="shared" si="221"/>
        <v>19.989073728000001</v>
      </c>
      <c r="AW1497" s="239">
        <f>(AS1497*AK1497/1000000)*(VLOOKUP(N1497,FCST!D:I,6,FALSE))</f>
        <v>0</v>
      </c>
      <c r="AX1497" s="239">
        <f t="shared" si="222"/>
        <v>0</v>
      </c>
      <c r="AY1497" s="239">
        <f>IF($G1497="CERVECERIA Y MALTERIA.",($AS1497*$AK1497/1000000)*(1-VLOOKUP($N1497,FCST!D:I,6,FALSE)),0)</f>
        <v>0</v>
      </c>
      <c r="AZ1497" s="239">
        <f t="shared" si="223"/>
        <v>0</v>
      </c>
    </row>
    <row r="1498" spans="1:52" x14ac:dyDescent="0.25">
      <c r="A1498" s="209">
        <v>1142858</v>
      </c>
      <c r="B1498" s="209">
        <v>40</v>
      </c>
      <c r="C1498" s="209" t="s">
        <v>3290</v>
      </c>
      <c r="D1498" s="209">
        <v>10</v>
      </c>
      <c r="E1498" s="209">
        <v>10000002</v>
      </c>
      <c r="F1498" s="209">
        <v>20000335</v>
      </c>
      <c r="G1498" s="209" t="s">
        <v>105</v>
      </c>
      <c r="H1498" s="209">
        <v>20000335</v>
      </c>
      <c r="I1498" s="209">
        <v>2</v>
      </c>
      <c r="J1498" s="209" t="s">
        <v>169</v>
      </c>
      <c r="K1498" s="209" t="s">
        <v>3291</v>
      </c>
      <c r="L1498" s="209" t="s">
        <v>2610</v>
      </c>
      <c r="M1498" s="209" t="s">
        <v>184</v>
      </c>
      <c r="N1498" s="209">
        <v>50035184</v>
      </c>
      <c r="O1498" s="209" t="s">
        <v>672</v>
      </c>
      <c r="P1498" s="209">
        <v>5121</v>
      </c>
      <c r="Q1498" s="209" t="s">
        <v>174</v>
      </c>
      <c r="R1498" s="209" t="s">
        <v>175</v>
      </c>
      <c r="S1498" s="209" t="s">
        <v>176</v>
      </c>
      <c r="T1498" s="209" t="s">
        <v>177</v>
      </c>
      <c r="U1498" s="209" t="s">
        <v>178</v>
      </c>
      <c r="V1498" s="209" t="s">
        <v>179</v>
      </c>
      <c r="W1498" s="209" t="s">
        <v>179</v>
      </c>
      <c r="X1498" s="209" t="s">
        <v>180</v>
      </c>
      <c r="Y1498" s="209" t="s">
        <v>180</v>
      </c>
      <c r="Z1498" s="209" t="s">
        <v>3096</v>
      </c>
      <c r="AA1498" s="209" t="s">
        <v>3097</v>
      </c>
      <c r="AB1498" s="209" t="s">
        <v>180</v>
      </c>
      <c r="AC1498" s="209" t="s">
        <v>182</v>
      </c>
      <c r="AD1498" s="209">
        <v>10</v>
      </c>
      <c r="AE1498" s="209">
        <v>2025</v>
      </c>
      <c r="AF1498" s="227">
        <v>45930</v>
      </c>
      <c r="AG1498" s="227">
        <v>45932</v>
      </c>
      <c r="AH1498" s="227">
        <v>45932</v>
      </c>
      <c r="AI1498" s="228">
        <v>977184</v>
      </c>
      <c r="AJ1498" s="228">
        <v>52</v>
      </c>
      <c r="AK1498" s="228">
        <v>977184</v>
      </c>
      <c r="AL1498" s="228">
        <v>52</v>
      </c>
      <c r="AM1498" s="228">
        <v>0</v>
      </c>
      <c r="AN1498" s="228">
        <v>0</v>
      </c>
      <c r="AO1498" s="229">
        <v>40</v>
      </c>
      <c r="AP1498" s="231">
        <v>10</v>
      </c>
      <c r="AQ1498" s="231">
        <v>2025</v>
      </c>
      <c r="AR1498" s="231" t="str">
        <f t="shared" si="219"/>
        <v>10/2025</v>
      </c>
      <c r="AS1498" s="231">
        <f t="shared" si="220"/>
        <v>19.5</v>
      </c>
      <c r="AT1498" s="239">
        <f>IF(G1498="CERVECERIA Y MALTERIA",(AS1498*AK1498/1000000)*(1-VLOOKUP(N1498,FCST!D:I,6,FALSE)),0)</f>
        <v>19.055088000000001</v>
      </c>
      <c r="AU1498" s="232">
        <v>5.0000000000000001E-3</v>
      </c>
      <c r="AV1498" s="239">
        <f t="shared" si="221"/>
        <v>19.15036344</v>
      </c>
      <c r="AW1498" s="239">
        <f>(AS1498*AK1498/1000000)*(VLOOKUP(N1498,FCST!D:I,6,FALSE))</f>
        <v>0</v>
      </c>
      <c r="AX1498" s="239">
        <f t="shared" si="222"/>
        <v>0</v>
      </c>
      <c r="AY1498" s="239">
        <f>IF($G1498="CERVECERIA Y MALTERIA.",($AS1498*$AK1498/1000000)*(1-VLOOKUP($N1498,FCST!D:I,6,FALSE)),0)</f>
        <v>0</v>
      </c>
      <c r="AZ1498" s="239">
        <f t="shared" si="223"/>
        <v>0</v>
      </c>
    </row>
    <row r="1499" spans="1:52" x14ac:dyDescent="0.25">
      <c r="A1499" s="209">
        <v>1142886</v>
      </c>
      <c r="B1499" s="209">
        <v>10</v>
      </c>
      <c r="C1499" s="209" t="s">
        <v>3292</v>
      </c>
      <c r="D1499" s="209">
        <v>10</v>
      </c>
      <c r="E1499" s="209">
        <v>10000002</v>
      </c>
      <c r="F1499" s="209">
        <v>20000340</v>
      </c>
      <c r="G1499" s="209" t="s">
        <v>117</v>
      </c>
      <c r="H1499" s="209">
        <v>20000340</v>
      </c>
      <c r="I1499" s="209">
        <v>2</v>
      </c>
      <c r="J1499" s="209" t="s">
        <v>169</v>
      </c>
      <c r="K1499" s="209" t="s">
        <v>3293</v>
      </c>
      <c r="L1499" s="209" t="s">
        <v>2610</v>
      </c>
      <c r="M1499" s="209" t="s">
        <v>184</v>
      </c>
      <c r="N1499" s="209">
        <v>50029843</v>
      </c>
      <c r="O1499" s="209" t="s">
        <v>460</v>
      </c>
      <c r="P1499" s="209">
        <v>5121</v>
      </c>
      <c r="Q1499" s="209" t="s">
        <v>174</v>
      </c>
      <c r="R1499" s="209" t="s">
        <v>175</v>
      </c>
      <c r="S1499" s="209" t="s">
        <v>176</v>
      </c>
      <c r="T1499" s="209" t="s">
        <v>177</v>
      </c>
      <c r="U1499" s="209" t="s">
        <v>178</v>
      </c>
      <c r="V1499" s="209" t="s">
        <v>179</v>
      </c>
      <c r="W1499" s="209" t="s">
        <v>179</v>
      </c>
      <c r="X1499" s="209" t="s">
        <v>180</v>
      </c>
      <c r="Y1499" s="209" t="s">
        <v>180</v>
      </c>
      <c r="Z1499" s="209" t="s">
        <v>3280</v>
      </c>
      <c r="AA1499" s="209" t="s">
        <v>3281</v>
      </c>
      <c r="AB1499" s="209" t="s">
        <v>180</v>
      </c>
      <c r="AC1499" s="209" t="s">
        <v>182</v>
      </c>
      <c r="AD1499" s="209">
        <v>10</v>
      </c>
      <c r="AE1499" s="209">
        <v>2025</v>
      </c>
      <c r="AF1499" s="227">
        <v>45930</v>
      </c>
      <c r="AG1499" s="227">
        <v>45931</v>
      </c>
      <c r="AH1499" s="227">
        <v>45931</v>
      </c>
      <c r="AI1499" s="228">
        <v>419328</v>
      </c>
      <c r="AJ1499" s="228">
        <v>52</v>
      </c>
      <c r="AK1499" s="228">
        <v>419328</v>
      </c>
      <c r="AL1499" s="228">
        <v>52</v>
      </c>
      <c r="AM1499" s="228">
        <v>0</v>
      </c>
      <c r="AN1499" s="228">
        <v>0</v>
      </c>
      <c r="AO1499" s="229">
        <v>40</v>
      </c>
      <c r="AP1499" s="231">
        <v>10</v>
      </c>
      <c r="AQ1499" s="231">
        <v>2025</v>
      </c>
      <c r="AR1499" s="231" t="str">
        <f t="shared" si="219"/>
        <v>10/2025</v>
      </c>
      <c r="AS1499" s="231">
        <f t="shared" si="220"/>
        <v>44.8</v>
      </c>
      <c r="AT1499" s="239">
        <f>IF(G1499="CERVECERIA Y MALTERIA",(AS1499*AK1499/1000000)*(1-VLOOKUP(N1499,FCST!D:I,6,FALSE)),0)</f>
        <v>0</v>
      </c>
      <c r="AU1499" s="232">
        <v>5.0000000000000001E-3</v>
      </c>
      <c r="AV1499" s="239">
        <f t="shared" si="221"/>
        <v>0</v>
      </c>
      <c r="AW1499" s="239">
        <f>(AS1499*AK1499/1000000)*(VLOOKUP(N1499,FCST!D:I,6,FALSE))</f>
        <v>0</v>
      </c>
      <c r="AX1499" s="239">
        <f t="shared" si="222"/>
        <v>0</v>
      </c>
      <c r="AY1499" s="239">
        <f>IF($G1499="CERVECERIA Y MALTERIA.",($AS1499*$AK1499/1000000)*(1-VLOOKUP($N1499,FCST!D:I,6,FALSE)),0)</f>
        <v>18.7858944</v>
      </c>
      <c r="AZ1499" s="239">
        <f t="shared" si="223"/>
        <v>18.879823871999999</v>
      </c>
    </row>
    <row r="1500" spans="1:52" x14ac:dyDescent="0.25">
      <c r="A1500" s="209">
        <v>1142908</v>
      </c>
      <c r="B1500" s="209">
        <v>10</v>
      </c>
      <c r="C1500" s="209" t="s">
        <v>3294</v>
      </c>
      <c r="D1500" s="209">
        <v>10</v>
      </c>
      <c r="E1500" s="209">
        <v>10000002</v>
      </c>
      <c r="F1500" s="209">
        <v>20000337</v>
      </c>
      <c r="G1500" s="209" t="s">
        <v>105</v>
      </c>
      <c r="H1500" s="209">
        <v>20000337</v>
      </c>
      <c r="I1500" s="209">
        <v>2</v>
      </c>
      <c r="J1500" s="209" t="s">
        <v>169</v>
      </c>
      <c r="K1500" s="209" t="s">
        <v>3295</v>
      </c>
      <c r="L1500" s="209" t="s">
        <v>2610</v>
      </c>
      <c r="M1500" s="209" t="s">
        <v>184</v>
      </c>
      <c r="N1500" s="209">
        <v>50035135</v>
      </c>
      <c r="O1500" s="209" t="s">
        <v>2730</v>
      </c>
      <c r="P1500" s="209">
        <v>5121</v>
      </c>
      <c r="Q1500" s="209" t="s">
        <v>174</v>
      </c>
      <c r="R1500" s="209" t="s">
        <v>175</v>
      </c>
      <c r="S1500" s="209" t="s">
        <v>176</v>
      </c>
      <c r="T1500" s="209" t="s">
        <v>177</v>
      </c>
      <c r="U1500" s="209" t="s">
        <v>178</v>
      </c>
      <c r="V1500" s="209" t="s">
        <v>179</v>
      </c>
      <c r="W1500" s="209" t="s">
        <v>179</v>
      </c>
      <c r="X1500" s="209" t="s">
        <v>180</v>
      </c>
      <c r="Y1500" s="209" t="s">
        <v>180</v>
      </c>
      <c r="Z1500" s="209" t="s">
        <v>3296</v>
      </c>
      <c r="AA1500" s="209" t="s">
        <v>3297</v>
      </c>
      <c r="AB1500" s="209" t="s">
        <v>180</v>
      </c>
      <c r="AC1500" s="209" t="s">
        <v>182</v>
      </c>
      <c r="AD1500" s="209">
        <v>10</v>
      </c>
      <c r="AE1500" s="209">
        <v>2025</v>
      </c>
      <c r="AF1500" s="227">
        <v>45930</v>
      </c>
      <c r="AG1500" s="227">
        <v>45931</v>
      </c>
      <c r="AH1500" s="227">
        <v>45931</v>
      </c>
      <c r="AI1500" s="228">
        <v>406016</v>
      </c>
      <c r="AJ1500" s="228">
        <v>52</v>
      </c>
      <c r="AK1500" s="228">
        <v>406016</v>
      </c>
      <c r="AL1500" s="228">
        <v>52</v>
      </c>
      <c r="AM1500" s="228">
        <v>0</v>
      </c>
      <c r="AN1500" s="228">
        <v>0</v>
      </c>
      <c r="AO1500" s="229">
        <v>40</v>
      </c>
      <c r="AP1500" s="231">
        <v>10</v>
      </c>
      <c r="AQ1500" s="231">
        <v>2025</v>
      </c>
      <c r="AR1500" s="231" t="str">
        <f t="shared" si="219"/>
        <v>10/2025</v>
      </c>
      <c r="AS1500" s="231">
        <f t="shared" si="220"/>
        <v>46.6</v>
      </c>
      <c r="AT1500" s="239">
        <f>IF(G1500="CERVECERIA Y MALTERIA",(AS1500*AK1500/1000000)*(1-VLOOKUP(N1500,FCST!D:I,6,FALSE)),0)</f>
        <v>18.920345600000001</v>
      </c>
      <c r="AU1500" s="232">
        <v>5.0000000000000001E-3</v>
      </c>
      <c r="AV1500" s="239">
        <f t="shared" si="221"/>
        <v>19.014947327999998</v>
      </c>
      <c r="AW1500" s="239">
        <f>(AS1500*AK1500/1000000)*(VLOOKUP(N1500,FCST!D:I,6,FALSE))</f>
        <v>0</v>
      </c>
      <c r="AX1500" s="239">
        <f t="shared" si="222"/>
        <v>0</v>
      </c>
      <c r="AY1500" s="239">
        <f>IF($G1500="CERVECERIA Y MALTERIA.",($AS1500*$AK1500/1000000)*(1-VLOOKUP($N1500,FCST!D:I,6,FALSE)),0)</f>
        <v>0</v>
      </c>
      <c r="AZ1500" s="239">
        <f t="shared" si="223"/>
        <v>0</v>
      </c>
    </row>
    <row r="1501" spans="1:52" x14ac:dyDescent="0.25">
      <c r="A1501" s="209">
        <v>1142858</v>
      </c>
      <c r="B1501" s="209">
        <v>10</v>
      </c>
      <c r="C1501" s="209" t="s">
        <v>3298</v>
      </c>
      <c r="D1501" s="209">
        <v>10</v>
      </c>
      <c r="E1501" s="209">
        <v>10000002</v>
      </c>
      <c r="F1501" s="209">
        <v>20000335</v>
      </c>
      <c r="G1501" s="209" t="s">
        <v>105</v>
      </c>
      <c r="H1501" s="209">
        <v>20000335</v>
      </c>
      <c r="I1501" s="209">
        <v>2</v>
      </c>
      <c r="J1501" s="209" t="s">
        <v>169</v>
      </c>
      <c r="K1501" s="209" t="s">
        <v>3299</v>
      </c>
      <c r="L1501" s="209" t="s">
        <v>2610</v>
      </c>
      <c r="M1501" s="209" t="s">
        <v>2718</v>
      </c>
      <c r="N1501" s="209">
        <v>50035183</v>
      </c>
      <c r="O1501" s="209" t="s">
        <v>215</v>
      </c>
      <c r="P1501" s="209">
        <v>5121</v>
      </c>
      <c r="Q1501" s="209" t="s">
        <v>174</v>
      </c>
      <c r="R1501" s="209" t="s">
        <v>175</v>
      </c>
      <c r="S1501" s="209" t="s">
        <v>176</v>
      </c>
      <c r="T1501" s="209" t="s">
        <v>177</v>
      </c>
      <c r="U1501" s="209" t="s">
        <v>178</v>
      </c>
      <c r="V1501" s="209" t="s">
        <v>179</v>
      </c>
      <c r="W1501" s="209" t="s">
        <v>179</v>
      </c>
      <c r="X1501" s="209" t="s">
        <v>180</v>
      </c>
      <c r="Y1501" s="209" t="s">
        <v>180</v>
      </c>
      <c r="Z1501" s="209" t="s">
        <v>3288</v>
      </c>
      <c r="AA1501" s="209" t="s">
        <v>3289</v>
      </c>
      <c r="AB1501" s="209" t="s">
        <v>180</v>
      </c>
      <c r="AC1501" s="209" t="s">
        <v>182</v>
      </c>
      <c r="AD1501" s="209">
        <v>10</v>
      </c>
      <c r="AE1501" s="209">
        <v>2025</v>
      </c>
      <c r="AF1501" s="227">
        <v>45930</v>
      </c>
      <c r="AG1501" s="227">
        <v>45931</v>
      </c>
      <c r="AH1501" s="227">
        <v>45931</v>
      </c>
      <c r="AI1501" s="228">
        <v>426816</v>
      </c>
      <c r="AJ1501" s="228">
        <v>52</v>
      </c>
      <c r="AK1501" s="228">
        <v>426816</v>
      </c>
      <c r="AL1501" s="228">
        <v>52</v>
      </c>
      <c r="AM1501" s="228">
        <v>0</v>
      </c>
      <c r="AN1501" s="228">
        <v>0</v>
      </c>
      <c r="AO1501" s="229">
        <v>40</v>
      </c>
      <c r="AP1501" s="231">
        <v>10</v>
      </c>
      <c r="AQ1501" s="231">
        <v>2025</v>
      </c>
      <c r="AR1501" s="231" t="str">
        <f t="shared" si="219"/>
        <v>10/2025</v>
      </c>
      <c r="AS1501" s="231">
        <f t="shared" si="220"/>
        <v>46.6</v>
      </c>
      <c r="AT1501" s="239">
        <f>IF(G1501="CERVECERIA Y MALTERIA",(AS1501*AK1501/1000000)*(1-VLOOKUP(N1501,FCST!D:I,6,FALSE)),0)</f>
        <v>19.889625600000002</v>
      </c>
      <c r="AU1501" s="232">
        <v>5.0000000000000001E-3</v>
      </c>
      <c r="AV1501" s="239">
        <f t="shared" si="221"/>
        <v>19.989073728000001</v>
      </c>
      <c r="AW1501" s="239">
        <f>(AS1501*AK1501/1000000)*(VLOOKUP(N1501,FCST!D:I,6,FALSE))</f>
        <v>0</v>
      </c>
      <c r="AX1501" s="239">
        <f t="shared" si="222"/>
        <v>0</v>
      </c>
      <c r="AY1501" s="239">
        <f>IF($G1501="CERVECERIA Y MALTERIA.",($AS1501*$AK1501/1000000)*(1-VLOOKUP($N1501,FCST!D:I,6,FALSE)),0)</f>
        <v>0</v>
      </c>
      <c r="AZ1501" s="239">
        <f t="shared" si="223"/>
        <v>0</v>
      </c>
    </row>
    <row r="1502" spans="1:52" x14ac:dyDescent="0.25">
      <c r="A1502" s="209">
        <v>1143362</v>
      </c>
      <c r="B1502" s="209">
        <v>70</v>
      </c>
      <c r="C1502" s="209" t="s">
        <v>3300</v>
      </c>
      <c r="D1502" s="209">
        <v>10</v>
      </c>
      <c r="E1502" s="209">
        <v>10000002</v>
      </c>
      <c r="F1502" s="209">
        <v>20000335</v>
      </c>
      <c r="G1502" s="209" t="s">
        <v>105</v>
      </c>
      <c r="H1502" s="209">
        <v>20000335</v>
      </c>
      <c r="I1502" s="209">
        <v>2</v>
      </c>
      <c r="J1502" s="209" t="s">
        <v>169</v>
      </c>
      <c r="K1502" s="209" t="s">
        <v>3301</v>
      </c>
      <c r="L1502" s="209" t="s">
        <v>2610</v>
      </c>
      <c r="M1502" s="209" t="s">
        <v>199</v>
      </c>
      <c r="N1502" s="209">
        <v>50037887</v>
      </c>
      <c r="O1502" s="209" t="s">
        <v>679</v>
      </c>
      <c r="P1502" s="209">
        <v>5121</v>
      </c>
      <c r="Q1502" s="209" t="s">
        <v>200</v>
      </c>
      <c r="R1502" s="209" t="s">
        <v>201</v>
      </c>
      <c r="S1502" s="209" t="s">
        <v>202</v>
      </c>
      <c r="T1502" s="209" t="s">
        <v>203</v>
      </c>
      <c r="U1502" s="209" t="s">
        <v>201</v>
      </c>
      <c r="V1502" s="209" t="s">
        <v>179</v>
      </c>
      <c r="W1502" s="209" t="s">
        <v>179</v>
      </c>
      <c r="X1502" s="209" t="s">
        <v>180</v>
      </c>
      <c r="Y1502" s="209" t="s">
        <v>180</v>
      </c>
      <c r="Z1502" s="209" t="s">
        <v>3090</v>
      </c>
      <c r="AA1502" s="209" t="s">
        <v>3091</v>
      </c>
      <c r="AB1502" s="209" t="s">
        <v>180</v>
      </c>
      <c r="AC1502" s="209" t="s">
        <v>182</v>
      </c>
      <c r="AD1502" s="209">
        <v>10</v>
      </c>
      <c r="AE1502" s="209">
        <v>2025</v>
      </c>
      <c r="AF1502" s="227">
        <v>45932</v>
      </c>
      <c r="AG1502" s="227">
        <v>45936</v>
      </c>
      <c r="AH1502" s="227">
        <v>45936</v>
      </c>
      <c r="AI1502" s="228">
        <v>531648</v>
      </c>
      <c r="AJ1502" s="228">
        <v>52</v>
      </c>
      <c r="AK1502" s="228">
        <v>531648</v>
      </c>
      <c r="AL1502" s="228">
        <v>52</v>
      </c>
      <c r="AM1502" s="228">
        <v>0</v>
      </c>
      <c r="AN1502" s="228">
        <v>0</v>
      </c>
      <c r="AO1502" s="229">
        <v>41</v>
      </c>
      <c r="AP1502" s="231">
        <v>10</v>
      </c>
      <c r="AQ1502" s="231">
        <v>2025</v>
      </c>
      <c r="AR1502" s="231" t="str">
        <f t="shared" si="219"/>
        <v>10/2025</v>
      </c>
      <c r="AS1502" s="231">
        <f t="shared" si="220"/>
        <v>37.200000000000003</v>
      </c>
      <c r="AT1502" s="239">
        <f>IF(G1502="CERVECERIA Y MALTERIA",(AS1502*AK1502/1000000)*(1-VLOOKUP(N1502,FCST!D:I,6,FALSE)),0)</f>
        <v>19.777305600000002</v>
      </c>
      <c r="AU1502" s="232">
        <v>5.0000000000000001E-3</v>
      </c>
      <c r="AV1502" s="239">
        <f t="shared" si="221"/>
        <v>19.876192128</v>
      </c>
      <c r="AW1502" s="239">
        <f>(AS1502*AK1502/1000000)*(VLOOKUP(N1502,FCST!D:I,6,FALSE))</f>
        <v>0</v>
      </c>
      <c r="AX1502" s="239">
        <f t="shared" si="222"/>
        <v>0</v>
      </c>
      <c r="AY1502" s="239">
        <f>IF($G1502="CERVECERIA Y MALTERIA.",($AS1502*$AK1502/1000000)*(1-VLOOKUP($N1502,FCST!D:I,6,FALSE)),0)</f>
        <v>0</v>
      </c>
      <c r="AZ1502" s="239">
        <f t="shared" si="223"/>
        <v>0</v>
      </c>
    </row>
    <row r="1503" spans="1:52" x14ac:dyDescent="0.25">
      <c r="A1503" s="209">
        <v>1143509</v>
      </c>
      <c r="B1503" s="209">
        <v>10</v>
      </c>
      <c r="C1503" s="209" t="s">
        <v>3302</v>
      </c>
      <c r="D1503" s="209">
        <v>10</v>
      </c>
      <c r="E1503" s="209">
        <v>10000002</v>
      </c>
      <c r="F1503" s="209">
        <v>20001057</v>
      </c>
      <c r="G1503" s="209" t="s">
        <v>105</v>
      </c>
      <c r="H1503" s="209">
        <v>20001057</v>
      </c>
      <c r="I1503" s="209">
        <v>2</v>
      </c>
      <c r="J1503" s="209" t="s">
        <v>169</v>
      </c>
      <c r="K1503" s="209" t="s">
        <v>3303</v>
      </c>
      <c r="L1503" s="209" t="s">
        <v>2610</v>
      </c>
      <c r="M1503" s="209" t="s">
        <v>199</v>
      </c>
      <c r="N1503" s="209">
        <v>50037887</v>
      </c>
      <c r="O1503" s="209" t="s">
        <v>679</v>
      </c>
      <c r="P1503" s="209">
        <v>5121</v>
      </c>
      <c r="Q1503" s="209" t="s">
        <v>200</v>
      </c>
      <c r="R1503" s="209" t="s">
        <v>201</v>
      </c>
      <c r="S1503" s="209" t="s">
        <v>202</v>
      </c>
      <c r="T1503" s="209" t="s">
        <v>203</v>
      </c>
      <c r="U1503" s="209" t="s">
        <v>201</v>
      </c>
      <c r="V1503" s="209" t="s">
        <v>179</v>
      </c>
      <c r="W1503" s="209" t="s">
        <v>179</v>
      </c>
      <c r="X1503" s="209" t="s">
        <v>180</v>
      </c>
      <c r="Y1503" s="209" t="s">
        <v>180</v>
      </c>
      <c r="Z1503" s="209" t="s">
        <v>3304</v>
      </c>
      <c r="AA1503" s="209" t="s">
        <v>3305</v>
      </c>
      <c r="AB1503" s="209" t="s">
        <v>180</v>
      </c>
      <c r="AC1503" s="209" t="s">
        <v>182</v>
      </c>
      <c r="AD1503" s="209">
        <v>10</v>
      </c>
      <c r="AE1503" s="209">
        <v>2025</v>
      </c>
      <c r="AF1503" s="227">
        <v>45933</v>
      </c>
      <c r="AG1503" s="227">
        <v>45936</v>
      </c>
      <c r="AH1503" s="227">
        <v>45936</v>
      </c>
      <c r="AI1503" s="228">
        <v>531648</v>
      </c>
      <c r="AJ1503" s="228">
        <v>52</v>
      </c>
      <c r="AK1503" s="228">
        <v>531648</v>
      </c>
      <c r="AL1503" s="228">
        <v>52</v>
      </c>
      <c r="AM1503" s="228">
        <v>0</v>
      </c>
      <c r="AN1503" s="228">
        <v>0</v>
      </c>
      <c r="AO1503" s="229">
        <v>41</v>
      </c>
      <c r="AP1503" s="231">
        <v>10</v>
      </c>
      <c r="AQ1503" s="231">
        <v>2025</v>
      </c>
      <c r="AR1503" s="231" t="str">
        <f t="shared" si="219"/>
        <v>10/2025</v>
      </c>
      <c r="AS1503" s="231">
        <f t="shared" si="220"/>
        <v>37.200000000000003</v>
      </c>
      <c r="AT1503" s="239">
        <f>IF(G1503="CERVECERIA Y MALTERIA",(AS1503*AK1503/1000000)*(1-VLOOKUP(N1503,FCST!D:I,6,FALSE)),0)</f>
        <v>19.777305600000002</v>
      </c>
      <c r="AU1503" s="232">
        <v>5.0000000000000001E-3</v>
      </c>
      <c r="AV1503" s="239">
        <f t="shared" si="221"/>
        <v>19.876192128</v>
      </c>
      <c r="AW1503" s="239">
        <f>(AS1503*AK1503/1000000)*(VLOOKUP(N1503,FCST!D:I,6,FALSE))</f>
        <v>0</v>
      </c>
      <c r="AX1503" s="239">
        <f t="shared" si="222"/>
        <v>0</v>
      </c>
      <c r="AY1503" s="239">
        <f>IF($G1503="CERVECERIA Y MALTERIA.",($AS1503*$AK1503/1000000)*(1-VLOOKUP($N1503,FCST!D:I,6,FALSE)),0)</f>
        <v>0</v>
      </c>
      <c r="AZ1503" s="239">
        <f t="shared" si="223"/>
        <v>0</v>
      </c>
    </row>
    <row r="1504" spans="1:52" x14ac:dyDescent="0.25">
      <c r="A1504" s="209">
        <v>1143667</v>
      </c>
      <c r="B1504" s="209">
        <v>10</v>
      </c>
      <c r="C1504" s="209" t="s">
        <v>3306</v>
      </c>
      <c r="D1504" s="209">
        <v>10</v>
      </c>
      <c r="E1504" s="209">
        <v>10000002</v>
      </c>
      <c r="F1504" s="209">
        <v>20000337</v>
      </c>
      <c r="G1504" s="209" t="s">
        <v>105</v>
      </c>
      <c r="H1504" s="209">
        <v>20000337</v>
      </c>
      <c r="I1504" s="209">
        <v>2</v>
      </c>
      <c r="J1504" s="209" t="s">
        <v>169</v>
      </c>
      <c r="K1504" s="209" t="s">
        <v>3307</v>
      </c>
      <c r="L1504" s="209" t="s">
        <v>2610</v>
      </c>
      <c r="M1504" s="209" t="s">
        <v>2718</v>
      </c>
      <c r="N1504" s="209">
        <v>50032583</v>
      </c>
      <c r="O1504" s="209" t="s">
        <v>205</v>
      </c>
      <c r="P1504" s="209">
        <v>5121</v>
      </c>
      <c r="Q1504" s="209" t="s">
        <v>174</v>
      </c>
      <c r="R1504" s="209" t="s">
        <v>175</v>
      </c>
      <c r="S1504" s="209" t="s">
        <v>176</v>
      </c>
      <c r="T1504" s="209" t="s">
        <v>177</v>
      </c>
      <c r="U1504" s="209" t="s">
        <v>178</v>
      </c>
      <c r="V1504" s="209" t="s">
        <v>179</v>
      </c>
      <c r="W1504" s="209" t="s">
        <v>179</v>
      </c>
      <c r="X1504" s="209" t="s">
        <v>180</v>
      </c>
      <c r="Y1504" s="209" t="s">
        <v>180</v>
      </c>
      <c r="Z1504" s="209" t="s">
        <v>3246</v>
      </c>
      <c r="AA1504" s="209" t="s">
        <v>3247</v>
      </c>
      <c r="AB1504" s="209" t="s">
        <v>180</v>
      </c>
      <c r="AC1504" s="209" t="s">
        <v>182</v>
      </c>
      <c r="AD1504" s="209">
        <v>10</v>
      </c>
      <c r="AE1504" s="209">
        <v>2025</v>
      </c>
      <c r="AF1504" s="227">
        <v>45933</v>
      </c>
      <c r="AG1504" s="227">
        <v>45936</v>
      </c>
      <c r="AH1504" s="227">
        <v>45936</v>
      </c>
      <c r="AI1504" s="228">
        <v>351936</v>
      </c>
      <c r="AJ1504" s="228">
        <v>52</v>
      </c>
      <c r="AK1504" s="228">
        <v>351936</v>
      </c>
      <c r="AL1504" s="228">
        <v>52</v>
      </c>
      <c r="AM1504" s="228">
        <v>0</v>
      </c>
      <c r="AN1504" s="228">
        <v>0</v>
      </c>
      <c r="AO1504" s="229">
        <v>41</v>
      </c>
      <c r="AP1504" s="231">
        <v>10</v>
      </c>
      <c r="AQ1504" s="231">
        <v>2025</v>
      </c>
      <c r="AR1504" s="231" t="str">
        <f t="shared" si="219"/>
        <v>10/2025</v>
      </c>
      <c r="AS1504" s="231">
        <f t="shared" si="220"/>
        <v>54.7</v>
      </c>
      <c r="AT1504" s="239">
        <f>IF(G1504="CERVECERIA Y MALTERIA",(AS1504*AK1504/1000000)*(1-VLOOKUP(N1504,FCST!D:I,6,FALSE)),0)</f>
        <v>19.250899199999999</v>
      </c>
      <c r="AU1504" s="232">
        <v>5.0000000000000001E-3</v>
      </c>
      <c r="AV1504" s="239">
        <f t="shared" si="221"/>
        <v>19.347153695999996</v>
      </c>
      <c r="AW1504" s="239">
        <f>(AS1504*AK1504/1000000)*(VLOOKUP(N1504,FCST!D:I,6,FALSE))</f>
        <v>0</v>
      </c>
      <c r="AX1504" s="239">
        <f t="shared" si="222"/>
        <v>0</v>
      </c>
      <c r="AY1504" s="239">
        <f>IF($G1504="CERVECERIA Y MALTERIA.",($AS1504*$AK1504/1000000)*(1-VLOOKUP($N1504,FCST!D:I,6,FALSE)),0)</f>
        <v>0</v>
      </c>
      <c r="AZ1504" s="239">
        <f t="shared" si="223"/>
        <v>0</v>
      </c>
    </row>
    <row r="1505" spans="1:52" x14ac:dyDescent="0.25">
      <c r="A1505" s="209">
        <v>1143362</v>
      </c>
      <c r="B1505" s="209">
        <v>10</v>
      </c>
      <c r="C1505" s="209" t="s">
        <v>3308</v>
      </c>
      <c r="D1505" s="209">
        <v>10</v>
      </c>
      <c r="E1505" s="209">
        <v>10000002</v>
      </c>
      <c r="F1505" s="209">
        <v>20000335</v>
      </c>
      <c r="G1505" s="209" t="s">
        <v>105</v>
      </c>
      <c r="H1505" s="209">
        <v>20000335</v>
      </c>
      <c r="I1505" s="209">
        <v>2</v>
      </c>
      <c r="J1505" s="209" t="s">
        <v>169</v>
      </c>
      <c r="K1505" s="209" t="s">
        <v>3309</v>
      </c>
      <c r="L1505" s="209" t="s">
        <v>2610</v>
      </c>
      <c r="M1505" s="209" t="s">
        <v>2718</v>
      </c>
      <c r="N1505" s="209">
        <v>50039815</v>
      </c>
      <c r="O1505" s="209" t="s">
        <v>2454</v>
      </c>
      <c r="P1505" s="209">
        <v>5121</v>
      </c>
      <c r="Q1505" s="209" t="s">
        <v>174</v>
      </c>
      <c r="R1505" s="209" t="s">
        <v>175</v>
      </c>
      <c r="S1505" s="209" t="s">
        <v>176</v>
      </c>
      <c r="T1505" s="209" t="s">
        <v>177</v>
      </c>
      <c r="U1505" s="209" t="s">
        <v>178</v>
      </c>
      <c r="V1505" s="209" t="s">
        <v>179</v>
      </c>
      <c r="W1505" s="209" t="s">
        <v>179</v>
      </c>
      <c r="X1505" s="209" t="s">
        <v>180</v>
      </c>
      <c r="Y1505" s="209" t="s">
        <v>180</v>
      </c>
      <c r="Z1505" s="209" t="s">
        <v>3082</v>
      </c>
      <c r="AA1505" s="209" t="s">
        <v>3083</v>
      </c>
      <c r="AB1505" s="209" t="s">
        <v>180</v>
      </c>
      <c r="AC1505" s="209" t="s">
        <v>182</v>
      </c>
      <c r="AD1505" s="209">
        <v>10</v>
      </c>
      <c r="AE1505" s="209">
        <v>2025</v>
      </c>
      <c r="AF1505" s="227">
        <v>45932</v>
      </c>
      <c r="AG1505" s="227">
        <v>45936</v>
      </c>
      <c r="AH1505" s="227">
        <v>45936</v>
      </c>
      <c r="AI1505" s="228">
        <v>426816</v>
      </c>
      <c r="AJ1505" s="228">
        <v>52</v>
      </c>
      <c r="AK1505" s="228">
        <v>426816</v>
      </c>
      <c r="AL1505" s="228">
        <v>52</v>
      </c>
      <c r="AM1505" s="228">
        <v>0</v>
      </c>
      <c r="AN1505" s="228">
        <v>0</v>
      </c>
      <c r="AO1505" s="229">
        <v>41</v>
      </c>
      <c r="AP1505" s="231">
        <v>10</v>
      </c>
      <c r="AQ1505" s="231">
        <v>2025</v>
      </c>
      <c r="AR1505" s="231" t="str">
        <f t="shared" si="219"/>
        <v>10/2025</v>
      </c>
      <c r="AS1505" s="231">
        <f t="shared" si="220"/>
        <v>46.6</v>
      </c>
      <c r="AT1505" s="239">
        <f>IF(G1505="CERVECERIA Y MALTERIA",(AS1505*AK1505/1000000)*(1-VLOOKUP(N1505,FCST!D:I,6,FALSE)),0)</f>
        <v>15.911700480000002</v>
      </c>
      <c r="AU1505" s="232">
        <v>5.0000000000000001E-3</v>
      </c>
      <c r="AV1505" s="239">
        <f t="shared" si="221"/>
        <v>15.9912589824</v>
      </c>
      <c r="AW1505" s="239">
        <f>(AS1505*AK1505/1000000)*(VLOOKUP(N1505,FCST!D:I,6,FALSE))</f>
        <v>3.9779251200000005</v>
      </c>
      <c r="AX1505" s="239">
        <f t="shared" si="222"/>
        <v>3.9978147455999999</v>
      </c>
      <c r="AY1505" s="239">
        <f>IF($G1505="CERVECERIA Y MALTERIA.",($AS1505*$AK1505/1000000)*(1-VLOOKUP($N1505,FCST!D:I,6,FALSE)),0)</f>
        <v>0</v>
      </c>
      <c r="AZ1505" s="239">
        <f t="shared" si="223"/>
        <v>0</v>
      </c>
    </row>
    <row r="1506" spans="1:52" x14ac:dyDescent="0.25">
      <c r="A1506" s="209">
        <v>1142908</v>
      </c>
      <c r="B1506" s="209">
        <v>20</v>
      </c>
      <c r="C1506" s="209" t="s">
        <v>3310</v>
      </c>
      <c r="D1506" s="209">
        <v>10</v>
      </c>
      <c r="E1506" s="209">
        <v>10000002</v>
      </c>
      <c r="F1506" s="209">
        <v>20000337</v>
      </c>
      <c r="G1506" s="209" t="s">
        <v>105</v>
      </c>
      <c r="H1506" s="209">
        <v>20000337</v>
      </c>
      <c r="I1506" s="209">
        <v>2</v>
      </c>
      <c r="J1506" s="209" t="s">
        <v>169</v>
      </c>
      <c r="K1506" s="209" t="s">
        <v>3311</v>
      </c>
      <c r="L1506" s="209" t="s">
        <v>2610</v>
      </c>
      <c r="M1506" s="209" t="s">
        <v>2718</v>
      </c>
      <c r="N1506" s="209">
        <v>50035135</v>
      </c>
      <c r="O1506" s="209" t="s">
        <v>2730</v>
      </c>
      <c r="P1506" s="209">
        <v>5121</v>
      </c>
      <c r="Q1506" s="209" t="s">
        <v>174</v>
      </c>
      <c r="R1506" s="209" t="s">
        <v>175</v>
      </c>
      <c r="S1506" s="209" t="s">
        <v>176</v>
      </c>
      <c r="T1506" s="209" t="s">
        <v>177</v>
      </c>
      <c r="U1506" s="209" t="s">
        <v>178</v>
      </c>
      <c r="V1506" s="209" t="s">
        <v>179</v>
      </c>
      <c r="W1506" s="209" t="s">
        <v>179</v>
      </c>
      <c r="X1506" s="209" t="s">
        <v>180</v>
      </c>
      <c r="Y1506" s="209" t="s">
        <v>180</v>
      </c>
      <c r="Z1506" s="209" t="s">
        <v>3296</v>
      </c>
      <c r="AA1506" s="209" t="s">
        <v>3297</v>
      </c>
      <c r="AB1506" s="209" t="s">
        <v>180</v>
      </c>
      <c r="AC1506" s="209" t="s">
        <v>182</v>
      </c>
      <c r="AD1506" s="209">
        <v>10</v>
      </c>
      <c r="AE1506" s="209">
        <v>2025</v>
      </c>
      <c r="AF1506" s="227">
        <v>45930</v>
      </c>
      <c r="AG1506" s="227">
        <v>45932</v>
      </c>
      <c r="AH1506" s="227">
        <v>45932</v>
      </c>
      <c r="AI1506" s="228">
        <v>406016</v>
      </c>
      <c r="AJ1506" s="228">
        <v>52</v>
      </c>
      <c r="AK1506" s="228">
        <v>406016</v>
      </c>
      <c r="AL1506" s="228">
        <v>52</v>
      </c>
      <c r="AM1506" s="228">
        <v>0</v>
      </c>
      <c r="AN1506" s="228">
        <v>0</v>
      </c>
      <c r="AO1506" s="229">
        <v>40</v>
      </c>
      <c r="AP1506" s="231">
        <v>10</v>
      </c>
      <c r="AQ1506" s="231">
        <v>2025</v>
      </c>
      <c r="AR1506" s="231" t="str">
        <f t="shared" si="219"/>
        <v>10/2025</v>
      </c>
      <c r="AS1506" s="231">
        <f t="shared" si="220"/>
        <v>46.6</v>
      </c>
      <c r="AT1506" s="239">
        <f>IF(G1506="CERVECERIA Y MALTERIA",(AS1506*AK1506/1000000)*(1-VLOOKUP(N1506,FCST!D:I,6,FALSE)),0)</f>
        <v>18.920345600000001</v>
      </c>
      <c r="AU1506" s="232">
        <v>5.0000000000000001E-3</v>
      </c>
      <c r="AV1506" s="239">
        <f t="shared" si="221"/>
        <v>19.014947327999998</v>
      </c>
      <c r="AW1506" s="239">
        <f>(AS1506*AK1506/1000000)*(VLOOKUP(N1506,FCST!D:I,6,FALSE))</f>
        <v>0</v>
      </c>
      <c r="AX1506" s="239">
        <f t="shared" si="222"/>
        <v>0</v>
      </c>
      <c r="AY1506" s="239">
        <f>IF($G1506="CERVECERIA Y MALTERIA.",($AS1506*$AK1506/1000000)*(1-VLOOKUP($N1506,FCST!D:I,6,FALSE)),0)</f>
        <v>0</v>
      </c>
      <c r="AZ1506" s="239">
        <f t="shared" si="223"/>
        <v>0</v>
      </c>
    </row>
    <row r="1507" spans="1:52" x14ac:dyDescent="0.25">
      <c r="A1507" s="209">
        <v>1142858</v>
      </c>
      <c r="B1507" s="209">
        <v>60</v>
      </c>
      <c r="C1507" s="209" t="s">
        <v>3312</v>
      </c>
      <c r="D1507" s="209">
        <v>10</v>
      </c>
      <c r="E1507" s="209">
        <v>10000002</v>
      </c>
      <c r="F1507" s="209">
        <v>20000335</v>
      </c>
      <c r="G1507" s="209" t="s">
        <v>105</v>
      </c>
      <c r="H1507" s="209">
        <v>20000335</v>
      </c>
      <c r="I1507" s="209">
        <v>2</v>
      </c>
      <c r="J1507" s="209" t="s">
        <v>169</v>
      </c>
      <c r="K1507" s="209" t="s">
        <v>3313</v>
      </c>
      <c r="L1507" s="209" t="s">
        <v>2610</v>
      </c>
      <c r="M1507" s="209" t="s">
        <v>184</v>
      </c>
      <c r="N1507" s="209">
        <v>50037887</v>
      </c>
      <c r="O1507" s="209" t="s">
        <v>679</v>
      </c>
      <c r="P1507" s="209">
        <v>5121</v>
      </c>
      <c r="Q1507" s="209" t="s">
        <v>174</v>
      </c>
      <c r="R1507" s="209" t="s">
        <v>175</v>
      </c>
      <c r="S1507" s="209" t="s">
        <v>176</v>
      </c>
      <c r="T1507" s="209" t="s">
        <v>177</v>
      </c>
      <c r="U1507" s="209" t="s">
        <v>178</v>
      </c>
      <c r="V1507" s="209" t="s">
        <v>179</v>
      </c>
      <c r="W1507" s="209" t="s">
        <v>179</v>
      </c>
      <c r="X1507" s="209" t="s">
        <v>180</v>
      </c>
      <c r="Y1507" s="209" t="s">
        <v>180</v>
      </c>
      <c r="Z1507" s="209" t="s">
        <v>3090</v>
      </c>
      <c r="AA1507" s="209" t="s">
        <v>3091</v>
      </c>
      <c r="AB1507" s="209" t="s">
        <v>180</v>
      </c>
      <c r="AC1507" s="209" t="s">
        <v>182</v>
      </c>
      <c r="AD1507" s="209">
        <v>10</v>
      </c>
      <c r="AE1507" s="209">
        <v>2025</v>
      </c>
      <c r="AF1507" s="227">
        <v>45930</v>
      </c>
      <c r="AG1507" s="227">
        <v>45933</v>
      </c>
      <c r="AH1507" s="227">
        <v>45933</v>
      </c>
      <c r="AI1507" s="228">
        <v>531648</v>
      </c>
      <c r="AJ1507" s="228">
        <v>52</v>
      </c>
      <c r="AK1507" s="228">
        <v>531648</v>
      </c>
      <c r="AL1507" s="228">
        <v>52</v>
      </c>
      <c r="AM1507" s="228">
        <v>0</v>
      </c>
      <c r="AN1507" s="228">
        <v>0</v>
      </c>
      <c r="AO1507" s="229">
        <v>40</v>
      </c>
      <c r="AP1507" s="231">
        <v>10</v>
      </c>
      <c r="AQ1507" s="231">
        <v>2025</v>
      </c>
      <c r="AR1507" s="231" t="str">
        <f t="shared" si="219"/>
        <v>10/2025</v>
      </c>
      <c r="AS1507" s="231">
        <f t="shared" si="220"/>
        <v>37.200000000000003</v>
      </c>
      <c r="AT1507" s="239">
        <f>IF(G1507="CERVECERIA Y MALTERIA",(AS1507*AK1507/1000000)*(1-VLOOKUP(N1507,FCST!D:I,6,FALSE)),0)</f>
        <v>19.777305600000002</v>
      </c>
      <c r="AU1507" s="232">
        <v>5.0000000000000001E-3</v>
      </c>
      <c r="AV1507" s="239">
        <f t="shared" si="221"/>
        <v>19.876192128</v>
      </c>
      <c r="AW1507" s="239">
        <f>(AS1507*AK1507/1000000)*(VLOOKUP(N1507,FCST!D:I,6,FALSE))</f>
        <v>0</v>
      </c>
      <c r="AX1507" s="239">
        <f t="shared" si="222"/>
        <v>0</v>
      </c>
      <c r="AY1507" s="239">
        <f>IF($G1507="CERVECERIA Y MALTERIA.",($AS1507*$AK1507/1000000)*(1-VLOOKUP($N1507,FCST!D:I,6,FALSE)),0)</f>
        <v>0</v>
      </c>
      <c r="AZ1507" s="239">
        <f t="shared" si="223"/>
        <v>0</v>
      </c>
    </row>
    <row r="1508" spans="1:52" x14ac:dyDescent="0.25">
      <c r="A1508" s="209">
        <v>1142858</v>
      </c>
      <c r="B1508" s="209">
        <v>50</v>
      </c>
      <c r="C1508" s="209" t="s">
        <v>3314</v>
      </c>
      <c r="D1508" s="209">
        <v>10</v>
      </c>
      <c r="E1508" s="209">
        <v>10000002</v>
      </c>
      <c r="F1508" s="209">
        <v>20000335</v>
      </c>
      <c r="G1508" s="209" t="s">
        <v>105</v>
      </c>
      <c r="H1508" s="209">
        <v>20000335</v>
      </c>
      <c r="I1508" s="209">
        <v>2</v>
      </c>
      <c r="J1508" s="209" t="s">
        <v>169</v>
      </c>
      <c r="K1508" s="209" t="s">
        <v>3315</v>
      </c>
      <c r="L1508" s="209" t="s">
        <v>2610</v>
      </c>
      <c r="M1508" s="209" t="s">
        <v>184</v>
      </c>
      <c r="N1508" s="209">
        <v>50035184</v>
      </c>
      <c r="O1508" s="209" t="s">
        <v>672</v>
      </c>
      <c r="P1508" s="209">
        <v>5121</v>
      </c>
      <c r="Q1508" s="209" t="s">
        <v>174</v>
      </c>
      <c r="R1508" s="209" t="s">
        <v>175</v>
      </c>
      <c r="S1508" s="209" t="s">
        <v>176</v>
      </c>
      <c r="T1508" s="209" t="s">
        <v>177</v>
      </c>
      <c r="U1508" s="209" t="s">
        <v>178</v>
      </c>
      <c r="V1508" s="209" t="s">
        <v>179</v>
      </c>
      <c r="W1508" s="209" t="s">
        <v>179</v>
      </c>
      <c r="X1508" s="209" t="s">
        <v>180</v>
      </c>
      <c r="Y1508" s="209" t="s">
        <v>180</v>
      </c>
      <c r="Z1508" s="209" t="s">
        <v>3096</v>
      </c>
      <c r="AA1508" s="209" t="s">
        <v>3097</v>
      </c>
      <c r="AB1508" s="209" t="s">
        <v>180</v>
      </c>
      <c r="AC1508" s="209" t="s">
        <v>182</v>
      </c>
      <c r="AD1508" s="209">
        <v>10</v>
      </c>
      <c r="AE1508" s="209">
        <v>2025</v>
      </c>
      <c r="AF1508" s="227">
        <v>45930</v>
      </c>
      <c r="AG1508" s="227">
        <v>45933</v>
      </c>
      <c r="AH1508" s="227">
        <v>45933</v>
      </c>
      <c r="AI1508" s="228">
        <v>977184</v>
      </c>
      <c r="AJ1508" s="228">
        <v>52</v>
      </c>
      <c r="AK1508" s="228">
        <v>977184</v>
      </c>
      <c r="AL1508" s="228">
        <v>52</v>
      </c>
      <c r="AM1508" s="228">
        <v>0</v>
      </c>
      <c r="AN1508" s="228">
        <v>0</v>
      </c>
      <c r="AO1508" s="229">
        <v>40</v>
      </c>
      <c r="AP1508" s="231">
        <v>10</v>
      </c>
      <c r="AQ1508" s="231">
        <v>2025</v>
      </c>
      <c r="AR1508" s="231" t="str">
        <f t="shared" si="219"/>
        <v>10/2025</v>
      </c>
      <c r="AS1508" s="231">
        <f t="shared" si="220"/>
        <v>19.5</v>
      </c>
      <c r="AT1508" s="239">
        <f>IF(G1508="CERVECERIA Y MALTERIA",(AS1508*AK1508/1000000)*(1-VLOOKUP(N1508,FCST!D:I,6,FALSE)),0)</f>
        <v>19.055088000000001</v>
      </c>
      <c r="AU1508" s="232">
        <v>5.0000000000000001E-3</v>
      </c>
      <c r="AV1508" s="239">
        <f t="shared" si="221"/>
        <v>19.15036344</v>
      </c>
      <c r="AW1508" s="239">
        <f>(AS1508*AK1508/1000000)*(VLOOKUP(N1508,FCST!D:I,6,FALSE))</f>
        <v>0</v>
      </c>
      <c r="AX1508" s="239">
        <f t="shared" si="222"/>
        <v>0</v>
      </c>
      <c r="AY1508" s="239">
        <f>IF($G1508="CERVECERIA Y MALTERIA.",($AS1508*$AK1508/1000000)*(1-VLOOKUP($N1508,FCST!D:I,6,FALSE)),0)</f>
        <v>0</v>
      </c>
      <c r="AZ1508" s="239">
        <f t="shared" si="223"/>
        <v>0</v>
      </c>
    </row>
    <row r="1509" spans="1:52" x14ac:dyDescent="0.25">
      <c r="A1509" s="209">
        <v>1143355</v>
      </c>
      <c r="B1509" s="209">
        <v>10</v>
      </c>
      <c r="C1509" s="209" t="s">
        <v>3316</v>
      </c>
      <c r="D1509" s="209">
        <v>10</v>
      </c>
      <c r="E1509" s="209">
        <v>10000002</v>
      </c>
      <c r="F1509" s="209">
        <v>20000339</v>
      </c>
      <c r="G1509" s="209" t="s">
        <v>105</v>
      </c>
      <c r="H1509" s="209">
        <v>20000339</v>
      </c>
      <c r="I1509" s="209">
        <v>2</v>
      </c>
      <c r="J1509" s="209" t="s">
        <v>169</v>
      </c>
      <c r="K1509" s="209" t="s">
        <v>3317</v>
      </c>
      <c r="L1509" s="209" t="s">
        <v>2610</v>
      </c>
      <c r="M1509" s="209" t="s">
        <v>227</v>
      </c>
      <c r="N1509" s="209">
        <v>50036287</v>
      </c>
      <c r="O1509" s="209" t="s">
        <v>2191</v>
      </c>
      <c r="P1509" s="209">
        <v>5121</v>
      </c>
      <c r="Q1509" s="209" t="s">
        <v>228</v>
      </c>
      <c r="R1509" s="209" t="s">
        <v>229</v>
      </c>
      <c r="S1509" s="209" t="s">
        <v>230</v>
      </c>
      <c r="T1509" s="209" t="s">
        <v>231</v>
      </c>
      <c r="U1509" s="209" t="s">
        <v>232</v>
      </c>
      <c r="V1509" s="209" t="s">
        <v>179</v>
      </c>
      <c r="W1509" s="209" t="s">
        <v>179</v>
      </c>
      <c r="X1509" s="209" t="s">
        <v>180</v>
      </c>
      <c r="Y1509" s="209" t="s">
        <v>180</v>
      </c>
      <c r="Z1509" s="209" t="s">
        <v>3318</v>
      </c>
      <c r="AA1509" s="209" t="s">
        <v>3319</v>
      </c>
      <c r="AB1509" s="209" t="s">
        <v>180</v>
      </c>
      <c r="AC1509" s="209" t="s">
        <v>182</v>
      </c>
      <c r="AD1509" s="209">
        <v>10</v>
      </c>
      <c r="AE1509" s="209">
        <v>2025</v>
      </c>
      <c r="AF1509" s="227">
        <v>45932</v>
      </c>
      <c r="AG1509" s="227">
        <v>45933</v>
      </c>
      <c r="AH1509" s="227">
        <v>45933</v>
      </c>
      <c r="AI1509" s="228">
        <v>279360</v>
      </c>
      <c r="AJ1509" s="228">
        <v>40</v>
      </c>
      <c r="AK1509" s="228">
        <v>279360</v>
      </c>
      <c r="AL1509" s="228">
        <v>40</v>
      </c>
      <c r="AM1509" s="228">
        <v>0</v>
      </c>
      <c r="AN1509" s="228">
        <v>0</v>
      </c>
      <c r="AO1509" s="229">
        <v>40</v>
      </c>
      <c r="AP1509" s="231">
        <v>10</v>
      </c>
      <c r="AQ1509" s="231">
        <v>2025</v>
      </c>
      <c r="AR1509" s="231" t="str">
        <f t="shared" si="219"/>
        <v>10/2025</v>
      </c>
      <c r="AS1509" s="231">
        <f t="shared" si="220"/>
        <v>52</v>
      </c>
      <c r="AT1509" s="239">
        <f>IF(G1509="CERVECERIA Y MALTERIA",(AS1509*AK1509/1000000)*(1-VLOOKUP(N1509,FCST!D:I,6,FALSE)),0)</f>
        <v>14.526719999999999</v>
      </c>
      <c r="AU1509" s="232">
        <v>5.0000000000000001E-3</v>
      </c>
      <c r="AV1509" s="239">
        <f t="shared" si="221"/>
        <v>14.599353599999997</v>
      </c>
      <c r="AW1509" s="239">
        <f>(AS1509*AK1509/1000000)*(VLOOKUP(N1509,FCST!D:I,6,FALSE))</f>
        <v>0</v>
      </c>
      <c r="AX1509" s="239">
        <f t="shared" si="222"/>
        <v>0</v>
      </c>
      <c r="AY1509" s="239">
        <f>IF($G1509="CERVECERIA Y MALTERIA.",($AS1509*$AK1509/1000000)*(1-VLOOKUP($N1509,FCST!D:I,6,FALSE)),0)</f>
        <v>0</v>
      </c>
      <c r="AZ1509" s="239">
        <f t="shared" si="223"/>
        <v>0</v>
      </c>
    </row>
    <row r="1510" spans="1:52" x14ac:dyDescent="0.25">
      <c r="A1510" s="209">
        <v>1143355</v>
      </c>
      <c r="B1510" s="209">
        <v>20</v>
      </c>
      <c r="C1510" s="209" t="s">
        <v>3316</v>
      </c>
      <c r="D1510" s="209">
        <v>20</v>
      </c>
      <c r="E1510" s="209">
        <v>10000002</v>
      </c>
      <c r="F1510" s="209">
        <v>20000339</v>
      </c>
      <c r="G1510" s="209" t="s">
        <v>105</v>
      </c>
      <c r="H1510" s="209">
        <v>20000339</v>
      </c>
      <c r="I1510" s="209">
        <v>2</v>
      </c>
      <c r="J1510" s="209" t="s">
        <v>169</v>
      </c>
      <c r="K1510" s="209" t="s">
        <v>3317</v>
      </c>
      <c r="L1510" s="209" t="s">
        <v>2610</v>
      </c>
      <c r="M1510" s="209" t="s">
        <v>227</v>
      </c>
      <c r="N1510" s="209">
        <v>50034194</v>
      </c>
      <c r="O1510" s="209" t="s">
        <v>276</v>
      </c>
      <c r="P1510" s="209">
        <v>5121</v>
      </c>
      <c r="Q1510" s="209" t="s">
        <v>228</v>
      </c>
      <c r="R1510" s="209" t="s">
        <v>229</v>
      </c>
      <c r="S1510" s="209" t="s">
        <v>230</v>
      </c>
      <c r="T1510" s="209" t="s">
        <v>231</v>
      </c>
      <c r="U1510" s="209" t="s">
        <v>232</v>
      </c>
      <c r="V1510" s="209" t="s">
        <v>179</v>
      </c>
      <c r="W1510" s="209" t="s">
        <v>179</v>
      </c>
      <c r="X1510" s="209" t="s">
        <v>180</v>
      </c>
      <c r="Y1510" s="209" t="s">
        <v>180</v>
      </c>
      <c r="Z1510" s="209" t="s">
        <v>3318</v>
      </c>
      <c r="AA1510" s="209" t="s">
        <v>3319</v>
      </c>
      <c r="AB1510" s="209" t="s">
        <v>180</v>
      </c>
      <c r="AC1510" s="209" t="s">
        <v>182</v>
      </c>
      <c r="AD1510" s="209">
        <v>10</v>
      </c>
      <c r="AE1510" s="209">
        <v>2025</v>
      </c>
      <c r="AF1510" s="227">
        <v>45932</v>
      </c>
      <c r="AG1510" s="227">
        <v>45933</v>
      </c>
      <c r="AH1510" s="227">
        <v>45933</v>
      </c>
      <c r="AI1510" s="228">
        <v>73152</v>
      </c>
      <c r="AJ1510" s="228">
        <v>12</v>
      </c>
      <c r="AK1510" s="228">
        <v>73152</v>
      </c>
      <c r="AL1510" s="228">
        <v>12</v>
      </c>
      <c r="AM1510" s="228">
        <v>0</v>
      </c>
      <c r="AN1510" s="228">
        <v>0</v>
      </c>
      <c r="AO1510" s="229">
        <v>40</v>
      </c>
      <c r="AP1510" s="231">
        <v>10</v>
      </c>
      <c r="AQ1510" s="231">
        <v>2025</v>
      </c>
      <c r="AR1510" s="231" t="str">
        <f t="shared" si="219"/>
        <v>10/2025</v>
      </c>
      <c r="AS1510" s="231">
        <f t="shared" si="220"/>
        <v>62</v>
      </c>
      <c r="AT1510" s="239">
        <f>IF(G1510="CERVECERIA Y MALTERIA",(AS1510*AK1510/1000000)*(1-VLOOKUP(N1510,FCST!D:I,6,FALSE)),0)</f>
        <v>4.5354239999999999</v>
      </c>
      <c r="AU1510" s="232">
        <v>5.0000000000000001E-3</v>
      </c>
      <c r="AV1510" s="239">
        <f t="shared" si="221"/>
        <v>4.558101119999999</v>
      </c>
      <c r="AW1510" s="239">
        <f>(AS1510*AK1510/1000000)*(VLOOKUP(N1510,FCST!D:I,6,FALSE))</f>
        <v>0</v>
      </c>
      <c r="AX1510" s="239">
        <f t="shared" si="222"/>
        <v>0</v>
      </c>
      <c r="AY1510" s="239">
        <f>IF($G1510="CERVECERIA Y MALTERIA.",($AS1510*$AK1510/1000000)*(1-VLOOKUP($N1510,FCST!D:I,6,FALSE)),0)</f>
        <v>0</v>
      </c>
      <c r="AZ1510" s="239">
        <f t="shared" si="223"/>
        <v>0</v>
      </c>
    </row>
    <row r="1511" spans="1:52" x14ac:dyDescent="0.25">
      <c r="A1511" s="209">
        <v>1142858</v>
      </c>
      <c r="B1511" s="209">
        <v>30</v>
      </c>
      <c r="C1511" s="209" t="s">
        <v>3320</v>
      </c>
      <c r="D1511" s="209">
        <v>10</v>
      </c>
      <c r="E1511" s="209">
        <v>10000002</v>
      </c>
      <c r="F1511" s="209">
        <v>20000335</v>
      </c>
      <c r="G1511" s="209" t="s">
        <v>105</v>
      </c>
      <c r="H1511" s="209">
        <v>20000335</v>
      </c>
      <c r="I1511" s="209">
        <v>2</v>
      </c>
      <c r="J1511" s="209" t="s">
        <v>169</v>
      </c>
      <c r="K1511" s="209" t="s">
        <v>3321</v>
      </c>
      <c r="L1511" s="209" t="s">
        <v>2610</v>
      </c>
      <c r="M1511" s="209" t="s">
        <v>184</v>
      </c>
      <c r="N1511" s="209">
        <v>50039815</v>
      </c>
      <c r="O1511" s="209" t="s">
        <v>2454</v>
      </c>
      <c r="P1511" s="209">
        <v>5121</v>
      </c>
      <c r="Q1511" s="209" t="s">
        <v>174</v>
      </c>
      <c r="R1511" s="209" t="s">
        <v>175</v>
      </c>
      <c r="S1511" s="209" t="s">
        <v>176</v>
      </c>
      <c r="T1511" s="209" t="s">
        <v>177</v>
      </c>
      <c r="U1511" s="209" t="s">
        <v>178</v>
      </c>
      <c r="V1511" s="209" t="s">
        <v>179</v>
      </c>
      <c r="W1511" s="209" t="s">
        <v>179</v>
      </c>
      <c r="X1511" s="209" t="s">
        <v>180</v>
      </c>
      <c r="Y1511" s="209" t="s">
        <v>180</v>
      </c>
      <c r="Z1511" s="209" t="s">
        <v>3082</v>
      </c>
      <c r="AA1511" s="209" t="s">
        <v>3083</v>
      </c>
      <c r="AB1511" s="209" t="s">
        <v>180</v>
      </c>
      <c r="AC1511" s="209" t="s">
        <v>182</v>
      </c>
      <c r="AD1511" s="209">
        <v>10</v>
      </c>
      <c r="AE1511" s="209">
        <v>2025</v>
      </c>
      <c r="AF1511" s="227">
        <v>45930</v>
      </c>
      <c r="AG1511" s="227">
        <v>45933</v>
      </c>
      <c r="AH1511" s="227">
        <v>45933</v>
      </c>
      <c r="AI1511" s="228">
        <v>426816</v>
      </c>
      <c r="AJ1511" s="228">
        <v>52</v>
      </c>
      <c r="AK1511" s="228">
        <v>426816</v>
      </c>
      <c r="AL1511" s="228">
        <v>52</v>
      </c>
      <c r="AM1511" s="228">
        <v>0</v>
      </c>
      <c r="AN1511" s="228">
        <v>0</v>
      </c>
      <c r="AO1511" s="229">
        <v>40</v>
      </c>
      <c r="AP1511" s="231">
        <v>10</v>
      </c>
      <c r="AQ1511" s="231">
        <v>2025</v>
      </c>
      <c r="AR1511" s="231" t="str">
        <f t="shared" si="219"/>
        <v>10/2025</v>
      </c>
      <c r="AS1511" s="231">
        <f t="shared" si="220"/>
        <v>46.6</v>
      </c>
      <c r="AT1511" s="239">
        <f>IF(G1511="CERVECERIA Y MALTERIA",(AS1511*AK1511/1000000)*(1-VLOOKUP(N1511,FCST!D:I,6,FALSE)),0)</f>
        <v>15.911700480000002</v>
      </c>
      <c r="AU1511" s="232">
        <v>5.0000000000000001E-3</v>
      </c>
      <c r="AV1511" s="239">
        <f t="shared" si="221"/>
        <v>15.9912589824</v>
      </c>
      <c r="AW1511" s="239">
        <f>(AS1511*AK1511/1000000)*(VLOOKUP(N1511,FCST!D:I,6,FALSE))</f>
        <v>3.9779251200000005</v>
      </c>
      <c r="AX1511" s="239">
        <f t="shared" si="222"/>
        <v>3.9978147455999999</v>
      </c>
      <c r="AY1511" s="239">
        <f>IF($G1511="CERVECERIA Y MALTERIA.",($AS1511*$AK1511/1000000)*(1-VLOOKUP($N1511,FCST!D:I,6,FALSE)),0)</f>
        <v>0</v>
      </c>
      <c r="AZ1511" s="239">
        <f t="shared" si="223"/>
        <v>0</v>
      </c>
    </row>
    <row r="1512" spans="1:52" x14ac:dyDescent="0.25">
      <c r="A1512" s="209">
        <v>1143348</v>
      </c>
      <c r="B1512" s="209">
        <v>10</v>
      </c>
      <c r="C1512" s="209" t="s">
        <v>3322</v>
      </c>
      <c r="D1512" s="209">
        <v>10</v>
      </c>
      <c r="E1512" s="209">
        <v>10000002</v>
      </c>
      <c r="F1512" s="209">
        <v>20001057</v>
      </c>
      <c r="G1512" s="209" t="s">
        <v>105</v>
      </c>
      <c r="H1512" s="209">
        <v>20001057</v>
      </c>
      <c r="I1512" s="209">
        <v>2</v>
      </c>
      <c r="J1512" s="209" t="s">
        <v>169</v>
      </c>
      <c r="K1512" s="209" t="s">
        <v>3323</v>
      </c>
      <c r="L1512" s="209" t="s">
        <v>2610</v>
      </c>
      <c r="M1512" s="209" t="s">
        <v>2718</v>
      </c>
      <c r="N1512" s="209">
        <v>50037887</v>
      </c>
      <c r="O1512" s="209" t="s">
        <v>679</v>
      </c>
      <c r="P1512" s="209">
        <v>5121</v>
      </c>
      <c r="Q1512" s="209" t="s">
        <v>174</v>
      </c>
      <c r="R1512" s="209" t="s">
        <v>175</v>
      </c>
      <c r="S1512" s="209" t="s">
        <v>176</v>
      </c>
      <c r="T1512" s="209" t="s">
        <v>177</v>
      </c>
      <c r="U1512" s="209" t="s">
        <v>178</v>
      </c>
      <c r="V1512" s="209" t="s">
        <v>179</v>
      </c>
      <c r="W1512" s="209" t="s">
        <v>179</v>
      </c>
      <c r="X1512" s="209" t="s">
        <v>180</v>
      </c>
      <c r="Y1512" s="209" t="s">
        <v>180</v>
      </c>
      <c r="Z1512" s="209" t="s">
        <v>3304</v>
      </c>
      <c r="AA1512" s="209" t="s">
        <v>3305</v>
      </c>
      <c r="AB1512" s="209" t="s">
        <v>180</v>
      </c>
      <c r="AC1512" s="209" t="s">
        <v>182</v>
      </c>
      <c r="AD1512" s="209">
        <v>10</v>
      </c>
      <c r="AE1512" s="209">
        <v>2025</v>
      </c>
      <c r="AF1512" s="227">
        <v>45932</v>
      </c>
      <c r="AG1512" s="227">
        <v>45933</v>
      </c>
      <c r="AH1512" s="227">
        <v>45933</v>
      </c>
      <c r="AI1512" s="228">
        <v>531648</v>
      </c>
      <c r="AJ1512" s="228">
        <v>52</v>
      </c>
      <c r="AK1512" s="228">
        <v>531648</v>
      </c>
      <c r="AL1512" s="228">
        <v>52</v>
      </c>
      <c r="AM1512" s="228">
        <v>0</v>
      </c>
      <c r="AN1512" s="228">
        <v>0</v>
      </c>
      <c r="AO1512" s="229">
        <v>40</v>
      </c>
      <c r="AP1512" s="231">
        <v>10</v>
      </c>
      <c r="AQ1512" s="231">
        <v>2025</v>
      </c>
      <c r="AR1512" s="231" t="str">
        <f t="shared" si="219"/>
        <v>10/2025</v>
      </c>
      <c r="AS1512" s="231">
        <f t="shared" si="220"/>
        <v>37.200000000000003</v>
      </c>
      <c r="AT1512" s="239">
        <f>IF(G1512="CERVECERIA Y MALTERIA",(AS1512*AK1512/1000000)*(1-VLOOKUP(N1512,FCST!D:I,6,FALSE)),0)</f>
        <v>19.777305600000002</v>
      </c>
      <c r="AU1512" s="232">
        <v>5.0000000000000001E-3</v>
      </c>
      <c r="AV1512" s="239">
        <f t="shared" si="221"/>
        <v>19.876192128</v>
      </c>
      <c r="AW1512" s="239">
        <f>(AS1512*AK1512/1000000)*(VLOOKUP(N1512,FCST!D:I,6,FALSE))</f>
        <v>0</v>
      </c>
      <c r="AX1512" s="239">
        <f t="shared" si="222"/>
        <v>0</v>
      </c>
      <c r="AY1512" s="239">
        <f>IF($G1512="CERVECERIA Y MALTERIA.",($AS1512*$AK1512/1000000)*(1-VLOOKUP($N1512,FCST!D:I,6,FALSE)),0)</f>
        <v>0</v>
      </c>
      <c r="AZ1512" s="239">
        <f t="shared" si="223"/>
        <v>0</v>
      </c>
    </row>
    <row r="1513" spans="1:52" x14ac:dyDescent="0.25">
      <c r="A1513" s="209">
        <v>1144410</v>
      </c>
      <c r="B1513" s="209">
        <v>30</v>
      </c>
      <c r="C1513" s="209" t="s">
        <v>3324</v>
      </c>
      <c r="D1513" s="209">
        <v>10</v>
      </c>
      <c r="E1513" s="209">
        <v>10000002</v>
      </c>
      <c r="F1513" s="209">
        <v>20000335</v>
      </c>
      <c r="G1513" s="209" t="s">
        <v>105</v>
      </c>
      <c r="H1513" s="209">
        <v>20000335</v>
      </c>
      <c r="I1513" s="209">
        <v>2</v>
      </c>
      <c r="J1513" s="209" t="s">
        <v>169</v>
      </c>
      <c r="K1513" s="209" t="s">
        <v>3325</v>
      </c>
      <c r="L1513" s="209" t="s">
        <v>265</v>
      </c>
      <c r="M1513" s="209" t="s">
        <v>199</v>
      </c>
      <c r="N1513" s="209">
        <v>50039815</v>
      </c>
      <c r="O1513" s="209" t="s">
        <v>2454</v>
      </c>
      <c r="P1513" s="209">
        <v>5121</v>
      </c>
      <c r="Q1513" s="209" t="s">
        <v>200</v>
      </c>
      <c r="R1513" s="209" t="s">
        <v>201</v>
      </c>
      <c r="S1513" s="209" t="s">
        <v>202</v>
      </c>
      <c r="T1513" s="209" t="s">
        <v>203</v>
      </c>
      <c r="U1513" s="209" t="s">
        <v>201</v>
      </c>
      <c r="V1513" s="209" t="s">
        <v>179</v>
      </c>
      <c r="W1513" s="209" t="s">
        <v>179</v>
      </c>
      <c r="X1513" s="209" t="s">
        <v>180</v>
      </c>
      <c r="Y1513" s="209" t="s">
        <v>180</v>
      </c>
      <c r="Z1513" s="209" t="s">
        <v>3082</v>
      </c>
      <c r="AA1513" s="209" t="s">
        <v>3083</v>
      </c>
      <c r="AB1513" s="209" t="s">
        <v>180</v>
      </c>
      <c r="AC1513" s="209" t="s">
        <v>182</v>
      </c>
      <c r="AD1513" s="209">
        <v>10</v>
      </c>
      <c r="AE1513" s="209">
        <v>2025</v>
      </c>
      <c r="AF1513" s="227">
        <v>45938</v>
      </c>
      <c r="AG1513" s="227">
        <v>45945</v>
      </c>
      <c r="AH1513" s="227">
        <v>45945</v>
      </c>
      <c r="AI1513" s="228">
        <v>426816</v>
      </c>
      <c r="AJ1513" s="228">
        <v>52</v>
      </c>
      <c r="AK1513" s="228">
        <v>426816</v>
      </c>
      <c r="AL1513" s="228">
        <v>52</v>
      </c>
      <c r="AM1513" s="228">
        <v>0</v>
      </c>
      <c r="AN1513" s="228">
        <v>0</v>
      </c>
      <c r="AO1513" s="229">
        <v>42</v>
      </c>
      <c r="AP1513" s="231">
        <v>10</v>
      </c>
      <c r="AQ1513" s="231">
        <v>2025</v>
      </c>
      <c r="AR1513" s="231" t="str">
        <f t="shared" si="219"/>
        <v>10/2025</v>
      </c>
      <c r="AS1513" s="231">
        <f t="shared" si="220"/>
        <v>46.6</v>
      </c>
      <c r="AT1513" s="239">
        <f>IF(G1513="CERVECERIA Y MALTERIA",(AS1513*AK1513/1000000)*(1-VLOOKUP(N1513,FCST!D:I,6,FALSE)),0)</f>
        <v>15.911700480000002</v>
      </c>
      <c r="AU1513" s="232">
        <v>5.0000000000000001E-3</v>
      </c>
      <c r="AV1513" s="239">
        <f t="shared" si="221"/>
        <v>15.9912589824</v>
      </c>
      <c r="AW1513" s="239">
        <f>(AS1513*AK1513/1000000)*(VLOOKUP(N1513,FCST!D:I,6,FALSE))</f>
        <v>3.9779251200000005</v>
      </c>
      <c r="AX1513" s="239">
        <f t="shared" si="222"/>
        <v>3.9978147455999999</v>
      </c>
      <c r="AY1513" s="239">
        <f>IF($G1513="CERVECERIA Y MALTERIA.",($AS1513*$AK1513/1000000)*(1-VLOOKUP($N1513,FCST!D:I,6,FALSE)),0)</f>
        <v>0</v>
      </c>
      <c r="AZ1513" s="239">
        <f t="shared" si="223"/>
        <v>0</v>
      </c>
    </row>
    <row r="1514" spans="1:52" x14ac:dyDescent="0.25">
      <c r="A1514" s="209">
        <v>1144868</v>
      </c>
      <c r="B1514" s="209">
        <v>30</v>
      </c>
      <c r="C1514" s="209" t="s">
        <v>3326</v>
      </c>
      <c r="D1514" s="209">
        <v>10</v>
      </c>
      <c r="E1514" s="209">
        <v>10000002</v>
      </c>
      <c r="F1514" s="209">
        <v>20001057</v>
      </c>
      <c r="G1514" s="209" t="s">
        <v>105</v>
      </c>
      <c r="H1514" s="209">
        <v>20001057</v>
      </c>
      <c r="I1514" s="209">
        <v>2</v>
      </c>
      <c r="J1514" s="209" t="s">
        <v>169</v>
      </c>
      <c r="K1514" s="209" t="s">
        <v>3327</v>
      </c>
      <c r="L1514" s="209" t="s">
        <v>265</v>
      </c>
      <c r="M1514" s="209" t="s">
        <v>199</v>
      </c>
      <c r="N1514" s="209">
        <v>50034616</v>
      </c>
      <c r="O1514" s="209" t="s">
        <v>191</v>
      </c>
      <c r="P1514" s="209">
        <v>5121</v>
      </c>
      <c r="Q1514" s="209" t="s">
        <v>200</v>
      </c>
      <c r="R1514" s="209" t="s">
        <v>201</v>
      </c>
      <c r="S1514" s="209" t="s">
        <v>202</v>
      </c>
      <c r="T1514" s="209" t="s">
        <v>203</v>
      </c>
      <c r="U1514" s="209" t="s">
        <v>201</v>
      </c>
      <c r="V1514" s="209" t="s">
        <v>179</v>
      </c>
      <c r="W1514" s="209" t="s">
        <v>179</v>
      </c>
      <c r="X1514" s="209" t="s">
        <v>180</v>
      </c>
      <c r="Y1514" s="209" t="s">
        <v>180</v>
      </c>
      <c r="Z1514" s="209" t="s">
        <v>3328</v>
      </c>
      <c r="AA1514" s="209" t="s">
        <v>3329</v>
      </c>
      <c r="AB1514" s="209" t="s">
        <v>180</v>
      </c>
      <c r="AC1514" s="209" t="s">
        <v>182</v>
      </c>
      <c r="AD1514" s="209">
        <v>10</v>
      </c>
      <c r="AE1514" s="209">
        <v>2025</v>
      </c>
      <c r="AF1514" s="227">
        <v>45943</v>
      </c>
      <c r="AG1514" s="227">
        <v>45945</v>
      </c>
      <c r="AH1514" s="227">
        <v>45945</v>
      </c>
      <c r="AI1514" s="228">
        <v>426816</v>
      </c>
      <c r="AJ1514" s="228">
        <v>52</v>
      </c>
      <c r="AK1514" s="228">
        <v>426816</v>
      </c>
      <c r="AL1514" s="228">
        <v>52</v>
      </c>
      <c r="AM1514" s="228">
        <v>0</v>
      </c>
      <c r="AN1514" s="228">
        <v>0</v>
      </c>
      <c r="AO1514" s="229">
        <v>42</v>
      </c>
      <c r="AP1514" s="231">
        <v>10</v>
      </c>
      <c r="AQ1514" s="231">
        <v>2025</v>
      </c>
      <c r="AR1514" s="231" t="str">
        <f t="shared" si="219"/>
        <v>10/2025</v>
      </c>
      <c r="AS1514" s="231">
        <f t="shared" si="220"/>
        <v>46.6</v>
      </c>
      <c r="AT1514" s="239">
        <f>IF(G1514="CERVECERIA Y MALTERIA",(AS1514*AK1514/1000000)*(1-VLOOKUP(N1514,FCST!D:I,6,FALSE)),0)</f>
        <v>19.889625600000002</v>
      </c>
      <c r="AU1514" s="232">
        <v>5.0000000000000001E-3</v>
      </c>
      <c r="AV1514" s="239">
        <f t="shared" si="221"/>
        <v>19.989073728000001</v>
      </c>
      <c r="AW1514" s="239">
        <f>(AS1514*AK1514/1000000)*(VLOOKUP(N1514,FCST!D:I,6,FALSE))</f>
        <v>0</v>
      </c>
      <c r="AX1514" s="239">
        <f t="shared" si="222"/>
        <v>0</v>
      </c>
      <c r="AY1514" s="239">
        <f>IF($G1514="CERVECERIA Y MALTERIA.",($AS1514*$AK1514/1000000)*(1-VLOOKUP($N1514,FCST!D:I,6,FALSE)),0)</f>
        <v>0</v>
      </c>
      <c r="AZ1514" s="239">
        <f t="shared" si="223"/>
        <v>0</v>
      </c>
    </row>
    <row r="1515" spans="1:52" x14ac:dyDescent="0.25">
      <c r="A1515" s="209">
        <v>1144868</v>
      </c>
      <c r="B1515" s="209">
        <v>10</v>
      </c>
      <c r="C1515" s="209" t="s">
        <v>3330</v>
      </c>
      <c r="D1515" s="209">
        <v>10</v>
      </c>
      <c r="E1515" s="209">
        <v>10000002</v>
      </c>
      <c r="F1515" s="209">
        <v>20001057</v>
      </c>
      <c r="G1515" s="209" t="s">
        <v>105</v>
      </c>
      <c r="H1515" s="209">
        <v>20001057</v>
      </c>
      <c r="I1515" s="209">
        <v>2</v>
      </c>
      <c r="J1515" s="209" t="s">
        <v>169</v>
      </c>
      <c r="K1515" s="209" t="s">
        <v>3331</v>
      </c>
      <c r="L1515" s="209" t="s">
        <v>265</v>
      </c>
      <c r="M1515" s="209" t="s">
        <v>199</v>
      </c>
      <c r="N1515" s="209">
        <v>50035184</v>
      </c>
      <c r="O1515" s="209" t="s">
        <v>672</v>
      </c>
      <c r="P1515" s="209">
        <v>5121</v>
      </c>
      <c r="Q1515" s="209" t="s">
        <v>200</v>
      </c>
      <c r="R1515" s="209" t="s">
        <v>201</v>
      </c>
      <c r="S1515" s="209" t="s">
        <v>202</v>
      </c>
      <c r="T1515" s="209" t="s">
        <v>203</v>
      </c>
      <c r="U1515" s="209" t="s">
        <v>201</v>
      </c>
      <c r="V1515" s="209" t="s">
        <v>179</v>
      </c>
      <c r="W1515" s="209" t="s">
        <v>179</v>
      </c>
      <c r="X1515" s="209" t="s">
        <v>180</v>
      </c>
      <c r="Y1515" s="209" t="s">
        <v>180</v>
      </c>
      <c r="Z1515" s="209" t="s">
        <v>3332</v>
      </c>
      <c r="AA1515" s="209" t="s">
        <v>3333</v>
      </c>
      <c r="AB1515" s="209" t="s">
        <v>180</v>
      </c>
      <c r="AC1515" s="209" t="s">
        <v>182</v>
      </c>
      <c r="AD1515" s="209">
        <v>10</v>
      </c>
      <c r="AE1515" s="209">
        <v>2025</v>
      </c>
      <c r="AF1515" s="227">
        <v>45943</v>
      </c>
      <c r="AG1515" s="227">
        <v>45945</v>
      </c>
      <c r="AH1515" s="227">
        <v>45945</v>
      </c>
      <c r="AI1515" s="228">
        <v>187920</v>
      </c>
      <c r="AJ1515" s="228">
        <v>10</v>
      </c>
      <c r="AK1515" s="228">
        <v>187920</v>
      </c>
      <c r="AL1515" s="228">
        <v>10</v>
      </c>
      <c r="AM1515" s="228">
        <v>0</v>
      </c>
      <c r="AN1515" s="228">
        <v>0</v>
      </c>
      <c r="AO1515" s="229">
        <v>42</v>
      </c>
      <c r="AP1515" s="231">
        <v>10</v>
      </c>
      <c r="AQ1515" s="231">
        <v>2025</v>
      </c>
      <c r="AR1515" s="231" t="str">
        <f t="shared" si="219"/>
        <v>10/2025</v>
      </c>
      <c r="AS1515" s="231">
        <f t="shared" si="220"/>
        <v>19.5</v>
      </c>
      <c r="AT1515" s="239">
        <f>IF(G1515="CERVECERIA Y MALTERIA",(AS1515*AK1515/1000000)*(1-VLOOKUP(N1515,FCST!D:I,6,FALSE)),0)</f>
        <v>3.6644399999999999</v>
      </c>
      <c r="AU1515" s="232">
        <v>5.0000000000000001E-3</v>
      </c>
      <c r="AV1515" s="239">
        <f t="shared" si="221"/>
        <v>3.6827621999999995</v>
      </c>
      <c r="AW1515" s="239">
        <f>(AS1515*AK1515/1000000)*(VLOOKUP(N1515,FCST!D:I,6,FALSE))</f>
        <v>0</v>
      </c>
      <c r="AX1515" s="239">
        <f t="shared" si="222"/>
        <v>0</v>
      </c>
      <c r="AY1515" s="239">
        <f>IF($G1515="CERVECERIA Y MALTERIA.",($AS1515*$AK1515/1000000)*(1-VLOOKUP($N1515,FCST!D:I,6,FALSE)),0)</f>
        <v>0</v>
      </c>
      <c r="AZ1515" s="239">
        <f t="shared" si="223"/>
        <v>0</v>
      </c>
    </row>
    <row r="1516" spans="1:52" x14ac:dyDescent="0.25">
      <c r="A1516" s="209">
        <v>1144868</v>
      </c>
      <c r="B1516" s="209">
        <v>20</v>
      </c>
      <c r="C1516" s="209" t="s">
        <v>3330</v>
      </c>
      <c r="D1516" s="209">
        <v>20</v>
      </c>
      <c r="E1516" s="209">
        <v>10000002</v>
      </c>
      <c r="F1516" s="209">
        <v>20001057</v>
      </c>
      <c r="G1516" s="209" t="s">
        <v>105</v>
      </c>
      <c r="H1516" s="209">
        <v>20001057</v>
      </c>
      <c r="I1516" s="209">
        <v>2</v>
      </c>
      <c r="J1516" s="209" t="s">
        <v>169</v>
      </c>
      <c r="K1516" s="209" t="s">
        <v>3331</v>
      </c>
      <c r="L1516" s="209" t="s">
        <v>265</v>
      </c>
      <c r="M1516" s="209" t="s">
        <v>199</v>
      </c>
      <c r="N1516" s="209">
        <v>50037887</v>
      </c>
      <c r="O1516" s="209" t="s">
        <v>679</v>
      </c>
      <c r="P1516" s="209">
        <v>5121</v>
      </c>
      <c r="Q1516" s="209" t="s">
        <v>200</v>
      </c>
      <c r="R1516" s="209" t="s">
        <v>201</v>
      </c>
      <c r="S1516" s="209" t="s">
        <v>202</v>
      </c>
      <c r="T1516" s="209" t="s">
        <v>203</v>
      </c>
      <c r="U1516" s="209" t="s">
        <v>201</v>
      </c>
      <c r="V1516" s="209" t="s">
        <v>179</v>
      </c>
      <c r="W1516" s="209" t="s">
        <v>179</v>
      </c>
      <c r="X1516" s="209" t="s">
        <v>180</v>
      </c>
      <c r="Y1516" s="209" t="s">
        <v>180</v>
      </c>
      <c r="Z1516" s="209" t="s">
        <v>3332</v>
      </c>
      <c r="AA1516" s="209" t="s">
        <v>3333</v>
      </c>
      <c r="AB1516" s="209" t="s">
        <v>180</v>
      </c>
      <c r="AC1516" s="209" t="s">
        <v>182</v>
      </c>
      <c r="AD1516" s="209">
        <v>10</v>
      </c>
      <c r="AE1516" s="209">
        <v>2025</v>
      </c>
      <c r="AF1516" s="227">
        <v>45943</v>
      </c>
      <c r="AG1516" s="227">
        <v>45945</v>
      </c>
      <c r="AH1516" s="227">
        <v>45945</v>
      </c>
      <c r="AI1516" s="228">
        <v>429408</v>
      </c>
      <c r="AJ1516" s="228">
        <v>42</v>
      </c>
      <c r="AK1516" s="228">
        <v>429408</v>
      </c>
      <c r="AL1516" s="228">
        <v>42</v>
      </c>
      <c r="AM1516" s="228">
        <v>0</v>
      </c>
      <c r="AN1516" s="228">
        <v>0</v>
      </c>
      <c r="AO1516" s="229">
        <v>42</v>
      </c>
      <c r="AP1516" s="231">
        <v>10</v>
      </c>
      <c r="AQ1516" s="231">
        <v>2025</v>
      </c>
      <c r="AR1516" s="231" t="str">
        <f t="shared" si="219"/>
        <v>10/2025</v>
      </c>
      <c r="AS1516" s="231">
        <f t="shared" si="220"/>
        <v>37.200000000000003</v>
      </c>
      <c r="AT1516" s="239">
        <f>IF(G1516="CERVECERIA Y MALTERIA",(AS1516*AK1516/1000000)*(1-VLOOKUP(N1516,FCST!D:I,6,FALSE)),0)</f>
        <v>15.973977600000001</v>
      </c>
      <c r="AU1516" s="232">
        <v>5.0000000000000001E-3</v>
      </c>
      <c r="AV1516" s="239">
        <f t="shared" si="221"/>
        <v>16.053847487999999</v>
      </c>
      <c r="AW1516" s="239">
        <f>(AS1516*AK1516/1000000)*(VLOOKUP(N1516,FCST!D:I,6,FALSE))</f>
        <v>0</v>
      </c>
      <c r="AX1516" s="239">
        <f t="shared" si="222"/>
        <v>0</v>
      </c>
      <c r="AY1516" s="239">
        <f>IF($G1516="CERVECERIA Y MALTERIA.",($AS1516*$AK1516/1000000)*(1-VLOOKUP($N1516,FCST!D:I,6,FALSE)),0)</f>
        <v>0</v>
      </c>
      <c r="AZ1516" s="239">
        <f t="shared" si="223"/>
        <v>0</v>
      </c>
    </row>
    <row r="1517" spans="1:52" x14ac:dyDescent="0.25">
      <c r="A1517" s="209">
        <v>1144410</v>
      </c>
      <c r="B1517" s="209">
        <v>60</v>
      </c>
      <c r="C1517" s="209" t="s">
        <v>3334</v>
      </c>
      <c r="D1517" s="209">
        <v>10</v>
      </c>
      <c r="E1517" s="209">
        <v>10000002</v>
      </c>
      <c r="F1517" s="209">
        <v>20000335</v>
      </c>
      <c r="G1517" s="209" t="s">
        <v>105</v>
      </c>
      <c r="H1517" s="209">
        <v>20000335</v>
      </c>
      <c r="I1517" s="209">
        <v>2</v>
      </c>
      <c r="J1517" s="209" t="s">
        <v>169</v>
      </c>
      <c r="K1517" s="209" t="s">
        <v>3335</v>
      </c>
      <c r="L1517" s="209" t="s">
        <v>265</v>
      </c>
      <c r="M1517" s="209" t="s">
        <v>184</v>
      </c>
      <c r="N1517" s="209">
        <v>50035184</v>
      </c>
      <c r="O1517" s="209" t="s">
        <v>672</v>
      </c>
      <c r="P1517" s="209">
        <v>5121</v>
      </c>
      <c r="Q1517" s="209" t="s">
        <v>174</v>
      </c>
      <c r="R1517" s="209" t="s">
        <v>175</v>
      </c>
      <c r="S1517" s="209" t="s">
        <v>176</v>
      </c>
      <c r="T1517" s="209" t="s">
        <v>177</v>
      </c>
      <c r="U1517" s="209" t="s">
        <v>178</v>
      </c>
      <c r="V1517" s="209" t="s">
        <v>179</v>
      </c>
      <c r="W1517" s="209" t="s">
        <v>179</v>
      </c>
      <c r="X1517" s="209" t="s">
        <v>180</v>
      </c>
      <c r="Y1517" s="209" t="s">
        <v>180</v>
      </c>
      <c r="Z1517" s="209" t="s">
        <v>3096</v>
      </c>
      <c r="AA1517" s="209" t="s">
        <v>3097</v>
      </c>
      <c r="AB1517" s="209" t="s">
        <v>180</v>
      </c>
      <c r="AC1517" s="209" t="s">
        <v>182</v>
      </c>
      <c r="AD1517" s="209">
        <v>10</v>
      </c>
      <c r="AE1517" s="209">
        <v>2025</v>
      </c>
      <c r="AF1517" s="227">
        <v>45938</v>
      </c>
      <c r="AG1517" s="227">
        <v>45944</v>
      </c>
      <c r="AH1517" s="227">
        <v>45944</v>
      </c>
      <c r="AI1517" s="228">
        <v>977184</v>
      </c>
      <c r="AJ1517" s="228">
        <v>52</v>
      </c>
      <c r="AK1517" s="228">
        <v>977184</v>
      </c>
      <c r="AL1517" s="228">
        <v>52</v>
      </c>
      <c r="AM1517" s="228">
        <v>0</v>
      </c>
      <c r="AN1517" s="228">
        <v>0</v>
      </c>
      <c r="AO1517" s="229">
        <v>42</v>
      </c>
      <c r="AP1517" s="231">
        <v>10</v>
      </c>
      <c r="AQ1517" s="231">
        <v>2025</v>
      </c>
      <c r="AR1517" s="231" t="str">
        <f t="shared" si="219"/>
        <v>10/2025</v>
      </c>
      <c r="AS1517" s="231">
        <f t="shared" si="220"/>
        <v>19.5</v>
      </c>
      <c r="AT1517" s="239">
        <f>IF(G1517="CERVECERIA Y MALTERIA",(AS1517*AK1517/1000000)*(1-VLOOKUP(N1517,FCST!D:I,6,FALSE)),0)</f>
        <v>19.055088000000001</v>
      </c>
      <c r="AU1517" s="232">
        <v>5.0000000000000001E-3</v>
      </c>
      <c r="AV1517" s="239">
        <f t="shared" si="221"/>
        <v>19.15036344</v>
      </c>
      <c r="AW1517" s="239">
        <f>(AS1517*AK1517/1000000)*(VLOOKUP(N1517,FCST!D:I,6,FALSE))</f>
        <v>0</v>
      </c>
      <c r="AX1517" s="239">
        <f t="shared" si="222"/>
        <v>0</v>
      </c>
      <c r="AY1517" s="239">
        <f>IF($G1517="CERVECERIA Y MALTERIA.",($AS1517*$AK1517/1000000)*(1-VLOOKUP($N1517,FCST!D:I,6,FALSE)),0)</f>
        <v>0</v>
      </c>
      <c r="AZ1517" s="239">
        <f t="shared" si="223"/>
        <v>0</v>
      </c>
    </row>
    <row r="1518" spans="1:52" x14ac:dyDescent="0.25">
      <c r="A1518" s="209">
        <v>1144410</v>
      </c>
      <c r="B1518" s="209">
        <v>20</v>
      </c>
      <c r="C1518" s="209" t="s">
        <v>3336</v>
      </c>
      <c r="D1518" s="209">
        <v>10</v>
      </c>
      <c r="E1518" s="209">
        <v>10000002</v>
      </c>
      <c r="F1518" s="209">
        <v>20000335</v>
      </c>
      <c r="G1518" s="209" t="s">
        <v>105</v>
      </c>
      <c r="H1518" s="209">
        <v>20000335</v>
      </c>
      <c r="I1518" s="209">
        <v>2</v>
      </c>
      <c r="J1518" s="209" t="s">
        <v>169</v>
      </c>
      <c r="K1518" s="209" t="s">
        <v>3337</v>
      </c>
      <c r="L1518" s="209" t="s">
        <v>265</v>
      </c>
      <c r="M1518" s="209" t="s">
        <v>199</v>
      </c>
      <c r="N1518" s="209">
        <v>50039815</v>
      </c>
      <c r="O1518" s="209" t="s">
        <v>2454</v>
      </c>
      <c r="P1518" s="209">
        <v>5121</v>
      </c>
      <c r="Q1518" s="209" t="s">
        <v>200</v>
      </c>
      <c r="R1518" s="209" t="s">
        <v>201</v>
      </c>
      <c r="S1518" s="209" t="s">
        <v>202</v>
      </c>
      <c r="T1518" s="209" t="s">
        <v>203</v>
      </c>
      <c r="U1518" s="209" t="s">
        <v>201</v>
      </c>
      <c r="V1518" s="209" t="s">
        <v>179</v>
      </c>
      <c r="W1518" s="209" t="s">
        <v>179</v>
      </c>
      <c r="X1518" s="209" t="s">
        <v>180</v>
      </c>
      <c r="Y1518" s="209" t="s">
        <v>180</v>
      </c>
      <c r="Z1518" s="209" t="s">
        <v>3082</v>
      </c>
      <c r="AA1518" s="209" t="s">
        <v>3083</v>
      </c>
      <c r="AB1518" s="209" t="s">
        <v>180</v>
      </c>
      <c r="AC1518" s="209" t="s">
        <v>182</v>
      </c>
      <c r="AD1518" s="209">
        <v>10</v>
      </c>
      <c r="AE1518" s="209">
        <v>2025</v>
      </c>
      <c r="AF1518" s="227">
        <v>45938</v>
      </c>
      <c r="AG1518" s="227">
        <v>45944</v>
      </c>
      <c r="AH1518" s="227">
        <v>45944</v>
      </c>
      <c r="AI1518" s="228">
        <v>426816</v>
      </c>
      <c r="AJ1518" s="228">
        <v>52</v>
      </c>
      <c r="AK1518" s="228">
        <v>426816</v>
      </c>
      <c r="AL1518" s="228">
        <v>52</v>
      </c>
      <c r="AM1518" s="228">
        <v>0</v>
      </c>
      <c r="AN1518" s="228">
        <v>0</v>
      </c>
      <c r="AO1518" s="229">
        <v>42</v>
      </c>
      <c r="AP1518" s="231">
        <v>10</v>
      </c>
      <c r="AQ1518" s="231">
        <v>2025</v>
      </c>
      <c r="AR1518" s="231" t="str">
        <f t="shared" si="219"/>
        <v>10/2025</v>
      </c>
      <c r="AS1518" s="231">
        <f t="shared" si="220"/>
        <v>46.6</v>
      </c>
      <c r="AT1518" s="239">
        <f>IF(G1518="CERVECERIA Y MALTERIA",(AS1518*AK1518/1000000)*(1-VLOOKUP(N1518,FCST!D:I,6,FALSE)),0)</f>
        <v>15.911700480000002</v>
      </c>
      <c r="AU1518" s="232">
        <v>5.0000000000000001E-3</v>
      </c>
      <c r="AV1518" s="239">
        <f t="shared" si="221"/>
        <v>15.9912589824</v>
      </c>
      <c r="AW1518" s="239">
        <f>(AS1518*AK1518/1000000)*(VLOOKUP(N1518,FCST!D:I,6,FALSE))</f>
        <v>3.9779251200000005</v>
      </c>
      <c r="AX1518" s="239">
        <f t="shared" si="222"/>
        <v>3.9978147455999999</v>
      </c>
      <c r="AY1518" s="239">
        <f>IF($G1518="CERVECERIA Y MALTERIA.",($AS1518*$AK1518/1000000)*(1-VLOOKUP($N1518,FCST!D:I,6,FALSE)),0)</f>
        <v>0</v>
      </c>
      <c r="AZ1518" s="239">
        <f t="shared" si="223"/>
        <v>0</v>
      </c>
    </row>
    <row r="1519" spans="1:52" x14ac:dyDescent="0.25">
      <c r="A1519" s="209">
        <v>1144410</v>
      </c>
      <c r="B1519" s="209">
        <v>100</v>
      </c>
      <c r="C1519" s="209" t="s">
        <v>3338</v>
      </c>
      <c r="D1519" s="209">
        <v>10</v>
      </c>
      <c r="E1519" s="209">
        <v>10000002</v>
      </c>
      <c r="F1519" s="209">
        <v>20000335</v>
      </c>
      <c r="G1519" s="209" t="s">
        <v>105</v>
      </c>
      <c r="H1519" s="209">
        <v>20000335</v>
      </c>
      <c r="I1519" s="209">
        <v>2</v>
      </c>
      <c r="J1519" s="209" t="s">
        <v>169</v>
      </c>
      <c r="K1519" s="209" t="s">
        <v>3339</v>
      </c>
      <c r="L1519" s="209" t="s">
        <v>265</v>
      </c>
      <c r="M1519" s="209" t="s">
        <v>184</v>
      </c>
      <c r="N1519" s="209">
        <v>50025345</v>
      </c>
      <c r="O1519" s="209" t="s">
        <v>1998</v>
      </c>
      <c r="P1519" s="209">
        <v>5121</v>
      </c>
      <c r="Q1519" s="209" t="s">
        <v>174</v>
      </c>
      <c r="R1519" s="209" t="s">
        <v>175</v>
      </c>
      <c r="S1519" s="209" t="s">
        <v>176</v>
      </c>
      <c r="T1519" s="209" t="s">
        <v>177</v>
      </c>
      <c r="U1519" s="209" t="s">
        <v>178</v>
      </c>
      <c r="V1519" s="209" t="s">
        <v>179</v>
      </c>
      <c r="W1519" s="209" t="s">
        <v>179</v>
      </c>
      <c r="X1519" s="209" t="s">
        <v>180</v>
      </c>
      <c r="Y1519" s="209" t="s">
        <v>180</v>
      </c>
      <c r="Z1519" s="209" t="s">
        <v>3100</v>
      </c>
      <c r="AA1519" s="209" t="s">
        <v>3101</v>
      </c>
      <c r="AB1519" s="209" t="s">
        <v>180</v>
      </c>
      <c r="AC1519" s="209" t="s">
        <v>182</v>
      </c>
      <c r="AD1519" s="209">
        <v>10</v>
      </c>
      <c r="AE1519" s="209">
        <v>2025</v>
      </c>
      <c r="AF1519" s="227">
        <v>45938</v>
      </c>
      <c r="AG1519" s="227">
        <v>45944</v>
      </c>
      <c r="AH1519" s="227">
        <v>45944</v>
      </c>
      <c r="AI1519" s="228">
        <v>426816</v>
      </c>
      <c r="AJ1519" s="228">
        <v>52</v>
      </c>
      <c r="AK1519" s="228">
        <v>426816</v>
      </c>
      <c r="AL1519" s="228">
        <v>52</v>
      </c>
      <c r="AM1519" s="228">
        <v>0</v>
      </c>
      <c r="AN1519" s="228">
        <v>0</v>
      </c>
      <c r="AO1519" s="229">
        <v>42</v>
      </c>
      <c r="AP1519" s="231">
        <v>10</v>
      </c>
      <c r="AQ1519" s="231">
        <v>2025</v>
      </c>
      <c r="AR1519" s="231" t="str">
        <f t="shared" si="219"/>
        <v>10/2025</v>
      </c>
      <c r="AS1519" s="231">
        <f t="shared" si="220"/>
        <v>46.6</v>
      </c>
      <c r="AT1519" s="239">
        <f>IF(G1519="CERVECERIA Y MALTERIA",(AS1519*AK1519/1000000)*(1-VLOOKUP(N1519,FCST!D:I,6,FALSE)),0)</f>
        <v>19.889625600000002</v>
      </c>
      <c r="AU1519" s="232">
        <v>5.0000000000000001E-3</v>
      </c>
      <c r="AV1519" s="239">
        <f t="shared" si="221"/>
        <v>19.989073728000001</v>
      </c>
      <c r="AW1519" s="239">
        <f>(AS1519*AK1519/1000000)*(VLOOKUP(N1519,FCST!D:I,6,FALSE))</f>
        <v>0</v>
      </c>
      <c r="AX1519" s="239">
        <f t="shared" si="222"/>
        <v>0</v>
      </c>
      <c r="AY1519" s="239">
        <f>IF($G1519="CERVECERIA Y MALTERIA.",($AS1519*$AK1519/1000000)*(1-VLOOKUP($N1519,FCST!D:I,6,FALSE)),0)</f>
        <v>0</v>
      </c>
      <c r="AZ1519" s="239">
        <f t="shared" si="223"/>
        <v>0</v>
      </c>
    </row>
    <row r="1520" spans="1:52" x14ac:dyDescent="0.25">
      <c r="A1520" s="209">
        <v>1144590</v>
      </c>
      <c r="B1520" s="209">
        <v>10</v>
      </c>
      <c r="C1520" s="209" t="s">
        <v>3340</v>
      </c>
      <c r="D1520" s="209">
        <v>10</v>
      </c>
      <c r="E1520" s="209">
        <v>10000002</v>
      </c>
      <c r="F1520" s="209">
        <v>20000337</v>
      </c>
      <c r="G1520" s="209" t="s">
        <v>105</v>
      </c>
      <c r="H1520" s="209">
        <v>20000337</v>
      </c>
      <c r="I1520" s="209">
        <v>2</v>
      </c>
      <c r="J1520" s="209" t="s">
        <v>169</v>
      </c>
      <c r="K1520" s="209" t="s">
        <v>3341</v>
      </c>
      <c r="L1520" s="209" t="s">
        <v>265</v>
      </c>
      <c r="M1520" s="209" t="s">
        <v>199</v>
      </c>
      <c r="N1520" s="209">
        <v>50034616</v>
      </c>
      <c r="O1520" s="209" t="s">
        <v>191</v>
      </c>
      <c r="P1520" s="209">
        <v>5121</v>
      </c>
      <c r="Q1520" s="209" t="s">
        <v>200</v>
      </c>
      <c r="R1520" s="209" t="s">
        <v>201</v>
      </c>
      <c r="S1520" s="209" t="s">
        <v>202</v>
      </c>
      <c r="T1520" s="209" t="s">
        <v>203</v>
      </c>
      <c r="U1520" s="209" t="s">
        <v>201</v>
      </c>
      <c r="V1520" s="209" t="s">
        <v>179</v>
      </c>
      <c r="W1520" s="209" t="s">
        <v>179</v>
      </c>
      <c r="X1520" s="209" t="s">
        <v>180</v>
      </c>
      <c r="Y1520" s="209" t="s">
        <v>180</v>
      </c>
      <c r="Z1520" s="209" t="s">
        <v>3122</v>
      </c>
      <c r="AA1520" s="209" t="s">
        <v>3123</v>
      </c>
      <c r="AB1520" s="209" t="s">
        <v>180</v>
      </c>
      <c r="AC1520" s="209" t="s">
        <v>182</v>
      </c>
      <c r="AD1520" s="209">
        <v>10</v>
      </c>
      <c r="AE1520" s="209">
        <v>2025</v>
      </c>
      <c r="AF1520" s="227">
        <v>45939</v>
      </c>
      <c r="AG1520" s="227">
        <v>45944</v>
      </c>
      <c r="AH1520" s="227">
        <v>45944</v>
      </c>
      <c r="AI1520" s="228">
        <v>426816</v>
      </c>
      <c r="AJ1520" s="228">
        <v>52</v>
      </c>
      <c r="AK1520" s="228">
        <v>426816</v>
      </c>
      <c r="AL1520" s="228">
        <v>52</v>
      </c>
      <c r="AM1520" s="228">
        <v>0</v>
      </c>
      <c r="AN1520" s="228">
        <v>0</v>
      </c>
      <c r="AO1520" s="229">
        <v>42</v>
      </c>
      <c r="AP1520" s="231">
        <v>10</v>
      </c>
      <c r="AQ1520" s="231">
        <v>2025</v>
      </c>
      <c r="AR1520" s="231" t="str">
        <f t="shared" si="219"/>
        <v>10/2025</v>
      </c>
      <c r="AS1520" s="231">
        <f t="shared" si="220"/>
        <v>46.6</v>
      </c>
      <c r="AT1520" s="239">
        <f>IF(G1520="CERVECERIA Y MALTERIA",(AS1520*AK1520/1000000)*(1-VLOOKUP(N1520,FCST!D:I,6,FALSE)),0)</f>
        <v>19.889625600000002</v>
      </c>
      <c r="AU1520" s="232">
        <v>5.0000000000000001E-3</v>
      </c>
      <c r="AV1520" s="239">
        <f t="shared" si="221"/>
        <v>19.989073728000001</v>
      </c>
      <c r="AW1520" s="239">
        <f>(AS1520*AK1520/1000000)*(VLOOKUP(N1520,FCST!D:I,6,FALSE))</f>
        <v>0</v>
      </c>
      <c r="AX1520" s="239">
        <f t="shared" si="222"/>
        <v>0</v>
      </c>
      <c r="AY1520" s="239">
        <f>IF($G1520="CERVECERIA Y MALTERIA.",($AS1520*$AK1520/1000000)*(1-VLOOKUP($N1520,FCST!D:I,6,FALSE)),0)</f>
        <v>0</v>
      </c>
      <c r="AZ1520" s="239">
        <f t="shared" si="223"/>
        <v>0</v>
      </c>
    </row>
    <row r="1521" spans="1:52" x14ac:dyDescent="0.25">
      <c r="A1521" s="209">
        <v>1144410</v>
      </c>
      <c r="B1521" s="209">
        <v>40</v>
      </c>
      <c r="C1521" s="209" t="s">
        <v>3342</v>
      </c>
      <c r="D1521" s="209">
        <v>10</v>
      </c>
      <c r="E1521" s="209">
        <v>10000002</v>
      </c>
      <c r="F1521" s="209">
        <v>20000335</v>
      </c>
      <c r="G1521" s="209" t="s">
        <v>105</v>
      </c>
      <c r="H1521" s="209">
        <v>20000335</v>
      </c>
      <c r="I1521" s="209">
        <v>2</v>
      </c>
      <c r="J1521" s="209" t="s">
        <v>169</v>
      </c>
      <c r="K1521" s="209" t="s">
        <v>3343</v>
      </c>
      <c r="L1521" s="209" t="s">
        <v>265</v>
      </c>
      <c r="M1521" s="209" t="s">
        <v>199</v>
      </c>
      <c r="N1521" s="209">
        <v>50039815</v>
      </c>
      <c r="O1521" s="209" t="s">
        <v>2454</v>
      </c>
      <c r="P1521" s="209">
        <v>5121</v>
      </c>
      <c r="Q1521" s="209" t="s">
        <v>200</v>
      </c>
      <c r="R1521" s="209" t="s">
        <v>201</v>
      </c>
      <c r="S1521" s="209" t="s">
        <v>202</v>
      </c>
      <c r="T1521" s="209" t="s">
        <v>203</v>
      </c>
      <c r="U1521" s="209" t="s">
        <v>201</v>
      </c>
      <c r="V1521" s="209" t="s">
        <v>179</v>
      </c>
      <c r="W1521" s="209" t="s">
        <v>179</v>
      </c>
      <c r="X1521" s="209" t="s">
        <v>180</v>
      </c>
      <c r="Y1521" s="209" t="s">
        <v>180</v>
      </c>
      <c r="Z1521" s="209" t="s">
        <v>3082</v>
      </c>
      <c r="AA1521" s="209" t="s">
        <v>3083</v>
      </c>
      <c r="AB1521" s="209" t="s">
        <v>180</v>
      </c>
      <c r="AC1521" s="209" t="s">
        <v>182</v>
      </c>
      <c r="AD1521" s="209">
        <v>10</v>
      </c>
      <c r="AE1521" s="209">
        <v>2025</v>
      </c>
      <c r="AF1521" s="227">
        <v>45938</v>
      </c>
      <c r="AG1521" s="227">
        <v>45946</v>
      </c>
      <c r="AH1521" s="227">
        <v>45946</v>
      </c>
      <c r="AI1521" s="228">
        <v>426816</v>
      </c>
      <c r="AJ1521" s="228">
        <v>52</v>
      </c>
      <c r="AK1521" s="228">
        <v>426816</v>
      </c>
      <c r="AL1521" s="228">
        <v>52</v>
      </c>
      <c r="AM1521" s="228">
        <v>0</v>
      </c>
      <c r="AN1521" s="228">
        <v>0</v>
      </c>
      <c r="AO1521" s="229">
        <v>42</v>
      </c>
      <c r="AP1521" s="231">
        <v>10</v>
      </c>
      <c r="AQ1521" s="231">
        <v>2025</v>
      </c>
      <c r="AR1521" s="231" t="str">
        <f t="shared" si="219"/>
        <v>10/2025</v>
      </c>
      <c r="AS1521" s="231">
        <f t="shared" si="220"/>
        <v>46.6</v>
      </c>
      <c r="AT1521" s="239">
        <f>IF(G1521="CERVECERIA Y MALTERIA",(AS1521*AK1521/1000000)*(1-VLOOKUP(N1521,FCST!D:I,6,FALSE)),0)</f>
        <v>15.911700480000002</v>
      </c>
      <c r="AU1521" s="232">
        <v>5.0000000000000001E-3</v>
      </c>
      <c r="AV1521" s="239">
        <f t="shared" si="221"/>
        <v>15.9912589824</v>
      </c>
      <c r="AW1521" s="239">
        <f>(AS1521*AK1521/1000000)*(VLOOKUP(N1521,FCST!D:I,6,FALSE))</f>
        <v>3.9779251200000005</v>
      </c>
      <c r="AX1521" s="239">
        <f t="shared" si="222"/>
        <v>3.9978147455999999</v>
      </c>
      <c r="AY1521" s="239">
        <f>IF($G1521="CERVECERIA Y MALTERIA.",($AS1521*$AK1521/1000000)*(1-VLOOKUP($N1521,FCST!D:I,6,FALSE)),0)</f>
        <v>0</v>
      </c>
      <c r="AZ1521" s="239">
        <f t="shared" si="223"/>
        <v>0</v>
      </c>
    </row>
    <row r="1522" spans="1:52" x14ac:dyDescent="0.25">
      <c r="A1522" s="209">
        <v>1144410</v>
      </c>
      <c r="B1522" s="209">
        <v>120</v>
      </c>
      <c r="C1522" s="209" t="s">
        <v>3344</v>
      </c>
      <c r="D1522" s="209">
        <v>10</v>
      </c>
      <c r="E1522" s="209">
        <v>10000002</v>
      </c>
      <c r="F1522" s="209">
        <v>20000335</v>
      </c>
      <c r="G1522" s="209" t="s">
        <v>105</v>
      </c>
      <c r="H1522" s="209">
        <v>20000335</v>
      </c>
      <c r="I1522" s="209">
        <v>2</v>
      </c>
      <c r="J1522" s="209" t="s">
        <v>169</v>
      </c>
      <c r="K1522" s="209" t="s">
        <v>3345</v>
      </c>
      <c r="L1522" s="209" t="s">
        <v>265</v>
      </c>
      <c r="M1522" s="209" t="s">
        <v>199</v>
      </c>
      <c r="N1522" s="209">
        <v>50025345</v>
      </c>
      <c r="O1522" s="209" t="s">
        <v>1998</v>
      </c>
      <c r="P1522" s="209">
        <v>5121</v>
      </c>
      <c r="Q1522" s="209" t="s">
        <v>200</v>
      </c>
      <c r="R1522" s="209" t="s">
        <v>201</v>
      </c>
      <c r="S1522" s="209" t="s">
        <v>202</v>
      </c>
      <c r="T1522" s="209" t="s">
        <v>203</v>
      </c>
      <c r="U1522" s="209" t="s">
        <v>201</v>
      </c>
      <c r="V1522" s="209" t="s">
        <v>179</v>
      </c>
      <c r="W1522" s="209" t="s">
        <v>179</v>
      </c>
      <c r="X1522" s="209" t="s">
        <v>180</v>
      </c>
      <c r="Y1522" s="209" t="s">
        <v>180</v>
      </c>
      <c r="Z1522" s="209" t="s">
        <v>3100</v>
      </c>
      <c r="AA1522" s="209" t="s">
        <v>3101</v>
      </c>
      <c r="AB1522" s="209" t="s">
        <v>180</v>
      </c>
      <c r="AC1522" s="209" t="s">
        <v>182</v>
      </c>
      <c r="AD1522" s="209">
        <v>10</v>
      </c>
      <c r="AE1522" s="209">
        <v>2025</v>
      </c>
      <c r="AF1522" s="227">
        <v>45938</v>
      </c>
      <c r="AG1522" s="227">
        <v>45947</v>
      </c>
      <c r="AH1522" s="227">
        <v>45947</v>
      </c>
      <c r="AI1522" s="228">
        <v>426816</v>
      </c>
      <c r="AJ1522" s="228">
        <v>52</v>
      </c>
      <c r="AK1522" s="228">
        <v>426816</v>
      </c>
      <c r="AL1522" s="228">
        <v>52</v>
      </c>
      <c r="AM1522" s="228">
        <v>0</v>
      </c>
      <c r="AN1522" s="228">
        <v>0</v>
      </c>
      <c r="AO1522" s="229">
        <v>42</v>
      </c>
      <c r="AP1522" s="231">
        <v>10</v>
      </c>
      <c r="AQ1522" s="231">
        <v>2025</v>
      </c>
      <c r="AR1522" s="231" t="str">
        <f t="shared" si="219"/>
        <v>10/2025</v>
      </c>
      <c r="AS1522" s="231">
        <f t="shared" si="220"/>
        <v>46.6</v>
      </c>
      <c r="AT1522" s="239">
        <f>IF(G1522="CERVECERIA Y MALTERIA",(AS1522*AK1522/1000000)*(1-VLOOKUP(N1522,FCST!D:I,6,FALSE)),0)</f>
        <v>19.889625600000002</v>
      </c>
      <c r="AU1522" s="232">
        <v>5.0000000000000001E-3</v>
      </c>
      <c r="AV1522" s="239">
        <f t="shared" si="221"/>
        <v>19.989073728000001</v>
      </c>
      <c r="AW1522" s="239">
        <f>(AS1522*AK1522/1000000)*(VLOOKUP(N1522,FCST!D:I,6,FALSE))</f>
        <v>0</v>
      </c>
      <c r="AX1522" s="239">
        <f t="shared" si="222"/>
        <v>0</v>
      </c>
      <c r="AY1522" s="239">
        <f>IF($G1522="CERVECERIA Y MALTERIA.",($AS1522*$AK1522/1000000)*(1-VLOOKUP($N1522,FCST!D:I,6,FALSE)),0)</f>
        <v>0</v>
      </c>
      <c r="AZ1522" s="239">
        <f t="shared" si="223"/>
        <v>0</v>
      </c>
    </row>
    <row r="1523" spans="1:52" x14ac:dyDescent="0.25">
      <c r="A1523" s="209">
        <v>1144590</v>
      </c>
      <c r="B1523" s="209">
        <v>20</v>
      </c>
      <c r="C1523" s="209" t="s">
        <v>3346</v>
      </c>
      <c r="D1523" s="209">
        <v>10</v>
      </c>
      <c r="E1523" s="209">
        <v>10000002</v>
      </c>
      <c r="F1523" s="209">
        <v>20000337</v>
      </c>
      <c r="G1523" s="209" t="s">
        <v>105</v>
      </c>
      <c r="H1523" s="209">
        <v>20000337</v>
      </c>
      <c r="I1523" s="209">
        <v>2</v>
      </c>
      <c r="J1523" s="209" t="s">
        <v>169</v>
      </c>
      <c r="K1523" s="209" t="s">
        <v>3347</v>
      </c>
      <c r="L1523" s="209" t="s">
        <v>265</v>
      </c>
      <c r="M1523" s="209" t="s">
        <v>199</v>
      </c>
      <c r="N1523" s="209">
        <v>50034616</v>
      </c>
      <c r="O1523" s="209" t="s">
        <v>191</v>
      </c>
      <c r="P1523" s="209">
        <v>5121</v>
      </c>
      <c r="Q1523" s="209" t="s">
        <v>200</v>
      </c>
      <c r="R1523" s="209" t="s">
        <v>201</v>
      </c>
      <c r="S1523" s="209" t="s">
        <v>202</v>
      </c>
      <c r="T1523" s="209" t="s">
        <v>203</v>
      </c>
      <c r="U1523" s="209" t="s">
        <v>201</v>
      </c>
      <c r="V1523" s="209" t="s">
        <v>179</v>
      </c>
      <c r="W1523" s="209" t="s">
        <v>179</v>
      </c>
      <c r="X1523" s="209" t="s">
        <v>180</v>
      </c>
      <c r="Y1523" s="209" t="s">
        <v>180</v>
      </c>
      <c r="Z1523" s="209" t="s">
        <v>3122</v>
      </c>
      <c r="AA1523" s="209" t="s">
        <v>3123</v>
      </c>
      <c r="AB1523" s="209" t="s">
        <v>180</v>
      </c>
      <c r="AC1523" s="209" t="s">
        <v>182</v>
      </c>
      <c r="AD1523" s="209">
        <v>10</v>
      </c>
      <c r="AE1523" s="209">
        <v>2025</v>
      </c>
      <c r="AF1523" s="227">
        <v>45939</v>
      </c>
      <c r="AG1523" s="227">
        <v>45945</v>
      </c>
      <c r="AH1523" s="227">
        <v>45945</v>
      </c>
      <c r="AI1523" s="228">
        <v>426816</v>
      </c>
      <c r="AJ1523" s="228">
        <v>52</v>
      </c>
      <c r="AK1523" s="228">
        <v>426816</v>
      </c>
      <c r="AL1523" s="228">
        <v>52</v>
      </c>
      <c r="AM1523" s="228">
        <v>0</v>
      </c>
      <c r="AN1523" s="228">
        <v>0</v>
      </c>
      <c r="AO1523" s="229">
        <v>42</v>
      </c>
      <c r="AP1523" s="231">
        <v>10</v>
      </c>
      <c r="AQ1523" s="231">
        <v>2025</v>
      </c>
      <c r="AR1523" s="231" t="str">
        <f t="shared" si="219"/>
        <v>10/2025</v>
      </c>
      <c r="AS1523" s="231">
        <f t="shared" si="220"/>
        <v>46.6</v>
      </c>
      <c r="AT1523" s="239">
        <f>IF(G1523="CERVECERIA Y MALTERIA",(AS1523*AK1523/1000000)*(1-VLOOKUP(N1523,FCST!D:I,6,FALSE)),0)</f>
        <v>19.889625600000002</v>
      </c>
      <c r="AU1523" s="232">
        <v>5.0000000000000001E-3</v>
      </c>
      <c r="AV1523" s="239">
        <f t="shared" si="221"/>
        <v>19.989073728000001</v>
      </c>
      <c r="AW1523" s="239">
        <f>(AS1523*AK1523/1000000)*(VLOOKUP(N1523,FCST!D:I,6,FALSE))</f>
        <v>0</v>
      </c>
      <c r="AX1523" s="239">
        <f t="shared" si="222"/>
        <v>0</v>
      </c>
      <c r="AY1523" s="239">
        <f>IF($G1523="CERVECERIA Y MALTERIA.",($AS1523*$AK1523/1000000)*(1-VLOOKUP($N1523,FCST!D:I,6,FALSE)),0)</f>
        <v>0</v>
      </c>
      <c r="AZ1523" s="239">
        <f t="shared" si="223"/>
        <v>0</v>
      </c>
    </row>
    <row r="1524" spans="1:52" x14ac:dyDescent="0.25">
      <c r="A1524" s="209">
        <v>1144410</v>
      </c>
      <c r="B1524" s="209">
        <v>70</v>
      </c>
      <c r="C1524" s="209" t="s">
        <v>3348</v>
      </c>
      <c r="D1524" s="209">
        <v>10</v>
      </c>
      <c r="E1524" s="209">
        <v>10000002</v>
      </c>
      <c r="F1524" s="209">
        <v>20000335</v>
      </c>
      <c r="G1524" s="209" t="s">
        <v>105</v>
      </c>
      <c r="H1524" s="209">
        <v>20000335</v>
      </c>
      <c r="I1524" s="209">
        <v>2</v>
      </c>
      <c r="J1524" s="209" t="s">
        <v>169</v>
      </c>
      <c r="K1524" s="209" t="s">
        <v>3349</v>
      </c>
      <c r="L1524" s="209" t="s">
        <v>265</v>
      </c>
      <c r="M1524" s="209" t="s">
        <v>2718</v>
      </c>
      <c r="N1524" s="209">
        <v>50037887</v>
      </c>
      <c r="O1524" s="209" t="s">
        <v>679</v>
      </c>
      <c r="P1524" s="209">
        <v>5121</v>
      </c>
      <c r="Q1524" s="209" t="s">
        <v>174</v>
      </c>
      <c r="R1524" s="209" t="s">
        <v>175</v>
      </c>
      <c r="S1524" s="209" t="s">
        <v>176</v>
      </c>
      <c r="T1524" s="209" t="s">
        <v>177</v>
      </c>
      <c r="U1524" s="209" t="s">
        <v>178</v>
      </c>
      <c r="V1524" s="209" t="s">
        <v>179</v>
      </c>
      <c r="W1524" s="209" t="s">
        <v>179</v>
      </c>
      <c r="X1524" s="209" t="s">
        <v>180</v>
      </c>
      <c r="Y1524" s="209" t="s">
        <v>180</v>
      </c>
      <c r="Z1524" s="209" t="s">
        <v>3090</v>
      </c>
      <c r="AA1524" s="209" t="s">
        <v>3091</v>
      </c>
      <c r="AB1524" s="209" t="s">
        <v>180</v>
      </c>
      <c r="AC1524" s="209" t="s">
        <v>182</v>
      </c>
      <c r="AD1524" s="209">
        <v>10</v>
      </c>
      <c r="AE1524" s="209">
        <v>2025</v>
      </c>
      <c r="AF1524" s="227">
        <v>45938</v>
      </c>
      <c r="AG1524" s="227">
        <v>45945</v>
      </c>
      <c r="AH1524" s="227">
        <v>45945</v>
      </c>
      <c r="AI1524" s="228">
        <v>531648</v>
      </c>
      <c r="AJ1524" s="228">
        <v>52</v>
      </c>
      <c r="AK1524" s="228">
        <v>531648</v>
      </c>
      <c r="AL1524" s="228">
        <v>52</v>
      </c>
      <c r="AM1524" s="228">
        <v>0</v>
      </c>
      <c r="AN1524" s="228">
        <v>0</v>
      </c>
      <c r="AO1524" s="229">
        <v>42</v>
      </c>
      <c r="AP1524" s="231">
        <v>10</v>
      </c>
      <c r="AQ1524" s="231">
        <v>2025</v>
      </c>
      <c r="AR1524" s="231" t="str">
        <f t="shared" si="219"/>
        <v>10/2025</v>
      </c>
      <c r="AS1524" s="231">
        <f t="shared" si="220"/>
        <v>37.200000000000003</v>
      </c>
      <c r="AT1524" s="239">
        <f>IF(G1524="CERVECERIA Y MALTERIA",(AS1524*AK1524/1000000)*(1-VLOOKUP(N1524,FCST!D:I,6,FALSE)),0)</f>
        <v>19.777305600000002</v>
      </c>
      <c r="AU1524" s="232">
        <v>5.0000000000000001E-3</v>
      </c>
      <c r="AV1524" s="239">
        <f t="shared" si="221"/>
        <v>19.876192128</v>
      </c>
      <c r="AW1524" s="239">
        <f>(AS1524*AK1524/1000000)*(VLOOKUP(N1524,FCST!D:I,6,FALSE))</f>
        <v>0</v>
      </c>
      <c r="AX1524" s="239">
        <f t="shared" si="222"/>
        <v>0</v>
      </c>
      <c r="AY1524" s="239">
        <f>IF($G1524="CERVECERIA Y MALTERIA.",($AS1524*$AK1524/1000000)*(1-VLOOKUP($N1524,FCST!D:I,6,FALSE)),0)</f>
        <v>0</v>
      </c>
      <c r="AZ1524" s="239">
        <f t="shared" si="223"/>
        <v>0</v>
      </c>
    </row>
    <row r="1525" spans="1:52" x14ac:dyDescent="0.25">
      <c r="A1525" s="209">
        <v>1144410</v>
      </c>
      <c r="B1525" s="209">
        <v>110</v>
      </c>
      <c r="C1525" s="209" t="s">
        <v>3350</v>
      </c>
      <c r="D1525" s="209">
        <v>10</v>
      </c>
      <c r="E1525" s="209">
        <v>10000002</v>
      </c>
      <c r="F1525" s="209">
        <v>20000335</v>
      </c>
      <c r="G1525" s="209" t="s">
        <v>105</v>
      </c>
      <c r="H1525" s="209">
        <v>20000335</v>
      </c>
      <c r="I1525" s="209">
        <v>2</v>
      </c>
      <c r="J1525" s="209" t="s">
        <v>169</v>
      </c>
      <c r="K1525" s="209" t="s">
        <v>3351</v>
      </c>
      <c r="L1525" s="209" t="s">
        <v>265</v>
      </c>
      <c r="M1525" s="209" t="s">
        <v>2718</v>
      </c>
      <c r="N1525" s="209">
        <v>50025345</v>
      </c>
      <c r="O1525" s="209" t="s">
        <v>1998</v>
      </c>
      <c r="P1525" s="209">
        <v>5121</v>
      </c>
      <c r="Q1525" s="209" t="s">
        <v>174</v>
      </c>
      <c r="R1525" s="209" t="s">
        <v>175</v>
      </c>
      <c r="S1525" s="209" t="s">
        <v>176</v>
      </c>
      <c r="T1525" s="209" t="s">
        <v>177</v>
      </c>
      <c r="U1525" s="209" t="s">
        <v>178</v>
      </c>
      <c r="V1525" s="209" t="s">
        <v>179</v>
      </c>
      <c r="W1525" s="209" t="s">
        <v>179</v>
      </c>
      <c r="X1525" s="209" t="s">
        <v>180</v>
      </c>
      <c r="Y1525" s="209" t="s">
        <v>180</v>
      </c>
      <c r="Z1525" s="209" t="s">
        <v>3100</v>
      </c>
      <c r="AA1525" s="209" t="s">
        <v>3101</v>
      </c>
      <c r="AB1525" s="209" t="s">
        <v>180</v>
      </c>
      <c r="AC1525" s="209" t="s">
        <v>182</v>
      </c>
      <c r="AD1525" s="209">
        <v>10</v>
      </c>
      <c r="AE1525" s="209">
        <v>2025</v>
      </c>
      <c r="AF1525" s="227">
        <v>45938</v>
      </c>
      <c r="AG1525" s="227">
        <v>45945</v>
      </c>
      <c r="AH1525" s="227">
        <v>45945</v>
      </c>
      <c r="AI1525" s="228">
        <v>426816</v>
      </c>
      <c r="AJ1525" s="228">
        <v>52</v>
      </c>
      <c r="AK1525" s="228">
        <v>426816</v>
      </c>
      <c r="AL1525" s="228">
        <v>52</v>
      </c>
      <c r="AM1525" s="228">
        <v>0</v>
      </c>
      <c r="AN1525" s="228">
        <v>0</v>
      </c>
      <c r="AO1525" s="229">
        <v>42</v>
      </c>
      <c r="AP1525" s="231">
        <v>10</v>
      </c>
      <c r="AQ1525" s="231">
        <v>2025</v>
      </c>
      <c r="AR1525" s="231" t="str">
        <f t="shared" si="219"/>
        <v>10/2025</v>
      </c>
      <c r="AS1525" s="231">
        <f t="shared" si="220"/>
        <v>46.6</v>
      </c>
      <c r="AT1525" s="239">
        <f>IF(G1525="CERVECERIA Y MALTERIA",(AS1525*AK1525/1000000)*(1-VLOOKUP(N1525,FCST!D:I,6,FALSE)),0)</f>
        <v>19.889625600000002</v>
      </c>
      <c r="AU1525" s="232">
        <v>5.0000000000000001E-3</v>
      </c>
      <c r="AV1525" s="239">
        <f t="shared" si="221"/>
        <v>19.989073728000001</v>
      </c>
      <c r="AW1525" s="239">
        <f>(AS1525*AK1525/1000000)*(VLOOKUP(N1525,FCST!D:I,6,FALSE))</f>
        <v>0</v>
      </c>
      <c r="AX1525" s="239">
        <f t="shared" si="222"/>
        <v>0</v>
      </c>
      <c r="AY1525" s="239">
        <f>IF($G1525="CERVECERIA Y MALTERIA.",($AS1525*$AK1525/1000000)*(1-VLOOKUP($N1525,FCST!D:I,6,FALSE)),0)</f>
        <v>0</v>
      </c>
      <c r="AZ1525" s="239">
        <f t="shared" si="223"/>
        <v>0</v>
      </c>
    </row>
    <row r="1526" spans="1:52" x14ac:dyDescent="0.25">
      <c r="A1526" s="209">
        <v>1144469</v>
      </c>
      <c r="B1526" s="209">
        <v>20</v>
      </c>
      <c r="C1526" s="209" t="s">
        <v>3352</v>
      </c>
      <c r="D1526" s="209">
        <v>10</v>
      </c>
      <c r="E1526" s="209">
        <v>10000002</v>
      </c>
      <c r="F1526" s="209">
        <v>20000336</v>
      </c>
      <c r="G1526" s="209" t="s">
        <v>105</v>
      </c>
      <c r="H1526" s="209">
        <v>20000336</v>
      </c>
      <c r="I1526" s="209">
        <v>2</v>
      </c>
      <c r="J1526" s="209" t="s">
        <v>169</v>
      </c>
      <c r="K1526" s="209" t="s">
        <v>3353</v>
      </c>
      <c r="L1526" s="209" t="s">
        <v>265</v>
      </c>
      <c r="M1526" s="209" t="s">
        <v>2718</v>
      </c>
      <c r="N1526" s="209">
        <v>50037887</v>
      </c>
      <c r="O1526" s="209" t="s">
        <v>679</v>
      </c>
      <c r="P1526" s="209">
        <v>5121</v>
      </c>
      <c r="Q1526" s="209" t="s">
        <v>174</v>
      </c>
      <c r="R1526" s="209" t="s">
        <v>175</v>
      </c>
      <c r="S1526" s="209" t="s">
        <v>176</v>
      </c>
      <c r="T1526" s="209" t="s">
        <v>177</v>
      </c>
      <c r="U1526" s="209" t="s">
        <v>178</v>
      </c>
      <c r="V1526" s="209" t="s">
        <v>179</v>
      </c>
      <c r="W1526" s="209" t="s">
        <v>179</v>
      </c>
      <c r="X1526" s="209" t="s">
        <v>180</v>
      </c>
      <c r="Y1526" s="209" t="s">
        <v>180</v>
      </c>
      <c r="Z1526" s="209" t="s">
        <v>3354</v>
      </c>
      <c r="AA1526" s="209" t="s">
        <v>3355</v>
      </c>
      <c r="AB1526" s="209" t="s">
        <v>180</v>
      </c>
      <c r="AC1526" s="209" t="s">
        <v>182</v>
      </c>
      <c r="AD1526" s="209">
        <v>10</v>
      </c>
      <c r="AE1526" s="209">
        <v>2025</v>
      </c>
      <c r="AF1526" s="227">
        <v>45939</v>
      </c>
      <c r="AG1526" s="227">
        <v>45945</v>
      </c>
      <c r="AH1526" s="227">
        <v>45945</v>
      </c>
      <c r="AI1526" s="228">
        <v>531648</v>
      </c>
      <c r="AJ1526" s="228">
        <v>52</v>
      </c>
      <c r="AK1526" s="228">
        <v>531648</v>
      </c>
      <c r="AL1526" s="228">
        <v>52</v>
      </c>
      <c r="AM1526" s="228">
        <v>0</v>
      </c>
      <c r="AN1526" s="228">
        <v>0</v>
      </c>
      <c r="AO1526" s="229">
        <v>42</v>
      </c>
      <c r="AP1526" s="231">
        <v>10</v>
      </c>
      <c r="AQ1526" s="231">
        <v>2025</v>
      </c>
      <c r="AR1526" s="231" t="str">
        <f t="shared" si="219"/>
        <v>10/2025</v>
      </c>
      <c r="AS1526" s="231">
        <f t="shared" si="220"/>
        <v>37.200000000000003</v>
      </c>
      <c r="AT1526" s="239">
        <f>IF(G1526="CERVECERIA Y MALTERIA",(AS1526*AK1526/1000000)*(1-VLOOKUP(N1526,FCST!D:I,6,FALSE)),0)</f>
        <v>19.777305600000002</v>
      </c>
      <c r="AU1526" s="232">
        <v>5.0000000000000001E-3</v>
      </c>
      <c r="AV1526" s="239">
        <f t="shared" si="221"/>
        <v>19.876192128</v>
      </c>
      <c r="AW1526" s="239">
        <f>(AS1526*AK1526/1000000)*(VLOOKUP(N1526,FCST!D:I,6,FALSE))</f>
        <v>0</v>
      </c>
      <c r="AX1526" s="239">
        <f t="shared" si="222"/>
        <v>0</v>
      </c>
      <c r="AY1526" s="239">
        <f>IF($G1526="CERVECERIA Y MALTERIA.",($AS1526*$AK1526/1000000)*(1-VLOOKUP($N1526,FCST!D:I,6,FALSE)),0)</f>
        <v>0</v>
      </c>
      <c r="AZ1526" s="239">
        <f t="shared" si="223"/>
        <v>0</v>
      </c>
    </row>
    <row r="1527" spans="1:52" x14ac:dyDescent="0.25">
      <c r="A1527" s="209">
        <v>1143362</v>
      </c>
      <c r="B1527" s="209">
        <v>90</v>
      </c>
      <c r="C1527" s="209" t="s">
        <v>3356</v>
      </c>
      <c r="D1527" s="209">
        <v>10</v>
      </c>
      <c r="E1527" s="209">
        <v>10000002</v>
      </c>
      <c r="F1527" s="209">
        <v>20000335</v>
      </c>
      <c r="G1527" s="209" t="s">
        <v>105</v>
      </c>
      <c r="H1527" s="209">
        <v>20000335</v>
      </c>
      <c r="I1527" s="209">
        <v>2</v>
      </c>
      <c r="J1527" s="209" t="s">
        <v>169</v>
      </c>
      <c r="K1527" s="209" t="s">
        <v>3357</v>
      </c>
      <c r="L1527" s="209" t="s">
        <v>2610</v>
      </c>
      <c r="M1527" s="209" t="s">
        <v>2718</v>
      </c>
      <c r="N1527" s="209">
        <v>50037887</v>
      </c>
      <c r="O1527" s="209" t="s">
        <v>679</v>
      </c>
      <c r="P1527" s="209">
        <v>5121</v>
      </c>
      <c r="Q1527" s="209" t="s">
        <v>174</v>
      </c>
      <c r="R1527" s="209" t="s">
        <v>175</v>
      </c>
      <c r="S1527" s="209" t="s">
        <v>176</v>
      </c>
      <c r="T1527" s="209" t="s">
        <v>177</v>
      </c>
      <c r="U1527" s="209" t="s">
        <v>178</v>
      </c>
      <c r="V1527" s="209" t="s">
        <v>179</v>
      </c>
      <c r="W1527" s="209" t="s">
        <v>179</v>
      </c>
      <c r="X1527" s="209" t="s">
        <v>180</v>
      </c>
      <c r="Y1527" s="209" t="s">
        <v>180</v>
      </c>
      <c r="Z1527" s="209" t="s">
        <v>3090</v>
      </c>
      <c r="AA1527" s="209" t="s">
        <v>3091</v>
      </c>
      <c r="AB1527" s="209" t="s">
        <v>180</v>
      </c>
      <c r="AC1527" s="209" t="s">
        <v>182</v>
      </c>
      <c r="AD1527" s="209">
        <v>10</v>
      </c>
      <c r="AE1527" s="209">
        <v>2025</v>
      </c>
      <c r="AF1527" s="227">
        <v>45932</v>
      </c>
      <c r="AG1527" s="227">
        <v>45938</v>
      </c>
      <c r="AH1527" s="227">
        <v>45939</v>
      </c>
      <c r="AI1527" s="228">
        <v>531648</v>
      </c>
      <c r="AJ1527" s="228">
        <v>52</v>
      </c>
      <c r="AK1527" s="228">
        <v>531648</v>
      </c>
      <c r="AL1527" s="228">
        <v>52</v>
      </c>
      <c r="AM1527" s="228">
        <v>0</v>
      </c>
      <c r="AN1527" s="228">
        <v>0</v>
      </c>
      <c r="AO1527" s="229">
        <v>41</v>
      </c>
      <c r="AP1527" s="231">
        <v>10</v>
      </c>
      <c r="AQ1527" s="231">
        <v>2025</v>
      </c>
      <c r="AR1527" s="231" t="str">
        <f t="shared" si="219"/>
        <v>10/2025</v>
      </c>
      <c r="AS1527" s="231">
        <f t="shared" si="220"/>
        <v>37.200000000000003</v>
      </c>
      <c r="AT1527" s="239">
        <f>IF(G1527="CERVECERIA Y MALTERIA",(AS1527*AK1527/1000000)*(1-VLOOKUP(N1527,FCST!D:I,6,FALSE)),0)</f>
        <v>19.777305600000002</v>
      </c>
      <c r="AU1527" s="232">
        <v>5.0000000000000001E-3</v>
      </c>
      <c r="AV1527" s="239">
        <f t="shared" si="221"/>
        <v>19.876192128</v>
      </c>
      <c r="AW1527" s="239">
        <f>(AS1527*AK1527/1000000)*(VLOOKUP(N1527,FCST!D:I,6,FALSE))</f>
        <v>0</v>
      </c>
      <c r="AX1527" s="239">
        <f t="shared" si="222"/>
        <v>0</v>
      </c>
      <c r="AY1527" s="239">
        <f>IF($G1527="CERVECERIA Y MALTERIA.",($AS1527*$AK1527/1000000)*(1-VLOOKUP($N1527,FCST!D:I,6,FALSE)),0)</f>
        <v>0</v>
      </c>
      <c r="AZ1527" s="239">
        <f t="shared" si="223"/>
        <v>0</v>
      </c>
    </row>
    <row r="1528" spans="1:52" x14ac:dyDescent="0.25">
      <c r="A1528" s="209">
        <v>1143362</v>
      </c>
      <c r="B1528" s="209">
        <v>40</v>
      </c>
      <c r="C1528" s="209" t="s">
        <v>3358</v>
      </c>
      <c r="D1528" s="209">
        <v>10</v>
      </c>
      <c r="E1528" s="209">
        <v>10000002</v>
      </c>
      <c r="F1528" s="209">
        <v>20000335</v>
      </c>
      <c r="G1528" s="209" t="s">
        <v>105</v>
      </c>
      <c r="H1528" s="209">
        <v>20000335</v>
      </c>
      <c r="I1528" s="209">
        <v>2</v>
      </c>
      <c r="J1528" s="209" t="s">
        <v>169</v>
      </c>
      <c r="K1528" s="209" t="s">
        <v>3359</v>
      </c>
      <c r="L1528" s="209" t="s">
        <v>2610</v>
      </c>
      <c r="M1528" s="209" t="s">
        <v>199</v>
      </c>
      <c r="N1528" s="209">
        <v>50039815</v>
      </c>
      <c r="O1528" s="209" t="s">
        <v>2454</v>
      </c>
      <c r="P1528" s="209">
        <v>5121</v>
      </c>
      <c r="Q1528" s="209" t="s">
        <v>200</v>
      </c>
      <c r="R1528" s="209" t="s">
        <v>201</v>
      </c>
      <c r="S1528" s="209" t="s">
        <v>202</v>
      </c>
      <c r="T1528" s="209" t="s">
        <v>203</v>
      </c>
      <c r="U1528" s="209" t="s">
        <v>201</v>
      </c>
      <c r="V1528" s="209" t="s">
        <v>179</v>
      </c>
      <c r="W1528" s="209" t="s">
        <v>179</v>
      </c>
      <c r="X1528" s="209" t="s">
        <v>180</v>
      </c>
      <c r="Y1528" s="209" t="s">
        <v>180</v>
      </c>
      <c r="Z1528" s="209" t="s">
        <v>3082</v>
      </c>
      <c r="AA1528" s="209" t="s">
        <v>3083</v>
      </c>
      <c r="AB1528" s="209" t="s">
        <v>180</v>
      </c>
      <c r="AC1528" s="209" t="s">
        <v>182</v>
      </c>
      <c r="AD1528" s="209">
        <v>10</v>
      </c>
      <c r="AE1528" s="209">
        <v>2025</v>
      </c>
      <c r="AF1528" s="227">
        <v>45932</v>
      </c>
      <c r="AG1528" s="227">
        <v>45938</v>
      </c>
      <c r="AH1528" s="227">
        <v>45938</v>
      </c>
      <c r="AI1528" s="228">
        <v>426816</v>
      </c>
      <c r="AJ1528" s="228">
        <v>52</v>
      </c>
      <c r="AK1528" s="228">
        <v>426816</v>
      </c>
      <c r="AL1528" s="228">
        <v>52</v>
      </c>
      <c r="AM1528" s="228">
        <v>0</v>
      </c>
      <c r="AN1528" s="228">
        <v>0</v>
      </c>
      <c r="AO1528" s="229">
        <v>41</v>
      </c>
      <c r="AP1528" s="231">
        <v>10</v>
      </c>
      <c r="AQ1528" s="231">
        <v>2025</v>
      </c>
      <c r="AR1528" s="231" t="str">
        <f t="shared" si="219"/>
        <v>10/2025</v>
      </c>
      <c r="AS1528" s="231">
        <f t="shared" si="220"/>
        <v>46.6</v>
      </c>
      <c r="AT1528" s="239">
        <f>IF(G1528="CERVECERIA Y MALTERIA",(AS1528*AK1528/1000000)*(1-VLOOKUP(N1528,FCST!D:I,6,FALSE)),0)</f>
        <v>15.911700480000002</v>
      </c>
      <c r="AU1528" s="232">
        <v>5.0000000000000001E-3</v>
      </c>
      <c r="AV1528" s="239">
        <f t="shared" si="221"/>
        <v>15.9912589824</v>
      </c>
      <c r="AW1528" s="239">
        <f>(AS1528*AK1528/1000000)*(VLOOKUP(N1528,FCST!D:I,6,FALSE))</f>
        <v>3.9779251200000005</v>
      </c>
      <c r="AX1528" s="239">
        <f t="shared" si="222"/>
        <v>3.9978147455999999</v>
      </c>
      <c r="AY1528" s="239">
        <f>IF($G1528="CERVECERIA Y MALTERIA.",($AS1528*$AK1528/1000000)*(1-VLOOKUP($N1528,FCST!D:I,6,FALSE)),0)</f>
        <v>0</v>
      </c>
      <c r="AZ1528" s="239">
        <f t="shared" si="223"/>
        <v>0</v>
      </c>
    </row>
    <row r="1529" spans="1:52" x14ac:dyDescent="0.25">
      <c r="A1529" s="209">
        <v>1143607</v>
      </c>
      <c r="B1529" s="209">
        <v>20</v>
      </c>
      <c r="C1529" s="209" t="s">
        <v>3360</v>
      </c>
      <c r="D1529" s="209">
        <v>10</v>
      </c>
      <c r="E1529" s="209">
        <v>10000002</v>
      </c>
      <c r="F1529" s="209">
        <v>20000336</v>
      </c>
      <c r="G1529" s="209" t="s">
        <v>105</v>
      </c>
      <c r="H1529" s="209">
        <v>20000336</v>
      </c>
      <c r="I1529" s="209">
        <v>2</v>
      </c>
      <c r="J1529" s="209" t="s">
        <v>169</v>
      </c>
      <c r="K1529" s="209" t="s">
        <v>3361</v>
      </c>
      <c r="L1529" s="209" t="s">
        <v>2610</v>
      </c>
      <c r="M1529" s="209" t="s">
        <v>184</v>
      </c>
      <c r="N1529" s="209">
        <v>50021818</v>
      </c>
      <c r="O1529" s="209" t="s">
        <v>2170</v>
      </c>
      <c r="P1529" s="209">
        <v>5121</v>
      </c>
      <c r="Q1529" s="209" t="s">
        <v>174</v>
      </c>
      <c r="R1529" s="209" t="s">
        <v>175</v>
      </c>
      <c r="S1529" s="209" t="s">
        <v>176</v>
      </c>
      <c r="T1529" s="209" t="s">
        <v>177</v>
      </c>
      <c r="U1529" s="209" t="s">
        <v>178</v>
      </c>
      <c r="V1529" s="209" t="s">
        <v>179</v>
      </c>
      <c r="W1529" s="209" t="s">
        <v>179</v>
      </c>
      <c r="X1529" s="209" t="s">
        <v>180</v>
      </c>
      <c r="Y1529" s="209" t="s">
        <v>180</v>
      </c>
      <c r="Z1529" s="209" t="s">
        <v>3362</v>
      </c>
      <c r="AA1529" s="209" t="s">
        <v>3363</v>
      </c>
      <c r="AB1529" s="209" t="s">
        <v>180</v>
      </c>
      <c r="AC1529" s="209" t="s">
        <v>182</v>
      </c>
      <c r="AD1529" s="209">
        <v>10</v>
      </c>
      <c r="AE1529" s="209">
        <v>2025</v>
      </c>
      <c r="AF1529" s="227">
        <v>45933</v>
      </c>
      <c r="AG1529" s="227">
        <v>45938</v>
      </c>
      <c r="AH1529" s="227">
        <v>45938</v>
      </c>
      <c r="AI1529" s="228">
        <v>196992</v>
      </c>
      <c r="AJ1529" s="228">
        <v>24</v>
      </c>
      <c r="AK1529" s="228">
        <v>196992</v>
      </c>
      <c r="AL1529" s="228">
        <v>24</v>
      </c>
      <c r="AM1529" s="228">
        <v>0</v>
      </c>
      <c r="AN1529" s="228">
        <v>0</v>
      </c>
      <c r="AO1529" s="229">
        <v>41</v>
      </c>
      <c r="AP1529" s="231">
        <v>10</v>
      </c>
      <c r="AQ1529" s="231">
        <v>2025</v>
      </c>
      <c r="AR1529" s="231" t="str">
        <f t="shared" si="219"/>
        <v>10/2025</v>
      </c>
      <c r="AS1529" s="231">
        <f t="shared" si="220"/>
        <v>46.6</v>
      </c>
      <c r="AT1529" s="239">
        <f>IF(G1529="CERVECERIA Y MALTERIA",(AS1529*AK1529/1000000)*(1-VLOOKUP(N1529,FCST!D:I,6,FALSE)),0)</f>
        <v>9.1798272000000019</v>
      </c>
      <c r="AU1529" s="232">
        <v>5.0000000000000001E-3</v>
      </c>
      <c r="AV1529" s="239">
        <f t="shared" si="221"/>
        <v>9.225726336000001</v>
      </c>
      <c r="AW1529" s="239">
        <f>(AS1529*AK1529/1000000)*(VLOOKUP(N1529,FCST!D:I,6,FALSE))</f>
        <v>0</v>
      </c>
      <c r="AX1529" s="239">
        <f t="shared" si="222"/>
        <v>0</v>
      </c>
      <c r="AY1529" s="239">
        <f>IF($G1529="CERVECERIA Y MALTERIA.",($AS1529*$AK1529/1000000)*(1-VLOOKUP($N1529,FCST!D:I,6,FALSE)),0)</f>
        <v>0</v>
      </c>
      <c r="AZ1529" s="239">
        <f t="shared" si="223"/>
        <v>0</v>
      </c>
    </row>
    <row r="1530" spans="1:52" x14ac:dyDescent="0.25">
      <c r="A1530" s="209">
        <v>1143607</v>
      </c>
      <c r="B1530" s="209">
        <v>30</v>
      </c>
      <c r="C1530" s="209" t="s">
        <v>3360</v>
      </c>
      <c r="D1530" s="209">
        <v>20</v>
      </c>
      <c r="E1530" s="209">
        <v>10000002</v>
      </c>
      <c r="F1530" s="209">
        <v>20000336</v>
      </c>
      <c r="G1530" s="209" t="s">
        <v>105</v>
      </c>
      <c r="H1530" s="209">
        <v>20000336</v>
      </c>
      <c r="I1530" s="209">
        <v>2</v>
      </c>
      <c r="J1530" s="209" t="s">
        <v>169</v>
      </c>
      <c r="K1530" s="209" t="s">
        <v>3361</v>
      </c>
      <c r="L1530" s="209" t="s">
        <v>2610</v>
      </c>
      <c r="M1530" s="209" t="s">
        <v>184</v>
      </c>
      <c r="N1530" s="209">
        <v>50037887</v>
      </c>
      <c r="O1530" s="209" t="s">
        <v>679</v>
      </c>
      <c r="P1530" s="209">
        <v>5121</v>
      </c>
      <c r="Q1530" s="209" t="s">
        <v>174</v>
      </c>
      <c r="R1530" s="209" t="s">
        <v>175</v>
      </c>
      <c r="S1530" s="209" t="s">
        <v>176</v>
      </c>
      <c r="T1530" s="209" t="s">
        <v>177</v>
      </c>
      <c r="U1530" s="209" t="s">
        <v>178</v>
      </c>
      <c r="V1530" s="209" t="s">
        <v>179</v>
      </c>
      <c r="W1530" s="209" t="s">
        <v>179</v>
      </c>
      <c r="X1530" s="209" t="s">
        <v>180</v>
      </c>
      <c r="Y1530" s="209" t="s">
        <v>180</v>
      </c>
      <c r="Z1530" s="209" t="s">
        <v>3362</v>
      </c>
      <c r="AA1530" s="209" t="s">
        <v>3363</v>
      </c>
      <c r="AB1530" s="209" t="s">
        <v>180</v>
      </c>
      <c r="AC1530" s="209" t="s">
        <v>182</v>
      </c>
      <c r="AD1530" s="209">
        <v>10</v>
      </c>
      <c r="AE1530" s="209">
        <v>2025</v>
      </c>
      <c r="AF1530" s="227">
        <v>45933</v>
      </c>
      <c r="AG1530" s="227">
        <v>45938</v>
      </c>
      <c r="AH1530" s="227">
        <v>45938</v>
      </c>
      <c r="AI1530" s="228">
        <v>286272</v>
      </c>
      <c r="AJ1530" s="228">
        <v>28</v>
      </c>
      <c r="AK1530" s="228">
        <v>286272</v>
      </c>
      <c r="AL1530" s="228">
        <v>28</v>
      </c>
      <c r="AM1530" s="228">
        <v>0</v>
      </c>
      <c r="AN1530" s="228">
        <v>0</v>
      </c>
      <c r="AO1530" s="229">
        <v>41</v>
      </c>
      <c r="AP1530" s="231">
        <v>10</v>
      </c>
      <c r="AQ1530" s="231">
        <v>2025</v>
      </c>
      <c r="AR1530" s="231" t="str">
        <f t="shared" si="219"/>
        <v>10/2025</v>
      </c>
      <c r="AS1530" s="231">
        <f t="shared" si="220"/>
        <v>37.200000000000003</v>
      </c>
      <c r="AT1530" s="239">
        <f>IF(G1530="CERVECERIA Y MALTERIA",(AS1530*AK1530/1000000)*(1-VLOOKUP(N1530,FCST!D:I,6,FALSE)),0)</f>
        <v>10.6493184</v>
      </c>
      <c r="AU1530" s="232">
        <v>5.0000000000000001E-3</v>
      </c>
      <c r="AV1530" s="239">
        <f t="shared" si="221"/>
        <v>10.702564991999999</v>
      </c>
      <c r="AW1530" s="239">
        <f>(AS1530*AK1530/1000000)*(VLOOKUP(N1530,FCST!D:I,6,FALSE))</f>
        <v>0</v>
      </c>
      <c r="AX1530" s="239">
        <f t="shared" si="222"/>
        <v>0</v>
      </c>
      <c r="AY1530" s="239">
        <f>IF($G1530="CERVECERIA Y MALTERIA.",($AS1530*$AK1530/1000000)*(1-VLOOKUP($N1530,FCST!D:I,6,FALSE)),0)</f>
        <v>0</v>
      </c>
      <c r="AZ1530" s="239">
        <f t="shared" si="223"/>
        <v>0</v>
      </c>
    </row>
    <row r="1531" spans="1:52" x14ac:dyDescent="0.25">
      <c r="A1531" s="209">
        <v>1143739</v>
      </c>
      <c r="B1531" s="209">
        <v>20</v>
      </c>
      <c r="C1531" s="209" t="s">
        <v>3364</v>
      </c>
      <c r="D1531" s="209">
        <v>10</v>
      </c>
      <c r="E1531" s="209">
        <v>10000002</v>
      </c>
      <c r="F1531" s="209">
        <v>20000337</v>
      </c>
      <c r="G1531" s="209" t="s">
        <v>105</v>
      </c>
      <c r="H1531" s="209">
        <v>20000337</v>
      </c>
      <c r="I1531" s="209">
        <v>2</v>
      </c>
      <c r="J1531" s="209" t="s">
        <v>169</v>
      </c>
      <c r="K1531" s="209" t="s">
        <v>3365</v>
      </c>
      <c r="L1531" s="209" t="s">
        <v>265</v>
      </c>
      <c r="M1531" s="209" t="s">
        <v>199</v>
      </c>
      <c r="N1531" s="209">
        <v>50024497</v>
      </c>
      <c r="O1531" s="209" t="s">
        <v>1352</v>
      </c>
      <c r="P1531" s="209">
        <v>5121</v>
      </c>
      <c r="Q1531" s="209" t="s">
        <v>200</v>
      </c>
      <c r="R1531" s="209" t="s">
        <v>201</v>
      </c>
      <c r="S1531" s="209" t="s">
        <v>202</v>
      </c>
      <c r="T1531" s="209" t="s">
        <v>203</v>
      </c>
      <c r="U1531" s="209" t="s">
        <v>201</v>
      </c>
      <c r="V1531" s="209" t="s">
        <v>179</v>
      </c>
      <c r="W1531" s="209" t="s">
        <v>179</v>
      </c>
      <c r="X1531" s="209" t="s">
        <v>180</v>
      </c>
      <c r="Y1531" s="209" t="s">
        <v>180</v>
      </c>
      <c r="Z1531" s="209" t="s">
        <v>3276</v>
      </c>
      <c r="AA1531" s="209" t="s">
        <v>3277</v>
      </c>
      <c r="AB1531" s="209" t="s">
        <v>180</v>
      </c>
      <c r="AC1531" s="209" t="s">
        <v>182</v>
      </c>
      <c r="AD1531" s="209">
        <v>10</v>
      </c>
      <c r="AE1531" s="209">
        <v>2025</v>
      </c>
      <c r="AF1531" s="227">
        <v>45936</v>
      </c>
      <c r="AG1531" s="227">
        <v>45939</v>
      </c>
      <c r="AH1531" s="227">
        <v>45939</v>
      </c>
      <c r="AI1531" s="228">
        <v>351936</v>
      </c>
      <c r="AJ1531" s="228">
        <v>52</v>
      </c>
      <c r="AK1531" s="228">
        <v>351936</v>
      </c>
      <c r="AL1531" s="228">
        <v>52</v>
      </c>
      <c r="AM1531" s="228">
        <v>0</v>
      </c>
      <c r="AN1531" s="228">
        <v>0</v>
      </c>
      <c r="AO1531" s="229">
        <v>41</v>
      </c>
      <c r="AP1531" s="231">
        <v>10</v>
      </c>
      <c r="AQ1531" s="231">
        <v>2025</v>
      </c>
      <c r="AR1531" s="231" t="str">
        <f t="shared" si="219"/>
        <v>10/2025</v>
      </c>
      <c r="AS1531" s="231">
        <f t="shared" si="220"/>
        <v>54.7</v>
      </c>
      <c r="AT1531" s="239">
        <f>IF(G1531="CERVECERIA Y MALTERIA",(AS1531*AK1531/1000000)*(1-VLOOKUP(N1531,FCST!D:I,6,FALSE)),0)</f>
        <v>19.250899199999999</v>
      </c>
      <c r="AU1531" s="232">
        <v>5.0000000000000001E-3</v>
      </c>
      <c r="AV1531" s="239">
        <f t="shared" si="221"/>
        <v>19.347153695999996</v>
      </c>
      <c r="AW1531" s="239">
        <f>(AS1531*AK1531/1000000)*(VLOOKUP(N1531,FCST!D:I,6,FALSE))</f>
        <v>0</v>
      </c>
      <c r="AX1531" s="239">
        <f t="shared" si="222"/>
        <v>0</v>
      </c>
      <c r="AY1531" s="239">
        <f>IF($G1531="CERVECERIA Y MALTERIA.",($AS1531*$AK1531/1000000)*(1-VLOOKUP($N1531,FCST!D:I,6,FALSE)),0)</f>
        <v>0</v>
      </c>
      <c r="AZ1531" s="239">
        <f t="shared" si="223"/>
        <v>0</v>
      </c>
    </row>
    <row r="1532" spans="1:52" x14ac:dyDescent="0.25">
      <c r="A1532" s="209">
        <v>1144469</v>
      </c>
      <c r="B1532" s="209">
        <v>10</v>
      </c>
      <c r="C1532" s="209" t="s">
        <v>3366</v>
      </c>
      <c r="D1532" s="209">
        <v>10</v>
      </c>
      <c r="E1532" s="209">
        <v>10000002</v>
      </c>
      <c r="F1532" s="209">
        <v>20000336</v>
      </c>
      <c r="G1532" s="209" t="s">
        <v>105</v>
      </c>
      <c r="H1532" s="209">
        <v>20000336</v>
      </c>
      <c r="I1532" s="209">
        <v>2</v>
      </c>
      <c r="J1532" s="209" t="s">
        <v>169</v>
      </c>
      <c r="K1532" s="209" t="s">
        <v>3367</v>
      </c>
      <c r="L1532" s="209" t="s">
        <v>265</v>
      </c>
      <c r="M1532" s="209" t="s">
        <v>184</v>
      </c>
      <c r="N1532" s="209">
        <v>50037887</v>
      </c>
      <c r="O1532" s="209" t="s">
        <v>679</v>
      </c>
      <c r="P1532" s="209">
        <v>5121</v>
      </c>
      <c r="Q1532" s="209" t="s">
        <v>174</v>
      </c>
      <c r="R1532" s="209" t="s">
        <v>175</v>
      </c>
      <c r="S1532" s="209" t="s">
        <v>176</v>
      </c>
      <c r="T1532" s="209" t="s">
        <v>177</v>
      </c>
      <c r="U1532" s="209" t="s">
        <v>178</v>
      </c>
      <c r="V1532" s="209" t="s">
        <v>179</v>
      </c>
      <c r="W1532" s="209" t="s">
        <v>179</v>
      </c>
      <c r="X1532" s="209" t="s">
        <v>180</v>
      </c>
      <c r="Y1532" s="209" t="s">
        <v>180</v>
      </c>
      <c r="Z1532" s="209" t="s">
        <v>3354</v>
      </c>
      <c r="AA1532" s="209" t="s">
        <v>3355</v>
      </c>
      <c r="AB1532" s="209" t="s">
        <v>180</v>
      </c>
      <c r="AC1532" s="209" t="s">
        <v>182</v>
      </c>
      <c r="AD1532" s="209">
        <v>10</v>
      </c>
      <c r="AE1532" s="209">
        <v>2025</v>
      </c>
      <c r="AF1532" s="227">
        <v>45939</v>
      </c>
      <c r="AG1532" s="227">
        <v>45943</v>
      </c>
      <c r="AH1532" s="227">
        <v>45943</v>
      </c>
      <c r="AI1532" s="228">
        <v>531648</v>
      </c>
      <c r="AJ1532" s="228">
        <v>52</v>
      </c>
      <c r="AK1532" s="228">
        <v>531648</v>
      </c>
      <c r="AL1532" s="228">
        <v>52</v>
      </c>
      <c r="AM1532" s="228">
        <v>0</v>
      </c>
      <c r="AN1532" s="228">
        <v>0</v>
      </c>
      <c r="AO1532" s="229">
        <v>42</v>
      </c>
      <c r="AP1532" s="231">
        <v>10</v>
      </c>
      <c r="AQ1532" s="231">
        <v>2025</v>
      </c>
      <c r="AR1532" s="231" t="str">
        <f t="shared" si="219"/>
        <v>10/2025</v>
      </c>
      <c r="AS1532" s="231">
        <f t="shared" si="220"/>
        <v>37.200000000000003</v>
      </c>
      <c r="AT1532" s="239">
        <f>IF(G1532="CERVECERIA Y MALTERIA",(AS1532*AK1532/1000000)*(1-VLOOKUP(N1532,FCST!D:I,6,FALSE)),0)</f>
        <v>19.777305600000002</v>
      </c>
      <c r="AU1532" s="232">
        <v>5.0000000000000001E-3</v>
      </c>
      <c r="AV1532" s="239">
        <f t="shared" si="221"/>
        <v>19.876192128</v>
      </c>
      <c r="AW1532" s="239">
        <f>(AS1532*AK1532/1000000)*(VLOOKUP(N1532,FCST!D:I,6,FALSE))</f>
        <v>0</v>
      </c>
      <c r="AX1532" s="239">
        <f t="shared" si="222"/>
        <v>0</v>
      </c>
      <c r="AY1532" s="239">
        <f>IF($G1532="CERVECERIA Y MALTERIA.",($AS1532*$AK1532/1000000)*(1-VLOOKUP($N1532,FCST!D:I,6,FALSE)),0)</f>
        <v>0</v>
      </c>
      <c r="AZ1532" s="239">
        <f t="shared" si="223"/>
        <v>0</v>
      </c>
    </row>
    <row r="1533" spans="1:52" x14ac:dyDescent="0.25">
      <c r="A1533" s="209">
        <v>1144552</v>
      </c>
      <c r="B1533" s="209">
        <v>10</v>
      </c>
      <c r="C1533" s="209" t="s">
        <v>3368</v>
      </c>
      <c r="D1533" s="209">
        <v>10</v>
      </c>
      <c r="E1533" s="209">
        <v>10000002</v>
      </c>
      <c r="F1533" s="209">
        <v>20000339</v>
      </c>
      <c r="G1533" s="209" t="s">
        <v>105</v>
      </c>
      <c r="H1533" s="209">
        <v>20000339</v>
      </c>
      <c r="I1533" s="209">
        <v>2</v>
      </c>
      <c r="J1533" s="209" t="s">
        <v>169</v>
      </c>
      <c r="K1533" s="209" t="s">
        <v>3369</v>
      </c>
      <c r="L1533" s="209" t="s">
        <v>265</v>
      </c>
      <c r="M1533" s="209" t="s">
        <v>227</v>
      </c>
      <c r="N1533" s="209">
        <v>50030542</v>
      </c>
      <c r="O1533" s="209" t="s">
        <v>2453</v>
      </c>
      <c r="P1533" s="209">
        <v>5121</v>
      </c>
      <c r="Q1533" s="209" t="s">
        <v>228</v>
      </c>
      <c r="R1533" s="209" t="s">
        <v>229</v>
      </c>
      <c r="S1533" s="209" t="s">
        <v>230</v>
      </c>
      <c r="T1533" s="209" t="s">
        <v>231</v>
      </c>
      <c r="U1533" s="209" t="s">
        <v>232</v>
      </c>
      <c r="V1533" s="209" t="s">
        <v>179</v>
      </c>
      <c r="W1533" s="209" t="s">
        <v>179</v>
      </c>
      <c r="X1533" s="209" t="s">
        <v>180</v>
      </c>
      <c r="Y1533" s="209" t="s">
        <v>180</v>
      </c>
      <c r="Z1533" s="209" t="s">
        <v>3370</v>
      </c>
      <c r="AA1533" s="209" t="s">
        <v>3371</v>
      </c>
      <c r="AB1533" s="209" t="s">
        <v>180</v>
      </c>
      <c r="AC1533" s="209" t="s">
        <v>182</v>
      </c>
      <c r="AD1533" s="209">
        <v>10</v>
      </c>
      <c r="AE1533" s="209">
        <v>2025</v>
      </c>
      <c r="AF1533" s="227">
        <v>45939</v>
      </c>
      <c r="AG1533" s="227">
        <v>45943</v>
      </c>
      <c r="AH1533" s="227">
        <v>45943</v>
      </c>
      <c r="AI1533" s="228">
        <v>140832</v>
      </c>
      <c r="AJ1533" s="228">
        <v>18</v>
      </c>
      <c r="AK1533" s="228">
        <v>140832</v>
      </c>
      <c r="AL1533" s="228">
        <v>18</v>
      </c>
      <c r="AM1533" s="228">
        <v>0</v>
      </c>
      <c r="AN1533" s="228">
        <v>0</v>
      </c>
      <c r="AO1533" s="229">
        <v>42</v>
      </c>
      <c r="AP1533" s="231">
        <v>10</v>
      </c>
      <c r="AQ1533" s="231">
        <v>2025</v>
      </c>
      <c r="AR1533" s="231" t="str">
        <f t="shared" si="219"/>
        <v>10/2025</v>
      </c>
      <c r="AS1533" s="231">
        <f t="shared" si="220"/>
        <v>44</v>
      </c>
      <c r="AT1533" s="239">
        <f>IF(G1533="CERVECERIA Y MALTERIA",(AS1533*AK1533/1000000)*(1-VLOOKUP(N1533,FCST!D:I,6,FALSE)),0)</f>
        <v>6.1966080000000003</v>
      </c>
      <c r="AU1533" s="232">
        <v>5.0000000000000001E-3</v>
      </c>
      <c r="AV1533" s="239">
        <f t="shared" si="221"/>
        <v>6.2275910400000001</v>
      </c>
      <c r="AW1533" s="239">
        <f>(AS1533*AK1533/1000000)*(VLOOKUP(N1533,FCST!D:I,6,FALSE))</f>
        <v>0</v>
      </c>
      <c r="AX1533" s="239">
        <f t="shared" si="222"/>
        <v>0</v>
      </c>
      <c r="AY1533" s="239">
        <f>IF($G1533="CERVECERIA Y MALTERIA.",($AS1533*$AK1533/1000000)*(1-VLOOKUP($N1533,FCST!D:I,6,FALSE)),0)</f>
        <v>0</v>
      </c>
      <c r="AZ1533" s="239">
        <f t="shared" si="223"/>
        <v>0</v>
      </c>
    </row>
    <row r="1534" spans="1:52" x14ac:dyDescent="0.25">
      <c r="A1534" s="209">
        <v>1144552</v>
      </c>
      <c r="B1534" s="209">
        <v>20</v>
      </c>
      <c r="C1534" s="209" t="s">
        <v>3368</v>
      </c>
      <c r="D1534" s="209">
        <v>20</v>
      </c>
      <c r="E1534" s="209">
        <v>10000002</v>
      </c>
      <c r="F1534" s="209">
        <v>20000339</v>
      </c>
      <c r="G1534" s="209" t="s">
        <v>105</v>
      </c>
      <c r="H1534" s="209">
        <v>20000339</v>
      </c>
      <c r="I1534" s="209">
        <v>2</v>
      </c>
      <c r="J1534" s="209" t="s">
        <v>169</v>
      </c>
      <c r="K1534" s="209" t="s">
        <v>3369</v>
      </c>
      <c r="L1534" s="209" t="s">
        <v>265</v>
      </c>
      <c r="M1534" s="209" t="s">
        <v>227</v>
      </c>
      <c r="N1534" s="209">
        <v>50036287</v>
      </c>
      <c r="O1534" s="209" t="s">
        <v>2191</v>
      </c>
      <c r="P1534" s="209">
        <v>5121</v>
      </c>
      <c r="Q1534" s="209" t="s">
        <v>228</v>
      </c>
      <c r="R1534" s="209" t="s">
        <v>229</v>
      </c>
      <c r="S1534" s="209" t="s">
        <v>230</v>
      </c>
      <c r="T1534" s="209" t="s">
        <v>231</v>
      </c>
      <c r="U1534" s="209" t="s">
        <v>232</v>
      </c>
      <c r="V1534" s="209" t="s">
        <v>179</v>
      </c>
      <c r="W1534" s="209" t="s">
        <v>179</v>
      </c>
      <c r="X1534" s="209" t="s">
        <v>180</v>
      </c>
      <c r="Y1534" s="209" t="s">
        <v>180</v>
      </c>
      <c r="Z1534" s="209" t="s">
        <v>3370</v>
      </c>
      <c r="AA1534" s="209" t="s">
        <v>3371</v>
      </c>
      <c r="AB1534" s="209" t="s">
        <v>180</v>
      </c>
      <c r="AC1534" s="209" t="s">
        <v>182</v>
      </c>
      <c r="AD1534" s="209">
        <v>10</v>
      </c>
      <c r="AE1534" s="209">
        <v>2025</v>
      </c>
      <c r="AF1534" s="227">
        <v>45939</v>
      </c>
      <c r="AG1534" s="227">
        <v>45943</v>
      </c>
      <c r="AH1534" s="227">
        <v>45943</v>
      </c>
      <c r="AI1534" s="228">
        <v>237456</v>
      </c>
      <c r="AJ1534" s="228">
        <v>34</v>
      </c>
      <c r="AK1534" s="228">
        <v>237456</v>
      </c>
      <c r="AL1534" s="228">
        <v>34</v>
      </c>
      <c r="AM1534" s="228">
        <v>0</v>
      </c>
      <c r="AN1534" s="228">
        <v>0</v>
      </c>
      <c r="AO1534" s="229">
        <v>42</v>
      </c>
      <c r="AP1534" s="231">
        <v>10</v>
      </c>
      <c r="AQ1534" s="231">
        <v>2025</v>
      </c>
      <c r="AR1534" s="231" t="str">
        <f t="shared" si="219"/>
        <v>10/2025</v>
      </c>
      <c r="AS1534" s="231">
        <f t="shared" si="220"/>
        <v>52</v>
      </c>
      <c r="AT1534" s="239">
        <f>IF(G1534="CERVECERIA Y MALTERIA",(AS1534*AK1534/1000000)*(1-VLOOKUP(N1534,FCST!D:I,6,FALSE)),0)</f>
        <v>12.347712</v>
      </c>
      <c r="AU1534" s="232">
        <v>5.0000000000000001E-3</v>
      </c>
      <c r="AV1534" s="239">
        <f t="shared" si="221"/>
        <v>12.409450559999998</v>
      </c>
      <c r="AW1534" s="239">
        <f>(AS1534*AK1534/1000000)*(VLOOKUP(N1534,FCST!D:I,6,FALSE))</f>
        <v>0</v>
      </c>
      <c r="AX1534" s="239">
        <f t="shared" si="222"/>
        <v>0</v>
      </c>
      <c r="AY1534" s="239">
        <f>IF($G1534="CERVECERIA Y MALTERIA.",($AS1534*$AK1534/1000000)*(1-VLOOKUP($N1534,FCST!D:I,6,FALSE)),0)</f>
        <v>0</v>
      </c>
      <c r="AZ1534" s="239">
        <f t="shared" si="223"/>
        <v>0</v>
      </c>
    </row>
    <row r="1535" spans="1:52" x14ac:dyDescent="0.25">
      <c r="A1535" s="209">
        <v>1144965</v>
      </c>
      <c r="B1535" s="209">
        <v>10</v>
      </c>
      <c r="C1535" s="209" t="s">
        <v>3372</v>
      </c>
      <c r="D1535" s="209">
        <v>10</v>
      </c>
      <c r="E1535" s="209">
        <v>10000002</v>
      </c>
      <c r="F1535" s="209">
        <v>20000339</v>
      </c>
      <c r="G1535" s="209" t="s">
        <v>105</v>
      </c>
      <c r="H1535" s="209">
        <v>20000339</v>
      </c>
      <c r="I1535" s="209">
        <v>2</v>
      </c>
      <c r="J1535" s="209" t="s">
        <v>169</v>
      </c>
      <c r="K1535" s="209" t="s">
        <v>3373</v>
      </c>
      <c r="L1535" s="209" t="s">
        <v>265</v>
      </c>
      <c r="M1535" s="209" t="s">
        <v>2718</v>
      </c>
      <c r="N1535" s="209">
        <v>50036287</v>
      </c>
      <c r="O1535" s="209" t="s">
        <v>2191</v>
      </c>
      <c r="P1535" s="209">
        <v>5121</v>
      </c>
      <c r="Q1535" s="209" t="s">
        <v>174</v>
      </c>
      <c r="R1535" s="209" t="s">
        <v>175</v>
      </c>
      <c r="S1535" s="209" t="s">
        <v>176</v>
      </c>
      <c r="T1535" s="209" t="s">
        <v>177</v>
      </c>
      <c r="U1535" s="209" t="s">
        <v>178</v>
      </c>
      <c r="V1535" s="209" t="s">
        <v>179</v>
      </c>
      <c r="W1535" s="209" t="s">
        <v>179</v>
      </c>
      <c r="X1535" s="209" t="s">
        <v>180</v>
      </c>
      <c r="Y1535" s="209" t="s">
        <v>180</v>
      </c>
      <c r="Z1535" s="209" t="s">
        <v>3374</v>
      </c>
      <c r="AA1535" s="209" t="s">
        <v>3375</v>
      </c>
      <c r="AB1535" s="209" t="s">
        <v>180</v>
      </c>
      <c r="AC1535" s="209" t="s">
        <v>182</v>
      </c>
      <c r="AD1535" s="209">
        <v>10</v>
      </c>
      <c r="AE1535" s="209">
        <v>2025</v>
      </c>
      <c r="AF1535" s="227">
        <v>45943</v>
      </c>
      <c r="AG1535" s="227">
        <v>45944</v>
      </c>
      <c r="AH1535" s="227">
        <v>45943</v>
      </c>
      <c r="AI1535" s="228">
        <v>223488</v>
      </c>
      <c r="AJ1535" s="228">
        <v>32</v>
      </c>
      <c r="AK1535" s="228">
        <v>223488</v>
      </c>
      <c r="AL1535" s="228">
        <v>32</v>
      </c>
      <c r="AM1535" s="228">
        <v>0</v>
      </c>
      <c r="AN1535" s="228">
        <v>0</v>
      </c>
      <c r="AO1535" s="229">
        <v>42</v>
      </c>
      <c r="AP1535" s="231">
        <v>10</v>
      </c>
      <c r="AQ1535" s="231">
        <v>2025</v>
      </c>
      <c r="AR1535" s="231" t="str">
        <f t="shared" si="219"/>
        <v>10/2025</v>
      </c>
      <c r="AS1535" s="231">
        <f t="shared" si="220"/>
        <v>52</v>
      </c>
      <c r="AT1535" s="239">
        <f>IF(G1535="CERVECERIA Y MALTERIA",(AS1535*AK1535/1000000)*(1-VLOOKUP(N1535,FCST!D:I,6,FALSE)),0)</f>
        <v>11.621376</v>
      </c>
      <c r="AU1535" s="232">
        <v>5.0000000000000001E-3</v>
      </c>
      <c r="AV1535" s="239">
        <f t="shared" si="221"/>
        <v>11.679482879999998</v>
      </c>
      <c r="AW1535" s="239">
        <f>(AS1535*AK1535/1000000)*(VLOOKUP(N1535,FCST!D:I,6,FALSE))</f>
        <v>0</v>
      </c>
      <c r="AX1535" s="239">
        <f t="shared" si="222"/>
        <v>0</v>
      </c>
      <c r="AY1535" s="239">
        <f>IF($G1535="CERVECERIA Y MALTERIA.",($AS1535*$AK1535/1000000)*(1-VLOOKUP($N1535,FCST!D:I,6,FALSE)),0)</f>
        <v>0</v>
      </c>
      <c r="AZ1535" s="239">
        <f t="shared" si="223"/>
        <v>0</v>
      </c>
    </row>
    <row r="1536" spans="1:52" x14ac:dyDescent="0.25">
      <c r="A1536" s="209">
        <v>1144410</v>
      </c>
      <c r="B1536" s="209">
        <v>90</v>
      </c>
      <c r="C1536" s="209" t="s">
        <v>3376</v>
      </c>
      <c r="D1536" s="209">
        <v>10</v>
      </c>
      <c r="E1536" s="209">
        <v>10000002</v>
      </c>
      <c r="F1536" s="209">
        <v>20000335</v>
      </c>
      <c r="G1536" s="209" t="s">
        <v>105</v>
      </c>
      <c r="H1536" s="209">
        <v>20000335</v>
      </c>
      <c r="I1536" s="209">
        <v>2</v>
      </c>
      <c r="J1536" s="209" t="s">
        <v>169</v>
      </c>
      <c r="K1536" s="209" t="s">
        <v>3377</v>
      </c>
      <c r="L1536" s="209" t="s">
        <v>265</v>
      </c>
      <c r="M1536" s="209" t="s">
        <v>184</v>
      </c>
      <c r="N1536" s="209">
        <v>50025345</v>
      </c>
      <c r="O1536" s="209" t="s">
        <v>1998</v>
      </c>
      <c r="P1536" s="209">
        <v>5121</v>
      </c>
      <c r="Q1536" s="209" t="s">
        <v>174</v>
      </c>
      <c r="R1536" s="209" t="s">
        <v>175</v>
      </c>
      <c r="S1536" s="209" t="s">
        <v>176</v>
      </c>
      <c r="T1536" s="209" t="s">
        <v>177</v>
      </c>
      <c r="U1536" s="209" t="s">
        <v>178</v>
      </c>
      <c r="V1536" s="209" t="s">
        <v>179</v>
      </c>
      <c r="W1536" s="209" t="s">
        <v>179</v>
      </c>
      <c r="X1536" s="209" t="s">
        <v>180</v>
      </c>
      <c r="Y1536" s="209" t="s">
        <v>180</v>
      </c>
      <c r="Z1536" s="209" t="s">
        <v>3100</v>
      </c>
      <c r="AA1536" s="209" t="s">
        <v>3101</v>
      </c>
      <c r="AB1536" s="209" t="s">
        <v>180</v>
      </c>
      <c r="AC1536" s="209" t="s">
        <v>182</v>
      </c>
      <c r="AD1536" s="209">
        <v>10</v>
      </c>
      <c r="AE1536" s="209">
        <v>2025</v>
      </c>
      <c r="AF1536" s="227">
        <v>45938</v>
      </c>
      <c r="AG1536" s="227">
        <v>45943</v>
      </c>
      <c r="AH1536" s="227">
        <v>45943</v>
      </c>
      <c r="AI1536" s="228">
        <v>426816</v>
      </c>
      <c r="AJ1536" s="228">
        <v>52</v>
      </c>
      <c r="AK1536" s="228">
        <v>426816</v>
      </c>
      <c r="AL1536" s="228">
        <v>52</v>
      </c>
      <c r="AM1536" s="228">
        <v>0</v>
      </c>
      <c r="AN1536" s="228">
        <v>0</v>
      </c>
      <c r="AO1536" s="229">
        <v>42</v>
      </c>
      <c r="AP1536" s="231">
        <v>10</v>
      </c>
      <c r="AQ1536" s="231">
        <v>2025</v>
      </c>
      <c r="AR1536" s="231" t="str">
        <f t="shared" si="219"/>
        <v>10/2025</v>
      </c>
      <c r="AS1536" s="231">
        <f t="shared" si="220"/>
        <v>46.6</v>
      </c>
      <c r="AT1536" s="239">
        <f>IF(G1536="CERVECERIA Y MALTERIA",(AS1536*AK1536/1000000)*(1-VLOOKUP(N1536,FCST!D:I,6,FALSE)),0)</f>
        <v>19.889625600000002</v>
      </c>
      <c r="AU1536" s="232">
        <v>5.0000000000000001E-3</v>
      </c>
      <c r="AV1536" s="239">
        <f t="shared" si="221"/>
        <v>19.989073728000001</v>
      </c>
      <c r="AW1536" s="239">
        <f>(AS1536*AK1536/1000000)*(VLOOKUP(N1536,FCST!D:I,6,FALSE))</f>
        <v>0</v>
      </c>
      <c r="AX1536" s="239">
        <f t="shared" si="222"/>
        <v>0</v>
      </c>
      <c r="AY1536" s="239">
        <f>IF($G1536="CERVECERIA Y MALTERIA.",($AS1536*$AK1536/1000000)*(1-VLOOKUP($N1536,FCST!D:I,6,FALSE)),0)</f>
        <v>0</v>
      </c>
      <c r="AZ1536" s="239">
        <f t="shared" si="223"/>
        <v>0</v>
      </c>
    </row>
    <row r="1537" spans="1:52" x14ac:dyDescent="0.25">
      <c r="A1537" s="209">
        <v>1144410</v>
      </c>
      <c r="B1537" s="209">
        <v>50</v>
      </c>
      <c r="C1537" s="209" t="s">
        <v>3378</v>
      </c>
      <c r="D1537" s="209">
        <v>10</v>
      </c>
      <c r="E1537" s="209">
        <v>10000002</v>
      </c>
      <c r="F1537" s="209">
        <v>20000335</v>
      </c>
      <c r="G1537" s="209" t="s">
        <v>105</v>
      </c>
      <c r="H1537" s="209">
        <v>20000335</v>
      </c>
      <c r="I1537" s="209">
        <v>2</v>
      </c>
      <c r="J1537" s="209" t="s">
        <v>169</v>
      </c>
      <c r="K1537" s="209" t="s">
        <v>3379</v>
      </c>
      <c r="L1537" s="209" t="s">
        <v>265</v>
      </c>
      <c r="M1537" s="209" t="s">
        <v>184</v>
      </c>
      <c r="N1537" s="209">
        <v>50035184</v>
      </c>
      <c r="O1537" s="209" t="s">
        <v>672</v>
      </c>
      <c r="P1537" s="209">
        <v>5121</v>
      </c>
      <c r="Q1537" s="209" t="s">
        <v>174</v>
      </c>
      <c r="R1537" s="209" t="s">
        <v>175</v>
      </c>
      <c r="S1537" s="209" t="s">
        <v>176</v>
      </c>
      <c r="T1537" s="209" t="s">
        <v>177</v>
      </c>
      <c r="U1537" s="209" t="s">
        <v>178</v>
      </c>
      <c r="V1537" s="209" t="s">
        <v>179</v>
      </c>
      <c r="W1537" s="209" t="s">
        <v>179</v>
      </c>
      <c r="X1537" s="209" t="s">
        <v>180</v>
      </c>
      <c r="Y1537" s="209" t="s">
        <v>180</v>
      </c>
      <c r="Z1537" s="209" t="s">
        <v>3096</v>
      </c>
      <c r="AA1537" s="209" t="s">
        <v>3097</v>
      </c>
      <c r="AB1537" s="209" t="s">
        <v>180</v>
      </c>
      <c r="AC1537" s="209" t="s">
        <v>182</v>
      </c>
      <c r="AD1537" s="209">
        <v>10</v>
      </c>
      <c r="AE1537" s="209">
        <v>2025</v>
      </c>
      <c r="AF1537" s="227">
        <v>45938</v>
      </c>
      <c r="AG1537" s="227">
        <v>45943</v>
      </c>
      <c r="AH1537" s="227">
        <v>45943</v>
      </c>
      <c r="AI1537" s="228">
        <v>977184</v>
      </c>
      <c r="AJ1537" s="228">
        <v>52</v>
      </c>
      <c r="AK1537" s="228">
        <v>977184</v>
      </c>
      <c r="AL1537" s="228">
        <v>52</v>
      </c>
      <c r="AM1537" s="228">
        <v>0</v>
      </c>
      <c r="AN1537" s="228">
        <v>0</v>
      </c>
      <c r="AO1537" s="229">
        <v>42</v>
      </c>
      <c r="AP1537" s="231">
        <v>10</v>
      </c>
      <c r="AQ1537" s="231">
        <v>2025</v>
      </c>
      <c r="AR1537" s="231" t="str">
        <f t="shared" si="219"/>
        <v>10/2025</v>
      </c>
      <c r="AS1537" s="231">
        <f t="shared" si="220"/>
        <v>19.5</v>
      </c>
      <c r="AT1537" s="239">
        <f>IF(G1537="CERVECERIA Y MALTERIA",(AS1537*AK1537/1000000)*(1-VLOOKUP(N1537,FCST!D:I,6,FALSE)),0)</f>
        <v>19.055088000000001</v>
      </c>
      <c r="AU1537" s="232">
        <v>5.0000000000000001E-3</v>
      </c>
      <c r="AV1537" s="239">
        <f t="shared" si="221"/>
        <v>19.15036344</v>
      </c>
      <c r="AW1537" s="239">
        <f>(AS1537*AK1537/1000000)*(VLOOKUP(N1537,FCST!D:I,6,FALSE))</f>
        <v>0</v>
      </c>
      <c r="AX1537" s="239">
        <f t="shared" si="222"/>
        <v>0</v>
      </c>
      <c r="AY1537" s="239">
        <f>IF($G1537="CERVECERIA Y MALTERIA.",($AS1537*$AK1537/1000000)*(1-VLOOKUP($N1537,FCST!D:I,6,FALSE)),0)</f>
        <v>0</v>
      </c>
      <c r="AZ1537" s="239">
        <f t="shared" si="223"/>
        <v>0</v>
      </c>
    </row>
    <row r="1538" spans="1:52" x14ac:dyDescent="0.25">
      <c r="A1538" s="209">
        <v>1144410</v>
      </c>
      <c r="B1538" s="209">
        <v>10</v>
      </c>
      <c r="C1538" s="209" t="s">
        <v>3380</v>
      </c>
      <c r="D1538" s="209">
        <v>10</v>
      </c>
      <c r="E1538" s="209">
        <v>10000002</v>
      </c>
      <c r="F1538" s="209">
        <v>20000335</v>
      </c>
      <c r="G1538" s="209" t="s">
        <v>105</v>
      </c>
      <c r="H1538" s="209">
        <v>20000335</v>
      </c>
      <c r="I1538" s="209">
        <v>2</v>
      </c>
      <c r="J1538" s="209" t="s">
        <v>169</v>
      </c>
      <c r="K1538" s="209" t="s">
        <v>3381</v>
      </c>
      <c r="L1538" s="209" t="s">
        <v>265</v>
      </c>
      <c r="M1538" s="209" t="s">
        <v>199</v>
      </c>
      <c r="N1538" s="209">
        <v>50039815</v>
      </c>
      <c r="O1538" s="209" t="s">
        <v>2454</v>
      </c>
      <c r="P1538" s="209">
        <v>5121</v>
      </c>
      <c r="Q1538" s="209" t="s">
        <v>200</v>
      </c>
      <c r="R1538" s="209" t="s">
        <v>201</v>
      </c>
      <c r="S1538" s="209" t="s">
        <v>202</v>
      </c>
      <c r="T1538" s="209" t="s">
        <v>203</v>
      </c>
      <c r="U1538" s="209" t="s">
        <v>201</v>
      </c>
      <c r="V1538" s="209" t="s">
        <v>179</v>
      </c>
      <c r="W1538" s="209" t="s">
        <v>179</v>
      </c>
      <c r="X1538" s="209" t="s">
        <v>180</v>
      </c>
      <c r="Y1538" s="209" t="s">
        <v>180</v>
      </c>
      <c r="Z1538" s="209" t="s">
        <v>3082</v>
      </c>
      <c r="AA1538" s="209" t="s">
        <v>3083</v>
      </c>
      <c r="AB1538" s="209" t="s">
        <v>180</v>
      </c>
      <c r="AC1538" s="209" t="s">
        <v>182</v>
      </c>
      <c r="AD1538" s="209">
        <v>10</v>
      </c>
      <c r="AE1538" s="209">
        <v>2025</v>
      </c>
      <c r="AF1538" s="227">
        <v>45938</v>
      </c>
      <c r="AG1538" s="227">
        <v>45943</v>
      </c>
      <c r="AH1538" s="227">
        <v>45943</v>
      </c>
      <c r="AI1538" s="228">
        <v>426816</v>
      </c>
      <c r="AJ1538" s="228">
        <v>52</v>
      </c>
      <c r="AK1538" s="228">
        <v>426816</v>
      </c>
      <c r="AL1538" s="228">
        <v>52</v>
      </c>
      <c r="AM1538" s="228">
        <v>0</v>
      </c>
      <c r="AN1538" s="228">
        <v>0</v>
      </c>
      <c r="AO1538" s="229">
        <v>42</v>
      </c>
      <c r="AP1538" s="231">
        <v>10</v>
      </c>
      <c r="AQ1538" s="231">
        <v>2025</v>
      </c>
      <c r="AR1538" s="231" t="str">
        <f t="shared" si="219"/>
        <v>10/2025</v>
      </c>
      <c r="AS1538" s="231">
        <f t="shared" si="220"/>
        <v>46.6</v>
      </c>
      <c r="AT1538" s="239">
        <f>IF(G1538="CERVECERIA Y MALTERIA",(AS1538*AK1538/1000000)*(1-VLOOKUP(N1538,FCST!D:I,6,FALSE)),0)</f>
        <v>15.911700480000002</v>
      </c>
      <c r="AU1538" s="232">
        <v>5.0000000000000001E-3</v>
      </c>
      <c r="AV1538" s="239">
        <f t="shared" si="221"/>
        <v>15.9912589824</v>
      </c>
      <c r="AW1538" s="239">
        <f>(AS1538*AK1538/1000000)*(VLOOKUP(N1538,FCST!D:I,6,FALSE))</f>
        <v>3.9779251200000005</v>
      </c>
      <c r="AX1538" s="239">
        <f t="shared" si="222"/>
        <v>3.9978147455999999</v>
      </c>
      <c r="AY1538" s="239">
        <f>IF($G1538="CERVECERIA Y MALTERIA.",($AS1538*$AK1538/1000000)*(1-VLOOKUP($N1538,FCST!D:I,6,FALSE)),0)</f>
        <v>0</v>
      </c>
      <c r="AZ1538" s="239">
        <f t="shared" si="223"/>
        <v>0</v>
      </c>
    </row>
    <row r="1540" spans="1:52" x14ac:dyDescent="0.25">
      <c r="A1540" s="209">
        <v>1151221</v>
      </c>
      <c r="B1540" s="209">
        <v>30</v>
      </c>
      <c r="C1540" s="209" t="s">
        <v>3422</v>
      </c>
      <c r="D1540" s="209">
        <v>10</v>
      </c>
      <c r="E1540" s="209">
        <v>10000002</v>
      </c>
      <c r="F1540" s="209">
        <v>20000340</v>
      </c>
      <c r="G1540" s="209" t="s">
        <v>117</v>
      </c>
      <c r="H1540" s="209">
        <v>20000340</v>
      </c>
      <c r="I1540" s="209">
        <v>2</v>
      </c>
      <c r="J1540" s="209" t="s">
        <v>169</v>
      </c>
      <c r="K1540" s="209" t="s">
        <v>3423</v>
      </c>
      <c r="L1540" s="209" t="s">
        <v>2610</v>
      </c>
      <c r="M1540" s="209" t="s">
        <v>2718</v>
      </c>
      <c r="N1540" s="209">
        <v>50039856</v>
      </c>
      <c r="O1540" s="209" t="s">
        <v>2871</v>
      </c>
      <c r="P1540" s="209">
        <v>5101</v>
      </c>
      <c r="Q1540" s="209" t="s">
        <v>186</v>
      </c>
      <c r="R1540" s="209" t="s">
        <v>175</v>
      </c>
      <c r="S1540" s="209" t="s">
        <v>176</v>
      </c>
      <c r="T1540" s="209" t="s">
        <v>187</v>
      </c>
      <c r="U1540" s="209" t="s">
        <v>188</v>
      </c>
      <c r="V1540" s="209" t="s">
        <v>179</v>
      </c>
      <c r="W1540" s="209" t="s">
        <v>179</v>
      </c>
      <c r="X1540" s="209" t="s">
        <v>180</v>
      </c>
      <c r="Y1540" s="209" t="s">
        <v>180</v>
      </c>
      <c r="Z1540" s="209" t="s">
        <v>3424</v>
      </c>
      <c r="AA1540" s="209" t="s">
        <v>3425</v>
      </c>
      <c r="AB1540" s="209" t="s">
        <v>180</v>
      </c>
      <c r="AC1540" s="209" t="s">
        <v>182</v>
      </c>
      <c r="AD1540" s="209">
        <v>11</v>
      </c>
      <c r="AE1540" s="209">
        <v>2025</v>
      </c>
      <c r="AF1540" s="227">
        <v>45974</v>
      </c>
      <c r="AG1540" s="227">
        <v>45981</v>
      </c>
      <c r="AH1540" s="227">
        <v>45981</v>
      </c>
      <c r="AI1540" s="228">
        <v>399360</v>
      </c>
      <c r="AJ1540" s="228">
        <v>52</v>
      </c>
      <c r="AK1540" s="228">
        <v>399360</v>
      </c>
      <c r="AL1540" s="228">
        <v>52</v>
      </c>
      <c r="AM1540" s="228">
        <v>0</v>
      </c>
      <c r="AN1540" s="228">
        <v>0</v>
      </c>
      <c r="AO1540" s="229">
        <v>47</v>
      </c>
      <c r="AP1540" s="231">
        <v>11</v>
      </c>
      <c r="AQ1540" s="231">
        <v>2025</v>
      </c>
      <c r="AR1540" s="231" t="str">
        <f t="shared" ref="AR1540" si="224">+IF(AP1540&lt;10,"0"&amp;AP1540&amp; "/"&amp;AQ1540,AP1540&amp; "/"&amp;AQ1540)</f>
        <v>11/2025</v>
      </c>
      <c r="AS1540" s="231">
        <f t="shared" ref="AS1540" si="225">VALUE(MID(INDEX(_xlfn.TEXTSPLIT(O1540, ","), 1, 3), 1,FIND("G", INDEX(_xlfn.TEXTSPLIT(O1540, ","), 1, 3))-1))</f>
        <v>52</v>
      </c>
      <c r="AT1540" s="239">
        <f>IF(G1540="CERVECERIA Y MALTERIA",(AS1540*AK1540/1000000)*(1-VLOOKUP(N1540,FCST!D:I,6,FALSE)),0)</f>
        <v>0</v>
      </c>
      <c r="AU1540" s="232">
        <v>5.0000000000000001E-3</v>
      </c>
      <c r="AV1540" s="239">
        <f t="shared" ref="AV1540" si="226">+AT1540*(1+AU1540)</f>
        <v>0</v>
      </c>
      <c r="AW1540" s="239">
        <f>(AS1540*AK1540/1000000)*(VLOOKUP(N1540,FCST!D:I,6,FALSE))</f>
        <v>0</v>
      </c>
      <c r="AX1540" s="239">
        <f t="shared" ref="AX1540" si="227">+AW1540*(1+AU1540)</f>
        <v>0</v>
      </c>
      <c r="AY1540" s="239">
        <f>IF($G1540="CERVECERIA Y MALTERIA.",($AS1540*$AK1540/1000000)*(1-VLOOKUP($N1540,FCST!D:I,6,FALSE)),0)</f>
        <v>20.766719999999999</v>
      </c>
      <c r="AZ1540" s="239">
        <f t="shared" ref="AZ1540" si="228">+AY1540*(1+AU1540)</f>
        <v>20.870553599999997</v>
      </c>
    </row>
    <row r="1541" spans="1:52" x14ac:dyDescent="0.25">
      <c r="A1541" s="209">
        <v>1151214</v>
      </c>
      <c r="B1541" s="209">
        <v>30</v>
      </c>
      <c r="C1541" s="209" t="s">
        <v>3426</v>
      </c>
      <c r="D1541" s="209">
        <v>10</v>
      </c>
      <c r="E1541" s="209">
        <v>10000002</v>
      </c>
      <c r="F1541" s="209">
        <v>20000335</v>
      </c>
      <c r="G1541" s="209" t="s">
        <v>105</v>
      </c>
      <c r="H1541" s="209">
        <v>20000335</v>
      </c>
      <c r="I1541" s="209">
        <v>2</v>
      </c>
      <c r="J1541" s="209" t="s">
        <v>169</v>
      </c>
      <c r="K1541" s="209" t="s">
        <v>3427</v>
      </c>
      <c r="L1541" s="209" t="s">
        <v>2610</v>
      </c>
      <c r="M1541" s="209" t="s">
        <v>2718</v>
      </c>
      <c r="N1541" s="209">
        <v>50021818</v>
      </c>
      <c r="O1541" s="209" t="s">
        <v>2170</v>
      </c>
      <c r="P1541" s="209">
        <v>5121</v>
      </c>
      <c r="Q1541" s="209" t="s">
        <v>174</v>
      </c>
      <c r="R1541" s="209" t="s">
        <v>175</v>
      </c>
      <c r="S1541" s="209" t="s">
        <v>176</v>
      </c>
      <c r="T1541" s="209" t="s">
        <v>177</v>
      </c>
      <c r="U1541" s="209" t="s">
        <v>178</v>
      </c>
      <c r="V1541" s="209" t="s">
        <v>179</v>
      </c>
      <c r="W1541" s="209" t="s">
        <v>179</v>
      </c>
      <c r="X1541" s="209" t="s">
        <v>180</v>
      </c>
      <c r="Y1541" s="209" t="s">
        <v>180</v>
      </c>
      <c r="Z1541" s="209" t="s">
        <v>3428</v>
      </c>
      <c r="AA1541" s="209" t="s">
        <v>3429</v>
      </c>
      <c r="AB1541" s="209" t="s">
        <v>180</v>
      </c>
      <c r="AC1541" s="209" t="s">
        <v>182</v>
      </c>
      <c r="AD1541" s="209">
        <v>11</v>
      </c>
      <c r="AE1541" s="209">
        <v>2025</v>
      </c>
      <c r="AF1541" s="227">
        <v>45974</v>
      </c>
      <c r="AG1541" s="227">
        <v>45981</v>
      </c>
      <c r="AH1541" s="227">
        <v>45981</v>
      </c>
      <c r="AI1541" s="228">
        <v>426816</v>
      </c>
      <c r="AJ1541" s="228">
        <v>52</v>
      </c>
      <c r="AK1541" s="228">
        <v>426816</v>
      </c>
      <c r="AL1541" s="228">
        <v>52</v>
      </c>
      <c r="AM1541" s="228">
        <v>0</v>
      </c>
      <c r="AN1541" s="228">
        <v>0</v>
      </c>
      <c r="AO1541" s="229">
        <v>47</v>
      </c>
      <c r="AP1541" s="231">
        <v>11</v>
      </c>
      <c r="AQ1541" s="231">
        <v>2025</v>
      </c>
      <c r="AR1541" s="231" t="str">
        <f t="shared" ref="AR1541:AR1604" si="229">+IF(AP1541&lt;10,"0"&amp;AP1541&amp; "/"&amp;AQ1541,AP1541&amp; "/"&amp;AQ1541)</f>
        <v>11/2025</v>
      </c>
      <c r="AS1541" s="231">
        <f t="shared" ref="AS1541:AS1604" si="230">VALUE(MID(INDEX(_xlfn.TEXTSPLIT(O1541, ","), 1, 3), 1,FIND("G", INDEX(_xlfn.TEXTSPLIT(O1541, ","), 1, 3))-1))</f>
        <v>46.6</v>
      </c>
      <c r="AT1541" s="239">
        <f>IF(G1541="CERVECERIA Y MALTERIA",(AS1541*AK1541/1000000)*(1-VLOOKUP(N1541,FCST!D:I,6,FALSE)),0)</f>
        <v>19.889625600000002</v>
      </c>
      <c r="AU1541" s="232">
        <v>5.0000000000000001E-3</v>
      </c>
      <c r="AV1541" s="239">
        <f t="shared" ref="AV1541:AV1604" si="231">+AT1541*(1+AU1541)</f>
        <v>19.989073728000001</v>
      </c>
      <c r="AW1541" s="239">
        <f>(AS1541*AK1541/1000000)*(VLOOKUP(N1541,FCST!D:I,6,FALSE))</f>
        <v>0</v>
      </c>
      <c r="AX1541" s="239">
        <f t="shared" ref="AX1541:AX1604" si="232">+AW1541*(1+AU1541)</f>
        <v>0</v>
      </c>
      <c r="AY1541" s="239">
        <f>IF($G1541="CERVECERIA Y MALTERIA.",($AS1541*$AK1541/1000000)*(1-VLOOKUP($N1541,FCST!D:I,6,FALSE)),0)</f>
        <v>0</v>
      </c>
      <c r="AZ1541" s="239">
        <f t="shared" ref="AZ1541:AZ1604" si="233">+AY1541*(1+AU1541)</f>
        <v>0</v>
      </c>
    </row>
    <row r="1542" spans="1:52" x14ac:dyDescent="0.25">
      <c r="A1542" s="209">
        <v>1151214</v>
      </c>
      <c r="B1542" s="209">
        <v>40</v>
      </c>
      <c r="C1542" s="209" t="s">
        <v>3430</v>
      </c>
      <c r="D1542" s="209">
        <v>10</v>
      </c>
      <c r="E1542" s="209">
        <v>10000002</v>
      </c>
      <c r="F1542" s="209">
        <v>20000335</v>
      </c>
      <c r="G1542" s="209" t="s">
        <v>105</v>
      </c>
      <c r="H1542" s="209">
        <v>20000335</v>
      </c>
      <c r="I1542" s="209">
        <v>2</v>
      </c>
      <c r="J1542" s="209" t="s">
        <v>169</v>
      </c>
      <c r="K1542" s="209" t="s">
        <v>3431</v>
      </c>
      <c r="L1542" s="209" t="s">
        <v>2610</v>
      </c>
      <c r="M1542" s="209" t="s">
        <v>2718</v>
      </c>
      <c r="N1542" s="209">
        <v>50021818</v>
      </c>
      <c r="O1542" s="209" t="s">
        <v>2170</v>
      </c>
      <c r="P1542" s="209">
        <v>5121</v>
      </c>
      <c r="Q1542" s="209" t="s">
        <v>174</v>
      </c>
      <c r="R1542" s="209" t="s">
        <v>175</v>
      </c>
      <c r="S1542" s="209" t="s">
        <v>176</v>
      </c>
      <c r="T1542" s="209" t="s">
        <v>177</v>
      </c>
      <c r="U1542" s="209" t="s">
        <v>178</v>
      </c>
      <c r="V1542" s="209" t="s">
        <v>179</v>
      </c>
      <c r="W1542" s="209" t="s">
        <v>179</v>
      </c>
      <c r="X1542" s="209" t="s">
        <v>180</v>
      </c>
      <c r="Y1542" s="209" t="s">
        <v>180</v>
      </c>
      <c r="Z1542" s="209" t="s">
        <v>3428</v>
      </c>
      <c r="AA1542" s="209" t="s">
        <v>3429</v>
      </c>
      <c r="AB1542" s="209" t="s">
        <v>180</v>
      </c>
      <c r="AC1542" s="209" t="s">
        <v>182</v>
      </c>
      <c r="AD1542" s="209">
        <v>11</v>
      </c>
      <c r="AE1542" s="209">
        <v>2025</v>
      </c>
      <c r="AF1542" s="227">
        <v>45974</v>
      </c>
      <c r="AG1542" s="227">
        <v>45982</v>
      </c>
      <c r="AH1542" s="227">
        <v>45982</v>
      </c>
      <c r="AI1542" s="228">
        <v>426816</v>
      </c>
      <c r="AJ1542" s="228">
        <v>52</v>
      </c>
      <c r="AK1542" s="228">
        <v>385776</v>
      </c>
      <c r="AL1542" s="228">
        <v>47</v>
      </c>
      <c r="AM1542" s="228">
        <v>0</v>
      </c>
      <c r="AN1542" s="228">
        <v>0</v>
      </c>
      <c r="AO1542" s="229">
        <v>47</v>
      </c>
      <c r="AP1542" s="231">
        <v>11</v>
      </c>
      <c r="AQ1542" s="231">
        <v>2025</v>
      </c>
      <c r="AR1542" s="231" t="str">
        <f t="shared" si="229"/>
        <v>11/2025</v>
      </c>
      <c r="AS1542" s="231">
        <f t="shared" si="230"/>
        <v>46.6</v>
      </c>
      <c r="AT1542" s="239">
        <f>IF(G1542="CERVECERIA Y MALTERIA",(AS1542*AK1542/1000000)*(1-VLOOKUP(N1542,FCST!D:I,6,FALSE)),0)</f>
        <v>17.977161600000002</v>
      </c>
      <c r="AU1542" s="232">
        <v>5.0000000000000001E-3</v>
      </c>
      <c r="AV1542" s="239">
        <f t="shared" si="231"/>
        <v>18.067047408000001</v>
      </c>
      <c r="AW1542" s="239">
        <f>(AS1542*AK1542/1000000)*(VLOOKUP(N1542,FCST!D:I,6,FALSE))</f>
        <v>0</v>
      </c>
      <c r="AX1542" s="239">
        <f t="shared" si="232"/>
        <v>0</v>
      </c>
      <c r="AY1542" s="239">
        <f>IF($G1542="CERVECERIA Y MALTERIA.",($AS1542*$AK1542/1000000)*(1-VLOOKUP($N1542,FCST!D:I,6,FALSE)),0)</f>
        <v>0</v>
      </c>
      <c r="AZ1542" s="239">
        <f t="shared" si="233"/>
        <v>0</v>
      </c>
    </row>
    <row r="1543" spans="1:52" x14ac:dyDescent="0.25">
      <c r="A1543" s="209">
        <v>1151750</v>
      </c>
      <c r="B1543" s="209">
        <v>10</v>
      </c>
      <c r="C1543" s="209" t="s">
        <v>3432</v>
      </c>
      <c r="D1543" s="209">
        <v>10</v>
      </c>
      <c r="E1543" s="209">
        <v>10000002</v>
      </c>
      <c r="F1543" s="209">
        <v>20000335</v>
      </c>
      <c r="G1543" s="209" t="s">
        <v>105</v>
      </c>
      <c r="H1543" s="209">
        <v>20000335</v>
      </c>
      <c r="I1543" s="209">
        <v>2</v>
      </c>
      <c r="J1543" s="209" t="s">
        <v>169</v>
      </c>
      <c r="K1543" s="209" t="s">
        <v>3433</v>
      </c>
      <c r="L1543" s="209" t="s">
        <v>2610</v>
      </c>
      <c r="M1543" s="209" t="s">
        <v>184</v>
      </c>
      <c r="N1543" s="209">
        <v>50021818</v>
      </c>
      <c r="O1543" s="209" t="s">
        <v>2170</v>
      </c>
      <c r="P1543" s="209">
        <v>5121</v>
      </c>
      <c r="Q1543" s="209" t="s">
        <v>174</v>
      </c>
      <c r="R1543" s="209" t="s">
        <v>175</v>
      </c>
      <c r="S1543" s="209" t="s">
        <v>176</v>
      </c>
      <c r="T1543" s="209" t="s">
        <v>177</v>
      </c>
      <c r="U1543" s="209" t="s">
        <v>178</v>
      </c>
      <c r="V1543" s="209" t="s">
        <v>179</v>
      </c>
      <c r="W1543" s="209" t="s">
        <v>179</v>
      </c>
      <c r="X1543" s="209" t="s">
        <v>180</v>
      </c>
      <c r="Y1543" s="209" t="s">
        <v>180</v>
      </c>
      <c r="Z1543" s="209" t="s">
        <v>3428</v>
      </c>
      <c r="AA1543" s="209" t="s">
        <v>3429</v>
      </c>
      <c r="AB1543" s="209" t="s">
        <v>180</v>
      </c>
      <c r="AC1543" s="209" t="s">
        <v>182</v>
      </c>
      <c r="AD1543" s="209">
        <v>11</v>
      </c>
      <c r="AE1543" s="209">
        <v>2025</v>
      </c>
      <c r="AF1543" s="227">
        <v>45979</v>
      </c>
      <c r="AG1543" s="227">
        <v>45980</v>
      </c>
      <c r="AH1543" s="227">
        <v>45980</v>
      </c>
      <c r="AI1543" s="228">
        <v>426816</v>
      </c>
      <c r="AJ1543" s="228">
        <v>52</v>
      </c>
      <c r="AK1543" s="228">
        <v>426816</v>
      </c>
      <c r="AL1543" s="228">
        <v>52</v>
      </c>
      <c r="AM1543" s="228">
        <v>0</v>
      </c>
      <c r="AN1543" s="228">
        <v>0</v>
      </c>
      <c r="AO1543" s="229">
        <v>47</v>
      </c>
      <c r="AP1543" s="231">
        <v>11</v>
      </c>
      <c r="AQ1543" s="231">
        <v>2025</v>
      </c>
      <c r="AR1543" s="231" t="str">
        <f t="shared" si="229"/>
        <v>11/2025</v>
      </c>
      <c r="AS1543" s="231">
        <f t="shared" si="230"/>
        <v>46.6</v>
      </c>
      <c r="AT1543" s="239">
        <f>IF(G1543="CERVECERIA Y MALTERIA",(AS1543*AK1543/1000000)*(1-VLOOKUP(N1543,FCST!D:I,6,FALSE)),0)</f>
        <v>19.889625600000002</v>
      </c>
      <c r="AU1543" s="232">
        <v>5.0000000000000001E-3</v>
      </c>
      <c r="AV1543" s="239">
        <f t="shared" si="231"/>
        <v>19.989073728000001</v>
      </c>
      <c r="AW1543" s="239">
        <f>(AS1543*AK1543/1000000)*(VLOOKUP(N1543,FCST!D:I,6,FALSE))</f>
        <v>0</v>
      </c>
      <c r="AX1543" s="239">
        <f t="shared" si="232"/>
        <v>0</v>
      </c>
      <c r="AY1543" s="239">
        <f>IF($G1543="CERVECERIA Y MALTERIA.",($AS1543*$AK1543/1000000)*(1-VLOOKUP($N1543,FCST!D:I,6,FALSE)),0)</f>
        <v>0</v>
      </c>
      <c r="AZ1543" s="239">
        <f t="shared" si="233"/>
        <v>0</v>
      </c>
    </row>
    <row r="1544" spans="1:52" x14ac:dyDescent="0.25">
      <c r="A1544" s="209">
        <v>1152468</v>
      </c>
      <c r="B1544" s="209">
        <v>10</v>
      </c>
      <c r="C1544" s="209" t="s">
        <v>3434</v>
      </c>
      <c r="D1544" s="209">
        <v>10</v>
      </c>
      <c r="E1544" s="209">
        <v>10000002</v>
      </c>
      <c r="F1544" s="209">
        <v>20000335</v>
      </c>
      <c r="G1544" s="209" t="s">
        <v>105</v>
      </c>
      <c r="H1544" s="209">
        <v>20000335</v>
      </c>
      <c r="I1544" s="209">
        <v>2</v>
      </c>
      <c r="J1544" s="209" t="s">
        <v>169</v>
      </c>
      <c r="K1544" s="209" t="s">
        <v>3435</v>
      </c>
      <c r="L1544" s="209" t="s">
        <v>2610</v>
      </c>
      <c r="M1544" s="209" t="s">
        <v>184</v>
      </c>
      <c r="N1544" s="209">
        <v>50035184</v>
      </c>
      <c r="O1544" s="209" t="s">
        <v>672</v>
      </c>
      <c r="P1544" s="209">
        <v>5121</v>
      </c>
      <c r="Q1544" s="209" t="s">
        <v>174</v>
      </c>
      <c r="R1544" s="209" t="s">
        <v>175</v>
      </c>
      <c r="S1544" s="209" t="s">
        <v>176</v>
      </c>
      <c r="T1544" s="209" t="s">
        <v>177</v>
      </c>
      <c r="U1544" s="209" t="s">
        <v>178</v>
      </c>
      <c r="V1544" s="209" t="s">
        <v>179</v>
      </c>
      <c r="W1544" s="209" t="s">
        <v>179</v>
      </c>
      <c r="X1544" s="209" t="s">
        <v>180</v>
      </c>
      <c r="Y1544" s="209" t="s">
        <v>180</v>
      </c>
      <c r="Z1544" s="209" t="s">
        <v>3436</v>
      </c>
      <c r="AA1544" s="209" t="s">
        <v>3437</v>
      </c>
      <c r="AB1544" s="209" t="s">
        <v>180</v>
      </c>
      <c r="AC1544" s="209" t="s">
        <v>182</v>
      </c>
      <c r="AD1544" s="209">
        <v>11</v>
      </c>
      <c r="AE1544" s="209">
        <v>2025</v>
      </c>
      <c r="AF1544" s="227">
        <v>45982</v>
      </c>
      <c r="AG1544" s="227">
        <v>45986</v>
      </c>
      <c r="AH1544" s="227">
        <v>45986</v>
      </c>
      <c r="AI1544" s="228">
        <v>977184</v>
      </c>
      <c r="AJ1544" s="228">
        <v>52</v>
      </c>
      <c r="AK1544" s="228">
        <v>977184</v>
      </c>
      <c r="AL1544" s="228">
        <v>52</v>
      </c>
      <c r="AM1544" s="228">
        <v>0</v>
      </c>
      <c r="AN1544" s="228">
        <v>0</v>
      </c>
      <c r="AO1544" s="229">
        <v>48</v>
      </c>
      <c r="AP1544" s="231">
        <v>11</v>
      </c>
      <c r="AQ1544" s="231">
        <v>2025</v>
      </c>
      <c r="AR1544" s="231" t="str">
        <f t="shared" si="229"/>
        <v>11/2025</v>
      </c>
      <c r="AS1544" s="231">
        <f t="shared" si="230"/>
        <v>19.5</v>
      </c>
      <c r="AT1544" s="239">
        <f>IF(G1544="CERVECERIA Y MALTERIA",(AS1544*AK1544/1000000)*(1-VLOOKUP(N1544,FCST!D:I,6,FALSE)),0)</f>
        <v>19.055088000000001</v>
      </c>
      <c r="AU1544" s="232">
        <v>5.0000000000000001E-3</v>
      </c>
      <c r="AV1544" s="239">
        <f t="shared" si="231"/>
        <v>19.15036344</v>
      </c>
      <c r="AW1544" s="239">
        <f>(AS1544*AK1544/1000000)*(VLOOKUP(N1544,FCST!D:I,6,FALSE))</f>
        <v>0</v>
      </c>
      <c r="AX1544" s="239">
        <f t="shared" si="232"/>
        <v>0</v>
      </c>
      <c r="AY1544" s="239">
        <f>IF($G1544="CERVECERIA Y MALTERIA.",($AS1544*$AK1544/1000000)*(1-VLOOKUP($N1544,FCST!D:I,6,FALSE)),0)</f>
        <v>0</v>
      </c>
      <c r="AZ1544" s="239">
        <f t="shared" si="233"/>
        <v>0</v>
      </c>
    </row>
    <row r="1545" spans="1:52" x14ac:dyDescent="0.25">
      <c r="A1545" s="209">
        <v>1151214</v>
      </c>
      <c r="B1545" s="209">
        <v>10</v>
      </c>
      <c r="C1545" s="209" t="s">
        <v>3438</v>
      </c>
      <c r="D1545" s="209">
        <v>10</v>
      </c>
      <c r="E1545" s="209">
        <v>10000002</v>
      </c>
      <c r="F1545" s="209">
        <v>20000335</v>
      </c>
      <c r="G1545" s="209" t="s">
        <v>105</v>
      </c>
      <c r="H1545" s="209">
        <v>20000335</v>
      </c>
      <c r="I1545" s="209">
        <v>2</v>
      </c>
      <c r="J1545" s="209" t="s">
        <v>169</v>
      </c>
      <c r="K1545" s="209" t="s">
        <v>3439</v>
      </c>
      <c r="L1545" s="209" t="s">
        <v>2610</v>
      </c>
      <c r="M1545" s="209" t="s">
        <v>184</v>
      </c>
      <c r="N1545" s="209">
        <v>50021818</v>
      </c>
      <c r="O1545" s="209" t="s">
        <v>2170</v>
      </c>
      <c r="P1545" s="209">
        <v>5121</v>
      </c>
      <c r="Q1545" s="209" t="s">
        <v>174</v>
      </c>
      <c r="R1545" s="209" t="s">
        <v>175</v>
      </c>
      <c r="S1545" s="209" t="s">
        <v>176</v>
      </c>
      <c r="T1545" s="209" t="s">
        <v>177</v>
      </c>
      <c r="U1545" s="209" t="s">
        <v>178</v>
      </c>
      <c r="V1545" s="209" t="s">
        <v>179</v>
      </c>
      <c r="W1545" s="209" t="s">
        <v>179</v>
      </c>
      <c r="X1545" s="209" t="s">
        <v>180</v>
      </c>
      <c r="Y1545" s="209" t="s">
        <v>180</v>
      </c>
      <c r="Z1545" s="209" t="s">
        <v>3428</v>
      </c>
      <c r="AA1545" s="209" t="s">
        <v>3429</v>
      </c>
      <c r="AB1545" s="209" t="s">
        <v>180</v>
      </c>
      <c r="AC1545" s="209" t="s">
        <v>182</v>
      </c>
      <c r="AD1545" s="209">
        <v>11</v>
      </c>
      <c r="AE1545" s="209">
        <v>2025</v>
      </c>
      <c r="AF1545" s="227">
        <v>45974</v>
      </c>
      <c r="AG1545" s="227">
        <v>45978</v>
      </c>
      <c r="AH1545" s="227">
        <v>45978</v>
      </c>
      <c r="AI1545" s="228">
        <v>426816</v>
      </c>
      <c r="AJ1545" s="228">
        <v>52</v>
      </c>
      <c r="AK1545" s="228">
        <v>426816</v>
      </c>
      <c r="AL1545" s="228">
        <v>52</v>
      </c>
      <c r="AM1545" s="228">
        <v>0</v>
      </c>
      <c r="AN1545" s="228">
        <v>0</v>
      </c>
      <c r="AO1545" s="229">
        <v>47</v>
      </c>
      <c r="AP1545" s="231">
        <v>11</v>
      </c>
      <c r="AQ1545" s="231">
        <v>2025</v>
      </c>
      <c r="AR1545" s="231" t="str">
        <f t="shared" si="229"/>
        <v>11/2025</v>
      </c>
      <c r="AS1545" s="231">
        <f t="shared" si="230"/>
        <v>46.6</v>
      </c>
      <c r="AT1545" s="239">
        <f>IF(G1545="CERVECERIA Y MALTERIA",(AS1545*AK1545/1000000)*(1-VLOOKUP(N1545,FCST!D:I,6,FALSE)),0)</f>
        <v>19.889625600000002</v>
      </c>
      <c r="AU1545" s="232">
        <v>5.0000000000000001E-3</v>
      </c>
      <c r="AV1545" s="239">
        <f t="shared" si="231"/>
        <v>19.989073728000001</v>
      </c>
      <c r="AW1545" s="239">
        <f>(AS1545*AK1545/1000000)*(VLOOKUP(N1545,FCST!D:I,6,FALSE))</f>
        <v>0</v>
      </c>
      <c r="AX1545" s="239">
        <f t="shared" si="232"/>
        <v>0</v>
      </c>
      <c r="AY1545" s="239">
        <f>IF($G1545="CERVECERIA Y MALTERIA.",($AS1545*$AK1545/1000000)*(1-VLOOKUP($N1545,FCST!D:I,6,FALSE)),0)</f>
        <v>0</v>
      </c>
      <c r="AZ1545" s="239">
        <f t="shared" si="233"/>
        <v>0</v>
      </c>
    </row>
    <row r="1546" spans="1:52" x14ac:dyDescent="0.25">
      <c r="A1546" s="209">
        <v>1151221</v>
      </c>
      <c r="B1546" s="209">
        <v>10</v>
      </c>
      <c r="C1546" s="209" t="s">
        <v>3440</v>
      </c>
      <c r="D1546" s="209">
        <v>10</v>
      </c>
      <c r="E1546" s="209">
        <v>10000002</v>
      </c>
      <c r="F1546" s="209">
        <v>20000340</v>
      </c>
      <c r="G1546" s="209" t="s">
        <v>117</v>
      </c>
      <c r="H1546" s="209">
        <v>20000340</v>
      </c>
      <c r="I1546" s="209">
        <v>2</v>
      </c>
      <c r="J1546" s="209" t="s">
        <v>169</v>
      </c>
      <c r="K1546" s="209" t="s">
        <v>3441</v>
      </c>
      <c r="L1546" s="209" t="s">
        <v>2610</v>
      </c>
      <c r="M1546" s="209" t="s">
        <v>184</v>
      </c>
      <c r="N1546" s="209">
        <v>50039856</v>
      </c>
      <c r="O1546" s="209" t="s">
        <v>2871</v>
      </c>
      <c r="P1546" s="209">
        <v>5101</v>
      </c>
      <c r="Q1546" s="209" t="s">
        <v>186</v>
      </c>
      <c r="R1546" s="209" t="s">
        <v>175</v>
      </c>
      <c r="S1546" s="209" t="s">
        <v>176</v>
      </c>
      <c r="T1546" s="209" t="s">
        <v>187</v>
      </c>
      <c r="U1546" s="209" t="s">
        <v>188</v>
      </c>
      <c r="V1546" s="209" t="s">
        <v>179</v>
      </c>
      <c r="W1546" s="209" t="s">
        <v>179</v>
      </c>
      <c r="X1546" s="209" t="s">
        <v>180</v>
      </c>
      <c r="Y1546" s="209" t="s">
        <v>180</v>
      </c>
      <c r="Z1546" s="209" t="s">
        <v>3424</v>
      </c>
      <c r="AA1546" s="209" t="s">
        <v>3425</v>
      </c>
      <c r="AB1546" s="209" t="s">
        <v>180</v>
      </c>
      <c r="AC1546" s="209" t="s">
        <v>182</v>
      </c>
      <c r="AD1546" s="209">
        <v>11</v>
      </c>
      <c r="AE1546" s="209">
        <v>2025</v>
      </c>
      <c r="AF1546" s="227">
        <v>45974</v>
      </c>
      <c r="AG1546" s="227">
        <v>45978</v>
      </c>
      <c r="AH1546" s="227">
        <v>45978</v>
      </c>
      <c r="AI1546" s="228">
        <v>399360</v>
      </c>
      <c r="AJ1546" s="228">
        <v>52</v>
      </c>
      <c r="AK1546" s="228">
        <v>399360</v>
      </c>
      <c r="AL1546" s="228">
        <v>52</v>
      </c>
      <c r="AM1546" s="228">
        <v>0</v>
      </c>
      <c r="AN1546" s="228">
        <v>0</v>
      </c>
      <c r="AO1546" s="229">
        <v>47</v>
      </c>
      <c r="AP1546" s="231">
        <v>11</v>
      </c>
      <c r="AQ1546" s="231">
        <v>2025</v>
      </c>
      <c r="AR1546" s="231" t="str">
        <f t="shared" si="229"/>
        <v>11/2025</v>
      </c>
      <c r="AS1546" s="231">
        <f t="shared" si="230"/>
        <v>52</v>
      </c>
      <c r="AT1546" s="239">
        <f>IF(G1546="CERVECERIA Y MALTERIA",(AS1546*AK1546/1000000)*(1-VLOOKUP(N1546,FCST!D:I,6,FALSE)),0)</f>
        <v>0</v>
      </c>
      <c r="AU1546" s="232">
        <v>5.0000000000000001E-3</v>
      </c>
      <c r="AV1546" s="239">
        <f t="shared" si="231"/>
        <v>0</v>
      </c>
      <c r="AW1546" s="239">
        <f>(AS1546*AK1546/1000000)*(VLOOKUP(N1546,FCST!D:I,6,FALSE))</f>
        <v>0</v>
      </c>
      <c r="AX1546" s="239">
        <f t="shared" si="232"/>
        <v>0</v>
      </c>
      <c r="AY1546" s="239">
        <f>IF($G1546="CERVECERIA Y MALTERIA.",($AS1546*$AK1546/1000000)*(1-VLOOKUP($N1546,FCST!D:I,6,FALSE)),0)</f>
        <v>20.766719999999999</v>
      </c>
      <c r="AZ1546" s="239">
        <f t="shared" si="233"/>
        <v>20.870553599999997</v>
      </c>
    </row>
    <row r="1547" spans="1:52" x14ac:dyDescent="0.25">
      <c r="A1547" s="209">
        <v>1151214</v>
      </c>
      <c r="B1547" s="209">
        <v>20</v>
      </c>
      <c r="C1547" s="209" t="s">
        <v>3442</v>
      </c>
      <c r="D1547" s="209">
        <v>10</v>
      </c>
      <c r="E1547" s="209">
        <v>10000002</v>
      </c>
      <c r="F1547" s="209">
        <v>20000335</v>
      </c>
      <c r="G1547" s="209" t="s">
        <v>105</v>
      </c>
      <c r="H1547" s="209">
        <v>20000335</v>
      </c>
      <c r="I1547" s="209">
        <v>2</v>
      </c>
      <c r="J1547" s="209" t="s">
        <v>169</v>
      </c>
      <c r="K1547" s="209" t="s">
        <v>3443</v>
      </c>
      <c r="L1547" s="209" t="s">
        <v>2610</v>
      </c>
      <c r="M1547" s="209" t="s">
        <v>2718</v>
      </c>
      <c r="N1547" s="209">
        <v>50021818</v>
      </c>
      <c r="O1547" s="209" t="s">
        <v>2170</v>
      </c>
      <c r="P1547" s="209">
        <v>5121</v>
      </c>
      <c r="Q1547" s="209" t="s">
        <v>174</v>
      </c>
      <c r="R1547" s="209" t="s">
        <v>175</v>
      </c>
      <c r="S1547" s="209" t="s">
        <v>176</v>
      </c>
      <c r="T1547" s="209" t="s">
        <v>177</v>
      </c>
      <c r="U1547" s="209" t="s">
        <v>178</v>
      </c>
      <c r="V1547" s="209" t="s">
        <v>179</v>
      </c>
      <c r="W1547" s="209" t="s">
        <v>179</v>
      </c>
      <c r="X1547" s="209" t="s">
        <v>180</v>
      </c>
      <c r="Y1547" s="209" t="s">
        <v>180</v>
      </c>
      <c r="Z1547" s="209" t="s">
        <v>3428</v>
      </c>
      <c r="AA1547" s="209" t="s">
        <v>3429</v>
      </c>
      <c r="AB1547" s="209" t="s">
        <v>180</v>
      </c>
      <c r="AC1547" s="209" t="s">
        <v>182</v>
      </c>
      <c r="AD1547" s="209">
        <v>11</v>
      </c>
      <c r="AE1547" s="209">
        <v>2025</v>
      </c>
      <c r="AF1547" s="227">
        <v>45974</v>
      </c>
      <c r="AG1547" s="227">
        <v>45980</v>
      </c>
      <c r="AH1547" s="227">
        <v>45980</v>
      </c>
      <c r="AI1547" s="228">
        <v>426816</v>
      </c>
      <c r="AJ1547" s="228">
        <v>52</v>
      </c>
      <c r="AK1547" s="228">
        <v>426816</v>
      </c>
      <c r="AL1547" s="228">
        <v>52</v>
      </c>
      <c r="AM1547" s="228">
        <v>0</v>
      </c>
      <c r="AN1547" s="228">
        <v>0</v>
      </c>
      <c r="AO1547" s="229">
        <v>47</v>
      </c>
      <c r="AP1547" s="231">
        <v>11</v>
      </c>
      <c r="AQ1547" s="231">
        <v>2025</v>
      </c>
      <c r="AR1547" s="231" t="str">
        <f t="shared" si="229"/>
        <v>11/2025</v>
      </c>
      <c r="AS1547" s="231">
        <f t="shared" si="230"/>
        <v>46.6</v>
      </c>
      <c r="AT1547" s="239">
        <f>IF(G1547="CERVECERIA Y MALTERIA",(AS1547*AK1547/1000000)*(1-VLOOKUP(N1547,FCST!D:I,6,FALSE)),0)</f>
        <v>19.889625600000002</v>
      </c>
      <c r="AU1547" s="232">
        <v>5.0000000000000001E-3</v>
      </c>
      <c r="AV1547" s="239">
        <f t="shared" si="231"/>
        <v>19.989073728000001</v>
      </c>
      <c r="AW1547" s="239">
        <f>(AS1547*AK1547/1000000)*(VLOOKUP(N1547,FCST!D:I,6,FALSE))</f>
        <v>0</v>
      </c>
      <c r="AX1547" s="239">
        <f t="shared" si="232"/>
        <v>0</v>
      </c>
      <c r="AY1547" s="239">
        <f>IF($G1547="CERVECERIA Y MALTERIA.",($AS1547*$AK1547/1000000)*(1-VLOOKUP($N1547,FCST!D:I,6,FALSE)),0)</f>
        <v>0</v>
      </c>
      <c r="AZ1547" s="239">
        <f t="shared" si="233"/>
        <v>0</v>
      </c>
    </row>
    <row r="1548" spans="1:52" x14ac:dyDescent="0.25">
      <c r="A1548" s="209">
        <v>1151221</v>
      </c>
      <c r="B1548" s="209">
        <v>20</v>
      </c>
      <c r="C1548" s="209" t="s">
        <v>3444</v>
      </c>
      <c r="D1548" s="209">
        <v>10</v>
      </c>
      <c r="E1548" s="209">
        <v>10000002</v>
      </c>
      <c r="F1548" s="209">
        <v>20000340</v>
      </c>
      <c r="G1548" s="209" t="s">
        <v>117</v>
      </c>
      <c r="H1548" s="209">
        <v>20000340</v>
      </c>
      <c r="I1548" s="209">
        <v>2</v>
      </c>
      <c r="J1548" s="209" t="s">
        <v>169</v>
      </c>
      <c r="K1548" s="209" t="s">
        <v>3445</v>
      </c>
      <c r="L1548" s="209" t="s">
        <v>2610</v>
      </c>
      <c r="M1548" s="209" t="s">
        <v>184</v>
      </c>
      <c r="N1548" s="209">
        <v>50039856</v>
      </c>
      <c r="O1548" s="209" t="s">
        <v>2871</v>
      </c>
      <c r="P1548" s="209">
        <v>5101</v>
      </c>
      <c r="Q1548" s="209" t="s">
        <v>186</v>
      </c>
      <c r="R1548" s="209" t="s">
        <v>175</v>
      </c>
      <c r="S1548" s="209" t="s">
        <v>176</v>
      </c>
      <c r="T1548" s="209" t="s">
        <v>187</v>
      </c>
      <c r="U1548" s="209" t="s">
        <v>188</v>
      </c>
      <c r="V1548" s="209" t="s">
        <v>179</v>
      </c>
      <c r="W1548" s="209" t="s">
        <v>179</v>
      </c>
      <c r="X1548" s="209" t="s">
        <v>180</v>
      </c>
      <c r="Y1548" s="209" t="s">
        <v>180</v>
      </c>
      <c r="Z1548" s="209" t="s">
        <v>3424</v>
      </c>
      <c r="AA1548" s="209" t="s">
        <v>3425</v>
      </c>
      <c r="AB1548" s="209" t="s">
        <v>180</v>
      </c>
      <c r="AC1548" s="209" t="s">
        <v>182</v>
      </c>
      <c r="AD1548" s="209">
        <v>11</v>
      </c>
      <c r="AE1548" s="209">
        <v>2025</v>
      </c>
      <c r="AF1548" s="227">
        <v>45974</v>
      </c>
      <c r="AG1548" s="227">
        <v>45979</v>
      </c>
      <c r="AH1548" s="227">
        <v>45979</v>
      </c>
      <c r="AI1548" s="228">
        <v>399360</v>
      </c>
      <c r="AJ1548" s="228">
        <v>52</v>
      </c>
      <c r="AK1548" s="228">
        <v>399360</v>
      </c>
      <c r="AL1548" s="228">
        <v>52</v>
      </c>
      <c r="AM1548" s="228">
        <v>0</v>
      </c>
      <c r="AN1548" s="228">
        <v>0</v>
      </c>
      <c r="AO1548" s="229">
        <v>47</v>
      </c>
      <c r="AP1548" s="231">
        <v>11</v>
      </c>
      <c r="AQ1548" s="231">
        <v>2025</v>
      </c>
      <c r="AR1548" s="231" t="str">
        <f t="shared" si="229"/>
        <v>11/2025</v>
      </c>
      <c r="AS1548" s="231">
        <f t="shared" si="230"/>
        <v>52</v>
      </c>
      <c r="AT1548" s="239">
        <f>IF(G1548="CERVECERIA Y MALTERIA",(AS1548*AK1548/1000000)*(1-VLOOKUP(N1548,FCST!D:I,6,FALSE)),0)</f>
        <v>0</v>
      </c>
      <c r="AU1548" s="232">
        <v>5.0000000000000001E-3</v>
      </c>
      <c r="AV1548" s="239">
        <f t="shared" si="231"/>
        <v>0</v>
      </c>
      <c r="AW1548" s="239">
        <f>(AS1548*AK1548/1000000)*(VLOOKUP(N1548,FCST!D:I,6,FALSE))</f>
        <v>0</v>
      </c>
      <c r="AX1548" s="239">
        <f t="shared" si="232"/>
        <v>0</v>
      </c>
      <c r="AY1548" s="239">
        <f>IF($G1548="CERVECERIA Y MALTERIA.",($AS1548*$AK1548/1000000)*(1-VLOOKUP($N1548,FCST!D:I,6,FALSE)),0)</f>
        <v>20.766719999999999</v>
      </c>
      <c r="AZ1548" s="239">
        <f t="shared" si="233"/>
        <v>20.870553599999997</v>
      </c>
    </row>
    <row r="1549" spans="1:52" x14ac:dyDescent="0.25">
      <c r="A1549" s="209">
        <v>1152468</v>
      </c>
      <c r="B1549" s="209">
        <v>140</v>
      </c>
      <c r="C1549" s="209" t="s">
        <v>3446</v>
      </c>
      <c r="D1549" s="209">
        <v>10</v>
      </c>
      <c r="E1549" s="209">
        <v>10000002</v>
      </c>
      <c r="F1549" s="209">
        <v>20000335</v>
      </c>
      <c r="G1549" s="209" t="s">
        <v>105</v>
      </c>
      <c r="H1549" s="209">
        <v>20000335</v>
      </c>
      <c r="I1549" s="209">
        <v>2</v>
      </c>
      <c r="J1549" s="209" t="s">
        <v>169</v>
      </c>
      <c r="K1549" s="209" t="s">
        <v>3447</v>
      </c>
      <c r="L1549" s="209" t="s">
        <v>2610</v>
      </c>
      <c r="M1549" s="209" t="s">
        <v>172</v>
      </c>
      <c r="N1549" s="209">
        <v>50025345</v>
      </c>
      <c r="O1549" s="209" t="s">
        <v>1998</v>
      </c>
      <c r="P1549" s="209">
        <v>5121</v>
      </c>
      <c r="Q1549" s="209" t="s">
        <v>174</v>
      </c>
      <c r="R1549" s="209" t="s">
        <v>175</v>
      </c>
      <c r="S1549" s="209" t="s">
        <v>176</v>
      </c>
      <c r="T1549" s="209" t="s">
        <v>177</v>
      </c>
      <c r="U1549" s="209" t="s">
        <v>178</v>
      </c>
      <c r="V1549" s="209" t="s">
        <v>179</v>
      </c>
      <c r="W1549" s="209" t="s">
        <v>179</v>
      </c>
      <c r="X1549" s="209" t="s">
        <v>180</v>
      </c>
      <c r="Y1549" s="209" t="s">
        <v>180</v>
      </c>
      <c r="Z1549" s="209" t="s">
        <v>3448</v>
      </c>
      <c r="AA1549" s="209" t="s">
        <v>3449</v>
      </c>
      <c r="AB1549" s="209" t="s">
        <v>180</v>
      </c>
      <c r="AC1549" s="209" t="s">
        <v>182</v>
      </c>
      <c r="AD1549" s="209">
        <v>11</v>
      </c>
      <c r="AE1549" s="209">
        <v>2025</v>
      </c>
      <c r="AF1549" s="227">
        <v>45982</v>
      </c>
      <c r="AG1549" s="227">
        <v>45988</v>
      </c>
      <c r="AH1549" s="227">
        <v>45988</v>
      </c>
      <c r="AI1549" s="228">
        <v>147744</v>
      </c>
      <c r="AJ1549" s="228">
        <v>18</v>
      </c>
      <c r="AK1549" s="228">
        <v>147744</v>
      </c>
      <c r="AL1549" s="228">
        <v>18</v>
      </c>
      <c r="AM1549" s="228">
        <v>0</v>
      </c>
      <c r="AN1549" s="228">
        <v>0</v>
      </c>
      <c r="AO1549" s="229">
        <v>48</v>
      </c>
      <c r="AP1549" s="231">
        <v>11</v>
      </c>
      <c r="AQ1549" s="231">
        <v>2025</v>
      </c>
      <c r="AR1549" s="231" t="str">
        <f t="shared" si="229"/>
        <v>11/2025</v>
      </c>
      <c r="AS1549" s="231">
        <f t="shared" si="230"/>
        <v>46.6</v>
      </c>
      <c r="AT1549" s="239">
        <f>IF(G1549="CERVECERIA Y MALTERIA",(AS1549*AK1549/1000000)*(1-VLOOKUP(N1549,FCST!D:I,6,FALSE)),0)</f>
        <v>6.8848704000000005</v>
      </c>
      <c r="AU1549" s="232">
        <v>5.0000000000000001E-3</v>
      </c>
      <c r="AV1549" s="239">
        <f t="shared" si="231"/>
        <v>6.9192947519999999</v>
      </c>
      <c r="AW1549" s="239">
        <f>(AS1549*AK1549/1000000)*(VLOOKUP(N1549,FCST!D:I,6,FALSE))</f>
        <v>0</v>
      </c>
      <c r="AX1549" s="239">
        <f t="shared" si="232"/>
        <v>0</v>
      </c>
      <c r="AY1549" s="239">
        <f>IF($G1549="CERVECERIA Y MALTERIA.",($AS1549*$AK1549/1000000)*(1-VLOOKUP($N1549,FCST!D:I,6,FALSE)),0)</f>
        <v>0</v>
      </c>
      <c r="AZ1549" s="239">
        <f t="shared" si="233"/>
        <v>0</v>
      </c>
    </row>
    <row r="1550" spans="1:52" x14ac:dyDescent="0.25">
      <c r="A1550" s="209">
        <v>1152510</v>
      </c>
      <c r="B1550" s="209">
        <v>20</v>
      </c>
      <c r="C1550" s="209" t="s">
        <v>3450</v>
      </c>
      <c r="D1550" s="209">
        <v>10</v>
      </c>
      <c r="E1550" s="209">
        <v>10000002</v>
      </c>
      <c r="F1550" s="209">
        <v>20000336</v>
      </c>
      <c r="G1550" s="209" t="s">
        <v>105</v>
      </c>
      <c r="H1550" s="209">
        <v>20000336</v>
      </c>
      <c r="I1550" s="209">
        <v>2</v>
      </c>
      <c r="J1550" s="209" t="s">
        <v>169</v>
      </c>
      <c r="K1550" s="209" t="s">
        <v>3451</v>
      </c>
      <c r="L1550" s="209" t="s">
        <v>2610</v>
      </c>
      <c r="M1550" s="209" t="s">
        <v>172</v>
      </c>
      <c r="N1550" s="209">
        <v>50030381</v>
      </c>
      <c r="O1550" s="209" t="s">
        <v>1791</v>
      </c>
      <c r="P1550" s="209">
        <v>5121</v>
      </c>
      <c r="Q1550" s="209" t="s">
        <v>174</v>
      </c>
      <c r="R1550" s="209" t="s">
        <v>175</v>
      </c>
      <c r="S1550" s="209" t="s">
        <v>176</v>
      </c>
      <c r="T1550" s="209" t="s">
        <v>177</v>
      </c>
      <c r="U1550" s="209" t="s">
        <v>178</v>
      </c>
      <c r="V1550" s="209" t="s">
        <v>179</v>
      </c>
      <c r="W1550" s="209" t="s">
        <v>179</v>
      </c>
      <c r="X1550" s="209" t="s">
        <v>180</v>
      </c>
      <c r="Y1550" s="209" t="s">
        <v>180</v>
      </c>
      <c r="Z1550" s="209" t="s">
        <v>3452</v>
      </c>
      <c r="AA1550" s="209" t="s">
        <v>3453</v>
      </c>
      <c r="AB1550" s="209" t="s">
        <v>180</v>
      </c>
      <c r="AC1550" s="209" t="s">
        <v>182</v>
      </c>
      <c r="AD1550" s="209">
        <v>11</v>
      </c>
      <c r="AE1550" s="209">
        <v>2025</v>
      </c>
      <c r="AF1550" s="227">
        <v>45982</v>
      </c>
      <c r="AG1550" s="227">
        <v>45988</v>
      </c>
      <c r="AH1550" s="227">
        <v>45988</v>
      </c>
      <c r="AI1550" s="228">
        <v>406016</v>
      </c>
      <c r="AJ1550" s="228">
        <v>52</v>
      </c>
      <c r="AK1550" s="228">
        <v>406016</v>
      </c>
      <c r="AL1550" s="228">
        <v>52</v>
      </c>
      <c r="AM1550" s="228">
        <v>0</v>
      </c>
      <c r="AN1550" s="228">
        <v>0</v>
      </c>
      <c r="AO1550" s="229">
        <v>48</v>
      </c>
      <c r="AP1550" s="231">
        <v>11</v>
      </c>
      <c r="AQ1550" s="231">
        <v>2025</v>
      </c>
      <c r="AR1550" s="231" t="str">
        <f t="shared" si="229"/>
        <v>11/2025</v>
      </c>
      <c r="AS1550" s="231">
        <f t="shared" si="230"/>
        <v>46.6</v>
      </c>
      <c r="AT1550" s="239">
        <f>IF(G1550="CERVECERIA Y MALTERIA",(AS1550*AK1550/1000000)*(1-VLOOKUP(N1550,FCST!D:I,6,FALSE)),0)</f>
        <v>18.920345600000001</v>
      </c>
      <c r="AU1550" s="232">
        <v>5.0000000000000001E-3</v>
      </c>
      <c r="AV1550" s="239">
        <f t="shared" si="231"/>
        <v>19.014947327999998</v>
      </c>
      <c r="AW1550" s="239">
        <f>(AS1550*AK1550/1000000)*(VLOOKUP(N1550,FCST!D:I,6,FALSE))</f>
        <v>0</v>
      </c>
      <c r="AX1550" s="239">
        <f t="shared" si="232"/>
        <v>0</v>
      </c>
      <c r="AY1550" s="239">
        <f>IF($G1550="CERVECERIA Y MALTERIA.",($AS1550*$AK1550/1000000)*(1-VLOOKUP($N1550,FCST!D:I,6,FALSE)),0)</f>
        <v>0</v>
      </c>
      <c r="AZ1550" s="239">
        <f t="shared" si="233"/>
        <v>0</v>
      </c>
    </row>
    <row r="1551" spans="1:52" x14ac:dyDescent="0.25">
      <c r="A1551" s="209">
        <v>1152469</v>
      </c>
      <c r="B1551" s="209">
        <v>10</v>
      </c>
      <c r="C1551" s="209" t="s">
        <v>3454</v>
      </c>
      <c r="D1551" s="209">
        <v>10</v>
      </c>
      <c r="E1551" s="209">
        <v>10000002</v>
      </c>
      <c r="F1551" s="209">
        <v>20000340</v>
      </c>
      <c r="G1551" s="209" t="s">
        <v>117</v>
      </c>
      <c r="H1551" s="209">
        <v>20000340</v>
      </c>
      <c r="I1551" s="209">
        <v>2</v>
      </c>
      <c r="J1551" s="209" t="s">
        <v>169</v>
      </c>
      <c r="K1551" s="209" t="s">
        <v>3455</v>
      </c>
      <c r="L1551" s="209" t="s">
        <v>2610</v>
      </c>
      <c r="M1551" s="209" t="s">
        <v>172</v>
      </c>
      <c r="N1551" s="209">
        <v>50029843</v>
      </c>
      <c r="O1551" s="209" t="s">
        <v>460</v>
      </c>
      <c r="P1551" s="209">
        <v>5121</v>
      </c>
      <c r="Q1551" s="209" t="s">
        <v>174</v>
      </c>
      <c r="R1551" s="209" t="s">
        <v>175</v>
      </c>
      <c r="S1551" s="209" t="s">
        <v>176</v>
      </c>
      <c r="T1551" s="209" t="s">
        <v>177</v>
      </c>
      <c r="U1551" s="209" t="s">
        <v>178</v>
      </c>
      <c r="V1551" s="209" t="s">
        <v>179</v>
      </c>
      <c r="W1551" s="209" t="s">
        <v>179</v>
      </c>
      <c r="X1551" s="209" t="s">
        <v>180</v>
      </c>
      <c r="Y1551" s="209" t="s">
        <v>180</v>
      </c>
      <c r="Z1551" s="209" t="s">
        <v>3456</v>
      </c>
      <c r="AA1551" s="209" t="s">
        <v>3457</v>
      </c>
      <c r="AB1551" s="209" t="s">
        <v>180</v>
      </c>
      <c r="AC1551" s="209" t="s">
        <v>182</v>
      </c>
      <c r="AD1551" s="209">
        <v>11</v>
      </c>
      <c r="AE1551" s="209">
        <v>2025</v>
      </c>
      <c r="AF1551" s="227">
        <v>45982</v>
      </c>
      <c r="AG1551" s="227">
        <v>45988</v>
      </c>
      <c r="AH1551" s="227">
        <v>45988</v>
      </c>
      <c r="AI1551" s="228">
        <v>419328</v>
      </c>
      <c r="AJ1551" s="228">
        <v>52</v>
      </c>
      <c r="AK1551" s="228">
        <v>419328</v>
      </c>
      <c r="AL1551" s="228">
        <v>52</v>
      </c>
      <c r="AM1551" s="228">
        <v>0</v>
      </c>
      <c r="AN1551" s="228">
        <v>0</v>
      </c>
      <c r="AO1551" s="229">
        <v>48</v>
      </c>
      <c r="AP1551" s="231">
        <v>11</v>
      </c>
      <c r="AQ1551" s="231">
        <v>2025</v>
      </c>
      <c r="AR1551" s="231" t="str">
        <f t="shared" si="229"/>
        <v>11/2025</v>
      </c>
      <c r="AS1551" s="231">
        <f t="shared" si="230"/>
        <v>44.8</v>
      </c>
      <c r="AT1551" s="239">
        <f>IF(G1551="CERVECERIA Y MALTERIA",(AS1551*AK1551/1000000)*(1-VLOOKUP(N1551,FCST!D:I,6,FALSE)),0)</f>
        <v>0</v>
      </c>
      <c r="AU1551" s="232">
        <v>5.0000000000000001E-3</v>
      </c>
      <c r="AV1551" s="239">
        <f t="shared" si="231"/>
        <v>0</v>
      </c>
      <c r="AW1551" s="239">
        <f>(AS1551*AK1551/1000000)*(VLOOKUP(N1551,FCST!D:I,6,FALSE))</f>
        <v>0</v>
      </c>
      <c r="AX1551" s="239">
        <f t="shared" si="232"/>
        <v>0</v>
      </c>
      <c r="AY1551" s="239">
        <f>IF($G1551="CERVECERIA Y MALTERIA.",($AS1551*$AK1551/1000000)*(1-VLOOKUP($N1551,FCST!D:I,6,FALSE)),0)</f>
        <v>18.7858944</v>
      </c>
      <c r="AZ1551" s="239">
        <f t="shared" si="233"/>
        <v>18.879823871999999</v>
      </c>
    </row>
    <row r="1552" spans="1:52" x14ac:dyDescent="0.25">
      <c r="A1552" s="209">
        <v>1152468</v>
      </c>
      <c r="B1552" s="209">
        <v>200</v>
      </c>
      <c r="C1552" s="209" t="s">
        <v>3458</v>
      </c>
      <c r="D1552" s="209">
        <v>10</v>
      </c>
      <c r="E1552" s="209">
        <v>10000002</v>
      </c>
      <c r="F1552" s="209">
        <v>20000335</v>
      </c>
      <c r="G1552" s="209" t="s">
        <v>105</v>
      </c>
      <c r="H1552" s="209">
        <v>20000335</v>
      </c>
      <c r="I1552" s="209">
        <v>2</v>
      </c>
      <c r="J1552" s="209" t="s">
        <v>169</v>
      </c>
      <c r="K1552" s="209" t="s">
        <v>3459</v>
      </c>
      <c r="L1552" s="209" t="s">
        <v>2610</v>
      </c>
      <c r="M1552" s="209" t="s">
        <v>172</v>
      </c>
      <c r="N1552" s="209">
        <v>50034616</v>
      </c>
      <c r="O1552" s="209" t="s">
        <v>191</v>
      </c>
      <c r="P1552" s="209">
        <v>5121</v>
      </c>
      <c r="Q1552" s="209" t="s">
        <v>174</v>
      </c>
      <c r="R1552" s="209" t="s">
        <v>175</v>
      </c>
      <c r="S1552" s="209" t="s">
        <v>176</v>
      </c>
      <c r="T1552" s="209" t="s">
        <v>177</v>
      </c>
      <c r="U1552" s="209" t="s">
        <v>178</v>
      </c>
      <c r="V1552" s="209" t="s">
        <v>179</v>
      </c>
      <c r="W1552" s="209" t="s">
        <v>179</v>
      </c>
      <c r="X1552" s="209" t="s">
        <v>180</v>
      </c>
      <c r="Y1552" s="209" t="s">
        <v>180</v>
      </c>
      <c r="Z1552" s="209" t="s">
        <v>3460</v>
      </c>
      <c r="AA1552" s="209" t="s">
        <v>3461</v>
      </c>
      <c r="AB1552" s="209" t="s">
        <v>180</v>
      </c>
      <c r="AC1552" s="209" t="s">
        <v>182</v>
      </c>
      <c r="AD1552" s="209">
        <v>11</v>
      </c>
      <c r="AE1552" s="209">
        <v>2025</v>
      </c>
      <c r="AF1552" s="227">
        <v>45982</v>
      </c>
      <c r="AG1552" s="227">
        <v>45989</v>
      </c>
      <c r="AH1552" s="227">
        <v>45989</v>
      </c>
      <c r="AI1552" s="228">
        <v>98496</v>
      </c>
      <c r="AJ1552" s="228">
        <v>12</v>
      </c>
      <c r="AK1552" s="228">
        <v>98496</v>
      </c>
      <c r="AL1552" s="228">
        <v>12</v>
      </c>
      <c r="AM1552" s="228">
        <v>0</v>
      </c>
      <c r="AN1552" s="228">
        <v>0</v>
      </c>
      <c r="AO1552" s="229">
        <v>48</v>
      </c>
      <c r="AP1552" s="231">
        <v>11</v>
      </c>
      <c r="AQ1552" s="231">
        <v>2025</v>
      </c>
      <c r="AR1552" s="231" t="str">
        <f t="shared" si="229"/>
        <v>11/2025</v>
      </c>
      <c r="AS1552" s="231">
        <f t="shared" si="230"/>
        <v>46.6</v>
      </c>
      <c r="AT1552" s="239">
        <f>IF(G1552="CERVECERIA Y MALTERIA",(AS1552*AK1552/1000000)*(1-VLOOKUP(N1552,FCST!D:I,6,FALSE)),0)</f>
        <v>4.5899136000000009</v>
      </c>
      <c r="AU1552" s="232">
        <v>5.0000000000000001E-3</v>
      </c>
      <c r="AV1552" s="239">
        <f t="shared" si="231"/>
        <v>4.6128631680000005</v>
      </c>
      <c r="AW1552" s="239">
        <f>(AS1552*AK1552/1000000)*(VLOOKUP(N1552,FCST!D:I,6,FALSE))</f>
        <v>0</v>
      </c>
      <c r="AX1552" s="239">
        <f t="shared" si="232"/>
        <v>0</v>
      </c>
      <c r="AY1552" s="239">
        <f>IF($G1552="CERVECERIA Y MALTERIA.",($AS1552*$AK1552/1000000)*(1-VLOOKUP($N1552,FCST!D:I,6,FALSE)),0)</f>
        <v>0</v>
      </c>
      <c r="AZ1552" s="239">
        <f t="shared" si="233"/>
        <v>0</v>
      </c>
    </row>
    <row r="1553" spans="1:52" x14ac:dyDescent="0.25">
      <c r="A1553" s="209">
        <v>1152468</v>
      </c>
      <c r="B1553" s="209">
        <v>180</v>
      </c>
      <c r="C1553" s="209" t="s">
        <v>3462</v>
      </c>
      <c r="D1553" s="209">
        <v>10</v>
      </c>
      <c r="E1553" s="209">
        <v>10000002</v>
      </c>
      <c r="F1553" s="209">
        <v>20000335</v>
      </c>
      <c r="G1553" s="209" t="s">
        <v>105</v>
      </c>
      <c r="H1553" s="209">
        <v>20000335</v>
      </c>
      <c r="I1553" s="209">
        <v>2</v>
      </c>
      <c r="J1553" s="209" t="s">
        <v>169</v>
      </c>
      <c r="K1553" s="209" t="s">
        <v>3463</v>
      </c>
      <c r="L1553" s="209" t="s">
        <v>2610</v>
      </c>
      <c r="M1553" s="209" t="s">
        <v>184</v>
      </c>
      <c r="N1553" s="209">
        <v>50035184</v>
      </c>
      <c r="O1553" s="209" t="s">
        <v>672</v>
      </c>
      <c r="P1553" s="209">
        <v>5121</v>
      </c>
      <c r="Q1553" s="209" t="s">
        <v>174</v>
      </c>
      <c r="R1553" s="209" t="s">
        <v>175</v>
      </c>
      <c r="S1553" s="209" t="s">
        <v>176</v>
      </c>
      <c r="T1553" s="209" t="s">
        <v>177</v>
      </c>
      <c r="U1553" s="209" t="s">
        <v>178</v>
      </c>
      <c r="V1553" s="209" t="s">
        <v>179</v>
      </c>
      <c r="W1553" s="209" t="s">
        <v>179</v>
      </c>
      <c r="X1553" s="209" t="s">
        <v>180</v>
      </c>
      <c r="Y1553" s="209" t="s">
        <v>180</v>
      </c>
      <c r="Z1553" s="209" t="s">
        <v>3464</v>
      </c>
      <c r="AA1553" s="209" t="s">
        <v>3465</v>
      </c>
      <c r="AB1553" s="209" t="s">
        <v>180</v>
      </c>
      <c r="AC1553" s="209" t="s">
        <v>182</v>
      </c>
      <c r="AD1553" s="209">
        <v>11</v>
      </c>
      <c r="AE1553" s="209">
        <v>2025</v>
      </c>
      <c r="AF1553" s="227">
        <v>45982</v>
      </c>
      <c r="AG1553" s="227">
        <v>45989</v>
      </c>
      <c r="AH1553" s="227">
        <v>45989</v>
      </c>
      <c r="AI1553" s="228">
        <v>714096</v>
      </c>
      <c r="AJ1553" s="228">
        <v>38</v>
      </c>
      <c r="AK1553" s="228">
        <v>714096</v>
      </c>
      <c r="AL1553" s="228">
        <v>38</v>
      </c>
      <c r="AM1553" s="228">
        <v>0</v>
      </c>
      <c r="AN1553" s="228">
        <v>0</v>
      </c>
      <c r="AO1553" s="229">
        <v>48</v>
      </c>
      <c r="AP1553" s="231">
        <v>11</v>
      </c>
      <c r="AQ1553" s="231">
        <v>2025</v>
      </c>
      <c r="AR1553" s="231" t="str">
        <f t="shared" si="229"/>
        <v>11/2025</v>
      </c>
      <c r="AS1553" s="231">
        <f t="shared" si="230"/>
        <v>19.5</v>
      </c>
      <c r="AT1553" s="239">
        <f>IF(G1553="CERVECERIA Y MALTERIA",(AS1553*AK1553/1000000)*(1-VLOOKUP(N1553,FCST!D:I,6,FALSE)),0)</f>
        <v>13.924872000000001</v>
      </c>
      <c r="AU1553" s="232">
        <v>5.0000000000000001E-3</v>
      </c>
      <c r="AV1553" s="239">
        <f t="shared" si="231"/>
        <v>13.994496359999999</v>
      </c>
      <c r="AW1553" s="239">
        <f>(AS1553*AK1553/1000000)*(VLOOKUP(N1553,FCST!D:I,6,FALSE))</f>
        <v>0</v>
      </c>
      <c r="AX1553" s="239">
        <f t="shared" si="232"/>
        <v>0</v>
      </c>
      <c r="AY1553" s="239">
        <f>IF($G1553="CERVECERIA Y MALTERIA.",($AS1553*$AK1553/1000000)*(1-VLOOKUP($N1553,FCST!D:I,6,FALSE)),0)</f>
        <v>0</v>
      </c>
      <c r="AZ1553" s="239">
        <f t="shared" si="233"/>
        <v>0</v>
      </c>
    </row>
    <row r="1554" spans="1:52" x14ac:dyDescent="0.25">
      <c r="A1554" s="209">
        <v>1152468</v>
      </c>
      <c r="B1554" s="209">
        <v>50</v>
      </c>
      <c r="C1554" s="209" t="s">
        <v>3466</v>
      </c>
      <c r="D1554" s="209">
        <v>10</v>
      </c>
      <c r="E1554" s="209">
        <v>10000002</v>
      </c>
      <c r="F1554" s="209">
        <v>20000335</v>
      </c>
      <c r="G1554" s="209" t="s">
        <v>105</v>
      </c>
      <c r="H1554" s="209">
        <v>20000335</v>
      </c>
      <c r="I1554" s="209">
        <v>2</v>
      </c>
      <c r="J1554" s="209" t="s">
        <v>169</v>
      </c>
      <c r="K1554" s="209" t="s">
        <v>3467</v>
      </c>
      <c r="L1554" s="209" t="s">
        <v>2610</v>
      </c>
      <c r="M1554" s="209" t="s">
        <v>184</v>
      </c>
      <c r="N1554" s="209">
        <v>50037887</v>
      </c>
      <c r="O1554" s="209" t="s">
        <v>679</v>
      </c>
      <c r="P1554" s="209">
        <v>5121</v>
      </c>
      <c r="Q1554" s="209" t="s">
        <v>174</v>
      </c>
      <c r="R1554" s="209" t="s">
        <v>175</v>
      </c>
      <c r="S1554" s="209" t="s">
        <v>176</v>
      </c>
      <c r="T1554" s="209" t="s">
        <v>177</v>
      </c>
      <c r="U1554" s="209" t="s">
        <v>178</v>
      </c>
      <c r="V1554" s="209" t="s">
        <v>179</v>
      </c>
      <c r="W1554" s="209" t="s">
        <v>179</v>
      </c>
      <c r="X1554" s="209" t="s">
        <v>180</v>
      </c>
      <c r="Y1554" s="209" t="s">
        <v>180</v>
      </c>
      <c r="Z1554" s="209" t="s">
        <v>3468</v>
      </c>
      <c r="AA1554" s="209" t="s">
        <v>3469</v>
      </c>
      <c r="AB1554" s="209" t="s">
        <v>180</v>
      </c>
      <c r="AC1554" s="209" t="s">
        <v>182</v>
      </c>
      <c r="AD1554" s="209">
        <v>11</v>
      </c>
      <c r="AE1554" s="209">
        <v>2025</v>
      </c>
      <c r="AF1554" s="227">
        <v>45982</v>
      </c>
      <c r="AG1554" s="227">
        <v>45987</v>
      </c>
      <c r="AH1554" s="227">
        <v>45987</v>
      </c>
      <c r="AI1554" s="228">
        <v>265824</v>
      </c>
      <c r="AJ1554" s="228">
        <v>26</v>
      </c>
      <c r="AK1554" s="228">
        <v>265824</v>
      </c>
      <c r="AL1554" s="228">
        <v>26</v>
      </c>
      <c r="AM1554" s="228">
        <v>0</v>
      </c>
      <c r="AN1554" s="228">
        <v>0</v>
      </c>
      <c r="AO1554" s="229">
        <v>48</v>
      </c>
      <c r="AP1554" s="231">
        <v>11</v>
      </c>
      <c r="AQ1554" s="231">
        <v>2025</v>
      </c>
      <c r="AR1554" s="231" t="str">
        <f t="shared" si="229"/>
        <v>11/2025</v>
      </c>
      <c r="AS1554" s="231">
        <f t="shared" si="230"/>
        <v>37.200000000000003</v>
      </c>
      <c r="AT1554" s="239">
        <f>IF(G1554="CERVECERIA Y MALTERIA",(AS1554*AK1554/1000000)*(1-VLOOKUP(N1554,FCST!D:I,6,FALSE)),0)</f>
        <v>9.8886528000000009</v>
      </c>
      <c r="AU1554" s="232">
        <v>5.0000000000000001E-3</v>
      </c>
      <c r="AV1554" s="239">
        <f t="shared" si="231"/>
        <v>9.9380960639999998</v>
      </c>
      <c r="AW1554" s="239">
        <f>(AS1554*AK1554/1000000)*(VLOOKUP(N1554,FCST!D:I,6,FALSE))</f>
        <v>0</v>
      </c>
      <c r="AX1554" s="239">
        <f t="shared" si="232"/>
        <v>0</v>
      </c>
      <c r="AY1554" s="239">
        <f>IF($G1554="CERVECERIA Y MALTERIA.",($AS1554*$AK1554/1000000)*(1-VLOOKUP($N1554,FCST!D:I,6,FALSE)),0)</f>
        <v>0</v>
      </c>
      <c r="AZ1554" s="239">
        <f t="shared" si="233"/>
        <v>0</v>
      </c>
    </row>
    <row r="1555" spans="1:52" x14ac:dyDescent="0.25">
      <c r="A1555" s="209">
        <v>1152468</v>
      </c>
      <c r="B1555" s="209">
        <v>40</v>
      </c>
      <c r="C1555" s="209" t="s">
        <v>3470</v>
      </c>
      <c r="D1555" s="209">
        <v>10</v>
      </c>
      <c r="E1555" s="209">
        <v>10000002</v>
      </c>
      <c r="F1555" s="209">
        <v>20000335</v>
      </c>
      <c r="G1555" s="209" t="s">
        <v>105</v>
      </c>
      <c r="H1555" s="209">
        <v>20000335</v>
      </c>
      <c r="I1555" s="209">
        <v>2</v>
      </c>
      <c r="J1555" s="209" t="s">
        <v>169</v>
      </c>
      <c r="K1555" s="209" t="s">
        <v>3471</v>
      </c>
      <c r="L1555" s="209" t="s">
        <v>2610</v>
      </c>
      <c r="M1555" s="209" t="s">
        <v>184</v>
      </c>
      <c r="N1555" s="209">
        <v>50037887</v>
      </c>
      <c r="O1555" s="209" t="s">
        <v>679</v>
      </c>
      <c r="P1555" s="209">
        <v>5121</v>
      </c>
      <c r="Q1555" s="209" t="s">
        <v>174</v>
      </c>
      <c r="R1555" s="209" t="s">
        <v>175</v>
      </c>
      <c r="S1555" s="209" t="s">
        <v>176</v>
      </c>
      <c r="T1555" s="209" t="s">
        <v>177</v>
      </c>
      <c r="U1555" s="209" t="s">
        <v>178</v>
      </c>
      <c r="V1555" s="209" t="s">
        <v>179</v>
      </c>
      <c r="W1555" s="209" t="s">
        <v>179</v>
      </c>
      <c r="X1555" s="209" t="s">
        <v>180</v>
      </c>
      <c r="Y1555" s="209" t="s">
        <v>180</v>
      </c>
      <c r="Z1555" s="209" t="s">
        <v>3472</v>
      </c>
      <c r="AA1555" s="209" t="s">
        <v>3473</v>
      </c>
      <c r="AB1555" s="209" t="s">
        <v>180</v>
      </c>
      <c r="AC1555" s="209" t="s">
        <v>182</v>
      </c>
      <c r="AD1555" s="209">
        <v>11</v>
      </c>
      <c r="AE1555" s="209">
        <v>2025</v>
      </c>
      <c r="AF1555" s="227">
        <v>45982</v>
      </c>
      <c r="AG1555" s="227">
        <v>45987</v>
      </c>
      <c r="AH1555" s="227">
        <v>45987</v>
      </c>
      <c r="AI1555" s="228">
        <v>265824</v>
      </c>
      <c r="AJ1555" s="228">
        <v>26</v>
      </c>
      <c r="AK1555" s="228">
        <v>265824</v>
      </c>
      <c r="AL1555" s="228">
        <v>26</v>
      </c>
      <c r="AM1555" s="228">
        <v>0</v>
      </c>
      <c r="AN1555" s="228">
        <v>0</v>
      </c>
      <c r="AO1555" s="229">
        <v>48</v>
      </c>
      <c r="AP1555" s="231">
        <v>11</v>
      </c>
      <c r="AQ1555" s="231">
        <v>2025</v>
      </c>
      <c r="AR1555" s="231" t="str">
        <f t="shared" si="229"/>
        <v>11/2025</v>
      </c>
      <c r="AS1555" s="231">
        <f t="shared" si="230"/>
        <v>37.200000000000003</v>
      </c>
      <c r="AT1555" s="239">
        <f>IF(G1555="CERVECERIA Y MALTERIA",(AS1555*AK1555/1000000)*(1-VLOOKUP(N1555,FCST!D:I,6,FALSE)),0)</f>
        <v>9.8886528000000009</v>
      </c>
      <c r="AU1555" s="232">
        <v>5.0000000000000001E-3</v>
      </c>
      <c r="AV1555" s="239">
        <f t="shared" si="231"/>
        <v>9.9380960639999998</v>
      </c>
      <c r="AW1555" s="239">
        <f>(AS1555*AK1555/1000000)*(VLOOKUP(N1555,FCST!D:I,6,FALSE))</f>
        <v>0</v>
      </c>
      <c r="AX1555" s="239">
        <f t="shared" si="232"/>
        <v>0</v>
      </c>
      <c r="AY1555" s="239">
        <f>IF($G1555="CERVECERIA Y MALTERIA.",($AS1555*$AK1555/1000000)*(1-VLOOKUP($N1555,FCST!D:I,6,FALSE)),0)</f>
        <v>0</v>
      </c>
      <c r="AZ1555" s="239">
        <f t="shared" si="233"/>
        <v>0</v>
      </c>
    </row>
    <row r="1556" spans="1:52" x14ac:dyDescent="0.25">
      <c r="A1556" s="209">
        <v>1152510</v>
      </c>
      <c r="B1556" s="209">
        <v>10</v>
      </c>
      <c r="C1556" s="209" t="s">
        <v>3474</v>
      </c>
      <c r="D1556" s="209">
        <v>10</v>
      </c>
      <c r="E1556" s="209">
        <v>10000002</v>
      </c>
      <c r="F1556" s="209">
        <v>20000336</v>
      </c>
      <c r="G1556" s="209" t="s">
        <v>105</v>
      </c>
      <c r="H1556" s="209">
        <v>20000336</v>
      </c>
      <c r="I1556" s="209">
        <v>2</v>
      </c>
      <c r="J1556" s="209" t="s">
        <v>169</v>
      </c>
      <c r="K1556" s="209" t="s">
        <v>3475</v>
      </c>
      <c r="L1556" s="209" t="s">
        <v>2610</v>
      </c>
      <c r="M1556" s="209" t="s">
        <v>2718</v>
      </c>
      <c r="N1556" s="209">
        <v>50030381</v>
      </c>
      <c r="O1556" s="209" t="s">
        <v>1791</v>
      </c>
      <c r="P1556" s="209">
        <v>5121</v>
      </c>
      <c r="Q1556" s="209" t="s">
        <v>174</v>
      </c>
      <c r="R1556" s="209" t="s">
        <v>175</v>
      </c>
      <c r="S1556" s="209" t="s">
        <v>176</v>
      </c>
      <c r="T1556" s="209" t="s">
        <v>177</v>
      </c>
      <c r="U1556" s="209" t="s">
        <v>178</v>
      </c>
      <c r="V1556" s="209" t="s">
        <v>179</v>
      </c>
      <c r="W1556" s="209" t="s">
        <v>179</v>
      </c>
      <c r="X1556" s="209" t="s">
        <v>180</v>
      </c>
      <c r="Y1556" s="209" t="s">
        <v>180</v>
      </c>
      <c r="Z1556" s="209" t="s">
        <v>3452</v>
      </c>
      <c r="AA1556" s="209" t="s">
        <v>3453</v>
      </c>
      <c r="AB1556" s="209" t="s">
        <v>180</v>
      </c>
      <c r="AC1556" s="209" t="s">
        <v>182</v>
      </c>
      <c r="AD1556" s="209">
        <v>11</v>
      </c>
      <c r="AE1556" s="209">
        <v>2025</v>
      </c>
      <c r="AF1556" s="227">
        <v>45982</v>
      </c>
      <c r="AG1556" s="227">
        <v>45986</v>
      </c>
      <c r="AH1556" s="227">
        <v>45986</v>
      </c>
      <c r="AI1556" s="228">
        <v>406016</v>
      </c>
      <c r="AJ1556" s="228">
        <v>52</v>
      </c>
      <c r="AK1556" s="228">
        <v>406016</v>
      </c>
      <c r="AL1556" s="228">
        <v>52</v>
      </c>
      <c r="AM1556" s="228">
        <v>0</v>
      </c>
      <c r="AN1556" s="228">
        <v>0</v>
      </c>
      <c r="AO1556" s="229">
        <v>48</v>
      </c>
      <c r="AP1556" s="231">
        <v>11</v>
      </c>
      <c r="AQ1556" s="231">
        <v>2025</v>
      </c>
      <c r="AR1556" s="231" t="str">
        <f t="shared" si="229"/>
        <v>11/2025</v>
      </c>
      <c r="AS1556" s="231">
        <f t="shared" si="230"/>
        <v>46.6</v>
      </c>
      <c r="AT1556" s="239">
        <f>IF(G1556="CERVECERIA Y MALTERIA",(AS1556*AK1556/1000000)*(1-VLOOKUP(N1556,FCST!D:I,6,FALSE)),0)</f>
        <v>18.920345600000001</v>
      </c>
      <c r="AU1556" s="232">
        <v>5.0000000000000001E-3</v>
      </c>
      <c r="AV1556" s="239">
        <f t="shared" si="231"/>
        <v>19.014947327999998</v>
      </c>
      <c r="AW1556" s="239">
        <f>(AS1556*AK1556/1000000)*(VLOOKUP(N1556,FCST!D:I,6,FALSE))</f>
        <v>0</v>
      </c>
      <c r="AX1556" s="239">
        <f t="shared" si="232"/>
        <v>0</v>
      </c>
      <c r="AY1556" s="239">
        <f>IF($G1556="CERVECERIA Y MALTERIA.",($AS1556*$AK1556/1000000)*(1-VLOOKUP($N1556,FCST!D:I,6,FALSE)),0)</f>
        <v>0</v>
      </c>
      <c r="AZ1556" s="239">
        <f t="shared" si="233"/>
        <v>0</v>
      </c>
    </row>
    <row r="1557" spans="1:52" x14ac:dyDescent="0.25">
      <c r="A1557" s="209">
        <v>1151221</v>
      </c>
      <c r="B1557" s="209">
        <v>40</v>
      </c>
      <c r="C1557" s="209" t="s">
        <v>3476</v>
      </c>
      <c r="D1557" s="209">
        <v>10</v>
      </c>
      <c r="E1557" s="209">
        <v>10000002</v>
      </c>
      <c r="F1557" s="209">
        <v>20000340</v>
      </c>
      <c r="G1557" s="209" t="s">
        <v>117</v>
      </c>
      <c r="H1557" s="209">
        <v>20000340</v>
      </c>
      <c r="I1557" s="209">
        <v>2</v>
      </c>
      <c r="J1557" s="209" t="s">
        <v>169</v>
      </c>
      <c r="K1557" s="209" t="s">
        <v>3477</v>
      </c>
      <c r="L1557" s="209" t="s">
        <v>2610</v>
      </c>
      <c r="M1557" s="209" t="s">
        <v>2718</v>
      </c>
      <c r="N1557" s="209">
        <v>50039856</v>
      </c>
      <c r="O1557" s="209" t="s">
        <v>2871</v>
      </c>
      <c r="P1557" s="209">
        <v>5101</v>
      </c>
      <c r="Q1557" s="209" t="s">
        <v>186</v>
      </c>
      <c r="R1557" s="209" t="s">
        <v>175</v>
      </c>
      <c r="S1557" s="209" t="s">
        <v>176</v>
      </c>
      <c r="T1557" s="209" t="s">
        <v>187</v>
      </c>
      <c r="U1557" s="209" t="s">
        <v>188</v>
      </c>
      <c r="V1557" s="209" t="s">
        <v>179</v>
      </c>
      <c r="W1557" s="209" t="s">
        <v>179</v>
      </c>
      <c r="X1557" s="209" t="s">
        <v>180</v>
      </c>
      <c r="Y1557" s="209" t="s">
        <v>180</v>
      </c>
      <c r="Z1557" s="209" t="s">
        <v>3478</v>
      </c>
      <c r="AA1557" s="209" t="s">
        <v>3479</v>
      </c>
      <c r="AB1557" s="209" t="s">
        <v>180</v>
      </c>
      <c r="AC1557" s="209" t="s">
        <v>182</v>
      </c>
      <c r="AD1557" s="209">
        <v>11</v>
      </c>
      <c r="AE1557" s="209">
        <v>2025</v>
      </c>
      <c r="AF1557" s="227">
        <v>45974</v>
      </c>
      <c r="AG1557" s="227">
        <v>45982</v>
      </c>
      <c r="AH1557" s="227">
        <v>45986</v>
      </c>
      <c r="AI1557" s="228">
        <v>399360</v>
      </c>
      <c r="AJ1557" s="228">
        <v>52</v>
      </c>
      <c r="AK1557" s="228">
        <v>399360</v>
      </c>
      <c r="AL1557" s="228">
        <v>52</v>
      </c>
      <c r="AM1557" s="228">
        <v>0</v>
      </c>
      <c r="AN1557" s="228">
        <v>0</v>
      </c>
      <c r="AO1557" s="229">
        <v>47</v>
      </c>
      <c r="AP1557" s="231">
        <v>11</v>
      </c>
      <c r="AQ1557" s="231">
        <v>2025</v>
      </c>
      <c r="AR1557" s="231" t="str">
        <f t="shared" si="229"/>
        <v>11/2025</v>
      </c>
      <c r="AS1557" s="231">
        <f t="shared" si="230"/>
        <v>52</v>
      </c>
      <c r="AT1557" s="239">
        <f>IF(G1557="CERVECERIA Y MALTERIA",(AS1557*AK1557/1000000)*(1-VLOOKUP(N1557,FCST!D:I,6,FALSE)),0)</f>
        <v>0</v>
      </c>
      <c r="AU1557" s="232">
        <v>5.0000000000000001E-3</v>
      </c>
      <c r="AV1557" s="239">
        <f t="shared" si="231"/>
        <v>0</v>
      </c>
      <c r="AW1557" s="239">
        <f>(AS1557*AK1557/1000000)*(VLOOKUP(N1557,FCST!D:I,6,FALSE))</f>
        <v>0</v>
      </c>
      <c r="AX1557" s="239">
        <f t="shared" si="232"/>
        <v>0</v>
      </c>
      <c r="AY1557" s="239">
        <f>IF($G1557="CERVECERIA Y MALTERIA.",($AS1557*$AK1557/1000000)*(1-VLOOKUP($N1557,FCST!D:I,6,FALSE)),0)</f>
        <v>20.766719999999999</v>
      </c>
      <c r="AZ1557" s="239">
        <f t="shared" si="233"/>
        <v>20.870553599999997</v>
      </c>
    </row>
    <row r="1558" spans="1:52" x14ac:dyDescent="0.25">
      <c r="A1558" s="209">
        <v>1153225</v>
      </c>
      <c r="B1558" s="209">
        <v>10</v>
      </c>
      <c r="C1558" s="209" t="s">
        <v>3480</v>
      </c>
      <c r="D1558" s="209">
        <v>10</v>
      </c>
      <c r="E1558" s="209">
        <v>10000002</v>
      </c>
      <c r="F1558" s="209">
        <v>20001057</v>
      </c>
      <c r="G1558" s="209" t="s">
        <v>105</v>
      </c>
      <c r="H1558" s="209">
        <v>20001057</v>
      </c>
      <c r="I1558" s="209">
        <v>2</v>
      </c>
      <c r="J1558" s="209" t="s">
        <v>169</v>
      </c>
      <c r="K1558" s="209" t="s">
        <v>3481</v>
      </c>
      <c r="L1558" s="209" t="s">
        <v>2610</v>
      </c>
      <c r="M1558" s="209" t="s">
        <v>2718</v>
      </c>
      <c r="N1558" s="209">
        <v>50035184</v>
      </c>
      <c r="O1558" s="209" t="s">
        <v>672</v>
      </c>
      <c r="P1558" s="209">
        <v>5121</v>
      </c>
      <c r="Q1558" s="209" t="s">
        <v>174</v>
      </c>
      <c r="R1558" s="209" t="s">
        <v>175</v>
      </c>
      <c r="S1558" s="209" t="s">
        <v>176</v>
      </c>
      <c r="T1558" s="209" t="s">
        <v>177</v>
      </c>
      <c r="U1558" s="209" t="s">
        <v>178</v>
      </c>
      <c r="V1558" s="209" t="s">
        <v>179</v>
      </c>
      <c r="W1558" s="209" t="s">
        <v>179</v>
      </c>
      <c r="X1558" s="209" t="s">
        <v>180</v>
      </c>
      <c r="Y1558" s="209" t="s">
        <v>180</v>
      </c>
      <c r="Z1558" s="209" t="s">
        <v>3482</v>
      </c>
      <c r="AA1558" s="209" t="s">
        <v>3483</v>
      </c>
      <c r="AB1558" s="209" t="s">
        <v>180</v>
      </c>
      <c r="AC1558" s="209" t="s">
        <v>182</v>
      </c>
      <c r="AD1558" s="209">
        <v>11</v>
      </c>
      <c r="AE1558" s="209">
        <v>2025</v>
      </c>
      <c r="AF1558" s="227">
        <v>45987</v>
      </c>
      <c r="AG1558" s="227">
        <v>45987</v>
      </c>
      <c r="AH1558" s="227">
        <v>45987</v>
      </c>
      <c r="AI1558" s="228">
        <v>977184</v>
      </c>
      <c r="AJ1558" s="228">
        <v>52</v>
      </c>
      <c r="AK1558" s="228">
        <v>977184</v>
      </c>
      <c r="AL1558" s="228">
        <v>52</v>
      </c>
      <c r="AM1558" s="228">
        <v>0</v>
      </c>
      <c r="AN1558" s="228">
        <v>0</v>
      </c>
      <c r="AO1558" s="229">
        <v>48</v>
      </c>
      <c r="AP1558" s="231">
        <v>11</v>
      </c>
      <c r="AQ1558" s="231">
        <v>2025</v>
      </c>
      <c r="AR1558" s="231" t="str">
        <f t="shared" si="229"/>
        <v>11/2025</v>
      </c>
      <c r="AS1558" s="231">
        <f t="shared" si="230"/>
        <v>19.5</v>
      </c>
      <c r="AT1558" s="239">
        <f>IF(G1558="CERVECERIA Y MALTERIA",(AS1558*AK1558/1000000)*(1-VLOOKUP(N1558,FCST!D:I,6,FALSE)),0)</f>
        <v>19.055088000000001</v>
      </c>
      <c r="AU1558" s="232">
        <v>5.0000000000000001E-3</v>
      </c>
      <c r="AV1558" s="239">
        <f t="shared" si="231"/>
        <v>19.15036344</v>
      </c>
      <c r="AW1558" s="239">
        <f>(AS1558*AK1558/1000000)*(VLOOKUP(N1558,FCST!D:I,6,FALSE))</f>
        <v>0</v>
      </c>
      <c r="AX1558" s="239">
        <f t="shared" si="232"/>
        <v>0</v>
      </c>
      <c r="AY1558" s="239">
        <f>IF($G1558="CERVECERIA Y MALTERIA.",($AS1558*$AK1558/1000000)*(1-VLOOKUP($N1558,FCST!D:I,6,FALSE)),0)</f>
        <v>0</v>
      </c>
      <c r="AZ1558" s="239">
        <f t="shared" si="233"/>
        <v>0</v>
      </c>
    </row>
    <row r="1559" spans="1:52" x14ac:dyDescent="0.25">
      <c r="A1559" s="209">
        <v>1152468</v>
      </c>
      <c r="B1559" s="209">
        <v>30</v>
      </c>
      <c r="C1559" s="209" t="s">
        <v>3484</v>
      </c>
      <c r="D1559" s="209">
        <v>10</v>
      </c>
      <c r="E1559" s="209">
        <v>10000002</v>
      </c>
      <c r="F1559" s="209">
        <v>20000335</v>
      </c>
      <c r="G1559" s="209" t="s">
        <v>105</v>
      </c>
      <c r="H1559" s="209">
        <v>20000335</v>
      </c>
      <c r="I1559" s="209">
        <v>2</v>
      </c>
      <c r="J1559" s="209" t="s">
        <v>169</v>
      </c>
      <c r="K1559" s="209" t="s">
        <v>3485</v>
      </c>
      <c r="L1559" s="209" t="s">
        <v>2610</v>
      </c>
      <c r="M1559" s="209" t="s">
        <v>2718</v>
      </c>
      <c r="N1559" s="209">
        <v>50037887</v>
      </c>
      <c r="O1559" s="209" t="s">
        <v>679</v>
      </c>
      <c r="P1559" s="209">
        <v>5121</v>
      </c>
      <c r="Q1559" s="209" t="s">
        <v>174</v>
      </c>
      <c r="R1559" s="209" t="s">
        <v>175</v>
      </c>
      <c r="S1559" s="209" t="s">
        <v>176</v>
      </c>
      <c r="T1559" s="209" t="s">
        <v>177</v>
      </c>
      <c r="U1559" s="209" t="s">
        <v>178</v>
      </c>
      <c r="V1559" s="209" t="s">
        <v>179</v>
      </c>
      <c r="W1559" s="209" t="s">
        <v>179</v>
      </c>
      <c r="X1559" s="209" t="s">
        <v>180</v>
      </c>
      <c r="Y1559" s="209" t="s">
        <v>180</v>
      </c>
      <c r="Z1559" s="209" t="s">
        <v>3486</v>
      </c>
      <c r="AA1559" s="209" t="s">
        <v>3487</v>
      </c>
      <c r="AB1559" s="209" t="s">
        <v>180</v>
      </c>
      <c r="AC1559" s="209" t="s">
        <v>182</v>
      </c>
      <c r="AD1559" s="209">
        <v>11</v>
      </c>
      <c r="AE1559" s="209">
        <v>2025</v>
      </c>
      <c r="AF1559" s="227">
        <v>45982</v>
      </c>
      <c r="AG1559" s="227">
        <v>45987</v>
      </c>
      <c r="AH1559" s="227">
        <v>45987</v>
      </c>
      <c r="AI1559" s="228">
        <v>531648</v>
      </c>
      <c r="AJ1559" s="228">
        <v>52</v>
      </c>
      <c r="AK1559" s="228">
        <v>531648</v>
      </c>
      <c r="AL1559" s="228">
        <v>52</v>
      </c>
      <c r="AM1559" s="228">
        <v>0</v>
      </c>
      <c r="AN1559" s="228">
        <v>0</v>
      </c>
      <c r="AO1559" s="229">
        <v>48</v>
      </c>
      <c r="AP1559" s="231">
        <v>11</v>
      </c>
      <c r="AQ1559" s="231">
        <v>2025</v>
      </c>
      <c r="AR1559" s="231" t="str">
        <f t="shared" si="229"/>
        <v>11/2025</v>
      </c>
      <c r="AS1559" s="231">
        <f t="shared" si="230"/>
        <v>37.200000000000003</v>
      </c>
      <c r="AT1559" s="239">
        <f>IF(G1559="CERVECERIA Y MALTERIA",(AS1559*AK1559/1000000)*(1-VLOOKUP(N1559,FCST!D:I,6,FALSE)),0)</f>
        <v>19.777305600000002</v>
      </c>
      <c r="AU1559" s="232">
        <v>5.0000000000000001E-3</v>
      </c>
      <c r="AV1559" s="239">
        <f t="shared" si="231"/>
        <v>19.876192128</v>
      </c>
      <c r="AW1559" s="239">
        <f>(AS1559*AK1559/1000000)*(VLOOKUP(N1559,FCST!D:I,6,FALSE))</f>
        <v>0</v>
      </c>
      <c r="AX1559" s="239">
        <f t="shared" si="232"/>
        <v>0</v>
      </c>
      <c r="AY1559" s="239">
        <f>IF($G1559="CERVECERIA Y MALTERIA.",($AS1559*$AK1559/1000000)*(1-VLOOKUP($N1559,FCST!D:I,6,FALSE)),0)</f>
        <v>0</v>
      </c>
      <c r="AZ1559" s="239">
        <f t="shared" si="233"/>
        <v>0</v>
      </c>
    </row>
    <row r="1560" spans="1:52" x14ac:dyDescent="0.25">
      <c r="A1560" s="209">
        <v>1149202</v>
      </c>
      <c r="B1560" s="209">
        <v>20</v>
      </c>
      <c r="C1560" s="209" t="s">
        <v>3488</v>
      </c>
      <c r="D1560" s="209">
        <v>10</v>
      </c>
      <c r="E1560" s="209">
        <v>10000002</v>
      </c>
      <c r="F1560" s="209">
        <v>20000337</v>
      </c>
      <c r="G1560" s="209" t="s">
        <v>105</v>
      </c>
      <c r="H1560" s="209">
        <v>20000337</v>
      </c>
      <c r="I1560" s="209">
        <v>2</v>
      </c>
      <c r="J1560" s="209" t="s">
        <v>169</v>
      </c>
      <c r="K1560" s="209" t="s">
        <v>3489</v>
      </c>
      <c r="L1560" s="209" t="s">
        <v>2610</v>
      </c>
      <c r="M1560" s="209" t="s">
        <v>184</v>
      </c>
      <c r="N1560" s="209">
        <v>50039815</v>
      </c>
      <c r="O1560" s="209" t="s">
        <v>2454</v>
      </c>
      <c r="P1560" s="209">
        <v>5121</v>
      </c>
      <c r="Q1560" s="209" t="s">
        <v>174</v>
      </c>
      <c r="R1560" s="209" t="s">
        <v>175</v>
      </c>
      <c r="S1560" s="209" t="s">
        <v>176</v>
      </c>
      <c r="T1560" s="209" t="s">
        <v>177</v>
      </c>
      <c r="U1560" s="209" t="s">
        <v>178</v>
      </c>
      <c r="V1560" s="209" t="s">
        <v>179</v>
      </c>
      <c r="W1560" s="209" t="s">
        <v>179</v>
      </c>
      <c r="X1560" s="209" t="s">
        <v>180</v>
      </c>
      <c r="Y1560" s="209" t="s">
        <v>180</v>
      </c>
      <c r="Z1560" s="209" t="s">
        <v>3490</v>
      </c>
      <c r="AA1560" s="209" t="s">
        <v>3491</v>
      </c>
      <c r="AB1560" s="209" t="s">
        <v>180</v>
      </c>
      <c r="AC1560" s="209" t="s">
        <v>182</v>
      </c>
      <c r="AD1560" s="209">
        <v>11</v>
      </c>
      <c r="AE1560" s="209">
        <v>2025</v>
      </c>
      <c r="AF1560" s="227">
        <v>45965</v>
      </c>
      <c r="AG1560" s="227">
        <v>45967</v>
      </c>
      <c r="AH1560" s="227">
        <v>45967</v>
      </c>
      <c r="AI1560" s="228">
        <v>426816</v>
      </c>
      <c r="AJ1560" s="228">
        <v>52</v>
      </c>
      <c r="AK1560" s="228">
        <v>426816</v>
      </c>
      <c r="AL1560" s="228">
        <v>52</v>
      </c>
      <c r="AM1560" s="228">
        <v>0</v>
      </c>
      <c r="AN1560" s="228">
        <v>0</v>
      </c>
      <c r="AO1560" s="229">
        <v>45</v>
      </c>
      <c r="AP1560" s="231">
        <v>11</v>
      </c>
      <c r="AQ1560" s="231">
        <v>2025</v>
      </c>
      <c r="AR1560" s="231" t="str">
        <f t="shared" si="229"/>
        <v>11/2025</v>
      </c>
      <c r="AS1560" s="231">
        <f t="shared" si="230"/>
        <v>46.6</v>
      </c>
      <c r="AT1560" s="239">
        <f>IF(G1560="CERVECERIA Y MALTERIA",(AS1560*AK1560/1000000)*(1-VLOOKUP(N1560,FCST!D:I,6,FALSE)),0)</f>
        <v>15.911700480000002</v>
      </c>
      <c r="AU1560" s="232">
        <v>5.0000000000000001E-3</v>
      </c>
      <c r="AV1560" s="239">
        <f t="shared" si="231"/>
        <v>15.9912589824</v>
      </c>
      <c r="AW1560" s="239">
        <f>(AS1560*AK1560/1000000)*(VLOOKUP(N1560,FCST!D:I,6,FALSE))</f>
        <v>3.9779251200000005</v>
      </c>
      <c r="AX1560" s="239">
        <f t="shared" si="232"/>
        <v>3.9978147455999999</v>
      </c>
      <c r="AY1560" s="239">
        <f>IF($G1560="CERVECERIA Y MALTERIA.",($AS1560*$AK1560/1000000)*(1-VLOOKUP($N1560,FCST!D:I,6,FALSE)),0)</f>
        <v>0</v>
      </c>
      <c r="AZ1560" s="239">
        <f t="shared" si="233"/>
        <v>0</v>
      </c>
    </row>
    <row r="1561" spans="1:52" x14ac:dyDescent="0.25">
      <c r="A1561" s="209">
        <v>1148760</v>
      </c>
      <c r="B1561" s="209">
        <v>40</v>
      </c>
      <c r="C1561" s="209" t="s">
        <v>3492</v>
      </c>
      <c r="D1561" s="209">
        <v>10</v>
      </c>
      <c r="E1561" s="209">
        <v>10000002</v>
      </c>
      <c r="F1561" s="209">
        <v>20000335</v>
      </c>
      <c r="G1561" s="209" t="s">
        <v>105</v>
      </c>
      <c r="H1561" s="209">
        <v>20000335</v>
      </c>
      <c r="I1561" s="209">
        <v>2</v>
      </c>
      <c r="J1561" s="209" t="s">
        <v>169</v>
      </c>
      <c r="K1561" s="209" t="s">
        <v>3493</v>
      </c>
      <c r="L1561" s="209" t="s">
        <v>2610</v>
      </c>
      <c r="M1561" s="209" t="s">
        <v>2718</v>
      </c>
      <c r="N1561" s="209">
        <v>50035184</v>
      </c>
      <c r="O1561" s="209" t="s">
        <v>672</v>
      </c>
      <c r="P1561" s="209">
        <v>5121</v>
      </c>
      <c r="Q1561" s="209" t="s">
        <v>174</v>
      </c>
      <c r="R1561" s="209" t="s">
        <v>175</v>
      </c>
      <c r="S1561" s="209" t="s">
        <v>176</v>
      </c>
      <c r="T1561" s="209" t="s">
        <v>177</v>
      </c>
      <c r="U1561" s="209" t="s">
        <v>178</v>
      </c>
      <c r="V1561" s="209" t="s">
        <v>179</v>
      </c>
      <c r="W1561" s="209" t="s">
        <v>179</v>
      </c>
      <c r="X1561" s="209" t="s">
        <v>180</v>
      </c>
      <c r="Y1561" s="209" t="s">
        <v>180</v>
      </c>
      <c r="Z1561" s="209" t="s">
        <v>3436</v>
      </c>
      <c r="AA1561" s="209" t="s">
        <v>3437</v>
      </c>
      <c r="AB1561" s="209" t="s">
        <v>180</v>
      </c>
      <c r="AC1561" s="209" t="s">
        <v>182</v>
      </c>
      <c r="AD1561" s="209">
        <v>11</v>
      </c>
      <c r="AE1561" s="209">
        <v>2025</v>
      </c>
      <c r="AF1561" s="227">
        <v>45961</v>
      </c>
      <c r="AG1561" s="227">
        <v>45967</v>
      </c>
      <c r="AH1561" s="227">
        <v>45967</v>
      </c>
      <c r="AI1561" s="228">
        <v>977184</v>
      </c>
      <c r="AJ1561" s="228">
        <v>52</v>
      </c>
      <c r="AK1561" s="228">
        <v>977184</v>
      </c>
      <c r="AL1561" s="228">
        <v>52</v>
      </c>
      <c r="AM1561" s="228">
        <v>0</v>
      </c>
      <c r="AN1561" s="228">
        <v>0</v>
      </c>
      <c r="AO1561" s="229">
        <v>45</v>
      </c>
      <c r="AP1561" s="231">
        <v>11</v>
      </c>
      <c r="AQ1561" s="231">
        <v>2025</v>
      </c>
      <c r="AR1561" s="231" t="str">
        <f t="shared" si="229"/>
        <v>11/2025</v>
      </c>
      <c r="AS1561" s="231">
        <f t="shared" si="230"/>
        <v>19.5</v>
      </c>
      <c r="AT1561" s="239">
        <f>IF(G1561="CERVECERIA Y MALTERIA",(AS1561*AK1561/1000000)*(1-VLOOKUP(N1561,FCST!D:I,6,FALSE)),0)</f>
        <v>19.055088000000001</v>
      </c>
      <c r="AU1561" s="232">
        <v>5.0000000000000001E-3</v>
      </c>
      <c r="AV1561" s="239">
        <f t="shared" si="231"/>
        <v>19.15036344</v>
      </c>
      <c r="AW1561" s="239">
        <f>(AS1561*AK1561/1000000)*(VLOOKUP(N1561,FCST!D:I,6,FALSE))</f>
        <v>0</v>
      </c>
      <c r="AX1561" s="239">
        <f t="shared" si="232"/>
        <v>0</v>
      </c>
      <c r="AY1561" s="239">
        <f>IF($G1561="CERVECERIA Y MALTERIA.",($AS1561*$AK1561/1000000)*(1-VLOOKUP($N1561,FCST!D:I,6,FALSE)),0)</f>
        <v>0</v>
      </c>
      <c r="AZ1561" s="239">
        <f t="shared" si="233"/>
        <v>0</v>
      </c>
    </row>
    <row r="1562" spans="1:52" x14ac:dyDescent="0.25">
      <c r="A1562" s="209">
        <v>1148760</v>
      </c>
      <c r="B1562" s="209">
        <v>90</v>
      </c>
      <c r="C1562" s="209" t="s">
        <v>3494</v>
      </c>
      <c r="D1562" s="209">
        <v>10</v>
      </c>
      <c r="E1562" s="209">
        <v>10000002</v>
      </c>
      <c r="F1562" s="209">
        <v>20000335</v>
      </c>
      <c r="G1562" s="209" t="s">
        <v>105</v>
      </c>
      <c r="H1562" s="209">
        <v>20000335</v>
      </c>
      <c r="I1562" s="209">
        <v>2</v>
      </c>
      <c r="J1562" s="209" t="s">
        <v>169</v>
      </c>
      <c r="K1562" s="209" t="s">
        <v>3495</v>
      </c>
      <c r="L1562" s="209" t="s">
        <v>2610</v>
      </c>
      <c r="M1562" s="209" t="s">
        <v>184</v>
      </c>
      <c r="N1562" s="209">
        <v>50024497</v>
      </c>
      <c r="O1562" s="209" t="s">
        <v>1352</v>
      </c>
      <c r="P1562" s="209">
        <v>5121</v>
      </c>
      <c r="Q1562" s="209" t="s">
        <v>174</v>
      </c>
      <c r="R1562" s="209" t="s">
        <v>175</v>
      </c>
      <c r="S1562" s="209" t="s">
        <v>176</v>
      </c>
      <c r="T1562" s="209" t="s">
        <v>177</v>
      </c>
      <c r="U1562" s="209" t="s">
        <v>178</v>
      </c>
      <c r="V1562" s="209" t="s">
        <v>179</v>
      </c>
      <c r="W1562" s="209" t="s">
        <v>179</v>
      </c>
      <c r="X1562" s="209" t="s">
        <v>180</v>
      </c>
      <c r="Y1562" s="209" t="s">
        <v>180</v>
      </c>
      <c r="Z1562" s="209" t="s">
        <v>3496</v>
      </c>
      <c r="AA1562" s="209" t="s">
        <v>3497</v>
      </c>
      <c r="AB1562" s="209" t="s">
        <v>180</v>
      </c>
      <c r="AC1562" s="209" t="s">
        <v>182</v>
      </c>
      <c r="AD1562" s="209">
        <v>11</v>
      </c>
      <c r="AE1562" s="209">
        <v>2025</v>
      </c>
      <c r="AF1562" s="227">
        <v>45961</v>
      </c>
      <c r="AG1562" s="227">
        <v>45966</v>
      </c>
      <c r="AH1562" s="227">
        <v>45966</v>
      </c>
      <c r="AI1562" s="228">
        <v>351936</v>
      </c>
      <c r="AJ1562" s="228">
        <v>52</v>
      </c>
      <c r="AK1562" s="228">
        <v>351936</v>
      </c>
      <c r="AL1562" s="228">
        <v>52</v>
      </c>
      <c r="AM1562" s="228">
        <v>0</v>
      </c>
      <c r="AN1562" s="228">
        <v>0</v>
      </c>
      <c r="AO1562" s="229">
        <v>45</v>
      </c>
      <c r="AP1562" s="231">
        <v>11</v>
      </c>
      <c r="AQ1562" s="231">
        <v>2025</v>
      </c>
      <c r="AR1562" s="231" t="str">
        <f t="shared" si="229"/>
        <v>11/2025</v>
      </c>
      <c r="AS1562" s="231">
        <f t="shared" si="230"/>
        <v>54.7</v>
      </c>
      <c r="AT1562" s="239">
        <f>IF(G1562="CERVECERIA Y MALTERIA",(AS1562*AK1562/1000000)*(1-VLOOKUP(N1562,FCST!D:I,6,FALSE)),0)</f>
        <v>19.250899199999999</v>
      </c>
      <c r="AU1562" s="232">
        <v>5.0000000000000001E-3</v>
      </c>
      <c r="AV1562" s="239">
        <f t="shared" si="231"/>
        <v>19.347153695999996</v>
      </c>
      <c r="AW1562" s="239">
        <f>(AS1562*AK1562/1000000)*(VLOOKUP(N1562,FCST!D:I,6,FALSE))</f>
        <v>0</v>
      </c>
      <c r="AX1562" s="239">
        <f t="shared" si="232"/>
        <v>0</v>
      </c>
      <c r="AY1562" s="239">
        <f>IF($G1562="CERVECERIA Y MALTERIA.",($AS1562*$AK1562/1000000)*(1-VLOOKUP($N1562,FCST!D:I,6,FALSE)),0)</f>
        <v>0</v>
      </c>
      <c r="AZ1562" s="239">
        <f t="shared" si="233"/>
        <v>0</v>
      </c>
    </row>
    <row r="1563" spans="1:52" x14ac:dyDescent="0.25">
      <c r="A1563" s="209">
        <v>1148761</v>
      </c>
      <c r="B1563" s="209">
        <v>30</v>
      </c>
      <c r="C1563" s="209" t="s">
        <v>3498</v>
      </c>
      <c r="D1563" s="209">
        <v>10</v>
      </c>
      <c r="E1563" s="209">
        <v>10000002</v>
      </c>
      <c r="F1563" s="209">
        <v>20000340</v>
      </c>
      <c r="G1563" s="209" t="s">
        <v>117</v>
      </c>
      <c r="H1563" s="209">
        <v>20000340</v>
      </c>
      <c r="I1563" s="209">
        <v>2</v>
      </c>
      <c r="J1563" s="209" t="s">
        <v>169</v>
      </c>
      <c r="K1563" s="209" t="s">
        <v>3499</v>
      </c>
      <c r="L1563" s="209" t="s">
        <v>2610</v>
      </c>
      <c r="M1563" s="209" t="s">
        <v>184</v>
      </c>
      <c r="N1563" s="209">
        <v>50038523</v>
      </c>
      <c r="O1563" s="209" t="s">
        <v>249</v>
      </c>
      <c r="P1563" s="209">
        <v>5101</v>
      </c>
      <c r="Q1563" s="209" t="s">
        <v>186</v>
      </c>
      <c r="R1563" s="209" t="s">
        <v>175</v>
      </c>
      <c r="S1563" s="209" t="s">
        <v>176</v>
      </c>
      <c r="T1563" s="209" t="s">
        <v>187</v>
      </c>
      <c r="U1563" s="209" t="s">
        <v>188</v>
      </c>
      <c r="V1563" s="209" t="s">
        <v>179</v>
      </c>
      <c r="W1563" s="209" t="s">
        <v>179</v>
      </c>
      <c r="X1563" s="209" t="s">
        <v>180</v>
      </c>
      <c r="Y1563" s="209" t="s">
        <v>180</v>
      </c>
      <c r="Z1563" s="209" t="s">
        <v>3500</v>
      </c>
      <c r="AA1563" s="209" t="s">
        <v>3501</v>
      </c>
      <c r="AB1563" s="209" t="s">
        <v>180</v>
      </c>
      <c r="AC1563" s="209" t="s">
        <v>182</v>
      </c>
      <c r="AD1563" s="209">
        <v>11</v>
      </c>
      <c r="AE1563" s="209">
        <v>2025</v>
      </c>
      <c r="AF1563" s="227">
        <v>45961</v>
      </c>
      <c r="AG1563" s="227">
        <v>45966</v>
      </c>
      <c r="AH1563" s="227">
        <v>45966</v>
      </c>
      <c r="AI1563" s="228">
        <v>606528</v>
      </c>
      <c r="AJ1563" s="228">
        <v>52</v>
      </c>
      <c r="AK1563" s="228">
        <v>606528</v>
      </c>
      <c r="AL1563" s="228">
        <v>52</v>
      </c>
      <c r="AM1563" s="228">
        <v>0</v>
      </c>
      <c r="AN1563" s="228">
        <v>0</v>
      </c>
      <c r="AO1563" s="229">
        <v>45</v>
      </c>
      <c r="AP1563" s="231">
        <v>11</v>
      </c>
      <c r="AQ1563" s="231">
        <v>2025</v>
      </c>
      <c r="AR1563" s="231" t="str">
        <f t="shared" si="229"/>
        <v>11/2025</v>
      </c>
      <c r="AS1563" s="231">
        <f t="shared" si="230"/>
        <v>30</v>
      </c>
      <c r="AT1563" s="239">
        <f>IF(G1563="CERVECERIA Y MALTERIA",(AS1563*AK1563/1000000)*(1-VLOOKUP(N1563,FCST!D:I,6,FALSE)),0)</f>
        <v>0</v>
      </c>
      <c r="AU1563" s="232">
        <v>5.0000000000000001E-3</v>
      </c>
      <c r="AV1563" s="239">
        <f t="shared" si="231"/>
        <v>0</v>
      </c>
      <c r="AW1563" s="239">
        <f>(AS1563*AK1563/1000000)*(VLOOKUP(N1563,FCST!D:I,6,FALSE))</f>
        <v>0</v>
      </c>
      <c r="AX1563" s="239">
        <f t="shared" si="232"/>
        <v>0</v>
      </c>
      <c r="AY1563" s="239">
        <f>IF($G1563="CERVECERIA Y MALTERIA.",($AS1563*$AK1563/1000000)*(1-VLOOKUP($N1563,FCST!D:I,6,FALSE)),0)</f>
        <v>18.19584</v>
      </c>
      <c r="AZ1563" s="239">
        <f t="shared" si="233"/>
        <v>18.2868192</v>
      </c>
    </row>
    <row r="1564" spans="1:52" x14ac:dyDescent="0.25">
      <c r="A1564" s="209">
        <v>1150094</v>
      </c>
      <c r="B1564" s="209">
        <v>20</v>
      </c>
      <c r="C1564" s="209" t="s">
        <v>3502</v>
      </c>
      <c r="D1564" s="209">
        <v>10</v>
      </c>
      <c r="E1564" s="209">
        <v>10000002</v>
      </c>
      <c r="F1564" s="209">
        <v>20001057</v>
      </c>
      <c r="G1564" s="209" t="s">
        <v>105</v>
      </c>
      <c r="H1564" s="209">
        <v>20001057</v>
      </c>
      <c r="I1564" s="209">
        <v>2</v>
      </c>
      <c r="J1564" s="209" t="s">
        <v>169</v>
      </c>
      <c r="K1564" s="209" t="s">
        <v>3503</v>
      </c>
      <c r="L1564" s="209" t="s">
        <v>2610</v>
      </c>
      <c r="M1564" s="209" t="s">
        <v>184</v>
      </c>
      <c r="N1564" s="209">
        <v>50035184</v>
      </c>
      <c r="O1564" s="209" t="s">
        <v>672</v>
      </c>
      <c r="P1564" s="209">
        <v>5121</v>
      </c>
      <c r="Q1564" s="209" t="s">
        <v>174</v>
      </c>
      <c r="R1564" s="209" t="s">
        <v>175</v>
      </c>
      <c r="S1564" s="209" t="s">
        <v>176</v>
      </c>
      <c r="T1564" s="209" t="s">
        <v>177</v>
      </c>
      <c r="U1564" s="209" t="s">
        <v>178</v>
      </c>
      <c r="V1564" s="209" t="s">
        <v>179</v>
      </c>
      <c r="W1564" s="209" t="s">
        <v>179</v>
      </c>
      <c r="X1564" s="209" t="s">
        <v>180</v>
      </c>
      <c r="Y1564" s="209" t="s">
        <v>180</v>
      </c>
      <c r="Z1564" s="209" t="s">
        <v>3482</v>
      </c>
      <c r="AA1564" s="209" t="s">
        <v>3483</v>
      </c>
      <c r="AB1564" s="209" t="s">
        <v>180</v>
      </c>
      <c r="AC1564" s="209" t="s">
        <v>182</v>
      </c>
      <c r="AD1564" s="209">
        <v>11</v>
      </c>
      <c r="AE1564" s="209">
        <v>2025</v>
      </c>
      <c r="AF1564" s="227">
        <v>45968</v>
      </c>
      <c r="AG1564" s="227">
        <v>45968</v>
      </c>
      <c r="AH1564" s="227">
        <v>45968</v>
      </c>
      <c r="AI1564" s="228">
        <v>977184</v>
      </c>
      <c r="AJ1564" s="228">
        <v>52</v>
      </c>
      <c r="AK1564" s="228">
        <v>977184</v>
      </c>
      <c r="AL1564" s="228">
        <v>52</v>
      </c>
      <c r="AM1564" s="228">
        <v>0</v>
      </c>
      <c r="AN1564" s="228">
        <v>0</v>
      </c>
      <c r="AO1564" s="229">
        <v>45</v>
      </c>
      <c r="AP1564" s="231">
        <v>11</v>
      </c>
      <c r="AQ1564" s="231">
        <v>2025</v>
      </c>
      <c r="AR1564" s="231" t="str">
        <f t="shared" si="229"/>
        <v>11/2025</v>
      </c>
      <c r="AS1564" s="231">
        <f t="shared" si="230"/>
        <v>19.5</v>
      </c>
      <c r="AT1564" s="239">
        <f>IF(G1564="CERVECERIA Y MALTERIA",(AS1564*AK1564/1000000)*(1-VLOOKUP(N1564,FCST!D:I,6,FALSE)),0)</f>
        <v>19.055088000000001</v>
      </c>
      <c r="AU1564" s="232">
        <v>5.0000000000000001E-3</v>
      </c>
      <c r="AV1564" s="239">
        <f t="shared" si="231"/>
        <v>19.15036344</v>
      </c>
      <c r="AW1564" s="239">
        <f>(AS1564*AK1564/1000000)*(VLOOKUP(N1564,FCST!D:I,6,FALSE))</f>
        <v>0</v>
      </c>
      <c r="AX1564" s="239">
        <f t="shared" si="232"/>
        <v>0</v>
      </c>
      <c r="AY1564" s="239">
        <f>IF($G1564="CERVECERIA Y MALTERIA.",($AS1564*$AK1564/1000000)*(1-VLOOKUP($N1564,FCST!D:I,6,FALSE)),0)</f>
        <v>0</v>
      </c>
      <c r="AZ1564" s="239">
        <f t="shared" si="233"/>
        <v>0</v>
      </c>
    </row>
    <row r="1565" spans="1:52" x14ac:dyDescent="0.25">
      <c r="A1565" s="209">
        <v>1150094</v>
      </c>
      <c r="B1565" s="209">
        <v>10</v>
      </c>
      <c r="C1565" s="209" t="s">
        <v>3504</v>
      </c>
      <c r="D1565" s="209">
        <v>10</v>
      </c>
      <c r="E1565" s="209">
        <v>10000002</v>
      </c>
      <c r="F1565" s="209">
        <v>20001057</v>
      </c>
      <c r="G1565" s="209" t="s">
        <v>105</v>
      </c>
      <c r="H1565" s="209">
        <v>20001057</v>
      </c>
      <c r="I1565" s="209">
        <v>2</v>
      </c>
      <c r="J1565" s="209" t="s">
        <v>169</v>
      </c>
      <c r="K1565" s="209" t="s">
        <v>3505</v>
      </c>
      <c r="L1565" s="209" t="s">
        <v>2610</v>
      </c>
      <c r="M1565" s="209" t="s">
        <v>184</v>
      </c>
      <c r="N1565" s="209">
        <v>50035184</v>
      </c>
      <c r="O1565" s="209" t="s">
        <v>672</v>
      </c>
      <c r="P1565" s="209">
        <v>5121</v>
      </c>
      <c r="Q1565" s="209" t="s">
        <v>174</v>
      </c>
      <c r="R1565" s="209" t="s">
        <v>175</v>
      </c>
      <c r="S1565" s="209" t="s">
        <v>176</v>
      </c>
      <c r="T1565" s="209" t="s">
        <v>177</v>
      </c>
      <c r="U1565" s="209" t="s">
        <v>178</v>
      </c>
      <c r="V1565" s="209" t="s">
        <v>179</v>
      </c>
      <c r="W1565" s="209" t="s">
        <v>179</v>
      </c>
      <c r="X1565" s="209" t="s">
        <v>180</v>
      </c>
      <c r="Y1565" s="209" t="s">
        <v>180</v>
      </c>
      <c r="Z1565" s="209" t="s">
        <v>3482</v>
      </c>
      <c r="AA1565" s="209" t="s">
        <v>3483</v>
      </c>
      <c r="AB1565" s="209" t="s">
        <v>180</v>
      </c>
      <c r="AC1565" s="209" t="s">
        <v>182</v>
      </c>
      <c r="AD1565" s="209">
        <v>11</v>
      </c>
      <c r="AE1565" s="209">
        <v>2025</v>
      </c>
      <c r="AF1565" s="227">
        <v>45968</v>
      </c>
      <c r="AG1565" s="227">
        <v>45968</v>
      </c>
      <c r="AH1565" s="227">
        <v>45968</v>
      </c>
      <c r="AI1565" s="228">
        <v>977184</v>
      </c>
      <c r="AJ1565" s="228">
        <v>52</v>
      </c>
      <c r="AK1565" s="228">
        <v>977184</v>
      </c>
      <c r="AL1565" s="228">
        <v>52</v>
      </c>
      <c r="AM1565" s="228">
        <v>0</v>
      </c>
      <c r="AN1565" s="228">
        <v>0</v>
      </c>
      <c r="AO1565" s="229">
        <v>45</v>
      </c>
      <c r="AP1565" s="231">
        <v>11</v>
      </c>
      <c r="AQ1565" s="231">
        <v>2025</v>
      </c>
      <c r="AR1565" s="231" t="str">
        <f t="shared" si="229"/>
        <v>11/2025</v>
      </c>
      <c r="AS1565" s="231">
        <f t="shared" si="230"/>
        <v>19.5</v>
      </c>
      <c r="AT1565" s="239">
        <f>IF(G1565="CERVECERIA Y MALTERIA",(AS1565*AK1565/1000000)*(1-VLOOKUP(N1565,FCST!D:I,6,FALSE)),0)</f>
        <v>19.055088000000001</v>
      </c>
      <c r="AU1565" s="232">
        <v>5.0000000000000001E-3</v>
      </c>
      <c r="AV1565" s="239">
        <f t="shared" si="231"/>
        <v>19.15036344</v>
      </c>
      <c r="AW1565" s="239">
        <f>(AS1565*AK1565/1000000)*(VLOOKUP(N1565,FCST!D:I,6,FALSE))</f>
        <v>0</v>
      </c>
      <c r="AX1565" s="239">
        <f t="shared" si="232"/>
        <v>0</v>
      </c>
      <c r="AY1565" s="239">
        <f>IF($G1565="CERVECERIA Y MALTERIA.",($AS1565*$AK1565/1000000)*(1-VLOOKUP($N1565,FCST!D:I,6,FALSE)),0)</f>
        <v>0</v>
      </c>
      <c r="AZ1565" s="239">
        <f t="shared" si="233"/>
        <v>0</v>
      </c>
    </row>
    <row r="1566" spans="1:52" x14ac:dyDescent="0.25">
      <c r="A1566" s="209">
        <v>1148761</v>
      </c>
      <c r="B1566" s="209">
        <v>40</v>
      </c>
      <c r="C1566" s="209" t="s">
        <v>3506</v>
      </c>
      <c r="D1566" s="209">
        <v>10</v>
      </c>
      <c r="E1566" s="209">
        <v>10000002</v>
      </c>
      <c r="F1566" s="209">
        <v>20000340</v>
      </c>
      <c r="G1566" s="209" t="s">
        <v>117</v>
      </c>
      <c r="H1566" s="209">
        <v>20000340</v>
      </c>
      <c r="I1566" s="209">
        <v>2</v>
      </c>
      <c r="J1566" s="209" t="s">
        <v>169</v>
      </c>
      <c r="K1566" s="209" t="s">
        <v>3507</v>
      </c>
      <c r="L1566" s="209" t="s">
        <v>2610</v>
      </c>
      <c r="M1566" s="209" t="s">
        <v>2718</v>
      </c>
      <c r="N1566" s="209">
        <v>50038523</v>
      </c>
      <c r="O1566" s="209" t="s">
        <v>249</v>
      </c>
      <c r="P1566" s="209">
        <v>5101</v>
      </c>
      <c r="Q1566" s="209" t="s">
        <v>186</v>
      </c>
      <c r="R1566" s="209" t="s">
        <v>175</v>
      </c>
      <c r="S1566" s="209" t="s">
        <v>176</v>
      </c>
      <c r="T1566" s="209" t="s">
        <v>187</v>
      </c>
      <c r="U1566" s="209" t="s">
        <v>188</v>
      </c>
      <c r="V1566" s="209" t="s">
        <v>179</v>
      </c>
      <c r="W1566" s="209" t="s">
        <v>179</v>
      </c>
      <c r="X1566" s="209" t="s">
        <v>180</v>
      </c>
      <c r="Y1566" s="209" t="s">
        <v>180</v>
      </c>
      <c r="Z1566" s="209" t="s">
        <v>3500</v>
      </c>
      <c r="AA1566" s="209" t="s">
        <v>3501</v>
      </c>
      <c r="AB1566" s="209" t="s">
        <v>180</v>
      </c>
      <c r="AC1566" s="209" t="s">
        <v>182</v>
      </c>
      <c r="AD1566" s="209">
        <v>11</v>
      </c>
      <c r="AE1566" s="209">
        <v>2025</v>
      </c>
      <c r="AF1566" s="227">
        <v>45961</v>
      </c>
      <c r="AG1566" s="227">
        <v>45968</v>
      </c>
      <c r="AH1566" s="227">
        <v>45968</v>
      </c>
      <c r="AI1566" s="228">
        <v>606528</v>
      </c>
      <c r="AJ1566" s="228">
        <v>52</v>
      </c>
      <c r="AK1566" s="228">
        <v>606528</v>
      </c>
      <c r="AL1566" s="228">
        <v>52</v>
      </c>
      <c r="AM1566" s="228">
        <v>0</v>
      </c>
      <c r="AN1566" s="228">
        <v>0</v>
      </c>
      <c r="AO1566" s="229">
        <v>45</v>
      </c>
      <c r="AP1566" s="231">
        <v>11</v>
      </c>
      <c r="AQ1566" s="231">
        <v>2025</v>
      </c>
      <c r="AR1566" s="231" t="str">
        <f t="shared" si="229"/>
        <v>11/2025</v>
      </c>
      <c r="AS1566" s="231">
        <f t="shared" si="230"/>
        <v>30</v>
      </c>
      <c r="AT1566" s="239">
        <f>IF(G1566="CERVECERIA Y MALTERIA",(AS1566*AK1566/1000000)*(1-VLOOKUP(N1566,FCST!D:I,6,FALSE)),0)</f>
        <v>0</v>
      </c>
      <c r="AU1566" s="232">
        <v>5.0000000000000001E-3</v>
      </c>
      <c r="AV1566" s="239">
        <f t="shared" si="231"/>
        <v>0</v>
      </c>
      <c r="AW1566" s="239">
        <f>(AS1566*AK1566/1000000)*(VLOOKUP(N1566,FCST!D:I,6,FALSE))</f>
        <v>0</v>
      </c>
      <c r="AX1566" s="239">
        <f t="shared" si="232"/>
        <v>0</v>
      </c>
      <c r="AY1566" s="239">
        <f>IF($G1566="CERVECERIA Y MALTERIA.",($AS1566*$AK1566/1000000)*(1-VLOOKUP($N1566,FCST!D:I,6,FALSE)),0)</f>
        <v>18.19584</v>
      </c>
      <c r="AZ1566" s="239">
        <f t="shared" si="233"/>
        <v>18.2868192</v>
      </c>
    </row>
    <row r="1567" spans="1:52" x14ac:dyDescent="0.25">
      <c r="A1567" s="209">
        <v>1148760</v>
      </c>
      <c r="B1567" s="209">
        <v>50</v>
      </c>
      <c r="C1567" s="209" t="s">
        <v>3508</v>
      </c>
      <c r="D1567" s="209">
        <v>10</v>
      </c>
      <c r="E1567" s="209">
        <v>10000002</v>
      </c>
      <c r="F1567" s="209">
        <v>20000335</v>
      </c>
      <c r="G1567" s="209" t="s">
        <v>105</v>
      </c>
      <c r="H1567" s="209">
        <v>20000335</v>
      </c>
      <c r="I1567" s="209">
        <v>2</v>
      </c>
      <c r="J1567" s="209" t="s">
        <v>169</v>
      </c>
      <c r="K1567" s="209" t="s">
        <v>3509</v>
      </c>
      <c r="L1567" s="209" t="s">
        <v>2610</v>
      </c>
      <c r="M1567" s="209" t="s">
        <v>2718</v>
      </c>
      <c r="N1567" s="209">
        <v>50035184</v>
      </c>
      <c r="O1567" s="209" t="s">
        <v>672</v>
      </c>
      <c r="P1567" s="209">
        <v>5121</v>
      </c>
      <c r="Q1567" s="209" t="s">
        <v>174</v>
      </c>
      <c r="R1567" s="209" t="s">
        <v>175</v>
      </c>
      <c r="S1567" s="209" t="s">
        <v>176</v>
      </c>
      <c r="T1567" s="209" t="s">
        <v>177</v>
      </c>
      <c r="U1567" s="209" t="s">
        <v>178</v>
      </c>
      <c r="V1567" s="209" t="s">
        <v>179</v>
      </c>
      <c r="W1567" s="209" t="s">
        <v>179</v>
      </c>
      <c r="X1567" s="209" t="s">
        <v>180</v>
      </c>
      <c r="Y1567" s="209" t="s">
        <v>180</v>
      </c>
      <c r="Z1567" s="209" t="s">
        <v>3436</v>
      </c>
      <c r="AA1567" s="209" t="s">
        <v>3437</v>
      </c>
      <c r="AB1567" s="209" t="s">
        <v>180</v>
      </c>
      <c r="AC1567" s="209" t="s">
        <v>182</v>
      </c>
      <c r="AD1567" s="209">
        <v>11</v>
      </c>
      <c r="AE1567" s="209">
        <v>2025</v>
      </c>
      <c r="AF1567" s="227">
        <v>45961</v>
      </c>
      <c r="AG1567" s="227">
        <v>45968</v>
      </c>
      <c r="AH1567" s="227">
        <v>45968</v>
      </c>
      <c r="AI1567" s="228">
        <v>977184</v>
      </c>
      <c r="AJ1567" s="228">
        <v>52</v>
      </c>
      <c r="AK1567" s="228">
        <v>977184</v>
      </c>
      <c r="AL1567" s="228">
        <v>52</v>
      </c>
      <c r="AM1567" s="228">
        <v>0</v>
      </c>
      <c r="AN1567" s="228">
        <v>0</v>
      </c>
      <c r="AO1567" s="229">
        <v>45</v>
      </c>
      <c r="AP1567" s="231">
        <v>11</v>
      </c>
      <c r="AQ1567" s="231">
        <v>2025</v>
      </c>
      <c r="AR1567" s="231" t="str">
        <f t="shared" si="229"/>
        <v>11/2025</v>
      </c>
      <c r="AS1567" s="231">
        <f t="shared" si="230"/>
        <v>19.5</v>
      </c>
      <c r="AT1567" s="239">
        <f>IF(G1567="CERVECERIA Y MALTERIA",(AS1567*AK1567/1000000)*(1-VLOOKUP(N1567,FCST!D:I,6,FALSE)),0)</f>
        <v>19.055088000000001</v>
      </c>
      <c r="AU1567" s="232">
        <v>5.0000000000000001E-3</v>
      </c>
      <c r="AV1567" s="239">
        <f t="shared" si="231"/>
        <v>19.15036344</v>
      </c>
      <c r="AW1567" s="239">
        <f>(AS1567*AK1567/1000000)*(VLOOKUP(N1567,FCST!D:I,6,FALSE))</f>
        <v>0</v>
      </c>
      <c r="AX1567" s="239">
        <f t="shared" si="232"/>
        <v>0</v>
      </c>
      <c r="AY1567" s="239">
        <f>IF($G1567="CERVECERIA Y MALTERIA.",($AS1567*$AK1567/1000000)*(1-VLOOKUP($N1567,FCST!D:I,6,FALSE)),0)</f>
        <v>0</v>
      </c>
      <c r="AZ1567" s="239">
        <f t="shared" si="233"/>
        <v>0</v>
      </c>
    </row>
    <row r="1568" spans="1:52" x14ac:dyDescent="0.25">
      <c r="A1568" s="209">
        <v>1148582</v>
      </c>
      <c r="B1568" s="209">
        <v>10</v>
      </c>
      <c r="C1568" s="209" t="s">
        <v>3510</v>
      </c>
      <c r="D1568" s="209">
        <v>10</v>
      </c>
      <c r="E1568" s="209">
        <v>10000002</v>
      </c>
      <c r="F1568" s="209">
        <v>20000336</v>
      </c>
      <c r="G1568" s="209" t="s">
        <v>105</v>
      </c>
      <c r="H1568" s="209">
        <v>20000336</v>
      </c>
      <c r="I1568" s="209">
        <v>2</v>
      </c>
      <c r="J1568" s="209" t="s">
        <v>169</v>
      </c>
      <c r="K1568" s="209" t="s">
        <v>3511</v>
      </c>
      <c r="L1568" s="209" t="s">
        <v>2610</v>
      </c>
      <c r="M1568" s="209" t="s">
        <v>184</v>
      </c>
      <c r="N1568" s="209">
        <v>50021818</v>
      </c>
      <c r="O1568" s="209" t="s">
        <v>2170</v>
      </c>
      <c r="P1568" s="209">
        <v>5121</v>
      </c>
      <c r="Q1568" s="209" t="s">
        <v>174</v>
      </c>
      <c r="R1568" s="209" t="s">
        <v>175</v>
      </c>
      <c r="S1568" s="209" t="s">
        <v>176</v>
      </c>
      <c r="T1568" s="209" t="s">
        <v>177</v>
      </c>
      <c r="U1568" s="209" t="s">
        <v>178</v>
      </c>
      <c r="V1568" s="209" t="s">
        <v>179</v>
      </c>
      <c r="W1568" s="209" t="s">
        <v>179</v>
      </c>
      <c r="X1568" s="209" t="s">
        <v>180</v>
      </c>
      <c r="Y1568" s="209" t="s">
        <v>180</v>
      </c>
      <c r="Z1568" s="209" t="s">
        <v>3452</v>
      </c>
      <c r="AA1568" s="209" t="s">
        <v>3453</v>
      </c>
      <c r="AB1568" s="209" t="s">
        <v>180</v>
      </c>
      <c r="AC1568" s="209" t="s">
        <v>182</v>
      </c>
      <c r="AD1568" s="209">
        <v>11</v>
      </c>
      <c r="AE1568" s="209">
        <v>2025</v>
      </c>
      <c r="AF1568" s="227">
        <v>45960</v>
      </c>
      <c r="AG1568" s="227">
        <v>45964</v>
      </c>
      <c r="AH1568" s="227">
        <v>45964</v>
      </c>
      <c r="AI1568" s="228">
        <v>426816</v>
      </c>
      <c r="AJ1568" s="228">
        <v>52</v>
      </c>
      <c r="AK1568" s="228">
        <v>426816</v>
      </c>
      <c r="AL1568" s="228">
        <v>52</v>
      </c>
      <c r="AM1568" s="228">
        <v>0</v>
      </c>
      <c r="AN1568" s="228">
        <v>0</v>
      </c>
      <c r="AO1568" s="229">
        <v>45</v>
      </c>
      <c r="AP1568" s="231">
        <v>11</v>
      </c>
      <c r="AQ1568" s="231">
        <v>2025</v>
      </c>
      <c r="AR1568" s="231" t="str">
        <f t="shared" si="229"/>
        <v>11/2025</v>
      </c>
      <c r="AS1568" s="231">
        <f t="shared" si="230"/>
        <v>46.6</v>
      </c>
      <c r="AT1568" s="239">
        <f>IF(G1568="CERVECERIA Y MALTERIA",(AS1568*AK1568/1000000)*(1-VLOOKUP(N1568,FCST!D:I,6,FALSE)),0)</f>
        <v>19.889625600000002</v>
      </c>
      <c r="AU1568" s="232">
        <v>5.0000000000000001E-3</v>
      </c>
      <c r="AV1568" s="239">
        <f t="shared" si="231"/>
        <v>19.989073728000001</v>
      </c>
      <c r="AW1568" s="239">
        <f>(AS1568*AK1568/1000000)*(VLOOKUP(N1568,FCST!D:I,6,FALSE))</f>
        <v>0</v>
      </c>
      <c r="AX1568" s="239">
        <f t="shared" si="232"/>
        <v>0</v>
      </c>
      <c r="AY1568" s="239">
        <f>IF($G1568="CERVECERIA Y MALTERIA.",($AS1568*$AK1568/1000000)*(1-VLOOKUP($N1568,FCST!D:I,6,FALSE)),0)</f>
        <v>0</v>
      </c>
      <c r="AZ1568" s="239">
        <f t="shared" si="233"/>
        <v>0</v>
      </c>
    </row>
    <row r="1569" spans="1:52" x14ac:dyDescent="0.25">
      <c r="A1569" s="209">
        <v>1149098</v>
      </c>
      <c r="B1569" s="209">
        <v>10</v>
      </c>
      <c r="C1569" s="209" t="s">
        <v>3512</v>
      </c>
      <c r="D1569" s="209">
        <v>10</v>
      </c>
      <c r="E1569" s="209">
        <v>10000002</v>
      </c>
      <c r="F1569" s="209">
        <v>20001057</v>
      </c>
      <c r="G1569" s="209" t="s">
        <v>105</v>
      </c>
      <c r="H1569" s="209">
        <v>20001057</v>
      </c>
      <c r="I1569" s="209">
        <v>2</v>
      </c>
      <c r="J1569" s="209" t="s">
        <v>169</v>
      </c>
      <c r="K1569" s="209" t="s">
        <v>3513</v>
      </c>
      <c r="L1569" s="209" t="s">
        <v>2610</v>
      </c>
      <c r="M1569" s="209" t="s">
        <v>184</v>
      </c>
      <c r="N1569" s="209">
        <v>50030381</v>
      </c>
      <c r="O1569" s="209" t="s">
        <v>1791</v>
      </c>
      <c r="P1569" s="209">
        <v>5121</v>
      </c>
      <c r="Q1569" s="209" t="s">
        <v>174</v>
      </c>
      <c r="R1569" s="209" t="s">
        <v>175</v>
      </c>
      <c r="S1569" s="209" t="s">
        <v>176</v>
      </c>
      <c r="T1569" s="209" t="s">
        <v>177</v>
      </c>
      <c r="U1569" s="209" t="s">
        <v>178</v>
      </c>
      <c r="V1569" s="209" t="s">
        <v>179</v>
      </c>
      <c r="W1569" s="209" t="s">
        <v>179</v>
      </c>
      <c r="X1569" s="209" t="s">
        <v>180</v>
      </c>
      <c r="Y1569" s="209" t="s">
        <v>180</v>
      </c>
      <c r="Z1569" s="209" t="s">
        <v>3514</v>
      </c>
      <c r="AA1569" s="209" t="s">
        <v>3515</v>
      </c>
      <c r="AB1569" s="209" t="s">
        <v>180</v>
      </c>
      <c r="AC1569" s="209" t="s">
        <v>182</v>
      </c>
      <c r="AD1569" s="209">
        <v>11</v>
      </c>
      <c r="AE1569" s="209">
        <v>2025</v>
      </c>
      <c r="AF1569" s="227">
        <v>45964</v>
      </c>
      <c r="AG1569" s="227">
        <v>45964</v>
      </c>
      <c r="AH1569" s="227">
        <v>45964</v>
      </c>
      <c r="AI1569" s="228">
        <v>406016</v>
      </c>
      <c r="AJ1569" s="228">
        <v>52</v>
      </c>
      <c r="AK1569" s="228">
        <v>406016</v>
      </c>
      <c r="AL1569" s="228">
        <v>52</v>
      </c>
      <c r="AM1569" s="228">
        <v>0</v>
      </c>
      <c r="AN1569" s="228">
        <v>0</v>
      </c>
      <c r="AO1569" s="229">
        <v>45</v>
      </c>
      <c r="AP1569" s="231">
        <v>11</v>
      </c>
      <c r="AQ1569" s="231">
        <v>2025</v>
      </c>
      <c r="AR1569" s="231" t="str">
        <f t="shared" si="229"/>
        <v>11/2025</v>
      </c>
      <c r="AS1569" s="231">
        <f t="shared" si="230"/>
        <v>46.6</v>
      </c>
      <c r="AT1569" s="239">
        <f>IF(G1569="CERVECERIA Y MALTERIA",(AS1569*AK1569/1000000)*(1-VLOOKUP(N1569,FCST!D:I,6,FALSE)),0)</f>
        <v>18.920345600000001</v>
      </c>
      <c r="AU1569" s="232">
        <v>5.0000000000000001E-3</v>
      </c>
      <c r="AV1569" s="239">
        <f t="shared" si="231"/>
        <v>19.014947327999998</v>
      </c>
      <c r="AW1569" s="239">
        <f>(AS1569*AK1569/1000000)*(VLOOKUP(N1569,FCST!D:I,6,FALSE))</f>
        <v>0</v>
      </c>
      <c r="AX1569" s="239">
        <f t="shared" si="232"/>
        <v>0</v>
      </c>
      <c r="AY1569" s="239">
        <f>IF($G1569="CERVECERIA Y MALTERIA.",($AS1569*$AK1569/1000000)*(1-VLOOKUP($N1569,FCST!D:I,6,FALSE)),0)</f>
        <v>0</v>
      </c>
      <c r="AZ1569" s="239">
        <f t="shared" si="233"/>
        <v>0</v>
      </c>
    </row>
    <row r="1570" spans="1:52" x14ac:dyDescent="0.25">
      <c r="A1570" s="209">
        <v>1148760</v>
      </c>
      <c r="B1570" s="209">
        <v>60</v>
      </c>
      <c r="C1570" s="209" t="s">
        <v>3516</v>
      </c>
      <c r="D1570" s="209">
        <v>10</v>
      </c>
      <c r="E1570" s="209">
        <v>10000002</v>
      </c>
      <c r="F1570" s="209">
        <v>20000335</v>
      </c>
      <c r="G1570" s="209" t="s">
        <v>105</v>
      </c>
      <c r="H1570" s="209">
        <v>20000335</v>
      </c>
      <c r="I1570" s="209">
        <v>2</v>
      </c>
      <c r="J1570" s="209" t="s">
        <v>169</v>
      </c>
      <c r="K1570" s="209" t="s">
        <v>3517</v>
      </c>
      <c r="L1570" s="209" t="s">
        <v>2610</v>
      </c>
      <c r="M1570" s="209" t="s">
        <v>184</v>
      </c>
      <c r="N1570" s="209">
        <v>50025345</v>
      </c>
      <c r="O1570" s="209" t="s">
        <v>1998</v>
      </c>
      <c r="P1570" s="209">
        <v>5121</v>
      </c>
      <c r="Q1570" s="209" t="s">
        <v>174</v>
      </c>
      <c r="R1570" s="209" t="s">
        <v>175</v>
      </c>
      <c r="S1570" s="209" t="s">
        <v>176</v>
      </c>
      <c r="T1570" s="209" t="s">
        <v>177</v>
      </c>
      <c r="U1570" s="209" t="s">
        <v>178</v>
      </c>
      <c r="V1570" s="209" t="s">
        <v>179</v>
      </c>
      <c r="W1570" s="209" t="s">
        <v>179</v>
      </c>
      <c r="X1570" s="209" t="s">
        <v>180</v>
      </c>
      <c r="Y1570" s="209" t="s">
        <v>180</v>
      </c>
      <c r="Z1570" s="209" t="s">
        <v>3428</v>
      </c>
      <c r="AA1570" s="209" t="s">
        <v>3429</v>
      </c>
      <c r="AB1570" s="209" t="s">
        <v>180</v>
      </c>
      <c r="AC1570" s="209" t="s">
        <v>182</v>
      </c>
      <c r="AD1570" s="209">
        <v>11</v>
      </c>
      <c r="AE1570" s="209">
        <v>2025</v>
      </c>
      <c r="AF1570" s="227">
        <v>45961</v>
      </c>
      <c r="AG1570" s="227">
        <v>45964</v>
      </c>
      <c r="AH1570" s="227">
        <v>45964</v>
      </c>
      <c r="AI1570" s="228">
        <v>426816</v>
      </c>
      <c r="AJ1570" s="228">
        <v>52</v>
      </c>
      <c r="AK1570" s="228">
        <v>426816</v>
      </c>
      <c r="AL1570" s="228">
        <v>52</v>
      </c>
      <c r="AM1570" s="228">
        <v>0</v>
      </c>
      <c r="AN1570" s="228">
        <v>0</v>
      </c>
      <c r="AO1570" s="229">
        <v>45</v>
      </c>
      <c r="AP1570" s="231">
        <v>11</v>
      </c>
      <c r="AQ1570" s="231">
        <v>2025</v>
      </c>
      <c r="AR1570" s="231" t="str">
        <f t="shared" si="229"/>
        <v>11/2025</v>
      </c>
      <c r="AS1570" s="231">
        <f t="shared" si="230"/>
        <v>46.6</v>
      </c>
      <c r="AT1570" s="239">
        <f>IF(G1570="CERVECERIA Y MALTERIA",(AS1570*AK1570/1000000)*(1-VLOOKUP(N1570,FCST!D:I,6,FALSE)),0)</f>
        <v>19.889625600000002</v>
      </c>
      <c r="AU1570" s="232">
        <v>5.0000000000000001E-3</v>
      </c>
      <c r="AV1570" s="239">
        <f t="shared" si="231"/>
        <v>19.989073728000001</v>
      </c>
      <c r="AW1570" s="239">
        <f>(AS1570*AK1570/1000000)*(VLOOKUP(N1570,FCST!D:I,6,FALSE))</f>
        <v>0</v>
      </c>
      <c r="AX1570" s="239">
        <f t="shared" si="232"/>
        <v>0</v>
      </c>
      <c r="AY1570" s="239">
        <f>IF($G1570="CERVECERIA Y MALTERIA.",($AS1570*$AK1570/1000000)*(1-VLOOKUP($N1570,FCST!D:I,6,FALSE)),0)</f>
        <v>0</v>
      </c>
      <c r="AZ1570" s="239">
        <f t="shared" si="233"/>
        <v>0</v>
      </c>
    </row>
    <row r="1571" spans="1:52" x14ac:dyDescent="0.25">
      <c r="A1571" s="209">
        <v>1148761</v>
      </c>
      <c r="B1571" s="209">
        <v>10</v>
      </c>
      <c r="C1571" s="209" t="s">
        <v>3518</v>
      </c>
      <c r="D1571" s="209">
        <v>10</v>
      </c>
      <c r="E1571" s="209">
        <v>10000002</v>
      </c>
      <c r="F1571" s="209">
        <v>20000340</v>
      </c>
      <c r="G1571" s="209" t="s">
        <v>117</v>
      </c>
      <c r="H1571" s="209">
        <v>20000340</v>
      </c>
      <c r="I1571" s="209">
        <v>2</v>
      </c>
      <c r="J1571" s="209" t="s">
        <v>169</v>
      </c>
      <c r="K1571" s="209" t="s">
        <v>3519</v>
      </c>
      <c r="L1571" s="209" t="s">
        <v>2610</v>
      </c>
      <c r="M1571" s="209" t="s">
        <v>184</v>
      </c>
      <c r="N1571" s="209">
        <v>50025163</v>
      </c>
      <c r="O1571" s="209" t="s">
        <v>185</v>
      </c>
      <c r="P1571" s="209">
        <v>5101</v>
      </c>
      <c r="Q1571" s="209" t="s">
        <v>186</v>
      </c>
      <c r="R1571" s="209" t="s">
        <v>175</v>
      </c>
      <c r="S1571" s="209" t="s">
        <v>176</v>
      </c>
      <c r="T1571" s="209" t="s">
        <v>187</v>
      </c>
      <c r="U1571" s="209" t="s">
        <v>188</v>
      </c>
      <c r="V1571" s="209" t="s">
        <v>179</v>
      </c>
      <c r="W1571" s="209" t="s">
        <v>179</v>
      </c>
      <c r="X1571" s="209" t="s">
        <v>180</v>
      </c>
      <c r="Y1571" s="209" t="s">
        <v>180</v>
      </c>
      <c r="Z1571" s="209" t="s">
        <v>3500</v>
      </c>
      <c r="AA1571" s="209" t="s">
        <v>3501</v>
      </c>
      <c r="AB1571" s="209" t="s">
        <v>180</v>
      </c>
      <c r="AC1571" s="209" t="s">
        <v>182</v>
      </c>
      <c r="AD1571" s="209">
        <v>11</v>
      </c>
      <c r="AE1571" s="209">
        <v>2025</v>
      </c>
      <c r="AF1571" s="227">
        <v>45961</v>
      </c>
      <c r="AG1571" s="227">
        <v>45964</v>
      </c>
      <c r="AH1571" s="227">
        <v>45964</v>
      </c>
      <c r="AI1571" s="228">
        <v>606528</v>
      </c>
      <c r="AJ1571" s="228">
        <v>52</v>
      </c>
      <c r="AK1571" s="228">
        <v>606528</v>
      </c>
      <c r="AL1571" s="228">
        <v>52</v>
      </c>
      <c r="AM1571" s="228">
        <v>0</v>
      </c>
      <c r="AN1571" s="228">
        <v>0</v>
      </c>
      <c r="AO1571" s="229">
        <v>45</v>
      </c>
      <c r="AP1571" s="231">
        <v>11</v>
      </c>
      <c r="AQ1571" s="231">
        <v>2025</v>
      </c>
      <c r="AR1571" s="231" t="str">
        <f t="shared" si="229"/>
        <v>11/2025</v>
      </c>
      <c r="AS1571" s="231">
        <f t="shared" si="230"/>
        <v>30</v>
      </c>
      <c r="AT1571" s="239">
        <f>IF(G1571="CERVECERIA Y MALTERIA",(AS1571*AK1571/1000000)*(1-VLOOKUP(N1571,FCST!D:I,6,FALSE)),0)</f>
        <v>0</v>
      </c>
      <c r="AU1571" s="232">
        <v>5.0000000000000001E-3</v>
      </c>
      <c r="AV1571" s="239">
        <f t="shared" si="231"/>
        <v>0</v>
      </c>
      <c r="AW1571" s="239">
        <f>(AS1571*AK1571/1000000)*(VLOOKUP(N1571,FCST!D:I,6,FALSE))</f>
        <v>0</v>
      </c>
      <c r="AX1571" s="239">
        <f t="shared" si="232"/>
        <v>0</v>
      </c>
      <c r="AY1571" s="239">
        <f>IF($G1571="CERVECERIA Y MALTERIA.",($AS1571*$AK1571/1000000)*(1-VLOOKUP($N1571,FCST!D:I,6,FALSE)),0)</f>
        <v>18.19584</v>
      </c>
      <c r="AZ1571" s="239">
        <f t="shared" si="233"/>
        <v>18.2868192</v>
      </c>
    </row>
    <row r="1572" spans="1:52" x14ac:dyDescent="0.25">
      <c r="A1572" s="209">
        <v>1148760</v>
      </c>
      <c r="B1572" s="209">
        <v>70</v>
      </c>
      <c r="C1572" s="209" t="s">
        <v>3520</v>
      </c>
      <c r="D1572" s="209">
        <v>10</v>
      </c>
      <c r="E1572" s="209">
        <v>10000002</v>
      </c>
      <c r="F1572" s="209">
        <v>20000335</v>
      </c>
      <c r="G1572" s="209" t="s">
        <v>105</v>
      </c>
      <c r="H1572" s="209">
        <v>20000335</v>
      </c>
      <c r="I1572" s="209">
        <v>2</v>
      </c>
      <c r="J1572" s="209" t="s">
        <v>169</v>
      </c>
      <c r="K1572" s="209" t="s">
        <v>3521</v>
      </c>
      <c r="L1572" s="209" t="s">
        <v>2610</v>
      </c>
      <c r="M1572" s="209" t="s">
        <v>2718</v>
      </c>
      <c r="N1572" s="209">
        <v>50025345</v>
      </c>
      <c r="O1572" s="209" t="s">
        <v>1998</v>
      </c>
      <c r="P1572" s="209">
        <v>5121</v>
      </c>
      <c r="Q1572" s="209" t="s">
        <v>174</v>
      </c>
      <c r="R1572" s="209" t="s">
        <v>175</v>
      </c>
      <c r="S1572" s="209" t="s">
        <v>176</v>
      </c>
      <c r="T1572" s="209" t="s">
        <v>177</v>
      </c>
      <c r="U1572" s="209" t="s">
        <v>178</v>
      </c>
      <c r="V1572" s="209" t="s">
        <v>179</v>
      </c>
      <c r="W1572" s="209" t="s">
        <v>179</v>
      </c>
      <c r="X1572" s="209" t="s">
        <v>180</v>
      </c>
      <c r="Y1572" s="209" t="s">
        <v>180</v>
      </c>
      <c r="Z1572" s="209" t="s">
        <v>3428</v>
      </c>
      <c r="AA1572" s="209" t="s">
        <v>3429</v>
      </c>
      <c r="AB1572" s="209" t="s">
        <v>180</v>
      </c>
      <c r="AC1572" s="209" t="s">
        <v>182</v>
      </c>
      <c r="AD1572" s="209">
        <v>11</v>
      </c>
      <c r="AE1572" s="209">
        <v>2025</v>
      </c>
      <c r="AF1572" s="227">
        <v>45961</v>
      </c>
      <c r="AG1572" s="227">
        <v>45964</v>
      </c>
      <c r="AH1572" s="227">
        <v>45964</v>
      </c>
      <c r="AI1572" s="228">
        <v>426816</v>
      </c>
      <c r="AJ1572" s="228">
        <v>52</v>
      </c>
      <c r="AK1572" s="228">
        <v>426816</v>
      </c>
      <c r="AL1572" s="228">
        <v>52</v>
      </c>
      <c r="AM1572" s="228">
        <v>0</v>
      </c>
      <c r="AN1572" s="228">
        <v>0</v>
      </c>
      <c r="AO1572" s="229">
        <v>45</v>
      </c>
      <c r="AP1572" s="231">
        <v>11</v>
      </c>
      <c r="AQ1572" s="231">
        <v>2025</v>
      </c>
      <c r="AR1572" s="231" t="str">
        <f t="shared" si="229"/>
        <v>11/2025</v>
      </c>
      <c r="AS1572" s="231">
        <f t="shared" si="230"/>
        <v>46.6</v>
      </c>
      <c r="AT1572" s="239">
        <f>IF(G1572="CERVECERIA Y MALTERIA",(AS1572*AK1572/1000000)*(1-VLOOKUP(N1572,FCST!D:I,6,FALSE)),0)</f>
        <v>19.889625600000002</v>
      </c>
      <c r="AU1572" s="232">
        <v>5.0000000000000001E-3</v>
      </c>
      <c r="AV1572" s="239">
        <f t="shared" si="231"/>
        <v>19.989073728000001</v>
      </c>
      <c r="AW1572" s="239">
        <f>(AS1572*AK1572/1000000)*(VLOOKUP(N1572,FCST!D:I,6,FALSE))</f>
        <v>0</v>
      </c>
      <c r="AX1572" s="239">
        <f t="shared" si="232"/>
        <v>0</v>
      </c>
      <c r="AY1572" s="239">
        <f>IF($G1572="CERVECERIA Y MALTERIA.",($AS1572*$AK1572/1000000)*(1-VLOOKUP($N1572,FCST!D:I,6,FALSE)),0)</f>
        <v>0</v>
      </c>
      <c r="AZ1572" s="239">
        <f t="shared" si="233"/>
        <v>0</v>
      </c>
    </row>
    <row r="1573" spans="1:52" x14ac:dyDescent="0.25">
      <c r="A1573" s="209">
        <v>1149311</v>
      </c>
      <c r="B1573" s="209">
        <v>20</v>
      </c>
      <c r="C1573" s="209" t="s">
        <v>3522</v>
      </c>
      <c r="D1573" s="209">
        <v>10</v>
      </c>
      <c r="E1573" s="209">
        <v>10000002</v>
      </c>
      <c r="F1573" s="209">
        <v>20000336</v>
      </c>
      <c r="G1573" s="209" t="s">
        <v>105</v>
      </c>
      <c r="H1573" s="209">
        <v>20000336</v>
      </c>
      <c r="I1573" s="209">
        <v>2</v>
      </c>
      <c r="J1573" s="209" t="s">
        <v>169</v>
      </c>
      <c r="K1573" s="209" t="s">
        <v>3523</v>
      </c>
      <c r="L1573" s="209" t="s">
        <v>2610</v>
      </c>
      <c r="M1573" s="209" t="s">
        <v>2718</v>
      </c>
      <c r="N1573" s="209">
        <v>50024497</v>
      </c>
      <c r="O1573" s="209" t="s">
        <v>1352</v>
      </c>
      <c r="P1573" s="209">
        <v>5121</v>
      </c>
      <c r="Q1573" s="209" t="s">
        <v>174</v>
      </c>
      <c r="R1573" s="209" t="s">
        <v>175</v>
      </c>
      <c r="S1573" s="209" t="s">
        <v>176</v>
      </c>
      <c r="T1573" s="209" t="s">
        <v>177</v>
      </c>
      <c r="U1573" s="209" t="s">
        <v>178</v>
      </c>
      <c r="V1573" s="209" t="s">
        <v>179</v>
      </c>
      <c r="W1573" s="209" t="s">
        <v>179</v>
      </c>
      <c r="X1573" s="209" t="s">
        <v>180</v>
      </c>
      <c r="Y1573" s="209" t="s">
        <v>180</v>
      </c>
      <c r="Z1573" s="209" t="s">
        <v>3524</v>
      </c>
      <c r="AA1573" s="209" t="s">
        <v>3525</v>
      </c>
      <c r="AB1573" s="209" t="s">
        <v>180</v>
      </c>
      <c r="AC1573" s="209" t="s">
        <v>182</v>
      </c>
      <c r="AD1573" s="209">
        <v>11</v>
      </c>
      <c r="AE1573" s="209">
        <v>2025</v>
      </c>
      <c r="AF1573" s="227">
        <v>45965</v>
      </c>
      <c r="AG1573" s="227">
        <v>45966</v>
      </c>
      <c r="AH1573" s="227">
        <v>45966</v>
      </c>
      <c r="AI1573" s="228">
        <v>351936</v>
      </c>
      <c r="AJ1573" s="228">
        <v>52</v>
      </c>
      <c r="AK1573" s="228">
        <v>351936</v>
      </c>
      <c r="AL1573" s="228">
        <v>52</v>
      </c>
      <c r="AM1573" s="228">
        <v>0</v>
      </c>
      <c r="AN1573" s="228">
        <v>0</v>
      </c>
      <c r="AO1573" s="229">
        <v>45</v>
      </c>
      <c r="AP1573" s="231">
        <v>11</v>
      </c>
      <c r="AQ1573" s="231">
        <v>2025</v>
      </c>
      <c r="AR1573" s="231" t="str">
        <f t="shared" si="229"/>
        <v>11/2025</v>
      </c>
      <c r="AS1573" s="231">
        <f t="shared" si="230"/>
        <v>54.7</v>
      </c>
      <c r="AT1573" s="239">
        <f>IF(G1573="CERVECERIA Y MALTERIA",(AS1573*AK1573/1000000)*(1-VLOOKUP(N1573,FCST!D:I,6,FALSE)),0)</f>
        <v>19.250899199999999</v>
      </c>
      <c r="AU1573" s="232">
        <v>5.0000000000000001E-3</v>
      </c>
      <c r="AV1573" s="239">
        <f t="shared" si="231"/>
        <v>19.347153695999996</v>
      </c>
      <c r="AW1573" s="239">
        <f>(AS1573*AK1573/1000000)*(VLOOKUP(N1573,FCST!D:I,6,FALSE))</f>
        <v>0</v>
      </c>
      <c r="AX1573" s="239">
        <f t="shared" si="232"/>
        <v>0</v>
      </c>
      <c r="AY1573" s="239">
        <f>IF($G1573="CERVECERIA Y MALTERIA.",($AS1573*$AK1573/1000000)*(1-VLOOKUP($N1573,FCST!D:I,6,FALSE)),0)</f>
        <v>0</v>
      </c>
      <c r="AZ1573" s="239">
        <f t="shared" si="233"/>
        <v>0</v>
      </c>
    </row>
    <row r="1574" spans="1:52" x14ac:dyDescent="0.25">
      <c r="A1574" s="209">
        <v>1149311</v>
      </c>
      <c r="B1574" s="209">
        <v>10</v>
      </c>
      <c r="C1574" s="209" t="s">
        <v>3526</v>
      </c>
      <c r="D1574" s="209">
        <v>10</v>
      </c>
      <c r="E1574" s="209">
        <v>10000002</v>
      </c>
      <c r="F1574" s="209">
        <v>20000336</v>
      </c>
      <c r="G1574" s="209" t="s">
        <v>105</v>
      </c>
      <c r="H1574" s="209">
        <v>20000336</v>
      </c>
      <c r="I1574" s="209">
        <v>2</v>
      </c>
      <c r="J1574" s="209" t="s">
        <v>169</v>
      </c>
      <c r="K1574" s="209" t="s">
        <v>3527</v>
      </c>
      <c r="L1574" s="209" t="s">
        <v>2610</v>
      </c>
      <c r="M1574" s="209" t="s">
        <v>2718</v>
      </c>
      <c r="N1574" s="209">
        <v>50030381</v>
      </c>
      <c r="O1574" s="209" t="s">
        <v>1791</v>
      </c>
      <c r="P1574" s="209">
        <v>5121</v>
      </c>
      <c r="Q1574" s="209" t="s">
        <v>174</v>
      </c>
      <c r="R1574" s="209" t="s">
        <v>175</v>
      </c>
      <c r="S1574" s="209" t="s">
        <v>176</v>
      </c>
      <c r="T1574" s="209" t="s">
        <v>177</v>
      </c>
      <c r="U1574" s="209" t="s">
        <v>178</v>
      </c>
      <c r="V1574" s="209" t="s">
        <v>179</v>
      </c>
      <c r="W1574" s="209" t="s">
        <v>179</v>
      </c>
      <c r="X1574" s="209" t="s">
        <v>180</v>
      </c>
      <c r="Y1574" s="209" t="s">
        <v>180</v>
      </c>
      <c r="Z1574" s="209" t="s">
        <v>3452</v>
      </c>
      <c r="AA1574" s="209" t="s">
        <v>3453</v>
      </c>
      <c r="AB1574" s="209" t="s">
        <v>180</v>
      </c>
      <c r="AC1574" s="209" t="s">
        <v>182</v>
      </c>
      <c r="AD1574" s="209">
        <v>11</v>
      </c>
      <c r="AE1574" s="209">
        <v>2025</v>
      </c>
      <c r="AF1574" s="227">
        <v>45965</v>
      </c>
      <c r="AG1574" s="227">
        <v>45966</v>
      </c>
      <c r="AH1574" s="227">
        <v>45966</v>
      </c>
      <c r="AI1574" s="228">
        <v>406016</v>
      </c>
      <c r="AJ1574" s="228">
        <v>52</v>
      </c>
      <c r="AK1574" s="228">
        <v>406016</v>
      </c>
      <c r="AL1574" s="228">
        <v>52</v>
      </c>
      <c r="AM1574" s="228">
        <v>0</v>
      </c>
      <c r="AN1574" s="228">
        <v>0</v>
      </c>
      <c r="AO1574" s="229">
        <v>45</v>
      </c>
      <c r="AP1574" s="231">
        <v>11</v>
      </c>
      <c r="AQ1574" s="231">
        <v>2025</v>
      </c>
      <c r="AR1574" s="231" t="str">
        <f t="shared" si="229"/>
        <v>11/2025</v>
      </c>
      <c r="AS1574" s="231">
        <f t="shared" si="230"/>
        <v>46.6</v>
      </c>
      <c r="AT1574" s="239">
        <f>IF(G1574="CERVECERIA Y MALTERIA",(AS1574*AK1574/1000000)*(1-VLOOKUP(N1574,FCST!D:I,6,FALSE)),0)</f>
        <v>18.920345600000001</v>
      </c>
      <c r="AU1574" s="232">
        <v>5.0000000000000001E-3</v>
      </c>
      <c r="AV1574" s="239">
        <f t="shared" si="231"/>
        <v>19.014947327999998</v>
      </c>
      <c r="AW1574" s="239">
        <f>(AS1574*AK1574/1000000)*(VLOOKUP(N1574,FCST!D:I,6,FALSE))</f>
        <v>0</v>
      </c>
      <c r="AX1574" s="239">
        <f t="shared" si="232"/>
        <v>0</v>
      </c>
      <c r="AY1574" s="239">
        <f>IF($G1574="CERVECERIA Y MALTERIA.",($AS1574*$AK1574/1000000)*(1-VLOOKUP($N1574,FCST!D:I,6,FALSE)),0)</f>
        <v>0</v>
      </c>
      <c r="AZ1574" s="239">
        <f t="shared" si="233"/>
        <v>0</v>
      </c>
    </row>
    <row r="1575" spans="1:52" x14ac:dyDescent="0.25">
      <c r="A1575" s="209">
        <v>1148761</v>
      </c>
      <c r="B1575" s="209">
        <v>20</v>
      </c>
      <c r="C1575" s="209" t="s">
        <v>3528</v>
      </c>
      <c r="D1575" s="209">
        <v>10</v>
      </c>
      <c r="E1575" s="209">
        <v>10000002</v>
      </c>
      <c r="F1575" s="209">
        <v>20000340</v>
      </c>
      <c r="G1575" s="209" t="s">
        <v>117</v>
      </c>
      <c r="H1575" s="209">
        <v>20000340</v>
      </c>
      <c r="I1575" s="209">
        <v>2</v>
      </c>
      <c r="J1575" s="209" t="s">
        <v>169</v>
      </c>
      <c r="K1575" s="209" t="s">
        <v>3529</v>
      </c>
      <c r="L1575" s="209" t="s">
        <v>2610</v>
      </c>
      <c r="M1575" s="209" t="s">
        <v>184</v>
      </c>
      <c r="N1575" s="209">
        <v>50025163</v>
      </c>
      <c r="O1575" s="209" t="s">
        <v>185</v>
      </c>
      <c r="P1575" s="209">
        <v>5101</v>
      </c>
      <c r="Q1575" s="209" t="s">
        <v>186</v>
      </c>
      <c r="R1575" s="209" t="s">
        <v>175</v>
      </c>
      <c r="S1575" s="209" t="s">
        <v>176</v>
      </c>
      <c r="T1575" s="209" t="s">
        <v>187</v>
      </c>
      <c r="U1575" s="209" t="s">
        <v>188</v>
      </c>
      <c r="V1575" s="209" t="s">
        <v>179</v>
      </c>
      <c r="W1575" s="209" t="s">
        <v>179</v>
      </c>
      <c r="X1575" s="209" t="s">
        <v>180</v>
      </c>
      <c r="Y1575" s="209" t="s">
        <v>180</v>
      </c>
      <c r="Z1575" s="209" t="s">
        <v>3500</v>
      </c>
      <c r="AA1575" s="209" t="s">
        <v>3501</v>
      </c>
      <c r="AB1575" s="209" t="s">
        <v>180</v>
      </c>
      <c r="AC1575" s="209" t="s">
        <v>182</v>
      </c>
      <c r="AD1575" s="209">
        <v>11</v>
      </c>
      <c r="AE1575" s="209">
        <v>2025</v>
      </c>
      <c r="AF1575" s="227">
        <v>45961</v>
      </c>
      <c r="AG1575" s="227">
        <v>45965</v>
      </c>
      <c r="AH1575" s="227">
        <v>45965</v>
      </c>
      <c r="AI1575" s="228">
        <v>606528</v>
      </c>
      <c r="AJ1575" s="228">
        <v>52</v>
      </c>
      <c r="AK1575" s="228">
        <v>606528</v>
      </c>
      <c r="AL1575" s="228">
        <v>52</v>
      </c>
      <c r="AM1575" s="228">
        <v>0</v>
      </c>
      <c r="AN1575" s="228">
        <v>0</v>
      </c>
      <c r="AO1575" s="229">
        <v>45</v>
      </c>
      <c r="AP1575" s="231">
        <v>11</v>
      </c>
      <c r="AQ1575" s="231">
        <v>2025</v>
      </c>
      <c r="AR1575" s="231" t="str">
        <f t="shared" si="229"/>
        <v>11/2025</v>
      </c>
      <c r="AS1575" s="231">
        <f t="shared" si="230"/>
        <v>30</v>
      </c>
      <c r="AT1575" s="239">
        <f>IF(G1575="CERVECERIA Y MALTERIA",(AS1575*AK1575/1000000)*(1-VLOOKUP(N1575,FCST!D:I,6,FALSE)),0)</f>
        <v>0</v>
      </c>
      <c r="AU1575" s="232">
        <v>5.0000000000000001E-3</v>
      </c>
      <c r="AV1575" s="239">
        <f t="shared" si="231"/>
        <v>0</v>
      </c>
      <c r="AW1575" s="239">
        <f>(AS1575*AK1575/1000000)*(VLOOKUP(N1575,FCST!D:I,6,FALSE))</f>
        <v>0</v>
      </c>
      <c r="AX1575" s="239">
        <f t="shared" si="232"/>
        <v>0</v>
      </c>
      <c r="AY1575" s="239">
        <f>IF($G1575="CERVECERIA Y MALTERIA.",($AS1575*$AK1575/1000000)*(1-VLOOKUP($N1575,FCST!D:I,6,FALSE)),0)</f>
        <v>18.19584</v>
      </c>
      <c r="AZ1575" s="239">
        <f t="shared" si="233"/>
        <v>18.2868192</v>
      </c>
    </row>
    <row r="1576" spans="1:52" x14ac:dyDescent="0.25">
      <c r="A1576" s="209">
        <v>1148760</v>
      </c>
      <c r="B1576" s="209">
        <v>80</v>
      </c>
      <c r="C1576" s="209" t="s">
        <v>3530</v>
      </c>
      <c r="D1576" s="209">
        <v>10</v>
      </c>
      <c r="E1576" s="209">
        <v>10000002</v>
      </c>
      <c r="F1576" s="209">
        <v>20000335</v>
      </c>
      <c r="G1576" s="209" t="s">
        <v>105</v>
      </c>
      <c r="H1576" s="209">
        <v>20000335</v>
      </c>
      <c r="I1576" s="209">
        <v>2</v>
      </c>
      <c r="J1576" s="209" t="s">
        <v>169</v>
      </c>
      <c r="K1576" s="209" t="s">
        <v>3531</v>
      </c>
      <c r="L1576" s="209" t="s">
        <v>2610</v>
      </c>
      <c r="M1576" s="209" t="s">
        <v>2718</v>
      </c>
      <c r="N1576" s="209">
        <v>50025345</v>
      </c>
      <c r="O1576" s="209" t="s">
        <v>1998</v>
      </c>
      <c r="P1576" s="209">
        <v>5121</v>
      </c>
      <c r="Q1576" s="209" t="s">
        <v>174</v>
      </c>
      <c r="R1576" s="209" t="s">
        <v>175</v>
      </c>
      <c r="S1576" s="209" t="s">
        <v>176</v>
      </c>
      <c r="T1576" s="209" t="s">
        <v>177</v>
      </c>
      <c r="U1576" s="209" t="s">
        <v>178</v>
      </c>
      <c r="V1576" s="209" t="s">
        <v>179</v>
      </c>
      <c r="W1576" s="209" t="s">
        <v>179</v>
      </c>
      <c r="X1576" s="209" t="s">
        <v>180</v>
      </c>
      <c r="Y1576" s="209" t="s">
        <v>180</v>
      </c>
      <c r="Z1576" s="209" t="s">
        <v>3428</v>
      </c>
      <c r="AA1576" s="209" t="s">
        <v>3429</v>
      </c>
      <c r="AB1576" s="209" t="s">
        <v>180</v>
      </c>
      <c r="AC1576" s="209" t="s">
        <v>182</v>
      </c>
      <c r="AD1576" s="209">
        <v>11</v>
      </c>
      <c r="AE1576" s="209">
        <v>2025</v>
      </c>
      <c r="AF1576" s="227">
        <v>45961</v>
      </c>
      <c r="AG1576" s="227">
        <v>45965</v>
      </c>
      <c r="AH1576" s="227">
        <v>45965</v>
      </c>
      <c r="AI1576" s="228">
        <v>426816</v>
      </c>
      <c r="AJ1576" s="228">
        <v>52</v>
      </c>
      <c r="AK1576" s="228">
        <v>426816</v>
      </c>
      <c r="AL1576" s="228">
        <v>52</v>
      </c>
      <c r="AM1576" s="228">
        <v>0</v>
      </c>
      <c r="AN1576" s="228">
        <v>0</v>
      </c>
      <c r="AO1576" s="229">
        <v>45</v>
      </c>
      <c r="AP1576" s="231">
        <v>11</v>
      </c>
      <c r="AQ1576" s="231">
        <v>2025</v>
      </c>
      <c r="AR1576" s="231" t="str">
        <f t="shared" si="229"/>
        <v>11/2025</v>
      </c>
      <c r="AS1576" s="231">
        <f t="shared" si="230"/>
        <v>46.6</v>
      </c>
      <c r="AT1576" s="239">
        <f>IF(G1576="CERVECERIA Y MALTERIA",(AS1576*AK1576/1000000)*(1-VLOOKUP(N1576,FCST!D:I,6,FALSE)),0)</f>
        <v>19.889625600000002</v>
      </c>
      <c r="AU1576" s="232">
        <v>5.0000000000000001E-3</v>
      </c>
      <c r="AV1576" s="239">
        <f t="shared" si="231"/>
        <v>19.989073728000001</v>
      </c>
      <c r="AW1576" s="239">
        <f>(AS1576*AK1576/1000000)*(VLOOKUP(N1576,FCST!D:I,6,FALSE))</f>
        <v>0</v>
      </c>
      <c r="AX1576" s="239">
        <f t="shared" si="232"/>
        <v>0</v>
      </c>
      <c r="AY1576" s="239">
        <f>IF($G1576="CERVECERIA Y MALTERIA.",($AS1576*$AK1576/1000000)*(1-VLOOKUP($N1576,FCST!D:I,6,FALSE)),0)</f>
        <v>0</v>
      </c>
      <c r="AZ1576" s="239">
        <f t="shared" si="233"/>
        <v>0</v>
      </c>
    </row>
    <row r="1577" spans="1:52" x14ac:dyDescent="0.25">
      <c r="A1577" s="209">
        <v>1150915</v>
      </c>
      <c r="B1577" s="209">
        <v>10</v>
      </c>
      <c r="C1577" s="209" t="s">
        <v>3532</v>
      </c>
      <c r="D1577" s="209">
        <v>10</v>
      </c>
      <c r="E1577" s="209">
        <v>10000002</v>
      </c>
      <c r="F1577" s="209">
        <v>20000337</v>
      </c>
      <c r="G1577" s="209" t="s">
        <v>105</v>
      </c>
      <c r="H1577" s="209">
        <v>20000337</v>
      </c>
      <c r="I1577" s="209">
        <v>2</v>
      </c>
      <c r="J1577" s="209" t="s">
        <v>169</v>
      </c>
      <c r="K1577" s="209" t="s">
        <v>3533</v>
      </c>
      <c r="L1577" s="209" t="s">
        <v>2610</v>
      </c>
      <c r="M1577" s="209" t="s">
        <v>2718</v>
      </c>
      <c r="N1577" s="209">
        <v>50039815</v>
      </c>
      <c r="O1577" s="209" t="s">
        <v>2454</v>
      </c>
      <c r="P1577" s="209">
        <v>5121</v>
      </c>
      <c r="Q1577" s="209" t="s">
        <v>174</v>
      </c>
      <c r="R1577" s="209" t="s">
        <v>175</v>
      </c>
      <c r="S1577" s="209" t="s">
        <v>176</v>
      </c>
      <c r="T1577" s="209" t="s">
        <v>177</v>
      </c>
      <c r="U1577" s="209" t="s">
        <v>178</v>
      </c>
      <c r="V1577" s="209" t="s">
        <v>179</v>
      </c>
      <c r="W1577" s="209" t="s">
        <v>179</v>
      </c>
      <c r="X1577" s="209" t="s">
        <v>180</v>
      </c>
      <c r="Y1577" s="209" t="s">
        <v>180</v>
      </c>
      <c r="Z1577" s="209" t="s">
        <v>3490</v>
      </c>
      <c r="AA1577" s="209" t="s">
        <v>3491</v>
      </c>
      <c r="AB1577" s="209" t="s">
        <v>180</v>
      </c>
      <c r="AC1577" s="209" t="s">
        <v>182</v>
      </c>
      <c r="AD1577" s="209">
        <v>11</v>
      </c>
      <c r="AE1577" s="209">
        <v>2025</v>
      </c>
      <c r="AF1577" s="227">
        <v>45973</v>
      </c>
      <c r="AG1577" s="227">
        <v>45974</v>
      </c>
      <c r="AH1577" s="227">
        <v>45974</v>
      </c>
      <c r="AI1577" s="228">
        <v>426816</v>
      </c>
      <c r="AJ1577" s="228">
        <v>52</v>
      </c>
      <c r="AK1577" s="228">
        <v>426816</v>
      </c>
      <c r="AL1577" s="228">
        <v>52</v>
      </c>
      <c r="AM1577" s="228">
        <v>0</v>
      </c>
      <c r="AN1577" s="228">
        <v>0</v>
      </c>
      <c r="AO1577" s="229">
        <v>46</v>
      </c>
      <c r="AP1577" s="231">
        <v>11</v>
      </c>
      <c r="AQ1577" s="231">
        <v>2025</v>
      </c>
      <c r="AR1577" s="231" t="str">
        <f t="shared" si="229"/>
        <v>11/2025</v>
      </c>
      <c r="AS1577" s="231">
        <f t="shared" si="230"/>
        <v>46.6</v>
      </c>
      <c r="AT1577" s="239">
        <f>IF(G1577="CERVECERIA Y MALTERIA",(AS1577*AK1577/1000000)*(1-VLOOKUP(N1577,FCST!D:I,6,FALSE)),0)</f>
        <v>15.911700480000002</v>
      </c>
      <c r="AU1577" s="232">
        <v>5.0000000000000001E-3</v>
      </c>
      <c r="AV1577" s="239">
        <f t="shared" si="231"/>
        <v>15.9912589824</v>
      </c>
      <c r="AW1577" s="239">
        <f>(AS1577*AK1577/1000000)*(VLOOKUP(N1577,FCST!D:I,6,FALSE))</f>
        <v>3.9779251200000005</v>
      </c>
      <c r="AX1577" s="239">
        <f t="shared" si="232"/>
        <v>3.9978147455999999</v>
      </c>
      <c r="AY1577" s="239">
        <f>IF($G1577="CERVECERIA Y MALTERIA.",($AS1577*$AK1577/1000000)*(1-VLOOKUP($N1577,FCST!D:I,6,FALSE)),0)</f>
        <v>0</v>
      </c>
      <c r="AZ1577" s="239">
        <f t="shared" si="233"/>
        <v>0</v>
      </c>
    </row>
    <row r="1578" spans="1:52" x14ac:dyDescent="0.25">
      <c r="A1578" s="209">
        <v>1150089</v>
      </c>
      <c r="B1578" s="209">
        <v>40</v>
      </c>
      <c r="C1578" s="209" t="s">
        <v>3534</v>
      </c>
      <c r="D1578" s="209">
        <v>10</v>
      </c>
      <c r="E1578" s="209">
        <v>10000002</v>
      </c>
      <c r="F1578" s="209">
        <v>20000340</v>
      </c>
      <c r="G1578" s="209" t="s">
        <v>117</v>
      </c>
      <c r="H1578" s="209">
        <v>20000340</v>
      </c>
      <c r="I1578" s="209">
        <v>2</v>
      </c>
      <c r="J1578" s="209" t="s">
        <v>169</v>
      </c>
      <c r="K1578" s="209" t="s">
        <v>3535</v>
      </c>
      <c r="L1578" s="209" t="s">
        <v>2610</v>
      </c>
      <c r="M1578" s="209" t="s">
        <v>2718</v>
      </c>
      <c r="N1578" s="209">
        <v>50039856</v>
      </c>
      <c r="O1578" s="209" t="s">
        <v>2871</v>
      </c>
      <c r="P1578" s="209">
        <v>5101</v>
      </c>
      <c r="Q1578" s="209" t="s">
        <v>186</v>
      </c>
      <c r="R1578" s="209" t="s">
        <v>175</v>
      </c>
      <c r="S1578" s="209" t="s">
        <v>176</v>
      </c>
      <c r="T1578" s="209" t="s">
        <v>187</v>
      </c>
      <c r="U1578" s="209" t="s">
        <v>188</v>
      </c>
      <c r="V1578" s="209" t="s">
        <v>179</v>
      </c>
      <c r="W1578" s="209" t="s">
        <v>179</v>
      </c>
      <c r="X1578" s="209" t="s">
        <v>180</v>
      </c>
      <c r="Y1578" s="209" t="s">
        <v>180</v>
      </c>
      <c r="Z1578" s="209" t="s">
        <v>3424</v>
      </c>
      <c r="AA1578" s="209" t="s">
        <v>3425</v>
      </c>
      <c r="AB1578" s="209" t="s">
        <v>180</v>
      </c>
      <c r="AC1578" s="209" t="s">
        <v>182</v>
      </c>
      <c r="AD1578" s="209">
        <v>11</v>
      </c>
      <c r="AE1578" s="209">
        <v>2025</v>
      </c>
      <c r="AF1578" s="227">
        <v>45968</v>
      </c>
      <c r="AG1578" s="227">
        <v>45974</v>
      </c>
      <c r="AH1578" s="227">
        <v>45974</v>
      </c>
      <c r="AI1578" s="228">
        <v>399360</v>
      </c>
      <c r="AJ1578" s="228">
        <v>52</v>
      </c>
      <c r="AK1578" s="228">
        <v>399360</v>
      </c>
      <c r="AL1578" s="228">
        <v>52</v>
      </c>
      <c r="AM1578" s="228">
        <v>0</v>
      </c>
      <c r="AN1578" s="228">
        <v>0</v>
      </c>
      <c r="AO1578" s="229">
        <v>46</v>
      </c>
      <c r="AP1578" s="231">
        <v>11</v>
      </c>
      <c r="AQ1578" s="231">
        <v>2025</v>
      </c>
      <c r="AR1578" s="231" t="str">
        <f t="shared" si="229"/>
        <v>11/2025</v>
      </c>
      <c r="AS1578" s="231">
        <f t="shared" si="230"/>
        <v>52</v>
      </c>
      <c r="AT1578" s="239">
        <f>IF(G1578="CERVECERIA Y MALTERIA",(AS1578*AK1578/1000000)*(1-VLOOKUP(N1578,FCST!D:I,6,FALSE)),0)</f>
        <v>0</v>
      </c>
      <c r="AU1578" s="232">
        <v>5.0000000000000001E-3</v>
      </c>
      <c r="AV1578" s="239">
        <f t="shared" si="231"/>
        <v>0</v>
      </c>
      <c r="AW1578" s="239">
        <f>(AS1578*AK1578/1000000)*(VLOOKUP(N1578,FCST!D:I,6,FALSE))</f>
        <v>0</v>
      </c>
      <c r="AX1578" s="239">
        <f t="shared" si="232"/>
        <v>0</v>
      </c>
      <c r="AY1578" s="239">
        <f>IF($G1578="CERVECERIA Y MALTERIA.",($AS1578*$AK1578/1000000)*(1-VLOOKUP($N1578,FCST!D:I,6,FALSE)),0)</f>
        <v>20.766719999999999</v>
      </c>
      <c r="AZ1578" s="239">
        <f t="shared" si="233"/>
        <v>20.870553599999997</v>
      </c>
    </row>
    <row r="1579" spans="1:52" x14ac:dyDescent="0.25">
      <c r="A1579" s="209">
        <v>1150086</v>
      </c>
      <c r="B1579" s="209">
        <v>60</v>
      </c>
      <c r="C1579" s="209" t="s">
        <v>3536</v>
      </c>
      <c r="D1579" s="209">
        <v>10</v>
      </c>
      <c r="E1579" s="209">
        <v>10000002</v>
      </c>
      <c r="F1579" s="209">
        <v>20000335</v>
      </c>
      <c r="G1579" s="209" t="s">
        <v>105</v>
      </c>
      <c r="H1579" s="209">
        <v>20000335</v>
      </c>
      <c r="I1579" s="209">
        <v>2</v>
      </c>
      <c r="J1579" s="209" t="s">
        <v>169</v>
      </c>
      <c r="K1579" s="209" t="s">
        <v>3537</v>
      </c>
      <c r="L1579" s="209" t="s">
        <v>2610</v>
      </c>
      <c r="M1579" s="209" t="s">
        <v>2718</v>
      </c>
      <c r="N1579" s="209">
        <v>50025345</v>
      </c>
      <c r="O1579" s="209" t="s">
        <v>1998</v>
      </c>
      <c r="P1579" s="209">
        <v>5121</v>
      </c>
      <c r="Q1579" s="209" t="s">
        <v>174</v>
      </c>
      <c r="R1579" s="209" t="s">
        <v>175</v>
      </c>
      <c r="S1579" s="209" t="s">
        <v>176</v>
      </c>
      <c r="T1579" s="209" t="s">
        <v>177</v>
      </c>
      <c r="U1579" s="209" t="s">
        <v>178</v>
      </c>
      <c r="V1579" s="209" t="s">
        <v>179</v>
      </c>
      <c r="W1579" s="209" t="s">
        <v>179</v>
      </c>
      <c r="X1579" s="209" t="s">
        <v>180</v>
      </c>
      <c r="Y1579" s="209" t="s">
        <v>180</v>
      </c>
      <c r="Z1579" s="209" t="s">
        <v>3428</v>
      </c>
      <c r="AA1579" s="209" t="s">
        <v>3429</v>
      </c>
      <c r="AB1579" s="209" t="s">
        <v>180</v>
      </c>
      <c r="AC1579" s="209" t="s">
        <v>182</v>
      </c>
      <c r="AD1579" s="209">
        <v>11</v>
      </c>
      <c r="AE1579" s="209">
        <v>2025</v>
      </c>
      <c r="AF1579" s="227">
        <v>45968</v>
      </c>
      <c r="AG1579" s="227">
        <v>45974</v>
      </c>
      <c r="AH1579" s="227">
        <v>45974</v>
      </c>
      <c r="AI1579" s="228">
        <v>426816</v>
      </c>
      <c r="AJ1579" s="228">
        <v>52</v>
      </c>
      <c r="AK1579" s="228">
        <v>426816</v>
      </c>
      <c r="AL1579" s="228">
        <v>52</v>
      </c>
      <c r="AM1579" s="228">
        <v>0</v>
      </c>
      <c r="AN1579" s="228">
        <v>0</v>
      </c>
      <c r="AO1579" s="229">
        <v>46</v>
      </c>
      <c r="AP1579" s="231">
        <v>11</v>
      </c>
      <c r="AQ1579" s="231">
        <v>2025</v>
      </c>
      <c r="AR1579" s="231" t="str">
        <f t="shared" si="229"/>
        <v>11/2025</v>
      </c>
      <c r="AS1579" s="231">
        <f t="shared" si="230"/>
        <v>46.6</v>
      </c>
      <c r="AT1579" s="239">
        <f>IF(G1579="CERVECERIA Y MALTERIA",(AS1579*AK1579/1000000)*(1-VLOOKUP(N1579,FCST!D:I,6,FALSE)),0)</f>
        <v>19.889625600000002</v>
      </c>
      <c r="AU1579" s="232">
        <v>5.0000000000000001E-3</v>
      </c>
      <c r="AV1579" s="239">
        <f t="shared" si="231"/>
        <v>19.989073728000001</v>
      </c>
      <c r="AW1579" s="239">
        <f>(AS1579*AK1579/1000000)*(VLOOKUP(N1579,FCST!D:I,6,FALSE))</f>
        <v>0</v>
      </c>
      <c r="AX1579" s="239">
        <f t="shared" si="232"/>
        <v>0</v>
      </c>
      <c r="AY1579" s="239">
        <f>IF($G1579="CERVECERIA Y MALTERIA.",($AS1579*$AK1579/1000000)*(1-VLOOKUP($N1579,FCST!D:I,6,FALSE)),0)</f>
        <v>0</v>
      </c>
      <c r="AZ1579" s="239">
        <f t="shared" si="233"/>
        <v>0</v>
      </c>
    </row>
    <row r="1580" spans="1:52" x14ac:dyDescent="0.25">
      <c r="A1580" s="209">
        <v>1150925</v>
      </c>
      <c r="B1580" s="209">
        <v>20</v>
      </c>
      <c r="C1580" s="209" t="s">
        <v>3538</v>
      </c>
      <c r="D1580" s="209">
        <v>10</v>
      </c>
      <c r="E1580" s="209">
        <v>10000002</v>
      </c>
      <c r="F1580" s="209">
        <v>20001057</v>
      </c>
      <c r="G1580" s="209" t="s">
        <v>105</v>
      </c>
      <c r="H1580" s="209">
        <v>20001057</v>
      </c>
      <c r="I1580" s="209">
        <v>2</v>
      </c>
      <c r="J1580" s="209" t="s">
        <v>169</v>
      </c>
      <c r="K1580" s="209" t="s">
        <v>3539</v>
      </c>
      <c r="L1580" s="209" t="s">
        <v>2610</v>
      </c>
      <c r="M1580" s="209" t="s">
        <v>184</v>
      </c>
      <c r="N1580" s="209">
        <v>50030381</v>
      </c>
      <c r="O1580" s="209" t="s">
        <v>1791</v>
      </c>
      <c r="P1580" s="209">
        <v>5121</v>
      </c>
      <c r="Q1580" s="209" t="s">
        <v>174</v>
      </c>
      <c r="R1580" s="209" t="s">
        <v>175</v>
      </c>
      <c r="S1580" s="209" t="s">
        <v>176</v>
      </c>
      <c r="T1580" s="209" t="s">
        <v>177</v>
      </c>
      <c r="U1580" s="209" t="s">
        <v>178</v>
      </c>
      <c r="V1580" s="209" t="s">
        <v>179</v>
      </c>
      <c r="W1580" s="209" t="s">
        <v>179</v>
      </c>
      <c r="X1580" s="209" t="s">
        <v>180</v>
      </c>
      <c r="Y1580" s="209" t="s">
        <v>180</v>
      </c>
      <c r="Z1580" s="209" t="s">
        <v>3514</v>
      </c>
      <c r="AA1580" s="209" t="s">
        <v>3515</v>
      </c>
      <c r="AB1580" s="209" t="s">
        <v>180</v>
      </c>
      <c r="AC1580" s="209" t="s">
        <v>182</v>
      </c>
      <c r="AD1580" s="209">
        <v>11</v>
      </c>
      <c r="AE1580" s="209">
        <v>2025</v>
      </c>
      <c r="AF1580" s="227">
        <v>45973</v>
      </c>
      <c r="AG1580" s="227">
        <v>45974</v>
      </c>
      <c r="AH1580" s="227">
        <v>45974</v>
      </c>
      <c r="AI1580" s="228">
        <v>406016</v>
      </c>
      <c r="AJ1580" s="228">
        <v>52</v>
      </c>
      <c r="AK1580" s="228">
        <v>406016</v>
      </c>
      <c r="AL1580" s="228">
        <v>52</v>
      </c>
      <c r="AM1580" s="228">
        <v>0</v>
      </c>
      <c r="AN1580" s="228">
        <v>0</v>
      </c>
      <c r="AO1580" s="229">
        <v>46</v>
      </c>
      <c r="AP1580" s="231">
        <v>11</v>
      </c>
      <c r="AQ1580" s="231">
        <v>2025</v>
      </c>
      <c r="AR1580" s="231" t="str">
        <f t="shared" si="229"/>
        <v>11/2025</v>
      </c>
      <c r="AS1580" s="231">
        <f t="shared" si="230"/>
        <v>46.6</v>
      </c>
      <c r="AT1580" s="239">
        <f>IF(G1580="CERVECERIA Y MALTERIA",(AS1580*AK1580/1000000)*(1-VLOOKUP(N1580,FCST!D:I,6,FALSE)),0)</f>
        <v>18.920345600000001</v>
      </c>
      <c r="AU1580" s="232">
        <v>5.0000000000000001E-3</v>
      </c>
      <c r="AV1580" s="239">
        <f t="shared" si="231"/>
        <v>19.014947327999998</v>
      </c>
      <c r="AW1580" s="239">
        <f>(AS1580*AK1580/1000000)*(VLOOKUP(N1580,FCST!D:I,6,FALSE))</f>
        <v>0</v>
      </c>
      <c r="AX1580" s="239">
        <f t="shared" si="232"/>
        <v>0</v>
      </c>
      <c r="AY1580" s="239">
        <f>IF($G1580="CERVECERIA Y MALTERIA.",($AS1580*$AK1580/1000000)*(1-VLOOKUP($N1580,FCST!D:I,6,FALSE)),0)</f>
        <v>0</v>
      </c>
      <c r="AZ1580" s="239">
        <f t="shared" si="233"/>
        <v>0</v>
      </c>
    </row>
    <row r="1581" spans="1:52" x14ac:dyDescent="0.25">
      <c r="A1581" s="209">
        <v>1150089</v>
      </c>
      <c r="B1581" s="209">
        <v>20</v>
      </c>
      <c r="C1581" s="209" t="s">
        <v>3540</v>
      </c>
      <c r="D1581" s="209">
        <v>10</v>
      </c>
      <c r="E1581" s="209">
        <v>10000002</v>
      </c>
      <c r="F1581" s="209">
        <v>20000340</v>
      </c>
      <c r="G1581" s="209" t="s">
        <v>117</v>
      </c>
      <c r="H1581" s="209">
        <v>20000340</v>
      </c>
      <c r="I1581" s="209">
        <v>2</v>
      </c>
      <c r="J1581" s="209" t="s">
        <v>169</v>
      </c>
      <c r="K1581" s="209" t="s">
        <v>3541</v>
      </c>
      <c r="L1581" s="209" t="s">
        <v>2610</v>
      </c>
      <c r="M1581" s="209" t="s">
        <v>184</v>
      </c>
      <c r="N1581" s="209">
        <v>50038523</v>
      </c>
      <c r="O1581" s="209" t="s">
        <v>249</v>
      </c>
      <c r="P1581" s="209">
        <v>5101</v>
      </c>
      <c r="Q1581" s="209" t="s">
        <v>186</v>
      </c>
      <c r="R1581" s="209" t="s">
        <v>175</v>
      </c>
      <c r="S1581" s="209" t="s">
        <v>176</v>
      </c>
      <c r="T1581" s="209" t="s">
        <v>187</v>
      </c>
      <c r="U1581" s="209" t="s">
        <v>188</v>
      </c>
      <c r="V1581" s="209" t="s">
        <v>179</v>
      </c>
      <c r="W1581" s="209" t="s">
        <v>179</v>
      </c>
      <c r="X1581" s="209" t="s">
        <v>180</v>
      </c>
      <c r="Y1581" s="209" t="s">
        <v>180</v>
      </c>
      <c r="Z1581" s="209" t="s">
        <v>3500</v>
      </c>
      <c r="AA1581" s="209" t="s">
        <v>3501</v>
      </c>
      <c r="AB1581" s="209" t="s">
        <v>180</v>
      </c>
      <c r="AC1581" s="209" t="s">
        <v>182</v>
      </c>
      <c r="AD1581" s="209">
        <v>11</v>
      </c>
      <c r="AE1581" s="209">
        <v>2025</v>
      </c>
      <c r="AF1581" s="227">
        <v>45968</v>
      </c>
      <c r="AG1581" s="227">
        <v>45973</v>
      </c>
      <c r="AH1581" s="227">
        <v>45973</v>
      </c>
      <c r="AI1581" s="228">
        <v>606528</v>
      </c>
      <c r="AJ1581" s="228">
        <v>52</v>
      </c>
      <c r="AK1581" s="228">
        <v>606528</v>
      </c>
      <c r="AL1581" s="228">
        <v>52</v>
      </c>
      <c r="AM1581" s="228">
        <v>0</v>
      </c>
      <c r="AN1581" s="228">
        <v>0</v>
      </c>
      <c r="AO1581" s="229">
        <v>46</v>
      </c>
      <c r="AP1581" s="231">
        <v>11</v>
      </c>
      <c r="AQ1581" s="231">
        <v>2025</v>
      </c>
      <c r="AR1581" s="231" t="str">
        <f t="shared" si="229"/>
        <v>11/2025</v>
      </c>
      <c r="AS1581" s="231">
        <f t="shared" si="230"/>
        <v>30</v>
      </c>
      <c r="AT1581" s="239">
        <f>IF(G1581="CERVECERIA Y MALTERIA",(AS1581*AK1581/1000000)*(1-VLOOKUP(N1581,FCST!D:I,6,FALSE)),0)</f>
        <v>0</v>
      </c>
      <c r="AU1581" s="232">
        <v>5.0000000000000001E-3</v>
      </c>
      <c r="AV1581" s="239">
        <f t="shared" si="231"/>
        <v>0</v>
      </c>
      <c r="AW1581" s="239">
        <f>(AS1581*AK1581/1000000)*(VLOOKUP(N1581,FCST!D:I,6,FALSE))</f>
        <v>0</v>
      </c>
      <c r="AX1581" s="239">
        <f t="shared" si="232"/>
        <v>0</v>
      </c>
      <c r="AY1581" s="239">
        <f>IF($G1581="CERVECERIA Y MALTERIA.",($AS1581*$AK1581/1000000)*(1-VLOOKUP($N1581,FCST!D:I,6,FALSE)),0)</f>
        <v>18.19584</v>
      </c>
      <c r="AZ1581" s="239">
        <f t="shared" si="233"/>
        <v>18.2868192</v>
      </c>
    </row>
    <row r="1582" spans="1:52" x14ac:dyDescent="0.25">
      <c r="A1582" s="209">
        <v>1150086</v>
      </c>
      <c r="B1582" s="209">
        <v>70</v>
      </c>
      <c r="C1582" s="209" t="s">
        <v>3542</v>
      </c>
      <c r="D1582" s="209">
        <v>10</v>
      </c>
      <c r="E1582" s="209">
        <v>10000002</v>
      </c>
      <c r="F1582" s="209">
        <v>20000335</v>
      </c>
      <c r="G1582" s="209" t="s">
        <v>105</v>
      </c>
      <c r="H1582" s="209">
        <v>20000335</v>
      </c>
      <c r="I1582" s="209">
        <v>2</v>
      </c>
      <c r="J1582" s="209" t="s">
        <v>169</v>
      </c>
      <c r="K1582" s="209" t="s">
        <v>3543</v>
      </c>
      <c r="L1582" s="209" t="s">
        <v>2610</v>
      </c>
      <c r="M1582" s="209" t="s">
        <v>2718</v>
      </c>
      <c r="N1582" s="209">
        <v>50025345</v>
      </c>
      <c r="O1582" s="209" t="s">
        <v>1998</v>
      </c>
      <c r="P1582" s="209">
        <v>5121</v>
      </c>
      <c r="Q1582" s="209" t="s">
        <v>174</v>
      </c>
      <c r="R1582" s="209" t="s">
        <v>175</v>
      </c>
      <c r="S1582" s="209" t="s">
        <v>176</v>
      </c>
      <c r="T1582" s="209" t="s">
        <v>177</v>
      </c>
      <c r="U1582" s="209" t="s">
        <v>178</v>
      </c>
      <c r="V1582" s="209" t="s">
        <v>179</v>
      </c>
      <c r="W1582" s="209" t="s">
        <v>179</v>
      </c>
      <c r="X1582" s="209" t="s">
        <v>180</v>
      </c>
      <c r="Y1582" s="209" t="s">
        <v>180</v>
      </c>
      <c r="Z1582" s="209" t="s">
        <v>3428</v>
      </c>
      <c r="AA1582" s="209" t="s">
        <v>3429</v>
      </c>
      <c r="AB1582" s="209" t="s">
        <v>180</v>
      </c>
      <c r="AC1582" s="209" t="s">
        <v>182</v>
      </c>
      <c r="AD1582" s="209">
        <v>11</v>
      </c>
      <c r="AE1582" s="209">
        <v>2025</v>
      </c>
      <c r="AF1582" s="227">
        <v>45968</v>
      </c>
      <c r="AG1582" s="227">
        <v>45975</v>
      </c>
      <c r="AH1582" s="227">
        <v>45975</v>
      </c>
      <c r="AI1582" s="228">
        <v>426816</v>
      </c>
      <c r="AJ1582" s="228">
        <v>52</v>
      </c>
      <c r="AK1582" s="228">
        <v>426816</v>
      </c>
      <c r="AL1582" s="228">
        <v>52</v>
      </c>
      <c r="AM1582" s="228">
        <v>0</v>
      </c>
      <c r="AN1582" s="228">
        <v>0</v>
      </c>
      <c r="AO1582" s="229">
        <v>46</v>
      </c>
      <c r="AP1582" s="231">
        <v>11</v>
      </c>
      <c r="AQ1582" s="231">
        <v>2025</v>
      </c>
      <c r="AR1582" s="231" t="str">
        <f t="shared" si="229"/>
        <v>11/2025</v>
      </c>
      <c r="AS1582" s="231">
        <f t="shared" si="230"/>
        <v>46.6</v>
      </c>
      <c r="AT1582" s="239">
        <f>IF(G1582="CERVECERIA Y MALTERIA",(AS1582*AK1582/1000000)*(1-VLOOKUP(N1582,FCST!D:I,6,FALSE)),0)</f>
        <v>19.889625600000002</v>
      </c>
      <c r="AU1582" s="232">
        <v>5.0000000000000001E-3</v>
      </c>
      <c r="AV1582" s="239">
        <f t="shared" si="231"/>
        <v>19.989073728000001</v>
      </c>
      <c r="AW1582" s="239">
        <f>(AS1582*AK1582/1000000)*(VLOOKUP(N1582,FCST!D:I,6,FALSE))</f>
        <v>0</v>
      </c>
      <c r="AX1582" s="239">
        <f t="shared" si="232"/>
        <v>0</v>
      </c>
      <c r="AY1582" s="239">
        <f>IF($G1582="CERVECERIA Y MALTERIA.",($AS1582*$AK1582/1000000)*(1-VLOOKUP($N1582,FCST!D:I,6,FALSE)),0)</f>
        <v>0</v>
      </c>
      <c r="AZ1582" s="239">
        <f t="shared" si="233"/>
        <v>0</v>
      </c>
    </row>
    <row r="1583" spans="1:52" x14ac:dyDescent="0.25">
      <c r="A1583" s="209">
        <v>1150089</v>
      </c>
      <c r="B1583" s="209">
        <v>50</v>
      </c>
      <c r="C1583" s="209" t="s">
        <v>3544</v>
      </c>
      <c r="D1583" s="209">
        <v>10</v>
      </c>
      <c r="E1583" s="209">
        <v>10000002</v>
      </c>
      <c r="F1583" s="209">
        <v>20000340</v>
      </c>
      <c r="G1583" s="209" t="s">
        <v>117</v>
      </c>
      <c r="H1583" s="209">
        <v>20000340</v>
      </c>
      <c r="I1583" s="209">
        <v>2</v>
      </c>
      <c r="J1583" s="209" t="s">
        <v>169</v>
      </c>
      <c r="K1583" s="209" t="s">
        <v>3545</v>
      </c>
      <c r="L1583" s="209" t="s">
        <v>2610</v>
      </c>
      <c r="M1583" s="209" t="s">
        <v>2718</v>
      </c>
      <c r="N1583" s="209">
        <v>50038523</v>
      </c>
      <c r="O1583" s="209" t="s">
        <v>249</v>
      </c>
      <c r="P1583" s="209">
        <v>5101</v>
      </c>
      <c r="Q1583" s="209" t="s">
        <v>186</v>
      </c>
      <c r="R1583" s="209" t="s">
        <v>175</v>
      </c>
      <c r="S1583" s="209" t="s">
        <v>176</v>
      </c>
      <c r="T1583" s="209" t="s">
        <v>187</v>
      </c>
      <c r="U1583" s="209" t="s">
        <v>188</v>
      </c>
      <c r="V1583" s="209" t="s">
        <v>179</v>
      </c>
      <c r="W1583" s="209" t="s">
        <v>179</v>
      </c>
      <c r="X1583" s="209" t="s">
        <v>180</v>
      </c>
      <c r="Y1583" s="209" t="s">
        <v>180</v>
      </c>
      <c r="Z1583" s="209" t="s">
        <v>3500</v>
      </c>
      <c r="AA1583" s="209" t="s">
        <v>3501</v>
      </c>
      <c r="AB1583" s="209" t="s">
        <v>180</v>
      </c>
      <c r="AC1583" s="209" t="s">
        <v>182</v>
      </c>
      <c r="AD1583" s="209">
        <v>11</v>
      </c>
      <c r="AE1583" s="209">
        <v>2025</v>
      </c>
      <c r="AF1583" s="227">
        <v>45968</v>
      </c>
      <c r="AG1583" s="227">
        <v>45975</v>
      </c>
      <c r="AH1583" s="227">
        <v>45975</v>
      </c>
      <c r="AI1583" s="228">
        <v>606528</v>
      </c>
      <c r="AJ1583" s="228">
        <v>52</v>
      </c>
      <c r="AK1583" s="228">
        <v>606528</v>
      </c>
      <c r="AL1583" s="228">
        <v>52</v>
      </c>
      <c r="AM1583" s="228">
        <v>0</v>
      </c>
      <c r="AN1583" s="228">
        <v>0</v>
      </c>
      <c r="AO1583" s="229">
        <v>46</v>
      </c>
      <c r="AP1583" s="231">
        <v>11</v>
      </c>
      <c r="AQ1583" s="231">
        <v>2025</v>
      </c>
      <c r="AR1583" s="231" t="str">
        <f t="shared" si="229"/>
        <v>11/2025</v>
      </c>
      <c r="AS1583" s="231">
        <f t="shared" si="230"/>
        <v>30</v>
      </c>
      <c r="AT1583" s="239">
        <f>IF(G1583="CERVECERIA Y MALTERIA",(AS1583*AK1583/1000000)*(1-VLOOKUP(N1583,FCST!D:I,6,FALSE)),0)</f>
        <v>0</v>
      </c>
      <c r="AU1583" s="232">
        <v>5.0000000000000001E-3</v>
      </c>
      <c r="AV1583" s="239">
        <f t="shared" si="231"/>
        <v>0</v>
      </c>
      <c r="AW1583" s="239">
        <f>(AS1583*AK1583/1000000)*(VLOOKUP(N1583,FCST!D:I,6,FALSE))</f>
        <v>0</v>
      </c>
      <c r="AX1583" s="239">
        <f t="shared" si="232"/>
        <v>0</v>
      </c>
      <c r="AY1583" s="239">
        <f>IF($G1583="CERVECERIA Y MALTERIA.",($AS1583*$AK1583/1000000)*(1-VLOOKUP($N1583,FCST!D:I,6,FALSE)),0)</f>
        <v>18.19584</v>
      </c>
      <c r="AZ1583" s="239">
        <f t="shared" si="233"/>
        <v>18.2868192</v>
      </c>
    </row>
    <row r="1584" spans="1:52" x14ac:dyDescent="0.25">
      <c r="A1584" s="209">
        <v>1150915</v>
      </c>
      <c r="B1584" s="209">
        <v>20</v>
      </c>
      <c r="C1584" s="209" t="s">
        <v>3546</v>
      </c>
      <c r="D1584" s="209">
        <v>10</v>
      </c>
      <c r="E1584" s="209">
        <v>10000002</v>
      </c>
      <c r="F1584" s="209">
        <v>20000337</v>
      </c>
      <c r="G1584" s="209" t="s">
        <v>105</v>
      </c>
      <c r="H1584" s="209">
        <v>20000337</v>
      </c>
      <c r="I1584" s="209">
        <v>2</v>
      </c>
      <c r="J1584" s="209" t="s">
        <v>169</v>
      </c>
      <c r="K1584" s="209" t="s">
        <v>3547</v>
      </c>
      <c r="L1584" s="209" t="s">
        <v>2610</v>
      </c>
      <c r="M1584" s="209" t="s">
        <v>2718</v>
      </c>
      <c r="N1584" s="209">
        <v>50039815</v>
      </c>
      <c r="O1584" s="209" t="s">
        <v>2454</v>
      </c>
      <c r="P1584" s="209">
        <v>5121</v>
      </c>
      <c r="Q1584" s="209" t="s">
        <v>174</v>
      </c>
      <c r="R1584" s="209" t="s">
        <v>175</v>
      </c>
      <c r="S1584" s="209" t="s">
        <v>176</v>
      </c>
      <c r="T1584" s="209" t="s">
        <v>177</v>
      </c>
      <c r="U1584" s="209" t="s">
        <v>178</v>
      </c>
      <c r="V1584" s="209" t="s">
        <v>179</v>
      </c>
      <c r="W1584" s="209" t="s">
        <v>179</v>
      </c>
      <c r="X1584" s="209" t="s">
        <v>180</v>
      </c>
      <c r="Y1584" s="209" t="s">
        <v>180</v>
      </c>
      <c r="Z1584" s="209" t="s">
        <v>3490</v>
      </c>
      <c r="AA1584" s="209" t="s">
        <v>3491</v>
      </c>
      <c r="AB1584" s="209" t="s">
        <v>180</v>
      </c>
      <c r="AC1584" s="209" t="s">
        <v>182</v>
      </c>
      <c r="AD1584" s="209">
        <v>11</v>
      </c>
      <c r="AE1584" s="209">
        <v>2025</v>
      </c>
      <c r="AF1584" s="227">
        <v>45973</v>
      </c>
      <c r="AG1584" s="227">
        <v>45975</v>
      </c>
      <c r="AH1584" s="227">
        <v>45975</v>
      </c>
      <c r="AI1584" s="228">
        <v>426816</v>
      </c>
      <c r="AJ1584" s="228">
        <v>52</v>
      </c>
      <c r="AK1584" s="228">
        <v>426816</v>
      </c>
      <c r="AL1584" s="228">
        <v>52</v>
      </c>
      <c r="AM1584" s="228">
        <v>0</v>
      </c>
      <c r="AN1584" s="228">
        <v>0</v>
      </c>
      <c r="AO1584" s="229">
        <v>46</v>
      </c>
      <c r="AP1584" s="231">
        <v>11</v>
      </c>
      <c r="AQ1584" s="231">
        <v>2025</v>
      </c>
      <c r="AR1584" s="231" t="str">
        <f t="shared" si="229"/>
        <v>11/2025</v>
      </c>
      <c r="AS1584" s="231">
        <f t="shared" si="230"/>
        <v>46.6</v>
      </c>
      <c r="AT1584" s="239">
        <f>IF(G1584="CERVECERIA Y MALTERIA",(AS1584*AK1584/1000000)*(1-VLOOKUP(N1584,FCST!D:I,6,FALSE)),0)</f>
        <v>15.911700480000002</v>
      </c>
      <c r="AU1584" s="232">
        <v>5.0000000000000001E-3</v>
      </c>
      <c r="AV1584" s="239">
        <f t="shared" si="231"/>
        <v>15.9912589824</v>
      </c>
      <c r="AW1584" s="239">
        <f>(AS1584*AK1584/1000000)*(VLOOKUP(N1584,FCST!D:I,6,FALSE))</f>
        <v>3.9779251200000005</v>
      </c>
      <c r="AX1584" s="239">
        <f t="shared" si="232"/>
        <v>3.9978147455999999</v>
      </c>
      <c r="AY1584" s="239">
        <f>IF($G1584="CERVECERIA Y MALTERIA.",($AS1584*$AK1584/1000000)*(1-VLOOKUP($N1584,FCST!D:I,6,FALSE)),0)</f>
        <v>0</v>
      </c>
      <c r="AZ1584" s="239">
        <f t="shared" si="233"/>
        <v>0</v>
      </c>
    </row>
    <row r="1585" spans="1:52" x14ac:dyDescent="0.25">
      <c r="A1585" s="209">
        <v>1150086</v>
      </c>
      <c r="B1585" s="209">
        <v>40</v>
      </c>
      <c r="C1585" s="209" t="s">
        <v>3548</v>
      </c>
      <c r="D1585" s="209">
        <v>10</v>
      </c>
      <c r="E1585" s="209">
        <v>10000002</v>
      </c>
      <c r="F1585" s="209">
        <v>20000335</v>
      </c>
      <c r="G1585" s="209" t="s">
        <v>105</v>
      </c>
      <c r="H1585" s="209">
        <v>20000335</v>
      </c>
      <c r="I1585" s="209">
        <v>2</v>
      </c>
      <c r="J1585" s="209" t="s">
        <v>169</v>
      </c>
      <c r="K1585" s="209" t="s">
        <v>3549</v>
      </c>
      <c r="L1585" s="209" t="s">
        <v>2610</v>
      </c>
      <c r="M1585" s="209" t="s">
        <v>2718</v>
      </c>
      <c r="N1585" s="209">
        <v>50035183</v>
      </c>
      <c r="O1585" s="209" t="s">
        <v>215</v>
      </c>
      <c r="P1585" s="209">
        <v>5121</v>
      </c>
      <c r="Q1585" s="209" t="s">
        <v>174</v>
      </c>
      <c r="R1585" s="209" t="s">
        <v>175</v>
      </c>
      <c r="S1585" s="209" t="s">
        <v>176</v>
      </c>
      <c r="T1585" s="209" t="s">
        <v>177</v>
      </c>
      <c r="U1585" s="209" t="s">
        <v>178</v>
      </c>
      <c r="V1585" s="209" t="s">
        <v>179</v>
      </c>
      <c r="W1585" s="209" t="s">
        <v>179</v>
      </c>
      <c r="X1585" s="209" t="s">
        <v>180</v>
      </c>
      <c r="Y1585" s="209" t="s">
        <v>180</v>
      </c>
      <c r="Z1585" s="209" t="s">
        <v>3428</v>
      </c>
      <c r="AA1585" s="209" t="s">
        <v>3429</v>
      </c>
      <c r="AB1585" s="209" t="s">
        <v>180</v>
      </c>
      <c r="AC1585" s="209" t="s">
        <v>182</v>
      </c>
      <c r="AD1585" s="209">
        <v>11</v>
      </c>
      <c r="AE1585" s="209">
        <v>2025</v>
      </c>
      <c r="AF1585" s="227">
        <v>45968</v>
      </c>
      <c r="AG1585" s="227">
        <v>45971</v>
      </c>
      <c r="AH1585" s="227">
        <v>45971</v>
      </c>
      <c r="AI1585" s="228">
        <v>426816</v>
      </c>
      <c r="AJ1585" s="228">
        <v>52</v>
      </c>
      <c r="AK1585" s="228">
        <v>426816</v>
      </c>
      <c r="AL1585" s="228">
        <v>52</v>
      </c>
      <c r="AM1585" s="228">
        <v>0</v>
      </c>
      <c r="AN1585" s="228">
        <v>0</v>
      </c>
      <c r="AO1585" s="229">
        <v>46</v>
      </c>
      <c r="AP1585" s="231">
        <v>11</v>
      </c>
      <c r="AQ1585" s="231">
        <v>2025</v>
      </c>
      <c r="AR1585" s="231" t="str">
        <f t="shared" si="229"/>
        <v>11/2025</v>
      </c>
      <c r="AS1585" s="231">
        <f t="shared" si="230"/>
        <v>46.6</v>
      </c>
      <c r="AT1585" s="239">
        <f>IF(G1585="CERVECERIA Y MALTERIA",(AS1585*AK1585/1000000)*(1-VLOOKUP(N1585,FCST!D:I,6,FALSE)),0)</f>
        <v>19.889625600000002</v>
      </c>
      <c r="AU1585" s="232">
        <v>5.0000000000000001E-3</v>
      </c>
      <c r="AV1585" s="239">
        <f t="shared" si="231"/>
        <v>19.989073728000001</v>
      </c>
      <c r="AW1585" s="239">
        <f>(AS1585*AK1585/1000000)*(VLOOKUP(N1585,FCST!D:I,6,FALSE))</f>
        <v>0</v>
      </c>
      <c r="AX1585" s="239">
        <f t="shared" si="232"/>
        <v>0</v>
      </c>
      <c r="AY1585" s="239">
        <f>IF($G1585="CERVECERIA Y MALTERIA.",($AS1585*$AK1585/1000000)*(1-VLOOKUP($N1585,FCST!D:I,6,FALSE)),0)</f>
        <v>0</v>
      </c>
      <c r="AZ1585" s="239">
        <f t="shared" si="233"/>
        <v>0</v>
      </c>
    </row>
    <row r="1586" spans="1:52" x14ac:dyDescent="0.25">
      <c r="A1586" s="209">
        <v>1150120</v>
      </c>
      <c r="B1586" s="209">
        <v>10</v>
      </c>
      <c r="C1586" s="209" t="s">
        <v>3550</v>
      </c>
      <c r="D1586" s="209">
        <v>10</v>
      </c>
      <c r="E1586" s="209">
        <v>10000002</v>
      </c>
      <c r="F1586" s="209">
        <v>20000336</v>
      </c>
      <c r="G1586" s="209" t="s">
        <v>105</v>
      </c>
      <c r="H1586" s="209">
        <v>20000336</v>
      </c>
      <c r="I1586" s="209">
        <v>2</v>
      </c>
      <c r="J1586" s="209" t="s">
        <v>169</v>
      </c>
      <c r="K1586" s="209" t="s">
        <v>3551</v>
      </c>
      <c r="L1586" s="209" t="s">
        <v>2610</v>
      </c>
      <c r="M1586" s="209" t="s">
        <v>2718</v>
      </c>
      <c r="N1586" s="209">
        <v>50030381</v>
      </c>
      <c r="O1586" s="209" t="s">
        <v>1791</v>
      </c>
      <c r="P1586" s="209">
        <v>5121</v>
      </c>
      <c r="Q1586" s="209" t="s">
        <v>174</v>
      </c>
      <c r="R1586" s="209" t="s">
        <v>175</v>
      </c>
      <c r="S1586" s="209" t="s">
        <v>176</v>
      </c>
      <c r="T1586" s="209" t="s">
        <v>177</v>
      </c>
      <c r="U1586" s="209" t="s">
        <v>178</v>
      </c>
      <c r="V1586" s="209" t="s">
        <v>179</v>
      </c>
      <c r="W1586" s="209" t="s">
        <v>179</v>
      </c>
      <c r="X1586" s="209" t="s">
        <v>180</v>
      </c>
      <c r="Y1586" s="209" t="s">
        <v>180</v>
      </c>
      <c r="Z1586" s="209" t="s">
        <v>3452</v>
      </c>
      <c r="AA1586" s="209" t="s">
        <v>3453</v>
      </c>
      <c r="AB1586" s="209" t="s">
        <v>180</v>
      </c>
      <c r="AC1586" s="209" t="s">
        <v>182</v>
      </c>
      <c r="AD1586" s="209">
        <v>11</v>
      </c>
      <c r="AE1586" s="209">
        <v>2025</v>
      </c>
      <c r="AF1586" s="227">
        <v>45968</v>
      </c>
      <c r="AG1586" s="227">
        <v>45971</v>
      </c>
      <c r="AH1586" s="227">
        <v>45971</v>
      </c>
      <c r="AI1586" s="228">
        <v>406016</v>
      </c>
      <c r="AJ1586" s="228">
        <v>52</v>
      </c>
      <c r="AK1586" s="228">
        <v>406016</v>
      </c>
      <c r="AL1586" s="228">
        <v>52</v>
      </c>
      <c r="AM1586" s="228">
        <v>0</v>
      </c>
      <c r="AN1586" s="228">
        <v>0</v>
      </c>
      <c r="AO1586" s="229">
        <v>46</v>
      </c>
      <c r="AP1586" s="231">
        <v>11</v>
      </c>
      <c r="AQ1586" s="231">
        <v>2025</v>
      </c>
      <c r="AR1586" s="231" t="str">
        <f t="shared" si="229"/>
        <v>11/2025</v>
      </c>
      <c r="AS1586" s="231">
        <f t="shared" si="230"/>
        <v>46.6</v>
      </c>
      <c r="AT1586" s="239">
        <f>IF(G1586="CERVECERIA Y MALTERIA",(AS1586*AK1586/1000000)*(1-VLOOKUP(N1586,FCST!D:I,6,FALSE)),0)</f>
        <v>18.920345600000001</v>
      </c>
      <c r="AU1586" s="232">
        <v>5.0000000000000001E-3</v>
      </c>
      <c r="AV1586" s="239">
        <f t="shared" si="231"/>
        <v>19.014947327999998</v>
      </c>
      <c r="AW1586" s="239">
        <f>(AS1586*AK1586/1000000)*(VLOOKUP(N1586,FCST!D:I,6,FALSE))</f>
        <v>0</v>
      </c>
      <c r="AX1586" s="239">
        <f t="shared" si="232"/>
        <v>0</v>
      </c>
      <c r="AY1586" s="239">
        <f>IF($G1586="CERVECERIA Y MALTERIA.",($AS1586*$AK1586/1000000)*(1-VLOOKUP($N1586,FCST!D:I,6,FALSE)),0)</f>
        <v>0</v>
      </c>
      <c r="AZ1586" s="239">
        <f t="shared" si="233"/>
        <v>0</v>
      </c>
    </row>
    <row r="1587" spans="1:52" x14ac:dyDescent="0.25">
      <c r="A1587" s="209">
        <v>1150089</v>
      </c>
      <c r="B1587" s="209">
        <v>30</v>
      </c>
      <c r="C1587" s="209" t="s">
        <v>3552</v>
      </c>
      <c r="D1587" s="209">
        <v>10</v>
      </c>
      <c r="E1587" s="209">
        <v>10000002</v>
      </c>
      <c r="F1587" s="209">
        <v>20000340</v>
      </c>
      <c r="G1587" s="209" t="s">
        <v>117</v>
      </c>
      <c r="H1587" s="209">
        <v>20000340</v>
      </c>
      <c r="I1587" s="209">
        <v>2</v>
      </c>
      <c r="J1587" s="209" t="s">
        <v>169</v>
      </c>
      <c r="K1587" s="209" t="s">
        <v>3553</v>
      </c>
      <c r="L1587" s="209" t="s">
        <v>2610</v>
      </c>
      <c r="M1587" s="209" t="s">
        <v>184</v>
      </c>
      <c r="N1587" s="209">
        <v>50037786</v>
      </c>
      <c r="O1587" s="209" t="s">
        <v>2739</v>
      </c>
      <c r="P1587" s="209">
        <v>5101</v>
      </c>
      <c r="Q1587" s="209" t="s">
        <v>186</v>
      </c>
      <c r="R1587" s="209" t="s">
        <v>175</v>
      </c>
      <c r="S1587" s="209" t="s">
        <v>176</v>
      </c>
      <c r="T1587" s="209" t="s">
        <v>187</v>
      </c>
      <c r="U1587" s="209" t="s">
        <v>188</v>
      </c>
      <c r="V1587" s="209" t="s">
        <v>179</v>
      </c>
      <c r="W1587" s="209" t="s">
        <v>179</v>
      </c>
      <c r="X1587" s="209" t="s">
        <v>180</v>
      </c>
      <c r="Y1587" s="209" t="s">
        <v>180</v>
      </c>
      <c r="Z1587" s="209" t="s">
        <v>3554</v>
      </c>
      <c r="AA1587" s="209" t="s">
        <v>3555</v>
      </c>
      <c r="AB1587" s="209" t="s">
        <v>180</v>
      </c>
      <c r="AC1587" s="209" t="s">
        <v>182</v>
      </c>
      <c r="AD1587" s="209">
        <v>11</v>
      </c>
      <c r="AE1587" s="209">
        <v>2025</v>
      </c>
      <c r="AF1587" s="227">
        <v>45968</v>
      </c>
      <c r="AG1587" s="227">
        <v>45971</v>
      </c>
      <c r="AH1587" s="227">
        <v>45971</v>
      </c>
      <c r="AI1587" s="228">
        <v>443232</v>
      </c>
      <c r="AJ1587" s="228">
        <v>38</v>
      </c>
      <c r="AK1587" s="228">
        <v>443232</v>
      </c>
      <c r="AL1587" s="228">
        <v>38</v>
      </c>
      <c r="AM1587" s="228">
        <v>0</v>
      </c>
      <c r="AN1587" s="228">
        <v>0</v>
      </c>
      <c r="AO1587" s="229">
        <v>46</v>
      </c>
      <c r="AP1587" s="231">
        <v>11</v>
      </c>
      <c r="AQ1587" s="231">
        <v>2025</v>
      </c>
      <c r="AR1587" s="231" t="str">
        <f t="shared" si="229"/>
        <v>11/2025</v>
      </c>
      <c r="AS1587" s="231">
        <f t="shared" si="230"/>
        <v>30</v>
      </c>
      <c r="AT1587" s="239">
        <f>IF(G1587="CERVECERIA Y MALTERIA",(AS1587*AK1587/1000000)*(1-VLOOKUP(N1587,FCST!D:I,6,FALSE)),0)</f>
        <v>0</v>
      </c>
      <c r="AU1587" s="232">
        <v>5.0000000000000001E-3</v>
      </c>
      <c r="AV1587" s="239">
        <f t="shared" si="231"/>
        <v>0</v>
      </c>
      <c r="AW1587" s="239">
        <f>(AS1587*AK1587/1000000)*(VLOOKUP(N1587,FCST!D:I,6,FALSE))</f>
        <v>5.3187840000000008</v>
      </c>
      <c r="AX1587" s="239">
        <f t="shared" si="232"/>
        <v>5.3453779200000007</v>
      </c>
      <c r="AY1587" s="239">
        <f>IF($G1587="CERVECERIA Y MALTERIA.",($AS1587*$AK1587/1000000)*(1-VLOOKUP($N1587,FCST!D:I,6,FALSE)),0)</f>
        <v>7.9781759999999995</v>
      </c>
      <c r="AZ1587" s="239">
        <f t="shared" si="233"/>
        <v>8.0180668799999992</v>
      </c>
    </row>
    <row r="1588" spans="1:52" x14ac:dyDescent="0.25">
      <c r="A1588" s="209">
        <v>1150086</v>
      </c>
      <c r="B1588" s="209">
        <v>10</v>
      </c>
      <c r="C1588" s="209" t="s">
        <v>3556</v>
      </c>
      <c r="D1588" s="209">
        <v>10</v>
      </c>
      <c r="E1588" s="209">
        <v>10000002</v>
      </c>
      <c r="F1588" s="209">
        <v>20000335</v>
      </c>
      <c r="G1588" s="209" t="s">
        <v>105</v>
      </c>
      <c r="H1588" s="209">
        <v>20000335</v>
      </c>
      <c r="I1588" s="209">
        <v>2</v>
      </c>
      <c r="J1588" s="209" t="s">
        <v>169</v>
      </c>
      <c r="K1588" s="209" t="s">
        <v>3557</v>
      </c>
      <c r="L1588" s="209" t="s">
        <v>2610</v>
      </c>
      <c r="M1588" s="209" t="s">
        <v>184</v>
      </c>
      <c r="N1588" s="209">
        <v>50037887</v>
      </c>
      <c r="O1588" s="209" t="s">
        <v>679</v>
      </c>
      <c r="P1588" s="209">
        <v>5121</v>
      </c>
      <c r="Q1588" s="209" t="s">
        <v>174</v>
      </c>
      <c r="R1588" s="209" t="s">
        <v>175</v>
      </c>
      <c r="S1588" s="209" t="s">
        <v>176</v>
      </c>
      <c r="T1588" s="209" t="s">
        <v>177</v>
      </c>
      <c r="U1588" s="209" t="s">
        <v>178</v>
      </c>
      <c r="V1588" s="209" t="s">
        <v>179</v>
      </c>
      <c r="W1588" s="209" t="s">
        <v>179</v>
      </c>
      <c r="X1588" s="209" t="s">
        <v>180</v>
      </c>
      <c r="Y1588" s="209" t="s">
        <v>180</v>
      </c>
      <c r="Z1588" s="209" t="s">
        <v>3486</v>
      </c>
      <c r="AA1588" s="209" t="s">
        <v>3487</v>
      </c>
      <c r="AB1588" s="209" t="s">
        <v>180</v>
      </c>
      <c r="AC1588" s="209" t="s">
        <v>182</v>
      </c>
      <c r="AD1588" s="209">
        <v>11</v>
      </c>
      <c r="AE1588" s="209">
        <v>2025</v>
      </c>
      <c r="AF1588" s="227">
        <v>45968</v>
      </c>
      <c r="AG1588" s="227">
        <v>45971</v>
      </c>
      <c r="AH1588" s="227">
        <v>45971</v>
      </c>
      <c r="AI1588" s="228">
        <v>143136</v>
      </c>
      <c r="AJ1588" s="228">
        <v>14</v>
      </c>
      <c r="AK1588" s="228">
        <v>143136</v>
      </c>
      <c r="AL1588" s="228">
        <v>14</v>
      </c>
      <c r="AM1588" s="228">
        <v>0</v>
      </c>
      <c r="AN1588" s="228">
        <v>0</v>
      </c>
      <c r="AO1588" s="229">
        <v>46</v>
      </c>
      <c r="AP1588" s="231">
        <v>11</v>
      </c>
      <c r="AQ1588" s="231">
        <v>2025</v>
      </c>
      <c r="AR1588" s="231" t="str">
        <f t="shared" si="229"/>
        <v>11/2025</v>
      </c>
      <c r="AS1588" s="231">
        <f t="shared" si="230"/>
        <v>37.200000000000003</v>
      </c>
      <c r="AT1588" s="239">
        <f>IF(G1588="CERVECERIA Y MALTERIA",(AS1588*AK1588/1000000)*(1-VLOOKUP(N1588,FCST!D:I,6,FALSE)),0)</f>
        <v>5.3246592000000001</v>
      </c>
      <c r="AU1588" s="232">
        <v>5.0000000000000001E-3</v>
      </c>
      <c r="AV1588" s="239">
        <f t="shared" si="231"/>
        <v>5.3512824959999996</v>
      </c>
      <c r="AW1588" s="239">
        <f>(AS1588*AK1588/1000000)*(VLOOKUP(N1588,FCST!D:I,6,FALSE))</f>
        <v>0</v>
      </c>
      <c r="AX1588" s="239">
        <f t="shared" si="232"/>
        <v>0</v>
      </c>
      <c r="AY1588" s="239">
        <f>IF($G1588="CERVECERIA Y MALTERIA.",($AS1588*$AK1588/1000000)*(1-VLOOKUP($N1588,FCST!D:I,6,FALSE)),0)</f>
        <v>0</v>
      </c>
      <c r="AZ1588" s="239">
        <f t="shared" si="233"/>
        <v>0</v>
      </c>
    </row>
    <row r="1589" spans="1:52" x14ac:dyDescent="0.25">
      <c r="A1589" s="209">
        <v>1150540</v>
      </c>
      <c r="B1589" s="209">
        <v>10</v>
      </c>
      <c r="C1589" s="209" t="s">
        <v>3558</v>
      </c>
      <c r="D1589" s="209">
        <v>10</v>
      </c>
      <c r="E1589" s="209">
        <v>10000002</v>
      </c>
      <c r="F1589" s="209">
        <v>20000339</v>
      </c>
      <c r="G1589" s="209" t="s">
        <v>105</v>
      </c>
      <c r="H1589" s="209">
        <v>20000339</v>
      </c>
      <c r="I1589" s="209">
        <v>2</v>
      </c>
      <c r="J1589" s="209" t="s">
        <v>169</v>
      </c>
      <c r="K1589" s="209" t="s">
        <v>3559</v>
      </c>
      <c r="L1589" s="209" t="s">
        <v>2610</v>
      </c>
      <c r="M1589" s="209" t="s">
        <v>184</v>
      </c>
      <c r="N1589" s="209">
        <v>50030542</v>
      </c>
      <c r="O1589" s="209" t="s">
        <v>2453</v>
      </c>
      <c r="P1589" s="209">
        <v>5121</v>
      </c>
      <c r="Q1589" s="209" t="s">
        <v>174</v>
      </c>
      <c r="R1589" s="209" t="s">
        <v>175</v>
      </c>
      <c r="S1589" s="209" t="s">
        <v>176</v>
      </c>
      <c r="T1589" s="209" t="s">
        <v>177</v>
      </c>
      <c r="U1589" s="209" t="s">
        <v>178</v>
      </c>
      <c r="V1589" s="209" t="s">
        <v>179</v>
      </c>
      <c r="W1589" s="209" t="s">
        <v>179</v>
      </c>
      <c r="X1589" s="209" t="s">
        <v>180</v>
      </c>
      <c r="Y1589" s="209" t="s">
        <v>180</v>
      </c>
      <c r="Z1589" s="209" t="s">
        <v>3560</v>
      </c>
      <c r="AA1589" s="209" t="s">
        <v>3561</v>
      </c>
      <c r="AB1589" s="209" t="s">
        <v>180</v>
      </c>
      <c r="AC1589" s="209" t="s">
        <v>182</v>
      </c>
      <c r="AD1589" s="209">
        <v>11</v>
      </c>
      <c r="AE1589" s="209">
        <v>2025</v>
      </c>
      <c r="AF1589" s="227">
        <v>45972</v>
      </c>
      <c r="AG1589" s="227">
        <v>45972</v>
      </c>
      <c r="AH1589" s="227">
        <v>45972</v>
      </c>
      <c r="AI1589" s="228">
        <v>219072</v>
      </c>
      <c r="AJ1589" s="228">
        <v>28</v>
      </c>
      <c r="AK1589" s="228">
        <v>219072</v>
      </c>
      <c r="AL1589" s="228">
        <v>28</v>
      </c>
      <c r="AM1589" s="228">
        <v>0</v>
      </c>
      <c r="AN1589" s="228">
        <v>0</v>
      </c>
      <c r="AO1589" s="229">
        <v>46</v>
      </c>
      <c r="AP1589" s="231">
        <v>11</v>
      </c>
      <c r="AQ1589" s="231">
        <v>2025</v>
      </c>
      <c r="AR1589" s="231" t="str">
        <f t="shared" si="229"/>
        <v>11/2025</v>
      </c>
      <c r="AS1589" s="231">
        <f t="shared" si="230"/>
        <v>44</v>
      </c>
      <c r="AT1589" s="239">
        <f>IF(G1589="CERVECERIA Y MALTERIA",(AS1589*AK1589/1000000)*(1-VLOOKUP(N1589,FCST!D:I,6,FALSE)),0)</f>
        <v>9.6391679999999997</v>
      </c>
      <c r="AU1589" s="232">
        <v>5.0000000000000001E-3</v>
      </c>
      <c r="AV1589" s="239">
        <f t="shared" si="231"/>
        <v>9.6873638399999979</v>
      </c>
      <c r="AW1589" s="239">
        <f>(AS1589*AK1589/1000000)*(VLOOKUP(N1589,FCST!D:I,6,FALSE))</f>
        <v>0</v>
      </c>
      <c r="AX1589" s="239">
        <f t="shared" si="232"/>
        <v>0</v>
      </c>
      <c r="AY1589" s="239">
        <f>IF($G1589="CERVECERIA Y MALTERIA.",($AS1589*$AK1589/1000000)*(1-VLOOKUP($N1589,FCST!D:I,6,FALSE)),0)</f>
        <v>0</v>
      </c>
      <c r="AZ1589" s="239">
        <f t="shared" si="233"/>
        <v>0</v>
      </c>
    </row>
    <row r="1590" spans="1:52" x14ac:dyDescent="0.25">
      <c r="A1590" s="209">
        <v>1150538</v>
      </c>
      <c r="B1590" s="209">
        <v>10</v>
      </c>
      <c r="C1590" s="209" t="s">
        <v>3562</v>
      </c>
      <c r="D1590" s="209">
        <v>10</v>
      </c>
      <c r="E1590" s="209">
        <v>10000002</v>
      </c>
      <c r="F1590" s="209">
        <v>20000339</v>
      </c>
      <c r="G1590" s="209" t="s">
        <v>105</v>
      </c>
      <c r="H1590" s="209">
        <v>20000339</v>
      </c>
      <c r="I1590" s="209">
        <v>2</v>
      </c>
      <c r="J1590" s="209" t="s">
        <v>169</v>
      </c>
      <c r="K1590" s="209" t="s">
        <v>3563</v>
      </c>
      <c r="L1590" s="209" t="s">
        <v>2610</v>
      </c>
      <c r="M1590" s="209" t="s">
        <v>184</v>
      </c>
      <c r="N1590" s="209">
        <v>50038607</v>
      </c>
      <c r="O1590" s="209" t="s">
        <v>1992</v>
      </c>
      <c r="P1590" s="209">
        <v>5101</v>
      </c>
      <c r="Q1590" s="209" t="s">
        <v>186</v>
      </c>
      <c r="R1590" s="209" t="s">
        <v>175</v>
      </c>
      <c r="S1590" s="209" t="s">
        <v>176</v>
      </c>
      <c r="T1590" s="209" t="s">
        <v>187</v>
      </c>
      <c r="U1590" s="209" t="s">
        <v>188</v>
      </c>
      <c r="V1590" s="209" t="s">
        <v>179</v>
      </c>
      <c r="W1590" s="209" t="s">
        <v>179</v>
      </c>
      <c r="X1590" s="209" t="s">
        <v>180</v>
      </c>
      <c r="Y1590" s="209" t="s">
        <v>180</v>
      </c>
      <c r="Z1590" s="209" t="s">
        <v>3564</v>
      </c>
      <c r="AA1590" s="209" t="s">
        <v>3565</v>
      </c>
      <c r="AB1590" s="209" t="s">
        <v>180</v>
      </c>
      <c r="AC1590" s="209" t="s">
        <v>182</v>
      </c>
      <c r="AD1590" s="209">
        <v>11</v>
      </c>
      <c r="AE1590" s="209">
        <v>2025</v>
      </c>
      <c r="AF1590" s="227">
        <v>45972</v>
      </c>
      <c r="AG1590" s="227">
        <v>45972</v>
      </c>
      <c r="AH1590" s="227">
        <v>45972</v>
      </c>
      <c r="AI1590" s="228">
        <v>343296</v>
      </c>
      <c r="AJ1590" s="228">
        <v>24</v>
      </c>
      <c r="AK1590" s="228">
        <v>343296</v>
      </c>
      <c r="AL1590" s="228">
        <v>24</v>
      </c>
      <c r="AM1590" s="228">
        <v>0</v>
      </c>
      <c r="AN1590" s="228">
        <v>0</v>
      </c>
      <c r="AO1590" s="229">
        <v>46</v>
      </c>
      <c r="AP1590" s="231">
        <v>11</v>
      </c>
      <c r="AQ1590" s="231">
        <v>2025</v>
      </c>
      <c r="AR1590" s="231" t="str">
        <f t="shared" si="229"/>
        <v>11/2025</v>
      </c>
      <c r="AS1590" s="231">
        <f t="shared" si="230"/>
        <v>25</v>
      </c>
      <c r="AT1590" s="239">
        <f>IF(G1590="CERVECERIA Y MALTERIA",(AS1590*AK1590/1000000)*(1-VLOOKUP(N1590,FCST!D:I,6,FALSE)),0)</f>
        <v>8.5823999999999998</v>
      </c>
      <c r="AU1590" s="232">
        <v>5.0000000000000001E-3</v>
      </c>
      <c r="AV1590" s="239">
        <f t="shared" si="231"/>
        <v>8.6253119999999992</v>
      </c>
      <c r="AW1590" s="239">
        <f>(AS1590*AK1590/1000000)*(VLOOKUP(N1590,FCST!D:I,6,FALSE))</f>
        <v>0</v>
      </c>
      <c r="AX1590" s="239">
        <f t="shared" si="232"/>
        <v>0</v>
      </c>
      <c r="AY1590" s="239">
        <f>IF($G1590="CERVECERIA Y MALTERIA.",($AS1590*$AK1590/1000000)*(1-VLOOKUP($N1590,FCST!D:I,6,FALSE)),0)</f>
        <v>0</v>
      </c>
      <c r="AZ1590" s="239">
        <f t="shared" si="233"/>
        <v>0</v>
      </c>
    </row>
    <row r="1591" spans="1:52" x14ac:dyDescent="0.25">
      <c r="A1591" s="209">
        <v>1150086</v>
      </c>
      <c r="B1591" s="209">
        <v>50</v>
      </c>
      <c r="C1591" s="209" t="s">
        <v>3566</v>
      </c>
      <c r="D1591" s="209">
        <v>10</v>
      </c>
      <c r="E1591" s="209">
        <v>10000002</v>
      </c>
      <c r="F1591" s="209">
        <v>20000335</v>
      </c>
      <c r="G1591" s="209" t="s">
        <v>105</v>
      </c>
      <c r="H1591" s="209">
        <v>20000335</v>
      </c>
      <c r="I1591" s="209">
        <v>2</v>
      </c>
      <c r="J1591" s="209" t="s">
        <v>169</v>
      </c>
      <c r="K1591" s="209" t="s">
        <v>3567</v>
      </c>
      <c r="L1591" s="209" t="s">
        <v>2610</v>
      </c>
      <c r="M1591" s="209" t="s">
        <v>184</v>
      </c>
      <c r="N1591" s="209">
        <v>50035183</v>
      </c>
      <c r="O1591" s="209" t="s">
        <v>215</v>
      </c>
      <c r="P1591" s="209">
        <v>5121</v>
      </c>
      <c r="Q1591" s="209" t="s">
        <v>174</v>
      </c>
      <c r="R1591" s="209" t="s">
        <v>175</v>
      </c>
      <c r="S1591" s="209" t="s">
        <v>176</v>
      </c>
      <c r="T1591" s="209" t="s">
        <v>177</v>
      </c>
      <c r="U1591" s="209" t="s">
        <v>178</v>
      </c>
      <c r="V1591" s="209" t="s">
        <v>179</v>
      </c>
      <c r="W1591" s="209" t="s">
        <v>179</v>
      </c>
      <c r="X1591" s="209" t="s">
        <v>180</v>
      </c>
      <c r="Y1591" s="209" t="s">
        <v>180</v>
      </c>
      <c r="Z1591" s="209" t="s">
        <v>3428</v>
      </c>
      <c r="AA1591" s="209" t="s">
        <v>3429</v>
      </c>
      <c r="AB1591" s="209" t="s">
        <v>180</v>
      </c>
      <c r="AC1591" s="209" t="s">
        <v>182</v>
      </c>
      <c r="AD1591" s="209">
        <v>11</v>
      </c>
      <c r="AE1591" s="209">
        <v>2025</v>
      </c>
      <c r="AF1591" s="227">
        <v>45968</v>
      </c>
      <c r="AG1591" s="227">
        <v>45972</v>
      </c>
      <c r="AH1591" s="227">
        <v>45972</v>
      </c>
      <c r="AI1591" s="228">
        <v>426816</v>
      </c>
      <c r="AJ1591" s="228">
        <v>52</v>
      </c>
      <c r="AK1591" s="228">
        <v>426816</v>
      </c>
      <c r="AL1591" s="228">
        <v>52</v>
      </c>
      <c r="AM1591" s="228">
        <v>0</v>
      </c>
      <c r="AN1591" s="228">
        <v>0</v>
      </c>
      <c r="AO1591" s="229">
        <v>46</v>
      </c>
      <c r="AP1591" s="231">
        <v>11</v>
      </c>
      <c r="AQ1591" s="231">
        <v>2025</v>
      </c>
      <c r="AR1591" s="231" t="str">
        <f t="shared" si="229"/>
        <v>11/2025</v>
      </c>
      <c r="AS1591" s="231">
        <f t="shared" si="230"/>
        <v>46.6</v>
      </c>
      <c r="AT1591" s="239">
        <f>IF(G1591="CERVECERIA Y MALTERIA",(AS1591*AK1591/1000000)*(1-VLOOKUP(N1591,FCST!D:I,6,FALSE)),0)</f>
        <v>19.889625600000002</v>
      </c>
      <c r="AU1591" s="232">
        <v>5.0000000000000001E-3</v>
      </c>
      <c r="AV1591" s="239">
        <f t="shared" si="231"/>
        <v>19.989073728000001</v>
      </c>
      <c r="AW1591" s="239">
        <f>(AS1591*AK1591/1000000)*(VLOOKUP(N1591,FCST!D:I,6,FALSE))</f>
        <v>0</v>
      </c>
      <c r="AX1591" s="239">
        <f t="shared" si="232"/>
        <v>0</v>
      </c>
      <c r="AY1591" s="239">
        <f>IF($G1591="CERVECERIA Y MALTERIA.",($AS1591*$AK1591/1000000)*(1-VLOOKUP($N1591,FCST!D:I,6,FALSE)),0)</f>
        <v>0</v>
      </c>
      <c r="AZ1591" s="239">
        <f t="shared" si="233"/>
        <v>0</v>
      </c>
    </row>
    <row r="1592" spans="1:52" x14ac:dyDescent="0.25">
      <c r="A1592" s="209">
        <v>1150089</v>
      </c>
      <c r="B1592" s="209">
        <v>10</v>
      </c>
      <c r="C1592" s="209" t="s">
        <v>3568</v>
      </c>
      <c r="D1592" s="209">
        <v>10</v>
      </c>
      <c r="E1592" s="209">
        <v>10000002</v>
      </c>
      <c r="F1592" s="209">
        <v>20000340</v>
      </c>
      <c r="G1592" s="209" t="s">
        <v>117</v>
      </c>
      <c r="H1592" s="209">
        <v>20000340</v>
      </c>
      <c r="I1592" s="209">
        <v>2</v>
      </c>
      <c r="J1592" s="209" t="s">
        <v>169</v>
      </c>
      <c r="K1592" s="209" t="s">
        <v>3569</v>
      </c>
      <c r="L1592" s="209" t="s">
        <v>2610</v>
      </c>
      <c r="M1592" s="209" t="s">
        <v>184</v>
      </c>
      <c r="N1592" s="209">
        <v>50038523</v>
      </c>
      <c r="O1592" s="209" t="s">
        <v>249</v>
      </c>
      <c r="P1592" s="209">
        <v>5101</v>
      </c>
      <c r="Q1592" s="209" t="s">
        <v>186</v>
      </c>
      <c r="R1592" s="209" t="s">
        <v>175</v>
      </c>
      <c r="S1592" s="209" t="s">
        <v>176</v>
      </c>
      <c r="T1592" s="209" t="s">
        <v>187</v>
      </c>
      <c r="U1592" s="209" t="s">
        <v>188</v>
      </c>
      <c r="V1592" s="209" t="s">
        <v>179</v>
      </c>
      <c r="W1592" s="209" t="s">
        <v>179</v>
      </c>
      <c r="X1592" s="209" t="s">
        <v>180</v>
      </c>
      <c r="Y1592" s="209" t="s">
        <v>180</v>
      </c>
      <c r="Z1592" s="209" t="s">
        <v>3500</v>
      </c>
      <c r="AA1592" s="209" t="s">
        <v>3501</v>
      </c>
      <c r="AB1592" s="209" t="s">
        <v>180</v>
      </c>
      <c r="AC1592" s="209" t="s">
        <v>182</v>
      </c>
      <c r="AD1592" s="209">
        <v>11</v>
      </c>
      <c r="AE1592" s="209">
        <v>2025</v>
      </c>
      <c r="AF1592" s="227">
        <v>45968</v>
      </c>
      <c r="AG1592" s="227">
        <v>45972</v>
      </c>
      <c r="AH1592" s="227">
        <v>45972</v>
      </c>
      <c r="AI1592" s="228">
        <v>606528</v>
      </c>
      <c r="AJ1592" s="228">
        <v>52</v>
      </c>
      <c r="AK1592" s="228">
        <v>606528</v>
      </c>
      <c r="AL1592" s="228">
        <v>52</v>
      </c>
      <c r="AM1592" s="228">
        <v>0</v>
      </c>
      <c r="AN1592" s="228">
        <v>0</v>
      </c>
      <c r="AO1592" s="229">
        <v>46</v>
      </c>
      <c r="AP1592" s="231">
        <v>11</v>
      </c>
      <c r="AQ1592" s="231">
        <v>2025</v>
      </c>
      <c r="AR1592" s="231" t="str">
        <f t="shared" si="229"/>
        <v>11/2025</v>
      </c>
      <c r="AS1592" s="231">
        <f t="shared" si="230"/>
        <v>30</v>
      </c>
      <c r="AT1592" s="239">
        <f>IF(G1592="CERVECERIA Y MALTERIA",(AS1592*AK1592/1000000)*(1-VLOOKUP(N1592,FCST!D:I,6,FALSE)),0)</f>
        <v>0</v>
      </c>
      <c r="AU1592" s="232">
        <v>5.0000000000000001E-3</v>
      </c>
      <c r="AV1592" s="239">
        <f t="shared" si="231"/>
        <v>0</v>
      </c>
      <c r="AW1592" s="239">
        <f>(AS1592*AK1592/1000000)*(VLOOKUP(N1592,FCST!D:I,6,FALSE))</f>
        <v>0</v>
      </c>
      <c r="AX1592" s="239">
        <f t="shared" si="232"/>
        <v>0</v>
      </c>
      <c r="AY1592" s="239">
        <f>IF($G1592="CERVECERIA Y MALTERIA.",($AS1592*$AK1592/1000000)*(1-VLOOKUP($N1592,FCST!D:I,6,FALSE)),0)</f>
        <v>18.19584</v>
      </c>
      <c r="AZ1592" s="239">
        <f t="shared" si="233"/>
        <v>18.2868192</v>
      </c>
    </row>
    <row r="1593" spans="1:52" x14ac:dyDescent="0.25">
      <c r="A1593" s="209">
        <v>1152189</v>
      </c>
      <c r="B1593" s="209">
        <v>10</v>
      </c>
      <c r="C1593" s="209" t="s">
        <v>3570</v>
      </c>
      <c r="D1593" s="209">
        <v>10</v>
      </c>
      <c r="E1593" s="209">
        <v>10000002</v>
      </c>
      <c r="F1593" s="209">
        <v>20001057</v>
      </c>
      <c r="G1593" s="209" t="s">
        <v>105</v>
      </c>
      <c r="H1593" s="209">
        <v>20001057</v>
      </c>
      <c r="I1593" s="209">
        <v>2</v>
      </c>
      <c r="J1593" s="209" t="s">
        <v>169</v>
      </c>
      <c r="K1593" s="209" t="s">
        <v>3571</v>
      </c>
      <c r="L1593" s="209" t="s">
        <v>2610</v>
      </c>
      <c r="M1593" s="209" t="s">
        <v>199</v>
      </c>
      <c r="N1593" s="209">
        <v>50024497</v>
      </c>
      <c r="O1593" s="209" t="s">
        <v>1352</v>
      </c>
      <c r="P1593" s="209">
        <v>5121</v>
      </c>
      <c r="Q1593" s="209" t="s">
        <v>200</v>
      </c>
      <c r="R1593" s="209" t="s">
        <v>201</v>
      </c>
      <c r="S1593" s="209" t="s">
        <v>202</v>
      </c>
      <c r="T1593" s="209" t="s">
        <v>203</v>
      </c>
      <c r="U1593" s="209" t="s">
        <v>201</v>
      </c>
      <c r="V1593" s="209" t="s">
        <v>179</v>
      </c>
      <c r="W1593" s="209" t="s">
        <v>179</v>
      </c>
      <c r="X1593" s="209" t="s">
        <v>180</v>
      </c>
      <c r="Y1593" s="209" t="s">
        <v>180</v>
      </c>
      <c r="Z1593" s="209" t="s">
        <v>3572</v>
      </c>
      <c r="AA1593" s="209" t="s">
        <v>3573</v>
      </c>
      <c r="AB1593" s="209" t="s">
        <v>180</v>
      </c>
      <c r="AC1593" s="209" t="s">
        <v>182</v>
      </c>
      <c r="AD1593" s="209">
        <v>11</v>
      </c>
      <c r="AE1593" s="209">
        <v>2025</v>
      </c>
      <c r="AF1593" s="227">
        <v>45980</v>
      </c>
      <c r="AG1593" s="227">
        <v>45981</v>
      </c>
      <c r="AH1593" s="227">
        <v>45981</v>
      </c>
      <c r="AI1593" s="228">
        <v>351936</v>
      </c>
      <c r="AJ1593" s="228">
        <v>52</v>
      </c>
      <c r="AK1593" s="228">
        <v>351936</v>
      </c>
      <c r="AL1593" s="228">
        <v>52</v>
      </c>
      <c r="AM1593" s="228">
        <v>0</v>
      </c>
      <c r="AN1593" s="228">
        <v>0</v>
      </c>
      <c r="AO1593" s="229">
        <v>47</v>
      </c>
      <c r="AP1593" s="231">
        <v>11</v>
      </c>
      <c r="AQ1593" s="231">
        <v>2025</v>
      </c>
      <c r="AR1593" s="231" t="str">
        <f t="shared" si="229"/>
        <v>11/2025</v>
      </c>
      <c r="AS1593" s="231">
        <f t="shared" si="230"/>
        <v>54.7</v>
      </c>
      <c r="AT1593" s="239">
        <f>IF(G1593="CERVECERIA Y MALTERIA",(AS1593*AK1593/1000000)*(1-VLOOKUP(N1593,FCST!D:I,6,FALSE)),0)</f>
        <v>19.250899199999999</v>
      </c>
      <c r="AU1593" s="232">
        <v>5.0000000000000001E-3</v>
      </c>
      <c r="AV1593" s="239">
        <f t="shared" si="231"/>
        <v>19.347153695999996</v>
      </c>
      <c r="AW1593" s="239">
        <f>(AS1593*AK1593/1000000)*(VLOOKUP(N1593,FCST!D:I,6,FALSE))</f>
        <v>0</v>
      </c>
      <c r="AX1593" s="239">
        <f t="shared" si="232"/>
        <v>0</v>
      </c>
      <c r="AY1593" s="239">
        <f>IF($G1593="CERVECERIA Y MALTERIA.",($AS1593*$AK1593/1000000)*(1-VLOOKUP($N1593,FCST!D:I,6,FALSE)),0)</f>
        <v>0</v>
      </c>
      <c r="AZ1593" s="239">
        <f t="shared" si="233"/>
        <v>0</v>
      </c>
    </row>
    <row r="1594" spans="1:52" x14ac:dyDescent="0.25">
      <c r="A1594" s="209">
        <v>1151660</v>
      </c>
      <c r="B1594" s="209">
        <v>30</v>
      </c>
      <c r="C1594" s="209" t="s">
        <v>3574</v>
      </c>
      <c r="D1594" s="209">
        <v>10</v>
      </c>
      <c r="E1594" s="209">
        <v>10000002</v>
      </c>
      <c r="F1594" s="209">
        <v>20001057</v>
      </c>
      <c r="G1594" s="209" t="s">
        <v>105</v>
      </c>
      <c r="H1594" s="209">
        <v>20001057</v>
      </c>
      <c r="I1594" s="209">
        <v>2</v>
      </c>
      <c r="J1594" s="209" t="s">
        <v>169</v>
      </c>
      <c r="K1594" s="209" t="s">
        <v>3575</v>
      </c>
      <c r="L1594" s="209" t="s">
        <v>2610</v>
      </c>
      <c r="M1594" s="209" t="s">
        <v>199</v>
      </c>
      <c r="N1594" s="209">
        <v>50037887</v>
      </c>
      <c r="O1594" s="209" t="s">
        <v>679</v>
      </c>
      <c r="P1594" s="209">
        <v>5121</v>
      </c>
      <c r="Q1594" s="209" t="s">
        <v>200</v>
      </c>
      <c r="R1594" s="209" t="s">
        <v>201</v>
      </c>
      <c r="S1594" s="209" t="s">
        <v>202</v>
      </c>
      <c r="T1594" s="209" t="s">
        <v>203</v>
      </c>
      <c r="U1594" s="209" t="s">
        <v>201</v>
      </c>
      <c r="V1594" s="209" t="s">
        <v>179</v>
      </c>
      <c r="W1594" s="209" t="s">
        <v>179</v>
      </c>
      <c r="X1594" s="209" t="s">
        <v>180</v>
      </c>
      <c r="Y1594" s="209" t="s">
        <v>180</v>
      </c>
      <c r="Z1594" s="209" t="s">
        <v>3576</v>
      </c>
      <c r="AA1594" s="209" t="s">
        <v>3577</v>
      </c>
      <c r="AB1594" s="209" t="s">
        <v>180</v>
      </c>
      <c r="AC1594" s="209" t="s">
        <v>182</v>
      </c>
      <c r="AD1594" s="209">
        <v>11</v>
      </c>
      <c r="AE1594" s="209">
        <v>2025</v>
      </c>
      <c r="AF1594" s="227">
        <v>45979</v>
      </c>
      <c r="AG1594" s="227">
        <v>45981</v>
      </c>
      <c r="AH1594" s="227">
        <v>45981</v>
      </c>
      <c r="AI1594" s="228">
        <v>531648</v>
      </c>
      <c r="AJ1594" s="228">
        <v>52</v>
      </c>
      <c r="AK1594" s="228">
        <v>531648</v>
      </c>
      <c r="AL1594" s="228">
        <v>52</v>
      </c>
      <c r="AM1594" s="228">
        <v>0</v>
      </c>
      <c r="AN1594" s="228">
        <v>0</v>
      </c>
      <c r="AO1594" s="229">
        <v>47</v>
      </c>
      <c r="AP1594" s="231">
        <v>11</v>
      </c>
      <c r="AQ1594" s="231">
        <v>2025</v>
      </c>
      <c r="AR1594" s="231" t="str">
        <f t="shared" si="229"/>
        <v>11/2025</v>
      </c>
      <c r="AS1594" s="231">
        <f t="shared" si="230"/>
        <v>37.200000000000003</v>
      </c>
      <c r="AT1594" s="239">
        <f>IF(G1594="CERVECERIA Y MALTERIA",(AS1594*AK1594/1000000)*(1-VLOOKUP(N1594,FCST!D:I,6,FALSE)),0)</f>
        <v>19.777305600000002</v>
      </c>
      <c r="AU1594" s="232">
        <v>5.0000000000000001E-3</v>
      </c>
      <c r="AV1594" s="239">
        <f t="shared" si="231"/>
        <v>19.876192128</v>
      </c>
      <c r="AW1594" s="239">
        <f>(AS1594*AK1594/1000000)*(VLOOKUP(N1594,FCST!D:I,6,FALSE))</f>
        <v>0</v>
      </c>
      <c r="AX1594" s="239">
        <f t="shared" si="232"/>
        <v>0</v>
      </c>
      <c r="AY1594" s="239">
        <f>IF($G1594="CERVECERIA Y MALTERIA.",($AS1594*$AK1594/1000000)*(1-VLOOKUP($N1594,FCST!D:I,6,FALSE)),0)</f>
        <v>0</v>
      </c>
      <c r="AZ1594" s="239">
        <f t="shared" si="233"/>
        <v>0</v>
      </c>
    </row>
    <row r="1595" spans="1:52" x14ac:dyDescent="0.25">
      <c r="A1595" s="209">
        <v>1151750</v>
      </c>
      <c r="B1595" s="209">
        <v>20</v>
      </c>
      <c r="C1595" s="209" t="s">
        <v>3578</v>
      </c>
      <c r="D1595" s="209">
        <v>10</v>
      </c>
      <c r="E1595" s="209">
        <v>10000002</v>
      </c>
      <c r="F1595" s="209">
        <v>20000335</v>
      </c>
      <c r="G1595" s="209" t="s">
        <v>105</v>
      </c>
      <c r="H1595" s="209">
        <v>20000335</v>
      </c>
      <c r="I1595" s="209">
        <v>2</v>
      </c>
      <c r="J1595" s="209" t="s">
        <v>169</v>
      </c>
      <c r="K1595" s="209" t="s">
        <v>3579</v>
      </c>
      <c r="L1595" s="209" t="s">
        <v>2610</v>
      </c>
      <c r="M1595" s="209" t="s">
        <v>199</v>
      </c>
      <c r="N1595" s="209">
        <v>50025345</v>
      </c>
      <c r="O1595" s="209" t="s">
        <v>1998</v>
      </c>
      <c r="P1595" s="209">
        <v>5121</v>
      </c>
      <c r="Q1595" s="209" t="s">
        <v>200</v>
      </c>
      <c r="R1595" s="209" t="s">
        <v>201</v>
      </c>
      <c r="S1595" s="209" t="s">
        <v>202</v>
      </c>
      <c r="T1595" s="209" t="s">
        <v>203</v>
      </c>
      <c r="U1595" s="209" t="s">
        <v>201</v>
      </c>
      <c r="V1595" s="209" t="s">
        <v>179</v>
      </c>
      <c r="W1595" s="209" t="s">
        <v>179</v>
      </c>
      <c r="X1595" s="209" t="s">
        <v>180</v>
      </c>
      <c r="Y1595" s="209" t="s">
        <v>180</v>
      </c>
      <c r="Z1595" s="209" t="s">
        <v>3580</v>
      </c>
      <c r="AA1595" s="209" t="s">
        <v>3581</v>
      </c>
      <c r="AB1595" s="209" t="s">
        <v>180</v>
      </c>
      <c r="AC1595" s="209" t="s">
        <v>182</v>
      </c>
      <c r="AD1595" s="209">
        <v>11</v>
      </c>
      <c r="AE1595" s="209">
        <v>2025</v>
      </c>
      <c r="AF1595" s="227">
        <v>45979</v>
      </c>
      <c r="AG1595" s="227">
        <v>45981</v>
      </c>
      <c r="AH1595" s="227">
        <v>45981</v>
      </c>
      <c r="AI1595" s="228">
        <v>426816</v>
      </c>
      <c r="AJ1595" s="228">
        <v>52</v>
      </c>
      <c r="AK1595" s="228">
        <v>426816</v>
      </c>
      <c r="AL1595" s="228">
        <v>52</v>
      </c>
      <c r="AM1595" s="228">
        <v>0</v>
      </c>
      <c r="AN1595" s="228">
        <v>0</v>
      </c>
      <c r="AO1595" s="229">
        <v>47</v>
      </c>
      <c r="AP1595" s="231">
        <v>11</v>
      </c>
      <c r="AQ1595" s="231">
        <v>2025</v>
      </c>
      <c r="AR1595" s="231" t="str">
        <f t="shared" si="229"/>
        <v>11/2025</v>
      </c>
      <c r="AS1595" s="231">
        <f t="shared" si="230"/>
        <v>46.6</v>
      </c>
      <c r="AT1595" s="239">
        <f>IF(G1595="CERVECERIA Y MALTERIA",(AS1595*AK1595/1000000)*(1-VLOOKUP(N1595,FCST!D:I,6,FALSE)),0)</f>
        <v>19.889625600000002</v>
      </c>
      <c r="AU1595" s="232">
        <v>5.0000000000000001E-3</v>
      </c>
      <c r="AV1595" s="239">
        <f t="shared" si="231"/>
        <v>19.989073728000001</v>
      </c>
      <c r="AW1595" s="239">
        <f>(AS1595*AK1595/1000000)*(VLOOKUP(N1595,FCST!D:I,6,FALSE))</f>
        <v>0</v>
      </c>
      <c r="AX1595" s="239">
        <f t="shared" si="232"/>
        <v>0</v>
      </c>
      <c r="AY1595" s="239">
        <f>IF($G1595="CERVECERIA Y MALTERIA.",($AS1595*$AK1595/1000000)*(1-VLOOKUP($N1595,FCST!D:I,6,FALSE)),0)</f>
        <v>0</v>
      </c>
      <c r="AZ1595" s="239">
        <f t="shared" si="233"/>
        <v>0</v>
      </c>
    </row>
    <row r="1596" spans="1:52" x14ac:dyDescent="0.25">
      <c r="A1596" s="209">
        <v>1151459</v>
      </c>
      <c r="B1596" s="209">
        <v>30</v>
      </c>
      <c r="C1596" s="209" t="s">
        <v>3582</v>
      </c>
      <c r="D1596" s="209">
        <v>10</v>
      </c>
      <c r="E1596" s="209">
        <v>10000002</v>
      </c>
      <c r="F1596" s="209">
        <v>20000336</v>
      </c>
      <c r="G1596" s="209" t="s">
        <v>105</v>
      </c>
      <c r="H1596" s="209">
        <v>20000336</v>
      </c>
      <c r="I1596" s="209">
        <v>2</v>
      </c>
      <c r="J1596" s="209" t="s">
        <v>169</v>
      </c>
      <c r="K1596" s="209" t="s">
        <v>3583</v>
      </c>
      <c r="L1596" s="209" t="s">
        <v>2610</v>
      </c>
      <c r="M1596" s="209" t="s">
        <v>199</v>
      </c>
      <c r="N1596" s="209">
        <v>50037887</v>
      </c>
      <c r="O1596" s="209" t="s">
        <v>679</v>
      </c>
      <c r="P1596" s="209">
        <v>5121</v>
      </c>
      <c r="Q1596" s="209" t="s">
        <v>200</v>
      </c>
      <c r="R1596" s="209" t="s">
        <v>201</v>
      </c>
      <c r="S1596" s="209" t="s">
        <v>202</v>
      </c>
      <c r="T1596" s="209" t="s">
        <v>203</v>
      </c>
      <c r="U1596" s="209" t="s">
        <v>201</v>
      </c>
      <c r="V1596" s="209" t="s">
        <v>179</v>
      </c>
      <c r="W1596" s="209" t="s">
        <v>179</v>
      </c>
      <c r="X1596" s="209" t="s">
        <v>180</v>
      </c>
      <c r="Y1596" s="209" t="s">
        <v>180</v>
      </c>
      <c r="Z1596" s="209" t="s">
        <v>3584</v>
      </c>
      <c r="AA1596" s="209" t="s">
        <v>3585</v>
      </c>
      <c r="AB1596" s="209" t="s">
        <v>180</v>
      </c>
      <c r="AC1596" s="209" t="s">
        <v>182</v>
      </c>
      <c r="AD1596" s="209">
        <v>11</v>
      </c>
      <c r="AE1596" s="209">
        <v>2025</v>
      </c>
      <c r="AF1596" s="227">
        <v>45975</v>
      </c>
      <c r="AG1596" s="227">
        <v>45980</v>
      </c>
      <c r="AH1596" s="227">
        <v>45980</v>
      </c>
      <c r="AI1596" s="228">
        <v>531648</v>
      </c>
      <c r="AJ1596" s="228">
        <v>52</v>
      </c>
      <c r="AK1596" s="228">
        <v>531648</v>
      </c>
      <c r="AL1596" s="228">
        <v>52</v>
      </c>
      <c r="AM1596" s="228">
        <v>0</v>
      </c>
      <c r="AN1596" s="228">
        <v>0</v>
      </c>
      <c r="AO1596" s="229">
        <v>47</v>
      </c>
      <c r="AP1596" s="231">
        <v>11</v>
      </c>
      <c r="AQ1596" s="231">
        <v>2025</v>
      </c>
      <c r="AR1596" s="231" t="str">
        <f t="shared" si="229"/>
        <v>11/2025</v>
      </c>
      <c r="AS1596" s="231">
        <f t="shared" si="230"/>
        <v>37.200000000000003</v>
      </c>
      <c r="AT1596" s="239">
        <f>IF(G1596="CERVECERIA Y MALTERIA",(AS1596*AK1596/1000000)*(1-VLOOKUP(N1596,FCST!D:I,6,FALSE)),0)</f>
        <v>19.777305600000002</v>
      </c>
      <c r="AU1596" s="232">
        <v>5.0000000000000001E-3</v>
      </c>
      <c r="AV1596" s="239">
        <f t="shared" si="231"/>
        <v>19.876192128</v>
      </c>
      <c r="AW1596" s="239">
        <f>(AS1596*AK1596/1000000)*(VLOOKUP(N1596,FCST!D:I,6,FALSE))</f>
        <v>0</v>
      </c>
      <c r="AX1596" s="239">
        <f t="shared" si="232"/>
        <v>0</v>
      </c>
      <c r="AY1596" s="239">
        <f>IF($G1596="CERVECERIA Y MALTERIA.",($AS1596*$AK1596/1000000)*(1-VLOOKUP($N1596,FCST!D:I,6,FALSE)),0)</f>
        <v>0</v>
      </c>
      <c r="AZ1596" s="239">
        <f t="shared" si="233"/>
        <v>0</v>
      </c>
    </row>
    <row r="1597" spans="1:52" x14ac:dyDescent="0.25">
      <c r="A1597" s="209">
        <v>1152189</v>
      </c>
      <c r="B1597" s="209">
        <v>20</v>
      </c>
      <c r="C1597" s="209" t="s">
        <v>3586</v>
      </c>
      <c r="D1597" s="209">
        <v>10</v>
      </c>
      <c r="E1597" s="209">
        <v>10000002</v>
      </c>
      <c r="F1597" s="209">
        <v>20001057</v>
      </c>
      <c r="G1597" s="209" t="s">
        <v>105</v>
      </c>
      <c r="H1597" s="209">
        <v>20001057</v>
      </c>
      <c r="I1597" s="209">
        <v>2</v>
      </c>
      <c r="J1597" s="209" t="s">
        <v>169</v>
      </c>
      <c r="K1597" s="209" t="s">
        <v>3587</v>
      </c>
      <c r="L1597" s="209" t="s">
        <v>2610</v>
      </c>
      <c r="M1597" s="209" t="s">
        <v>199</v>
      </c>
      <c r="N1597" s="209">
        <v>50024497</v>
      </c>
      <c r="O1597" s="209" t="s">
        <v>1352</v>
      </c>
      <c r="P1597" s="209">
        <v>5121</v>
      </c>
      <c r="Q1597" s="209" t="s">
        <v>200</v>
      </c>
      <c r="R1597" s="209" t="s">
        <v>201</v>
      </c>
      <c r="S1597" s="209" t="s">
        <v>202</v>
      </c>
      <c r="T1597" s="209" t="s">
        <v>203</v>
      </c>
      <c r="U1597" s="209" t="s">
        <v>201</v>
      </c>
      <c r="V1597" s="209" t="s">
        <v>179</v>
      </c>
      <c r="W1597" s="209" t="s">
        <v>179</v>
      </c>
      <c r="X1597" s="209" t="s">
        <v>180</v>
      </c>
      <c r="Y1597" s="209" t="s">
        <v>180</v>
      </c>
      <c r="Z1597" s="209" t="s">
        <v>3572</v>
      </c>
      <c r="AA1597" s="209" t="s">
        <v>3573</v>
      </c>
      <c r="AB1597" s="209" t="s">
        <v>180</v>
      </c>
      <c r="AC1597" s="209" t="s">
        <v>182</v>
      </c>
      <c r="AD1597" s="209">
        <v>11</v>
      </c>
      <c r="AE1597" s="209">
        <v>2025</v>
      </c>
      <c r="AF1597" s="227">
        <v>45980</v>
      </c>
      <c r="AG1597" s="227">
        <v>45986</v>
      </c>
      <c r="AH1597" s="227">
        <v>45986</v>
      </c>
      <c r="AI1597" s="228">
        <v>351936</v>
      </c>
      <c r="AJ1597" s="228">
        <v>52</v>
      </c>
      <c r="AK1597" s="228">
        <v>351936</v>
      </c>
      <c r="AL1597" s="228">
        <v>52</v>
      </c>
      <c r="AM1597" s="228">
        <v>0</v>
      </c>
      <c r="AN1597" s="228">
        <v>0</v>
      </c>
      <c r="AO1597" s="229">
        <v>47</v>
      </c>
      <c r="AP1597" s="231">
        <v>11</v>
      </c>
      <c r="AQ1597" s="231">
        <v>2025</v>
      </c>
      <c r="AR1597" s="231" t="str">
        <f t="shared" si="229"/>
        <v>11/2025</v>
      </c>
      <c r="AS1597" s="231">
        <f t="shared" si="230"/>
        <v>54.7</v>
      </c>
      <c r="AT1597" s="239">
        <f>IF(G1597="CERVECERIA Y MALTERIA",(AS1597*AK1597/1000000)*(1-VLOOKUP(N1597,FCST!D:I,6,FALSE)),0)</f>
        <v>19.250899199999999</v>
      </c>
      <c r="AU1597" s="232">
        <v>5.0000000000000001E-3</v>
      </c>
      <c r="AV1597" s="239">
        <f t="shared" si="231"/>
        <v>19.347153695999996</v>
      </c>
      <c r="AW1597" s="239">
        <f>(AS1597*AK1597/1000000)*(VLOOKUP(N1597,FCST!D:I,6,FALSE))</f>
        <v>0</v>
      </c>
      <c r="AX1597" s="239">
        <f t="shared" si="232"/>
        <v>0</v>
      </c>
      <c r="AY1597" s="239">
        <f>IF($G1597="CERVECERIA Y MALTERIA.",($AS1597*$AK1597/1000000)*(1-VLOOKUP($N1597,FCST!D:I,6,FALSE)),0)</f>
        <v>0</v>
      </c>
      <c r="AZ1597" s="239">
        <f t="shared" si="233"/>
        <v>0</v>
      </c>
    </row>
    <row r="1598" spans="1:52" x14ac:dyDescent="0.25">
      <c r="A1598" s="209">
        <v>1152497</v>
      </c>
      <c r="B1598" s="209">
        <v>10</v>
      </c>
      <c r="C1598" s="209" t="s">
        <v>3588</v>
      </c>
      <c r="D1598" s="209">
        <v>10</v>
      </c>
      <c r="E1598" s="209">
        <v>10000002</v>
      </c>
      <c r="F1598" s="209">
        <v>20000339</v>
      </c>
      <c r="G1598" s="209" t="s">
        <v>105</v>
      </c>
      <c r="H1598" s="209">
        <v>20000339</v>
      </c>
      <c r="I1598" s="209">
        <v>2</v>
      </c>
      <c r="J1598" s="209" t="s">
        <v>169</v>
      </c>
      <c r="K1598" s="209" t="s">
        <v>3589</v>
      </c>
      <c r="L1598" s="209" t="s">
        <v>2610</v>
      </c>
      <c r="M1598" s="209" t="s">
        <v>227</v>
      </c>
      <c r="N1598" s="209">
        <v>50036287</v>
      </c>
      <c r="O1598" s="209" t="s">
        <v>2191</v>
      </c>
      <c r="P1598" s="209">
        <v>5121</v>
      </c>
      <c r="Q1598" s="209" t="s">
        <v>228</v>
      </c>
      <c r="R1598" s="209" t="s">
        <v>229</v>
      </c>
      <c r="S1598" s="209" t="s">
        <v>230</v>
      </c>
      <c r="T1598" s="209" t="s">
        <v>231</v>
      </c>
      <c r="U1598" s="209" t="s">
        <v>232</v>
      </c>
      <c r="V1598" s="209" t="s">
        <v>179</v>
      </c>
      <c r="W1598" s="209" t="s">
        <v>179</v>
      </c>
      <c r="X1598" s="209" t="s">
        <v>180</v>
      </c>
      <c r="Y1598" s="209" t="s">
        <v>180</v>
      </c>
      <c r="Z1598" s="209" t="s">
        <v>3590</v>
      </c>
      <c r="AA1598" s="209" t="s">
        <v>3591</v>
      </c>
      <c r="AB1598" s="209" t="s">
        <v>180</v>
      </c>
      <c r="AC1598" s="209" t="s">
        <v>182</v>
      </c>
      <c r="AD1598" s="209">
        <v>11</v>
      </c>
      <c r="AE1598" s="209">
        <v>2025</v>
      </c>
      <c r="AF1598" s="227">
        <v>45982</v>
      </c>
      <c r="AG1598" s="227">
        <v>45986</v>
      </c>
      <c r="AH1598" s="227">
        <v>45986</v>
      </c>
      <c r="AI1598" s="228">
        <v>363168</v>
      </c>
      <c r="AJ1598" s="228">
        <v>52</v>
      </c>
      <c r="AK1598" s="228">
        <v>363168</v>
      </c>
      <c r="AL1598" s="228">
        <v>52</v>
      </c>
      <c r="AM1598" s="228">
        <v>0</v>
      </c>
      <c r="AN1598" s="228">
        <v>0</v>
      </c>
      <c r="AO1598" s="229">
        <v>48</v>
      </c>
      <c r="AP1598" s="231">
        <v>11</v>
      </c>
      <c r="AQ1598" s="231">
        <v>2025</v>
      </c>
      <c r="AR1598" s="231" t="str">
        <f t="shared" si="229"/>
        <v>11/2025</v>
      </c>
      <c r="AS1598" s="231">
        <f t="shared" si="230"/>
        <v>52</v>
      </c>
      <c r="AT1598" s="239">
        <f>IF(G1598="CERVECERIA Y MALTERIA",(AS1598*AK1598/1000000)*(1-VLOOKUP(N1598,FCST!D:I,6,FALSE)),0)</f>
        <v>18.884736</v>
      </c>
      <c r="AU1598" s="232">
        <v>5.0000000000000001E-3</v>
      </c>
      <c r="AV1598" s="239">
        <f t="shared" si="231"/>
        <v>18.979159679999999</v>
      </c>
      <c r="AW1598" s="239">
        <f>(AS1598*AK1598/1000000)*(VLOOKUP(N1598,FCST!D:I,6,FALSE))</f>
        <v>0</v>
      </c>
      <c r="AX1598" s="239">
        <f t="shared" si="232"/>
        <v>0</v>
      </c>
      <c r="AY1598" s="239">
        <f>IF($G1598="CERVECERIA Y MALTERIA.",($AS1598*$AK1598/1000000)*(1-VLOOKUP($N1598,FCST!D:I,6,FALSE)),0)</f>
        <v>0</v>
      </c>
      <c r="AZ1598" s="239">
        <f t="shared" si="233"/>
        <v>0</v>
      </c>
    </row>
    <row r="1599" spans="1:52" x14ac:dyDescent="0.25">
      <c r="A1599" s="209">
        <v>1152509</v>
      </c>
      <c r="B1599" s="209">
        <v>10</v>
      </c>
      <c r="C1599" s="209" t="s">
        <v>3592</v>
      </c>
      <c r="D1599" s="209">
        <v>10</v>
      </c>
      <c r="E1599" s="209">
        <v>10000002</v>
      </c>
      <c r="F1599" s="209">
        <v>20000337</v>
      </c>
      <c r="G1599" s="209" t="s">
        <v>105</v>
      </c>
      <c r="H1599" s="209">
        <v>20000337</v>
      </c>
      <c r="I1599" s="209">
        <v>2</v>
      </c>
      <c r="J1599" s="209" t="s">
        <v>169</v>
      </c>
      <c r="K1599" s="209" t="s">
        <v>3593</v>
      </c>
      <c r="L1599" s="209" t="s">
        <v>2610</v>
      </c>
      <c r="M1599" s="209" t="s">
        <v>199</v>
      </c>
      <c r="N1599" s="209">
        <v>50039815</v>
      </c>
      <c r="O1599" s="209" t="s">
        <v>2454</v>
      </c>
      <c r="P1599" s="209">
        <v>5121</v>
      </c>
      <c r="Q1599" s="209" t="s">
        <v>200</v>
      </c>
      <c r="R1599" s="209" t="s">
        <v>201</v>
      </c>
      <c r="S1599" s="209" t="s">
        <v>202</v>
      </c>
      <c r="T1599" s="209" t="s">
        <v>203</v>
      </c>
      <c r="U1599" s="209" t="s">
        <v>201</v>
      </c>
      <c r="V1599" s="209" t="s">
        <v>179</v>
      </c>
      <c r="W1599" s="209" t="s">
        <v>179</v>
      </c>
      <c r="X1599" s="209" t="s">
        <v>180</v>
      </c>
      <c r="Y1599" s="209" t="s">
        <v>180</v>
      </c>
      <c r="Z1599" s="209" t="s">
        <v>3594</v>
      </c>
      <c r="AA1599" s="209" t="s">
        <v>3595</v>
      </c>
      <c r="AB1599" s="209" t="s">
        <v>180</v>
      </c>
      <c r="AC1599" s="209" t="s">
        <v>182</v>
      </c>
      <c r="AD1599" s="209">
        <v>11</v>
      </c>
      <c r="AE1599" s="209">
        <v>2025</v>
      </c>
      <c r="AF1599" s="227">
        <v>45982</v>
      </c>
      <c r="AG1599" s="227">
        <v>45986</v>
      </c>
      <c r="AH1599" s="227">
        <v>45986</v>
      </c>
      <c r="AI1599" s="228">
        <v>426816</v>
      </c>
      <c r="AJ1599" s="228">
        <v>52</v>
      </c>
      <c r="AK1599" s="228">
        <v>426816</v>
      </c>
      <c r="AL1599" s="228">
        <v>52</v>
      </c>
      <c r="AM1599" s="228">
        <v>0</v>
      </c>
      <c r="AN1599" s="228">
        <v>0</v>
      </c>
      <c r="AO1599" s="229">
        <v>48</v>
      </c>
      <c r="AP1599" s="231">
        <v>11</v>
      </c>
      <c r="AQ1599" s="231">
        <v>2025</v>
      </c>
      <c r="AR1599" s="231" t="str">
        <f t="shared" si="229"/>
        <v>11/2025</v>
      </c>
      <c r="AS1599" s="231">
        <f t="shared" si="230"/>
        <v>46.6</v>
      </c>
      <c r="AT1599" s="239">
        <f>IF(G1599="CERVECERIA Y MALTERIA",(AS1599*AK1599/1000000)*(1-VLOOKUP(N1599,FCST!D:I,6,FALSE)),0)</f>
        <v>15.911700480000002</v>
      </c>
      <c r="AU1599" s="232">
        <v>5.0000000000000001E-3</v>
      </c>
      <c r="AV1599" s="239">
        <f t="shared" si="231"/>
        <v>15.9912589824</v>
      </c>
      <c r="AW1599" s="239">
        <f>(AS1599*AK1599/1000000)*(VLOOKUP(N1599,FCST!D:I,6,FALSE))</f>
        <v>3.9779251200000005</v>
      </c>
      <c r="AX1599" s="239">
        <f t="shared" si="232"/>
        <v>3.9978147455999999</v>
      </c>
      <c r="AY1599" s="239">
        <f>IF($G1599="CERVECERIA Y MALTERIA.",($AS1599*$AK1599/1000000)*(1-VLOOKUP($N1599,FCST!D:I,6,FALSE)),0)</f>
        <v>0</v>
      </c>
      <c r="AZ1599" s="239">
        <f t="shared" si="233"/>
        <v>0</v>
      </c>
    </row>
    <row r="1600" spans="1:52" x14ac:dyDescent="0.25">
      <c r="A1600" s="209">
        <v>1152468</v>
      </c>
      <c r="B1600" s="209">
        <v>60</v>
      </c>
      <c r="C1600" s="209" t="s">
        <v>3596</v>
      </c>
      <c r="D1600" s="209">
        <v>10</v>
      </c>
      <c r="E1600" s="209">
        <v>10000002</v>
      </c>
      <c r="F1600" s="209">
        <v>20000335</v>
      </c>
      <c r="G1600" s="209" t="s">
        <v>105</v>
      </c>
      <c r="H1600" s="209">
        <v>20000335</v>
      </c>
      <c r="I1600" s="209">
        <v>2</v>
      </c>
      <c r="J1600" s="209" t="s">
        <v>169</v>
      </c>
      <c r="K1600" s="209" t="s">
        <v>3597</v>
      </c>
      <c r="L1600" s="209" t="s">
        <v>2610</v>
      </c>
      <c r="M1600" s="209" t="s">
        <v>199</v>
      </c>
      <c r="N1600" s="209">
        <v>50025345</v>
      </c>
      <c r="O1600" s="209" t="s">
        <v>1998</v>
      </c>
      <c r="P1600" s="209">
        <v>5121</v>
      </c>
      <c r="Q1600" s="209" t="s">
        <v>200</v>
      </c>
      <c r="R1600" s="209" t="s">
        <v>201</v>
      </c>
      <c r="S1600" s="209" t="s">
        <v>202</v>
      </c>
      <c r="T1600" s="209" t="s">
        <v>203</v>
      </c>
      <c r="U1600" s="209" t="s">
        <v>201</v>
      </c>
      <c r="V1600" s="209" t="s">
        <v>179</v>
      </c>
      <c r="W1600" s="209" t="s">
        <v>179</v>
      </c>
      <c r="X1600" s="209" t="s">
        <v>180</v>
      </c>
      <c r="Y1600" s="209" t="s">
        <v>180</v>
      </c>
      <c r="Z1600" s="209" t="s">
        <v>3580</v>
      </c>
      <c r="AA1600" s="209" t="s">
        <v>3581</v>
      </c>
      <c r="AB1600" s="209" t="s">
        <v>180</v>
      </c>
      <c r="AC1600" s="209" t="s">
        <v>182</v>
      </c>
      <c r="AD1600" s="209">
        <v>11</v>
      </c>
      <c r="AE1600" s="209">
        <v>2025</v>
      </c>
      <c r="AF1600" s="227">
        <v>45982</v>
      </c>
      <c r="AG1600" s="227">
        <v>45986</v>
      </c>
      <c r="AH1600" s="227">
        <v>45986</v>
      </c>
      <c r="AI1600" s="228">
        <v>426816</v>
      </c>
      <c r="AJ1600" s="228">
        <v>52</v>
      </c>
      <c r="AK1600" s="228">
        <v>426816</v>
      </c>
      <c r="AL1600" s="228">
        <v>52</v>
      </c>
      <c r="AM1600" s="228">
        <v>0</v>
      </c>
      <c r="AN1600" s="228">
        <v>0</v>
      </c>
      <c r="AO1600" s="229">
        <v>48</v>
      </c>
      <c r="AP1600" s="231">
        <v>11</v>
      </c>
      <c r="AQ1600" s="231">
        <v>2025</v>
      </c>
      <c r="AR1600" s="231" t="str">
        <f t="shared" si="229"/>
        <v>11/2025</v>
      </c>
      <c r="AS1600" s="231">
        <f t="shared" si="230"/>
        <v>46.6</v>
      </c>
      <c r="AT1600" s="239">
        <f>IF(G1600="CERVECERIA Y MALTERIA",(AS1600*AK1600/1000000)*(1-VLOOKUP(N1600,FCST!D:I,6,FALSE)),0)</f>
        <v>19.889625600000002</v>
      </c>
      <c r="AU1600" s="232">
        <v>5.0000000000000001E-3</v>
      </c>
      <c r="AV1600" s="239">
        <f t="shared" si="231"/>
        <v>19.989073728000001</v>
      </c>
      <c r="AW1600" s="239">
        <f>(AS1600*AK1600/1000000)*(VLOOKUP(N1600,FCST!D:I,6,FALSE))</f>
        <v>0</v>
      </c>
      <c r="AX1600" s="239">
        <f t="shared" si="232"/>
        <v>0</v>
      </c>
      <c r="AY1600" s="239">
        <f>IF($G1600="CERVECERIA Y MALTERIA.",($AS1600*$AK1600/1000000)*(1-VLOOKUP($N1600,FCST!D:I,6,FALSE)),0)</f>
        <v>0</v>
      </c>
      <c r="AZ1600" s="239">
        <f t="shared" si="233"/>
        <v>0</v>
      </c>
    </row>
    <row r="1601" spans="1:52" x14ac:dyDescent="0.25">
      <c r="A1601" s="209">
        <v>1151552</v>
      </c>
      <c r="B1601" s="209">
        <v>30</v>
      </c>
      <c r="C1601" s="209" t="s">
        <v>3598</v>
      </c>
      <c r="D1601" s="209">
        <v>10</v>
      </c>
      <c r="E1601" s="209">
        <v>10000002</v>
      </c>
      <c r="F1601" s="209">
        <v>20000337</v>
      </c>
      <c r="G1601" s="209" t="s">
        <v>105</v>
      </c>
      <c r="H1601" s="209">
        <v>20000337</v>
      </c>
      <c r="I1601" s="209">
        <v>2</v>
      </c>
      <c r="J1601" s="209" t="s">
        <v>169</v>
      </c>
      <c r="K1601" s="209" t="s">
        <v>3599</v>
      </c>
      <c r="L1601" s="209" t="s">
        <v>2610</v>
      </c>
      <c r="M1601" s="209" t="s">
        <v>199</v>
      </c>
      <c r="N1601" s="209">
        <v>50039815</v>
      </c>
      <c r="O1601" s="209" t="s">
        <v>2454</v>
      </c>
      <c r="P1601" s="209">
        <v>5121</v>
      </c>
      <c r="Q1601" s="209" t="s">
        <v>200</v>
      </c>
      <c r="R1601" s="209" t="s">
        <v>201</v>
      </c>
      <c r="S1601" s="209" t="s">
        <v>202</v>
      </c>
      <c r="T1601" s="209" t="s">
        <v>203</v>
      </c>
      <c r="U1601" s="209" t="s">
        <v>201</v>
      </c>
      <c r="V1601" s="209" t="s">
        <v>179</v>
      </c>
      <c r="W1601" s="209" t="s">
        <v>179</v>
      </c>
      <c r="X1601" s="209" t="s">
        <v>180</v>
      </c>
      <c r="Y1601" s="209" t="s">
        <v>180</v>
      </c>
      <c r="Z1601" s="209" t="s">
        <v>3594</v>
      </c>
      <c r="AA1601" s="209" t="s">
        <v>3595</v>
      </c>
      <c r="AB1601" s="209" t="s">
        <v>180</v>
      </c>
      <c r="AC1601" s="209" t="s">
        <v>182</v>
      </c>
      <c r="AD1601" s="209">
        <v>11</v>
      </c>
      <c r="AE1601" s="209">
        <v>2025</v>
      </c>
      <c r="AF1601" s="227">
        <v>45978</v>
      </c>
      <c r="AG1601" s="227">
        <v>45980</v>
      </c>
      <c r="AH1601" s="227">
        <v>45982</v>
      </c>
      <c r="AI1601" s="228">
        <v>426816</v>
      </c>
      <c r="AJ1601" s="228">
        <v>52</v>
      </c>
      <c r="AK1601" s="228">
        <v>426816</v>
      </c>
      <c r="AL1601" s="228">
        <v>52</v>
      </c>
      <c r="AM1601" s="228">
        <v>0</v>
      </c>
      <c r="AN1601" s="228">
        <v>0</v>
      </c>
      <c r="AO1601" s="229">
        <v>47</v>
      </c>
      <c r="AP1601" s="231">
        <v>11</v>
      </c>
      <c r="AQ1601" s="231">
        <v>2025</v>
      </c>
      <c r="AR1601" s="231" t="str">
        <f t="shared" si="229"/>
        <v>11/2025</v>
      </c>
      <c r="AS1601" s="231">
        <f t="shared" si="230"/>
        <v>46.6</v>
      </c>
      <c r="AT1601" s="239">
        <f>IF(G1601="CERVECERIA Y MALTERIA",(AS1601*AK1601/1000000)*(1-VLOOKUP(N1601,FCST!D:I,6,FALSE)),0)</f>
        <v>15.911700480000002</v>
      </c>
      <c r="AU1601" s="232">
        <v>5.0000000000000001E-3</v>
      </c>
      <c r="AV1601" s="239">
        <f t="shared" si="231"/>
        <v>15.9912589824</v>
      </c>
      <c r="AW1601" s="239">
        <f>(AS1601*AK1601/1000000)*(VLOOKUP(N1601,FCST!D:I,6,FALSE))</f>
        <v>3.9779251200000005</v>
      </c>
      <c r="AX1601" s="239">
        <f t="shared" si="232"/>
        <v>3.9978147455999999</v>
      </c>
      <c r="AY1601" s="239">
        <f>IF($G1601="CERVECERIA Y MALTERIA.",($AS1601*$AK1601/1000000)*(1-VLOOKUP($N1601,FCST!D:I,6,FALSE)),0)</f>
        <v>0</v>
      </c>
      <c r="AZ1601" s="239">
        <f t="shared" si="233"/>
        <v>0</v>
      </c>
    </row>
    <row r="1602" spans="1:52" x14ac:dyDescent="0.25">
      <c r="A1602" s="209">
        <v>1151459</v>
      </c>
      <c r="B1602" s="209">
        <v>10</v>
      </c>
      <c r="C1602" s="209" t="s">
        <v>3600</v>
      </c>
      <c r="D1602" s="209">
        <v>10</v>
      </c>
      <c r="E1602" s="209">
        <v>10000002</v>
      </c>
      <c r="F1602" s="209">
        <v>20000336</v>
      </c>
      <c r="G1602" s="209" t="s">
        <v>105</v>
      </c>
      <c r="H1602" s="209">
        <v>20000336</v>
      </c>
      <c r="I1602" s="209">
        <v>2</v>
      </c>
      <c r="J1602" s="209" t="s">
        <v>169</v>
      </c>
      <c r="K1602" s="209" t="s">
        <v>3601</v>
      </c>
      <c r="L1602" s="209" t="s">
        <v>2610</v>
      </c>
      <c r="M1602" s="209" t="s">
        <v>199</v>
      </c>
      <c r="N1602" s="209">
        <v>50037887</v>
      </c>
      <c r="O1602" s="209" t="s">
        <v>679</v>
      </c>
      <c r="P1602" s="209">
        <v>5121</v>
      </c>
      <c r="Q1602" s="209" t="s">
        <v>200</v>
      </c>
      <c r="R1602" s="209" t="s">
        <v>201</v>
      </c>
      <c r="S1602" s="209" t="s">
        <v>202</v>
      </c>
      <c r="T1602" s="209" t="s">
        <v>203</v>
      </c>
      <c r="U1602" s="209" t="s">
        <v>201</v>
      </c>
      <c r="V1602" s="209" t="s">
        <v>179</v>
      </c>
      <c r="W1602" s="209" t="s">
        <v>179</v>
      </c>
      <c r="X1602" s="209" t="s">
        <v>180</v>
      </c>
      <c r="Y1602" s="209" t="s">
        <v>180</v>
      </c>
      <c r="Z1602" s="209" t="s">
        <v>3602</v>
      </c>
      <c r="AA1602" s="209" t="s">
        <v>3603</v>
      </c>
      <c r="AB1602" s="209" t="s">
        <v>180</v>
      </c>
      <c r="AC1602" s="209" t="s">
        <v>182</v>
      </c>
      <c r="AD1602" s="209">
        <v>11</v>
      </c>
      <c r="AE1602" s="209">
        <v>2025</v>
      </c>
      <c r="AF1602" s="227">
        <v>45975</v>
      </c>
      <c r="AG1602" s="227">
        <v>45978</v>
      </c>
      <c r="AH1602" s="227">
        <v>45978</v>
      </c>
      <c r="AI1602" s="228">
        <v>224928</v>
      </c>
      <c r="AJ1602" s="228">
        <v>22</v>
      </c>
      <c r="AK1602" s="228">
        <v>224928</v>
      </c>
      <c r="AL1602" s="228">
        <v>22</v>
      </c>
      <c r="AM1602" s="228">
        <v>0</v>
      </c>
      <c r="AN1602" s="228">
        <v>0</v>
      </c>
      <c r="AO1602" s="229">
        <v>47</v>
      </c>
      <c r="AP1602" s="231">
        <v>11</v>
      </c>
      <c r="AQ1602" s="231">
        <v>2025</v>
      </c>
      <c r="AR1602" s="231" t="str">
        <f t="shared" si="229"/>
        <v>11/2025</v>
      </c>
      <c r="AS1602" s="231">
        <f t="shared" si="230"/>
        <v>37.200000000000003</v>
      </c>
      <c r="AT1602" s="239">
        <f>IF(G1602="CERVECERIA Y MALTERIA",(AS1602*AK1602/1000000)*(1-VLOOKUP(N1602,FCST!D:I,6,FALSE)),0)</f>
        <v>8.3673216000000004</v>
      </c>
      <c r="AU1602" s="232">
        <v>5.0000000000000001E-3</v>
      </c>
      <c r="AV1602" s="239">
        <f t="shared" si="231"/>
        <v>8.4091582079999991</v>
      </c>
      <c r="AW1602" s="239">
        <f>(AS1602*AK1602/1000000)*(VLOOKUP(N1602,FCST!D:I,6,FALSE))</f>
        <v>0</v>
      </c>
      <c r="AX1602" s="239">
        <f t="shared" si="232"/>
        <v>0</v>
      </c>
      <c r="AY1602" s="239">
        <f>IF($G1602="CERVECERIA Y MALTERIA.",($AS1602*$AK1602/1000000)*(1-VLOOKUP($N1602,FCST!D:I,6,FALSE)),0)</f>
        <v>0</v>
      </c>
      <c r="AZ1602" s="239">
        <f t="shared" si="233"/>
        <v>0</v>
      </c>
    </row>
    <row r="1603" spans="1:52" x14ac:dyDescent="0.25">
      <c r="A1603" s="209">
        <v>1151214</v>
      </c>
      <c r="B1603" s="209">
        <v>60</v>
      </c>
      <c r="C1603" s="209" t="s">
        <v>3604</v>
      </c>
      <c r="D1603" s="209">
        <v>10</v>
      </c>
      <c r="E1603" s="209">
        <v>10000002</v>
      </c>
      <c r="F1603" s="209">
        <v>20000335</v>
      </c>
      <c r="G1603" s="209" t="s">
        <v>105</v>
      </c>
      <c r="H1603" s="209">
        <v>20000335</v>
      </c>
      <c r="I1603" s="209">
        <v>2</v>
      </c>
      <c r="J1603" s="209" t="s">
        <v>169</v>
      </c>
      <c r="K1603" s="209" t="s">
        <v>3605</v>
      </c>
      <c r="L1603" s="209" t="s">
        <v>2610</v>
      </c>
      <c r="M1603" s="209" t="s">
        <v>199</v>
      </c>
      <c r="N1603" s="209">
        <v>50037887</v>
      </c>
      <c r="O1603" s="209" t="s">
        <v>679</v>
      </c>
      <c r="P1603" s="209">
        <v>5121</v>
      </c>
      <c r="Q1603" s="209" t="s">
        <v>200</v>
      </c>
      <c r="R1603" s="209" t="s">
        <v>201</v>
      </c>
      <c r="S1603" s="209" t="s">
        <v>202</v>
      </c>
      <c r="T1603" s="209" t="s">
        <v>203</v>
      </c>
      <c r="U1603" s="209" t="s">
        <v>201</v>
      </c>
      <c r="V1603" s="209" t="s">
        <v>179</v>
      </c>
      <c r="W1603" s="209" t="s">
        <v>179</v>
      </c>
      <c r="X1603" s="209" t="s">
        <v>180</v>
      </c>
      <c r="Y1603" s="209" t="s">
        <v>180</v>
      </c>
      <c r="Z1603" s="209" t="s">
        <v>3606</v>
      </c>
      <c r="AA1603" s="209" t="s">
        <v>3607</v>
      </c>
      <c r="AB1603" s="209" t="s">
        <v>180</v>
      </c>
      <c r="AC1603" s="209" t="s">
        <v>182</v>
      </c>
      <c r="AD1603" s="209">
        <v>11</v>
      </c>
      <c r="AE1603" s="209">
        <v>2025</v>
      </c>
      <c r="AF1603" s="227">
        <v>45974</v>
      </c>
      <c r="AG1603" s="227">
        <v>45980</v>
      </c>
      <c r="AH1603" s="227">
        <v>45980</v>
      </c>
      <c r="AI1603" s="228">
        <v>531648</v>
      </c>
      <c r="AJ1603" s="228">
        <v>52</v>
      </c>
      <c r="AK1603" s="228">
        <v>531648</v>
      </c>
      <c r="AL1603" s="228">
        <v>52</v>
      </c>
      <c r="AM1603" s="228">
        <v>0</v>
      </c>
      <c r="AN1603" s="228">
        <v>0</v>
      </c>
      <c r="AO1603" s="229">
        <v>47</v>
      </c>
      <c r="AP1603" s="231">
        <v>11</v>
      </c>
      <c r="AQ1603" s="231">
        <v>2025</v>
      </c>
      <c r="AR1603" s="231" t="str">
        <f t="shared" si="229"/>
        <v>11/2025</v>
      </c>
      <c r="AS1603" s="231">
        <f t="shared" si="230"/>
        <v>37.200000000000003</v>
      </c>
      <c r="AT1603" s="239">
        <f>IF(G1603="CERVECERIA Y MALTERIA",(AS1603*AK1603/1000000)*(1-VLOOKUP(N1603,FCST!D:I,6,FALSE)),0)</f>
        <v>19.777305600000002</v>
      </c>
      <c r="AU1603" s="232">
        <v>5.0000000000000001E-3</v>
      </c>
      <c r="AV1603" s="239">
        <f t="shared" si="231"/>
        <v>19.876192128</v>
      </c>
      <c r="AW1603" s="239">
        <f>(AS1603*AK1603/1000000)*(VLOOKUP(N1603,FCST!D:I,6,FALSE))</f>
        <v>0</v>
      </c>
      <c r="AX1603" s="239">
        <f t="shared" si="232"/>
        <v>0</v>
      </c>
      <c r="AY1603" s="239">
        <f>IF($G1603="CERVECERIA Y MALTERIA.",($AS1603*$AK1603/1000000)*(1-VLOOKUP($N1603,FCST!D:I,6,FALSE)),0)</f>
        <v>0</v>
      </c>
      <c r="AZ1603" s="239">
        <f t="shared" si="233"/>
        <v>0</v>
      </c>
    </row>
    <row r="1604" spans="1:52" x14ac:dyDescent="0.25">
      <c r="A1604" s="209">
        <v>1151660</v>
      </c>
      <c r="B1604" s="209">
        <v>20</v>
      </c>
      <c r="C1604" s="209" t="s">
        <v>3608</v>
      </c>
      <c r="D1604" s="209">
        <v>10</v>
      </c>
      <c r="E1604" s="209">
        <v>10000002</v>
      </c>
      <c r="F1604" s="209">
        <v>20001057</v>
      </c>
      <c r="G1604" s="209" t="s">
        <v>105</v>
      </c>
      <c r="H1604" s="209">
        <v>20001057</v>
      </c>
      <c r="I1604" s="209">
        <v>2</v>
      </c>
      <c r="J1604" s="209" t="s">
        <v>169</v>
      </c>
      <c r="K1604" s="209" t="s">
        <v>3609</v>
      </c>
      <c r="L1604" s="209" t="s">
        <v>2610</v>
      </c>
      <c r="M1604" s="209" t="s">
        <v>199</v>
      </c>
      <c r="N1604" s="209">
        <v>50037887</v>
      </c>
      <c r="O1604" s="209" t="s">
        <v>679</v>
      </c>
      <c r="P1604" s="209">
        <v>5121</v>
      </c>
      <c r="Q1604" s="209" t="s">
        <v>200</v>
      </c>
      <c r="R1604" s="209" t="s">
        <v>201</v>
      </c>
      <c r="S1604" s="209" t="s">
        <v>202</v>
      </c>
      <c r="T1604" s="209" t="s">
        <v>203</v>
      </c>
      <c r="U1604" s="209" t="s">
        <v>201</v>
      </c>
      <c r="V1604" s="209" t="s">
        <v>179</v>
      </c>
      <c r="W1604" s="209" t="s">
        <v>179</v>
      </c>
      <c r="X1604" s="209" t="s">
        <v>180</v>
      </c>
      <c r="Y1604" s="209" t="s">
        <v>180</v>
      </c>
      <c r="Z1604" s="209" t="s">
        <v>3576</v>
      </c>
      <c r="AA1604" s="209" t="s">
        <v>3577</v>
      </c>
      <c r="AB1604" s="209" t="s">
        <v>180</v>
      </c>
      <c r="AC1604" s="209" t="s">
        <v>182</v>
      </c>
      <c r="AD1604" s="209">
        <v>11</v>
      </c>
      <c r="AE1604" s="209">
        <v>2025</v>
      </c>
      <c r="AF1604" s="227">
        <v>45979</v>
      </c>
      <c r="AG1604" s="227">
        <v>45979</v>
      </c>
      <c r="AH1604" s="227">
        <v>45979</v>
      </c>
      <c r="AI1604" s="228">
        <v>531648</v>
      </c>
      <c r="AJ1604" s="228">
        <v>52</v>
      </c>
      <c r="AK1604" s="228">
        <v>531648</v>
      </c>
      <c r="AL1604" s="228">
        <v>52</v>
      </c>
      <c r="AM1604" s="228">
        <v>0</v>
      </c>
      <c r="AN1604" s="228">
        <v>0</v>
      </c>
      <c r="AO1604" s="229">
        <v>47</v>
      </c>
      <c r="AP1604" s="231">
        <v>11</v>
      </c>
      <c r="AQ1604" s="231">
        <v>2025</v>
      </c>
      <c r="AR1604" s="231" t="str">
        <f t="shared" si="229"/>
        <v>11/2025</v>
      </c>
      <c r="AS1604" s="231">
        <f t="shared" si="230"/>
        <v>37.200000000000003</v>
      </c>
      <c r="AT1604" s="239">
        <f>IF(G1604="CERVECERIA Y MALTERIA",(AS1604*AK1604/1000000)*(1-VLOOKUP(N1604,FCST!D:I,6,FALSE)),0)</f>
        <v>19.777305600000002</v>
      </c>
      <c r="AU1604" s="232">
        <v>5.0000000000000001E-3</v>
      </c>
      <c r="AV1604" s="239">
        <f t="shared" si="231"/>
        <v>19.876192128</v>
      </c>
      <c r="AW1604" s="239">
        <f>(AS1604*AK1604/1000000)*(VLOOKUP(N1604,FCST!D:I,6,FALSE))</f>
        <v>0</v>
      </c>
      <c r="AX1604" s="239">
        <f t="shared" si="232"/>
        <v>0</v>
      </c>
      <c r="AY1604" s="239">
        <f>IF($G1604="CERVECERIA Y MALTERIA.",($AS1604*$AK1604/1000000)*(1-VLOOKUP($N1604,FCST!D:I,6,FALSE)),0)</f>
        <v>0</v>
      </c>
      <c r="AZ1604" s="239">
        <f t="shared" si="233"/>
        <v>0</v>
      </c>
    </row>
    <row r="1605" spans="1:52" x14ac:dyDescent="0.25">
      <c r="A1605" s="209">
        <v>1151660</v>
      </c>
      <c r="B1605" s="209">
        <v>10</v>
      </c>
      <c r="C1605" s="209" t="s">
        <v>3610</v>
      </c>
      <c r="D1605" s="209">
        <v>10</v>
      </c>
      <c r="E1605" s="209">
        <v>10000002</v>
      </c>
      <c r="F1605" s="209">
        <v>20001057</v>
      </c>
      <c r="G1605" s="209" t="s">
        <v>105</v>
      </c>
      <c r="H1605" s="209">
        <v>20001057</v>
      </c>
      <c r="I1605" s="209">
        <v>2</v>
      </c>
      <c r="J1605" s="209" t="s">
        <v>169</v>
      </c>
      <c r="K1605" s="209" t="s">
        <v>3611</v>
      </c>
      <c r="L1605" s="209" t="s">
        <v>2610</v>
      </c>
      <c r="M1605" s="209" t="s">
        <v>199</v>
      </c>
      <c r="N1605" s="209">
        <v>50037887</v>
      </c>
      <c r="O1605" s="209" t="s">
        <v>679</v>
      </c>
      <c r="P1605" s="209">
        <v>5121</v>
      </c>
      <c r="Q1605" s="209" t="s">
        <v>200</v>
      </c>
      <c r="R1605" s="209" t="s">
        <v>201</v>
      </c>
      <c r="S1605" s="209" t="s">
        <v>202</v>
      </c>
      <c r="T1605" s="209" t="s">
        <v>203</v>
      </c>
      <c r="U1605" s="209" t="s">
        <v>201</v>
      </c>
      <c r="V1605" s="209" t="s">
        <v>179</v>
      </c>
      <c r="W1605" s="209" t="s">
        <v>179</v>
      </c>
      <c r="X1605" s="209" t="s">
        <v>180</v>
      </c>
      <c r="Y1605" s="209" t="s">
        <v>180</v>
      </c>
      <c r="Z1605" s="209" t="s">
        <v>3576</v>
      </c>
      <c r="AA1605" s="209" t="s">
        <v>3577</v>
      </c>
      <c r="AB1605" s="209" t="s">
        <v>180</v>
      </c>
      <c r="AC1605" s="209" t="s">
        <v>182</v>
      </c>
      <c r="AD1605" s="209">
        <v>11</v>
      </c>
      <c r="AE1605" s="209">
        <v>2025</v>
      </c>
      <c r="AF1605" s="227">
        <v>45979</v>
      </c>
      <c r="AG1605" s="227">
        <v>45979</v>
      </c>
      <c r="AH1605" s="227">
        <v>45979</v>
      </c>
      <c r="AI1605" s="228">
        <v>531648</v>
      </c>
      <c r="AJ1605" s="228">
        <v>52</v>
      </c>
      <c r="AK1605" s="228">
        <v>531648</v>
      </c>
      <c r="AL1605" s="228">
        <v>52</v>
      </c>
      <c r="AM1605" s="228">
        <v>0</v>
      </c>
      <c r="AN1605" s="228">
        <v>0</v>
      </c>
      <c r="AO1605" s="229">
        <v>47</v>
      </c>
      <c r="AP1605" s="231">
        <v>11</v>
      </c>
      <c r="AQ1605" s="231">
        <v>2025</v>
      </c>
      <c r="AR1605" s="231" t="str">
        <f t="shared" ref="AR1605:AR1641" si="234">+IF(AP1605&lt;10,"0"&amp;AP1605&amp; "/"&amp;AQ1605,AP1605&amp; "/"&amp;AQ1605)</f>
        <v>11/2025</v>
      </c>
      <c r="AS1605" s="231">
        <f t="shared" ref="AS1605:AS1641" si="235">VALUE(MID(INDEX(_xlfn.TEXTSPLIT(O1605, ","), 1, 3), 1,FIND("G", INDEX(_xlfn.TEXTSPLIT(O1605, ","), 1, 3))-1))</f>
        <v>37.200000000000003</v>
      </c>
      <c r="AT1605" s="239">
        <f>IF(G1605="CERVECERIA Y MALTERIA",(AS1605*AK1605/1000000)*(1-VLOOKUP(N1605,FCST!D:I,6,FALSE)),0)</f>
        <v>19.777305600000002</v>
      </c>
      <c r="AU1605" s="232">
        <v>5.0000000000000001E-3</v>
      </c>
      <c r="AV1605" s="239">
        <f t="shared" ref="AV1605:AV1641" si="236">+AT1605*(1+AU1605)</f>
        <v>19.876192128</v>
      </c>
      <c r="AW1605" s="239">
        <f>(AS1605*AK1605/1000000)*(VLOOKUP(N1605,FCST!D:I,6,FALSE))</f>
        <v>0</v>
      </c>
      <c r="AX1605" s="239">
        <f t="shared" ref="AX1605:AX1641" si="237">+AW1605*(1+AU1605)</f>
        <v>0</v>
      </c>
      <c r="AY1605" s="239">
        <f>IF($G1605="CERVECERIA Y MALTERIA.",($AS1605*$AK1605/1000000)*(1-VLOOKUP($N1605,FCST!D:I,6,FALSE)),0)</f>
        <v>0</v>
      </c>
      <c r="AZ1605" s="239">
        <f t="shared" ref="AZ1605:AZ1641" si="238">+AY1605*(1+AU1605)</f>
        <v>0</v>
      </c>
    </row>
    <row r="1606" spans="1:52" x14ac:dyDescent="0.25">
      <c r="A1606" s="209">
        <v>1151214</v>
      </c>
      <c r="B1606" s="209">
        <v>50</v>
      </c>
      <c r="C1606" s="209" t="s">
        <v>3612</v>
      </c>
      <c r="D1606" s="209">
        <v>10</v>
      </c>
      <c r="E1606" s="209">
        <v>10000002</v>
      </c>
      <c r="F1606" s="209">
        <v>20000335</v>
      </c>
      <c r="G1606" s="209" t="s">
        <v>105</v>
      </c>
      <c r="H1606" s="209">
        <v>20000335</v>
      </c>
      <c r="I1606" s="209">
        <v>2</v>
      </c>
      <c r="J1606" s="209" t="s">
        <v>169</v>
      </c>
      <c r="K1606" s="209" t="s">
        <v>3613</v>
      </c>
      <c r="L1606" s="209" t="s">
        <v>2610</v>
      </c>
      <c r="M1606" s="209" t="s">
        <v>199</v>
      </c>
      <c r="N1606" s="209">
        <v>50037887</v>
      </c>
      <c r="O1606" s="209" t="s">
        <v>679</v>
      </c>
      <c r="P1606" s="209">
        <v>5121</v>
      </c>
      <c r="Q1606" s="209" t="s">
        <v>200</v>
      </c>
      <c r="R1606" s="209" t="s">
        <v>201</v>
      </c>
      <c r="S1606" s="209" t="s">
        <v>202</v>
      </c>
      <c r="T1606" s="209" t="s">
        <v>203</v>
      </c>
      <c r="U1606" s="209" t="s">
        <v>201</v>
      </c>
      <c r="V1606" s="209" t="s">
        <v>179</v>
      </c>
      <c r="W1606" s="209" t="s">
        <v>179</v>
      </c>
      <c r="X1606" s="209" t="s">
        <v>180</v>
      </c>
      <c r="Y1606" s="209" t="s">
        <v>180</v>
      </c>
      <c r="Z1606" s="209" t="s">
        <v>3606</v>
      </c>
      <c r="AA1606" s="209" t="s">
        <v>3607</v>
      </c>
      <c r="AB1606" s="209" t="s">
        <v>180</v>
      </c>
      <c r="AC1606" s="209" t="s">
        <v>182</v>
      </c>
      <c r="AD1606" s="209">
        <v>11</v>
      </c>
      <c r="AE1606" s="209">
        <v>2025</v>
      </c>
      <c r="AF1606" s="227">
        <v>45974</v>
      </c>
      <c r="AG1606" s="227">
        <v>45979</v>
      </c>
      <c r="AH1606" s="227">
        <v>45979</v>
      </c>
      <c r="AI1606" s="228">
        <v>531648</v>
      </c>
      <c r="AJ1606" s="228">
        <v>52</v>
      </c>
      <c r="AK1606" s="228">
        <v>531648</v>
      </c>
      <c r="AL1606" s="228">
        <v>52</v>
      </c>
      <c r="AM1606" s="228">
        <v>0</v>
      </c>
      <c r="AN1606" s="228">
        <v>0</v>
      </c>
      <c r="AO1606" s="229">
        <v>47</v>
      </c>
      <c r="AP1606" s="231">
        <v>11</v>
      </c>
      <c r="AQ1606" s="231">
        <v>2025</v>
      </c>
      <c r="AR1606" s="231" t="str">
        <f t="shared" si="234"/>
        <v>11/2025</v>
      </c>
      <c r="AS1606" s="231">
        <f t="shared" si="235"/>
        <v>37.200000000000003</v>
      </c>
      <c r="AT1606" s="239">
        <f>IF(G1606="CERVECERIA Y MALTERIA",(AS1606*AK1606/1000000)*(1-VLOOKUP(N1606,FCST!D:I,6,FALSE)),0)</f>
        <v>19.777305600000002</v>
      </c>
      <c r="AU1606" s="232">
        <v>5.0000000000000001E-3</v>
      </c>
      <c r="AV1606" s="239">
        <f t="shared" si="236"/>
        <v>19.876192128</v>
      </c>
      <c r="AW1606" s="239">
        <f>(AS1606*AK1606/1000000)*(VLOOKUP(N1606,FCST!D:I,6,FALSE))</f>
        <v>0</v>
      </c>
      <c r="AX1606" s="239">
        <f t="shared" si="237"/>
        <v>0</v>
      </c>
      <c r="AY1606" s="239">
        <f>IF($G1606="CERVECERIA Y MALTERIA.",($AS1606*$AK1606/1000000)*(1-VLOOKUP($N1606,FCST!D:I,6,FALSE)),0)</f>
        <v>0</v>
      </c>
      <c r="AZ1606" s="239">
        <f t="shared" si="238"/>
        <v>0</v>
      </c>
    </row>
    <row r="1607" spans="1:52" x14ac:dyDescent="0.25">
      <c r="A1607" s="209">
        <v>1151552</v>
      </c>
      <c r="B1607" s="209">
        <v>20</v>
      </c>
      <c r="C1607" s="209" t="s">
        <v>3614</v>
      </c>
      <c r="D1607" s="209">
        <v>10</v>
      </c>
      <c r="E1607" s="209">
        <v>10000002</v>
      </c>
      <c r="F1607" s="209">
        <v>20000337</v>
      </c>
      <c r="G1607" s="209" t="s">
        <v>105</v>
      </c>
      <c r="H1607" s="209">
        <v>20000337</v>
      </c>
      <c r="I1607" s="209">
        <v>2</v>
      </c>
      <c r="J1607" s="209" t="s">
        <v>169</v>
      </c>
      <c r="K1607" s="209" t="s">
        <v>3615</v>
      </c>
      <c r="L1607" s="209" t="s">
        <v>2610</v>
      </c>
      <c r="M1607" s="209" t="s">
        <v>199</v>
      </c>
      <c r="N1607" s="209">
        <v>50039815</v>
      </c>
      <c r="O1607" s="209" t="s">
        <v>2454</v>
      </c>
      <c r="P1607" s="209">
        <v>5121</v>
      </c>
      <c r="Q1607" s="209" t="s">
        <v>200</v>
      </c>
      <c r="R1607" s="209" t="s">
        <v>201</v>
      </c>
      <c r="S1607" s="209" t="s">
        <v>202</v>
      </c>
      <c r="T1607" s="209" t="s">
        <v>203</v>
      </c>
      <c r="U1607" s="209" t="s">
        <v>201</v>
      </c>
      <c r="V1607" s="209" t="s">
        <v>179</v>
      </c>
      <c r="W1607" s="209" t="s">
        <v>179</v>
      </c>
      <c r="X1607" s="209" t="s">
        <v>180</v>
      </c>
      <c r="Y1607" s="209" t="s">
        <v>180</v>
      </c>
      <c r="Z1607" s="209" t="s">
        <v>3594</v>
      </c>
      <c r="AA1607" s="209" t="s">
        <v>3595</v>
      </c>
      <c r="AB1607" s="209" t="s">
        <v>180</v>
      </c>
      <c r="AC1607" s="209" t="s">
        <v>182</v>
      </c>
      <c r="AD1607" s="209">
        <v>11</v>
      </c>
      <c r="AE1607" s="209">
        <v>2025</v>
      </c>
      <c r="AF1607" s="227">
        <v>45978</v>
      </c>
      <c r="AG1607" s="227">
        <v>45979</v>
      </c>
      <c r="AH1607" s="227">
        <v>45979</v>
      </c>
      <c r="AI1607" s="228">
        <v>426816</v>
      </c>
      <c r="AJ1607" s="228">
        <v>52</v>
      </c>
      <c r="AK1607" s="228">
        <v>426816</v>
      </c>
      <c r="AL1607" s="228">
        <v>52</v>
      </c>
      <c r="AM1607" s="228">
        <v>0</v>
      </c>
      <c r="AN1607" s="228">
        <v>0</v>
      </c>
      <c r="AO1607" s="229">
        <v>47</v>
      </c>
      <c r="AP1607" s="231">
        <v>11</v>
      </c>
      <c r="AQ1607" s="231">
        <v>2025</v>
      </c>
      <c r="AR1607" s="231" t="str">
        <f t="shared" si="234"/>
        <v>11/2025</v>
      </c>
      <c r="AS1607" s="231">
        <f t="shared" si="235"/>
        <v>46.6</v>
      </c>
      <c r="AT1607" s="239">
        <f>IF(G1607="CERVECERIA Y MALTERIA",(AS1607*AK1607/1000000)*(1-VLOOKUP(N1607,FCST!D:I,6,FALSE)),0)</f>
        <v>15.911700480000002</v>
      </c>
      <c r="AU1607" s="232">
        <v>5.0000000000000001E-3</v>
      </c>
      <c r="AV1607" s="239">
        <f t="shared" si="236"/>
        <v>15.9912589824</v>
      </c>
      <c r="AW1607" s="239">
        <f>(AS1607*AK1607/1000000)*(VLOOKUP(N1607,FCST!D:I,6,FALSE))</f>
        <v>3.9779251200000005</v>
      </c>
      <c r="AX1607" s="239">
        <f t="shared" si="237"/>
        <v>3.9978147455999999</v>
      </c>
      <c r="AY1607" s="239">
        <f>IF($G1607="CERVECERIA Y MALTERIA.",($AS1607*$AK1607/1000000)*(1-VLOOKUP($N1607,FCST!D:I,6,FALSE)),0)</f>
        <v>0</v>
      </c>
      <c r="AZ1607" s="239">
        <f t="shared" si="238"/>
        <v>0</v>
      </c>
    </row>
    <row r="1608" spans="1:52" x14ac:dyDescent="0.25">
      <c r="A1608" s="209">
        <v>1151552</v>
      </c>
      <c r="B1608" s="209">
        <v>10</v>
      </c>
      <c r="C1608" s="209" t="s">
        <v>3616</v>
      </c>
      <c r="D1608" s="209">
        <v>10</v>
      </c>
      <c r="E1608" s="209">
        <v>10000002</v>
      </c>
      <c r="F1608" s="209">
        <v>20000337</v>
      </c>
      <c r="G1608" s="209" t="s">
        <v>105</v>
      </c>
      <c r="H1608" s="209">
        <v>20000337</v>
      </c>
      <c r="I1608" s="209">
        <v>2</v>
      </c>
      <c r="J1608" s="209" t="s">
        <v>169</v>
      </c>
      <c r="K1608" s="209" t="s">
        <v>3617</v>
      </c>
      <c r="L1608" s="209" t="s">
        <v>2610</v>
      </c>
      <c r="M1608" s="209" t="s">
        <v>199</v>
      </c>
      <c r="N1608" s="209">
        <v>50039815</v>
      </c>
      <c r="O1608" s="209" t="s">
        <v>2454</v>
      </c>
      <c r="P1608" s="209">
        <v>5121</v>
      </c>
      <c r="Q1608" s="209" t="s">
        <v>200</v>
      </c>
      <c r="R1608" s="209" t="s">
        <v>201</v>
      </c>
      <c r="S1608" s="209" t="s">
        <v>202</v>
      </c>
      <c r="T1608" s="209" t="s">
        <v>203</v>
      </c>
      <c r="U1608" s="209" t="s">
        <v>201</v>
      </c>
      <c r="V1608" s="209" t="s">
        <v>179</v>
      </c>
      <c r="W1608" s="209" t="s">
        <v>179</v>
      </c>
      <c r="X1608" s="209" t="s">
        <v>180</v>
      </c>
      <c r="Y1608" s="209" t="s">
        <v>180</v>
      </c>
      <c r="Z1608" s="209" t="s">
        <v>3594</v>
      </c>
      <c r="AA1608" s="209" t="s">
        <v>3595</v>
      </c>
      <c r="AB1608" s="209" t="s">
        <v>180</v>
      </c>
      <c r="AC1608" s="209" t="s">
        <v>182</v>
      </c>
      <c r="AD1608" s="209">
        <v>11</v>
      </c>
      <c r="AE1608" s="209">
        <v>2025</v>
      </c>
      <c r="AF1608" s="227">
        <v>45978</v>
      </c>
      <c r="AG1608" s="227">
        <v>45979</v>
      </c>
      <c r="AH1608" s="227">
        <v>45979</v>
      </c>
      <c r="AI1608" s="228">
        <v>426816</v>
      </c>
      <c r="AJ1608" s="228">
        <v>52</v>
      </c>
      <c r="AK1608" s="228">
        <v>426816</v>
      </c>
      <c r="AL1608" s="228">
        <v>52</v>
      </c>
      <c r="AM1608" s="228">
        <v>0</v>
      </c>
      <c r="AN1608" s="228">
        <v>0</v>
      </c>
      <c r="AO1608" s="229">
        <v>47</v>
      </c>
      <c r="AP1608" s="231">
        <v>11</v>
      </c>
      <c r="AQ1608" s="231">
        <v>2025</v>
      </c>
      <c r="AR1608" s="231" t="str">
        <f t="shared" si="234"/>
        <v>11/2025</v>
      </c>
      <c r="AS1608" s="231">
        <f t="shared" si="235"/>
        <v>46.6</v>
      </c>
      <c r="AT1608" s="239">
        <f>IF(G1608="CERVECERIA Y MALTERIA",(AS1608*AK1608/1000000)*(1-VLOOKUP(N1608,FCST!D:I,6,FALSE)),0)</f>
        <v>15.911700480000002</v>
      </c>
      <c r="AU1608" s="232">
        <v>5.0000000000000001E-3</v>
      </c>
      <c r="AV1608" s="239">
        <f t="shared" si="236"/>
        <v>15.9912589824</v>
      </c>
      <c r="AW1608" s="239">
        <f>(AS1608*AK1608/1000000)*(VLOOKUP(N1608,FCST!D:I,6,FALSE))</f>
        <v>3.9779251200000005</v>
      </c>
      <c r="AX1608" s="239">
        <f t="shared" si="237"/>
        <v>3.9978147455999999</v>
      </c>
      <c r="AY1608" s="239">
        <f>IF($G1608="CERVECERIA Y MALTERIA.",($AS1608*$AK1608/1000000)*(1-VLOOKUP($N1608,FCST!D:I,6,FALSE)),0)</f>
        <v>0</v>
      </c>
      <c r="AZ1608" s="239">
        <f t="shared" si="238"/>
        <v>0</v>
      </c>
    </row>
    <row r="1609" spans="1:52" x14ac:dyDescent="0.25">
      <c r="A1609" s="209">
        <v>1152468</v>
      </c>
      <c r="B1609" s="209">
        <v>160</v>
      </c>
      <c r="C1609" s="209" t="s">
        <v>3618</v>
      </c>
      <c r="D1609" s="209">
        <v>10</v>
      </c>
      <c r="E1609" s="209">
        <v>10000002</v>
      </c>
      <c r="F1609" s="209">
        <v>20000335</v>
      </c>
      <c r="G1609" s="209" t="s">
        <v>105</v>
      </c>
      <c r="H1609" s="209">
        <v>20000335</v>
      </c>
      <c r="I1609" s="209">
        <v>2</v>
      </c>
      <c r="J1609" s="209" t="s">
        <v>169</v>
      </c>
      <c r="K1609" s="209" t="s">
        <v>3619</v>
      </c>
      <c r="L1609" s="209" t="s">
        <v>2610</v>
      </c>
      <c r="M1609" s="209" t="s">
        <v>199</v>
      </c>
      <c r="N1609" s="209">
        <v>50035183</v>
      </c>
      <c r="O1609" s="209" t="s">
        <v>215</v>
      </c>
      <c r="P1609" s="209">
        <v>5121</v>
      </c>
      <c r="Q1609" s="209" t="s">
        <v>200</v>
      </c>
      <c r="R1609" s="209" t="s">
        <v>201</v>
      </c>
      <c r="S1609" s="209" t="s">
        <v>202</v>
      </c>
      <c r="T1609" s="209" t="s">
        <v>203</v>
      </c>
      <c r="U1609" s="209" t="s">
        <v>201</v>
      </c>
      <c r="V1609" s="209" t="s">
        <v>179</v>
      </c>
      <c r="W1609" s="209" t="s">
        <v>179</v>
      </c>
      <c r="X1609" s="209" t="s">
        <v>180</v>
      </c>
      <c r="Y1609" s="209" t="s">
        <v>180</v>
      </c>
      <c r="Z1609" s="209" t="s">
        <v>3620</v>
      </c>
      <c r="AA1609" s="209" t="s">
        <v>3621</v>
      </c>
      <c r="AB1609" s="209" t="s">
        <v>180</v>
      </c>
      <c r="AC1609" s="209" t="s">
        <v>182</v>
      </c>
      <c r="AD1609" s="209">
        <v>11</v>
      </c>
      <c r="AE1609" s="209">
        <v>2025</v>
      </c>
      <c r="AF1609" s="227">
        <v>45982</v>
      </c>
      <c r="AG1609" s="227">
        <v>45988</v>
      </c>
      <c r="AH1609" s="227">
        <v>45988</v>
      </c>
      <c r="AI1609" s="228">
        <v>98496</v>
      </c>
      <c r="AJ1609" s="228">
        <v>12</v>
      </c>
      <c r="AK1609" s="228">
        <v>98496</v>
      </c>
      <c r="AL1609" s="228">
        <v>12</v>
      </c>
      <c r="AM1609" s="228">
        <v>0</v>
      </c>
      <c r="AN1609" s="228">
        <v>0</v>
      </c>
      <c r="AO1609" s="229">
        <v>48</v>
      </c>
      <c r="AP1609" s="231">
        <v>11</v>
      </c>
      <c r="AQ1609" s="231">
        <v>2025</v>
      </c>
      <c r="AR1609" s="231" t="str">
        <f t="shared" si="234"/>
        <v>11/2025</v>
      </c>
      <c r="AS1609" s="231">
        <f t="shared" si="235"/>
        <v>46.6</v>
      </c>
      <c r="AT1609" s="239">
        <f>IF(G1609="CERVECERIA Y MALTERIA",(AS1609*AK1609/1000000)*(1-VLOOKUP(N1609,FCST!D:I,6,FALSE)),0)</f>
        <v>4.5899136000000009</v>
      </c>
      <c r="AU1609" s="232">
        <v>5.0000000000000001E-3</v>
      </c>
      <c r="AV1609" s="239">
        <f t="shared" si="236"/>
        <v>4.6128631680000005</v>
      </c>
      <c r="AW1609" s="239">
        <f>(AS1609*AK1609/1000000)*(VLOOKUP(N1609,FCST!D:I,6,FALSE))</f>
        <v>0</v>
      </c>
      <c r="AX1609" s="239">
        <f t="shared" si="237"/>
        <v>0</v>
      </c>
      <c r="AY1609" s="239">
        <f>IF($G1609="CERVECERIA Y MALTERIA.",($AS1609*$AK1609/1000000)*(1-VLOOKUP($N1609,FCST!D:I,6,FALSE)),0)</f>
        <v>0</v>
      </c>
      <c r="AZ1609" s="239">
        <f t="shared" si="238"/>
        <v>0</v>
      </c>
    </row>
    <row r="1610" spans="1:52" x14ac:dyDescent="0.25">
      <c r="A1610" s="209">
        <v>1152468</v>
      </c>
      <c r="B1610" s="209">
        <v>120</v>
      </c>
      <c r="C1610" s="209" t="s">
        <v>3622</v>
      </c>
      <c r="D1610" s="209">
        <v>10</v>
      </c>
      <c r="E1610" s="209">
        <v>10000002</v>
      </c>
      <c r="F1610" s="209">
        <v>20000335</v>
      </c>
      <c r="G1610" s="209" t="s">
        <v>105</v>
      </c>
      <c r="H1610" s="209">
        <v>20000335</v>
      </c>
      <c r="I1610" s="209">
        <v>2</v>
      </c>
      <c r="J1610" s="209" t="s">
        <v>169</v>
      </c>
      <c r="K1610" s="209" t="s">
        <v>3623</v>
      </c>
      <c r="L1610" s="209" t="s">
        <v>2610</v>
      </c>
      <c r="M1610" s="209" t="s">
        <v>199</v>
      </c>
      <c r="N1610" s="209">
        <v>50034616</v>
      </c>
      <c r="O1610" s="209" t="s">
        <v>191</v>
      </c>
      <c r="P1610" s="209">
        <v>5121</v>
      </c>
      <c r="Q1610" s="209" t="s">
        <v>200</v>
      </c>
      <c r="R1610" s="209" t="s">
        <v>201</v>
      </c>
      <c r="S1610" s="209" t="s">
        <v>202</v>
      </c>
      <c r="T1610" s="209" t="s">
        <v>203</v>
      </c>
      <c r="U1610" s="209" t="s">
        <v>201</v>
      </c>
      <c r="V1610" s="209" t="s">
        <v>179</v>
      </c>
      <c r="W1610" s="209" t="s">
        <v>179</v>
      </c>
      <c r="X1610" s="209" t="s">
        <v>180</v>
      </c>
      <c r="Y1610" s="209" t="s">
        <v>180</v>
      </c>
      <c r="Z1610" s="209" t="s">
        <v>3624</v>
      </c>
      <c r="AA1610" s="209" t="s">
        <v>3625</v>
      </c>
      <c r="AB1610" s="209" t="s">
        <v>180</v>
      </c>
      <c r="AC1610" s="209" t="s">
        <v>182</v>
      </c>
      <c r="AD1610" s="209">
        <v>11</v>
      </c>
      <c r="AE1610" s="209">
        <v>2025</v>
      </c>
      <c r="AF1610" s="227">
        <v>45982</v>
      </c>
      <c r="AG1610" s="227">
        <v>45988</v>
      </c>
      <c r="AH1610" s="227">
        <v>45988</v>
      </c>
      <c r="AI1610" s="228">
        <v>295488</v>
      </c>
      <c r="AJ1610" s="228">
        <v>36</v>
      </c>
      <c r="AK1610" s="228">
        <v>295488</v>
      </c>
      <c r="AL1610" s="228">
        <v>36</v>
      </c>
      <c r="AM1610" s="228">
        <v>0</v>
      </c>
      <c r="AN1610" s="228">
        <v>0</v>
      </c>
      <c r="AO1610" s="229">
        <v>48</v>
      </c>
      <c r="AP1610" s="231">
        <v>11</v>
      </c>
      <c r="AQ1610" s="231">
        <v>2025</v>
      </c>
      <c r="AR1610" s="231" t="str">
        <f t="shared" si="234"/>
        <v>11/2025</v>
      </c>
      <c r="AS1610" s="231">
        <f t="shared" si="235"/>
        <v>46.6</v>
      </c>
      <c r="AT1610" s="239">
        <f>IF(G1610="CERVECERIA Y MALTERIA",(AS1610*AK1610/1000000)*(1-VLOOKUP(N1610,FCST!D:I,6,FALSE)),0)</f>
        <v>13.769740800000001</v>
      </c>
      <c r="AU1610" s="232">
        <v>5.0000000000000001E-3</v>
      </c>
      <c r="AV1610" s="239">
        <f t="shared" si="236"/>
        <v>13.838589504</v>
      </c>
      <c r="AW1610" s="239">
        <f>(AS1610*AK1610/1000000)*(VLOOKUP(N1610,FCST!D:I,6,FALSE))</f>
        <v>0</v>
      </c>
      <c r="AX1610" s="239">
        <f t="shared" si="237"/>
        <v>0</v>
      </c>
      <c r="AY1610" s="239">
        <f>IF($G1610="CERVECERIA Y MALTERIA.",($AS1610*$AK1610/1000000)*(1-VLOOKUP($N1610,FCST!D:I,6,FALSE)),0)</f>
        <v>0</v>
      </c>
      <c r="AZ1610" s="239">
        <f t="shared" si="238"/>
        <v>0</v>
      </c>
    </row>
    <row r="1611" spans="1:52" x14ac:dyDescent="0.25">
      <c r="A1611" s="209">
        <v>1152509</v>
      </c>
      <c r="B1611" s="209">
        <v>30</v>
      </c>
      <c r="C1611" s="209" t="s">
        <v>3626</v>
      </c>
      <c r="D1611" s="209">
        <v>10</v>
      </c>
      <c r="E1611" s="209">
        <v>10000002</v>
      </c>
      <c r="F1611" s="209">
        <v>20000337</v>
      </c>
      <c r="G1611" s="209" t="s">
        <v>105</v>
      </c>
      <c r="H1611" s="209">
        <v>20000337</v>
      </c>
      <c r="I1611" s="209">
        <v>2</v>
      </c>
      <c r="J1611" s="209" t="s">
        <v>169</v>
      </c>
      <c r="K1611" s="209" t="s">
        <v>3627</v>
      </c>
      <c r="L1611" s="209" t="s">
        <v>2610</v>
      </c>
      <c r="M1611" s="209" t="s">
        <v>199</v>
      </c>
      <c r="N1611" s="209">
        <v>50039815</v>
      </c>
      <c r="O1611" s="209" t="s">
        <v>2454</v>
      </c>
      <c r="P1611" s="209">
        <v>5121</v>
      </c>
      <c r="Q1611" s="209" t="s">
        <v>200</v>
      </c>
      <c r="R1611" s="209" t="s">
        <v>201</v>
      </c>
      <c r="S1611" s="209" t="s">
        <v>202</v>
      </c>
      <c r="T1611" s="209" t="s">
        <v>203</v>
      </c>
      <c r="U1611" s="209" t="s">
        <v>201</v>
      </c>
      <c r="V1611" s="209" t="s">
        <v>179</v>
      </c>
      <c r="W1611" s="209" t="s">
        <v>179</v>
      </c>
      <c r="X1611" s="209" t="s">
        <v>180</v>
      </c>
      <c r="Y1611" s="209" t="s">
        <v>180</v>
      </c>
      <c r="Z1611" s="209" t="s">
        <v>3628</v>
      </c>
      <c r="AA1611" s="209" t="s">
        <v>3629</v>
      </c>
      <c r="AB1611" s="209" t="s">
        <v>180</v>
      </c>
      <c r="AC1611" s="209" t="s">
        <v>182</v>
      </c>
      <c r="AD1611" s="209">
        <v>11</v>
      </c>
      <c r="AE1611" s="209">
        <v>2025</v>
      </c>
      <c r="AF1611" s="227">
        <v>45982</v>
      </c>
      <c r="AG1611" s="227">
        <v>45988</v>
      </c>
      <c r="AH1611" s="227">
        <v>45989</v>
      </c>
      <c r="AI1611" s="228">
        <v>426816</v>
      </c>
      <c r="AJ1611" s="228">
        <v>52</v>
      </c>
      <c r="AK1611" s="228">
        <v>426816</v>
      </c>
      <c r="AL1611" s="228">
        <v>52</v>
      </c>
      <c r="AM1611" s="228">
        <v>0</v>
      </c>
      <c r="AN1611" s="228">
        <v>0</v>
      </c>
      <c r="AO1611" s="229">
        <v>48</v>
      </c>
      <c r="AP1611" s="231">
        <v>11</v>
      </c>
      <c r="AQ1611" s="231">
        <v>2025</v>
      </c>
      <c r="AR1611" s="231" t="str">
        <f t="shared" si="234"/>
        <v>11/2025</v>
      </c>
      <c r="AS1611" s="231">
        <f t="shared" si="235"/>
        <v>46.6</v>
      </c>
      <c r="AT1611" s="239">
        <f>IF(G1611="CERVECERIA Y MALTERIA",(AS1611*AK1611/1000000)*(1-VLOOKUP(N1611,FCST!D:I,6,FALSE)),0)</f>
        <v>15.911700480000002</v>
      </c>
      <c r="AU1611" s="232">
        <v>5.0000000000000001E-3</v>
      </c>
      <c r="AV1611" s="239">
        <f t="shared" si="236"/>
        <v>15.9912589824</v>
      </c>
      <c r="AW1611" s="239">
        <f>(AS1611*AK1611/1000000)*(VLOOKUP(N1611,FCST!D:I,6,FALSE))</f>
        <v>3.9779251200000005</v>
      </c>
      <c r="AX1611" s="239">
        <f t="shared" si="237"/>
        <v>3.9978147455999999</v>
      </c>
      <c r="AY1611" s="239">
        <f>IF($G1611="CERVECERIA Y MALTERIA.",($AS1611*$AK1611/1000000)*(1-VLOOKUP($N1611,FCST!D:I,6,FALSE)),0)</f>
        <v>0</v>
      </c>
      <c r="AZ1611" s="239">
        <f t="shared" si="238"/>
        <v>0</v>
      </c>
    </row>
    <row r="1612" spans="1:52" x14ac:dyDescent="0.25">
      <c r="A1612" s="209">
        <v>1152468</v>
      </c>
      <c r="B1612" s="209">
        <v>220</v>
      </c>
      <c r="C1612" s="209" t="s">
        <v>3630</v>
      </c>
      <c r="D1612" s="209">
        <v>10</v>
      </c>
      <c r="E1612" s="209">
        <v>10000002</v>
      </c>
      <c r="F1612" s="209">
        <v>20000335</v>
      </c>
      <c r="G1612" s="209" t="s">
        <v>105</v>
      </c>
      <c r="H1612" s="209">
        <v>20000335</v>
      </c>
      <c r="I1612" s="209">
        <v>2</v>
      </c>
      <c r="J1612" s="209" t="s">
        <v>169</v>
      </c>
      <c r="K1612" s="209" t="s">
        <v>3631</v>
      </c>
      <c r="L1612" s="209" t="s">
        <v>2610</v>
      </c>
      <c r="M1612" s="209" t="s">
        <v>199</v>
      </c>
      <c r="N1612" s="209">
        <v>50025345</v>
      </c>
      <c r="O1612" s="209" t="s">
        <v>1998</v>
      </c>
      <c r="P1612" s="209">
        <v>5121</v>
      </c>
      <c r="Q1612" s="209" t="s">
        <v>200</v>
      </c>
      <c r="R1612" s="209" t="s">
        <v>201</v>
      </c>
      <c r="S1612" s="209" t="s">
        <v>202</v>
      </c>
      <c r="T1612" s="209" t="s">
        <v>203</v>
      </c>
      <c r="U1612" s="209" t="s">
        <v>201</v>
      </c>
      <c r="V1612" s="209" t="s">
        <v>179</v>
      </c>
      <c r="W1612" s="209" t="s">
        <v>179</v>
      </c>
      <c r="X1612" s="209" t="s">
        <v>180</v>
      </c>
      <c r="Y1612" s="209" t="s">
        <v>180</v>
      </c>
      <c r="Z1612" s="209" t="s">
        <v>3632</v>
      </c>
      <c r="AA1612" s="209" t="s">
        <v>3633</v>
      </c>
      <c r="AB1612" s="209" t="s">
        <v>180</v>
      </c>
      <c r="AC1612" s="209" t="s">
        <v>182</v>
      </c>
      <c r="AD1612" s="209">
        <v>11</v>
      </c>
      <c r="AE1612" s="209">
        <v>2025</v>
      </c>
      <c r="AF1612" s="227">
        <v>45982</v>
      </c>
      <c r="AG1612" s="227">
        <v>45989</v>
      </c>
      <c r="AH1612" s="227">
        <v>45989</v>
      </c>
      <c r="AI1612" s="228">
        <v>82080</v>
      </c>
      <c r="AJ1612" s="228">
        <v>10</v>
      </c>
      <c r="AK1612" s="228">
        <v>82080</v>
      </c>
      <c r="AL1612" s="228">
        <v>10</v>
      </c>
      <c r="AM1612" s="228">
        <v>0</v>
      </c>
      <c r="AN1612" s="228">
        <v>0</v>
      </c>
      <c r="AO1612" s="229">
        <v>48</v>
      </c>
      <c r="AP1612" s="231">
        <v>11</v>
      </c>
      <c r="AQ1612" s="231">
        <v>2025</v>
      </c>
      <c r="AR1612" s="231" t="str">
        <f t="shared" si="234"/>
        <v>11/2025</v>
      </c>
      <c r="AS1612" s="231">
        <f t="shared" si="235"/>
        <v>46.6</v>
      </c>
      <c r="AT1612" s="239">
        <f>IF(G1612="CERVECERIA Y MALTERIA",(AS1612*AK1612/1000000)*(1-VLOOKUP(N1612,FCST!D:I,6,FALSE)),0)</f>
        <v>3.8249279999999999</v>
      </c>
      <c r="AU1612" s="232">
        <v>5.0000000000000001E-3</v>
      </c>
      <c r="AV1612" s="239">
        <f t="shared" si="236"/>
        <v>3.8440526399999997</v>
      </c>
      <c r="AW1612" s="239">
        <f>(AS1612*AK1612/1000000)*(VLOOKUP(N1612,FCST!D:I,6,FALSE))</f>
        <v>0</v>
      </c>
      <c r="AX1612" s="239">
        <f t="shared" si="237"/>
        <v>0</v>
      </c>
      <c r="AY1612" s="239">
        <f>IF($G1612="CERVECERIA Y MALTERIA.",($AS1612*$AK1612/1000000)*(1-VLOOKUP($N1612,FCST!D:I,6,FALSE)),0)</f>
        <v>0</v>
      </c>
      <c r="AZ1612" s="239">
        <f t="shared" si="238"/>
        <v>0</v>
      </c>
    </row>
    <row r="1613" spans="1:52" x14ac:dyDescent="0.25">
      <c r="A1613" s="209">
        <v>1152497</v>
      </c>
      <c r="B1613" s="209">
        <v>20</v>
      </c>
      <c r="C1613" s="209" t="s">
        <v>3634</v>
      </c>
      <c r="D1613" s="209">
        <v>10</v>
      </c>
      <c r="E1613" s="209">
        <v>10000002</v>
      </c>
      <c r="F1613" s="209">
        <v>20000339</v>
      </c>
      <c r="G1613" s="209" t="s">
        <v>105</v>
      </c>
      <c r="H1613" s="209">
        <v>20000339</v>
      </c>
      <c r="I1613" s="209">
        <v>2</v>
      </c>
      <c r="J1613" s="209" t="s">
        <v>169</v>
      </c>
      <c r="K1613" s="209" t="s">
        <v>3635</v>
      </c>
      <c r="L1613" s="209" t="s">
        <v>2610</v>
      </c>
      <c r="M1613" s="209" t="s">
        <v>227</v>
      </c>
      <c r="N1613" s="209">
        <v>50036287</v>
      </c>
      <c r="O1613" s="209" t="s">
        <v>2191</v>
      </c>
      <c r="P1613" s="209">
        <v>5121</v>
      </c>
      <c r="Q1613" s="209" t="s">
        <v>228</v>
      </c>
      <c r="R1613" s="209" t="s">
        <v>229</v>
      </c>
      <c r="S1613" s="209" t="s">
        <v>230</v>
      </c>
      <c r="T1613" s="209" t="s">
        <v>231</v>
      </c>
      <c r="U1613" s="209" t="s">
        <v>232</v>
      </c>
      <c r="V1613" s="209" t="s">
        <v>179</v>
      </c>
      <c r="W1613" s="209" t="s">
        <v>179</v>
      </c>
      <c r="X1613" s="209" t="s">
        <v>180</v>
      </c>
      <c r="Y1613" s="209" t="s">
        <v>180</v>
      </c>
      <c r="Z1613" s="209" t="s">
        <v>3590</v>
      </c>
      <c r="AA1613" s="209" t="s">
        <v>3591</v>
      </c>
      <c r="AB1613" s="209" t="s">
        <v>180</v>
      </c>
      <c r="AC1613" s="209" t="s">
        <v>182</v>
      </c>
      <c r="AD1613" s="209">
        <v>11</v>
      </c>
      <c r="AE1613" s="209">
        <v>2025</v>
      </c>
      <c r="AF1613" s="227">
        <v>45982</v>
      </c>
      <c r="AG1613" s="227">
        <v>45987</v>
      </c>
      <c r="AH1613" s="227">
        <v>45987</v>
      </c>
      <c r="AI1613" s="228">
        <v>363168</v>
      </c>
      <c r="AJ1613" s="228">
        <v>52</v>
      </c>
      <c r="AK1613" s="228">
        <v>363168</v>
      </c>
      <c r="AL1613" s="228">
        <v>52</v>
      </c>
      <c r="AM1613" s="228">
        <v>0</v>
      </c>
      <c r="AN1613" s="228">
        <v>0</v>
      </c>
      <c r="AO1613" s="229">
        <v>48</v>
      </c>
      <c r="AP1613" s="231">
        <v>11</v>
      </c>
      <c r="AQ1613" s="231">
        <v>2025</v>
      </c>
      <c r="AR1613" s="231" t="str">
        <f t="shared" si="234"/>
        <v>11/2025</v>
      </c>
      <c r="AS1613" s="231">
        <f t="shared" si="235"/>
        <v>52</v>
      </c>
      <c r="AT1613" s="239">
        <f>IF(G1613="CERVECERIA Y MALTERIA",(AS1613*AK1613/1000000)*(1-VLOOKUP(N1613,FCST!D:I,6,FALSE)),0)</f>
        <v>18.884736</v>
      </c>
      <c r="AU1613" s="232">
        <v>5.0000000000000001E-3</v>
      </c>
      <c r="AV1613" s="239">
        <f t="shared" si="236"/>
        <v>18.979159679999999</v>
      </c>
      <c r="AW1613" s="239">
        <f>(AS1613*AK1613/1000000)*(VLOOKUP(N1613,FCST!D:I,6,FALSE))</f>
        <v>0</v>
      </c>
      <c r="AX1613" s="239">
        <f t="shared" si="237"/>
        <v>0</v>
      </c>
      <c r="AY1613" s="239">
        <f>IF($G1613="CERVECERIA Y MALTERIA.",($AS1613*$AK1613/1000000)*(1-VLOOKUP($N1613,FCST!D:I,6,FALSE)),0)</f>
        <v>0</v>
      </c>
      <c r="AZ1613" s="239">
        <f t="shared" si="238"/>
        <v>0</v>
      </c>
    </row>
    <row r="1614" spans="1:52" x14ac:dyDescent="0.25">
      <c r="A1614" s="209">
        <v>1152468</v>
      </c>
      <c r="B1614" s="209">
        <v>110</v>
      </c>
      <c r="C1614" s="209" t="s">
        <v>3636</v>
      </c>
      <c r="D1614" s="209">
        <v>10</v>
      </c>
      <c r="E1614" s="209">
        <v>10000002</v>
      </c>
      <c r="F1614" s="209">
        <v>20000335</v>
      </c>
      <c r="G1614" s="209" t="s">
        <v>105</v>
      </c>
      <c r="H1614" s="209">
        <v>20000335</v>
      </c>
      <c r="I1614" s="209">
        <v>2</v>
      </c>
      <c r="J1614" s="209" t="s">
        <v>169</v>
      </c>
      <c r="K1614" s="209" t="s">
        <v>3637</v>
      </c>
      <c r="L1614" s="209" t="s">
        <v>2610</v>
      </c>
      <c r="M1614" s="209" t="s">
        <v>199</v>
      </c>
      <c r="N1614" s="209">
        <v>50024497</v>
      </c>
      <c r="O1614" s="209" t="s">
        <v>1352</v>
      </c>
      <c r="P1614" s="209">
        <v>5121</v>
      </c>
      <c r="Q1614" s="209" t="s">
        <v>200</v>
      </c>
      <c r="R1614" s="209" t="s">
        <v>201</v>
      </c>
      <c r="S1614" s="209" t="s">
        <v>202</v>
      </c>
      <c r="T1614" s="209" t="s">
        <v>203</v>
      </c>
      <c r="U1614" s="209" t="s">
        <v>201</v>
      </c>
      <c r="V1614" s="209" t="s">
        <v>179</v>
      </c>
      <c r="W1614" s="209" t="s">
        <v>179</v>
      </c>
      <c r="X1614" s="209" t="s">
        <v>180</v>
      </c>
      <c r="Y1614" s="209" t="s">
        <v>180</v>
      </c>
      <c r="Z1614" s="209" t="s">
        <v>3638</v>
      </c>
      <c r="AA1614" s="209" t="s">
        <v>3639</v>
      </c>
      <c r="AB1614" s="209" t="s">
        <v>180</v>
      </c>
      <c r="AC1614" s="209" t="s">
        <v>182</v>
      </c>
      <c r="AD1614" s="209">
        <v>11</v>
      </c>
      <c r="AE1614" s="209">
        <v>2025</v>
      </c>
      <c r="AF1614" s="227">
        <v>45982</v>
      </c>
      <c r="AG1614" s="227">
        <v>45987</v>
      </c>
      <c r="AH1614" s="227">
        <v>45987</v>
      </c>
      <c r="AI1614" s="228">
        <v>351936</v>
      </c>
      <c r="AJ1614" s="228">
        <v>52</v>
      </c>
      <c r="AK1614" s="228">
        <v>351936</v>
      </c>
      <c r="AL1614" s="228">
        <v>52</v>
      </c>
      <c r="AM1614" s="228">
        <v>0</v>
      </c>
      <c r="AN1614" s="228">
        <v>0</v>
      </c>
      <c r="AO1614" s="229">
        <v>48</v>
      </c>
      <c r="AP1614" s="231">
        <v>11</v>
      </c>
      <c r="AQ1614" s="231">
        <v>2025</v>
      </c>
      <c r="AR1614" s="231" t="str">
        <f t="shared" si="234"/>
        <v>11/2025</v>
      </c>
      <c r="AS1614" s="231">
        <f t="shared" si="235"/>
        <v>54.7</v>
      </c>
      <c r="AT1614" s="239">
        <f>IF(G1614="CERVECERIA Y MALTERIA",(AS1614*AK1614/1000000)*(1-VLOOKUP(N1614,FCST!D:I,6,FALSE)),0)</f>
        <v>19.250899199999999</v>
      </c>
      <c r="AU1614" s="232">
        <v>5.0000000000000001E-3</v>
      </c>
      <c r="AV1614" s="239">
        <f t="shared" si="236"/>
        <v>19.347153695999996</v>
      </c>
      <c r="AW1614" s="239">
        <f>(AS1614*AK1614/1000000)*(VLOOKUP(N1614,FCST!D:I,6,FALSE))</f>
        <v>0</v>
      </c>
      <c r="AX1614" s="239">
        <f t="shared" si="237"/>
        <v>0</v>
      </c>
      <c r="AY1614" s="239">
        <f>IF($G1614="CERVECERIA Y MALTERIA.",($AS1614*$AK1614/1000000)*(1-VLOOKUP($N1614,FCST!D:I,6,FALSE)),0)</f>
        <v>0</v>
      </c>
      <c r="AZ1614" s="239">
        <f t="shared" si="238"/>
        <v>0</v>
      </c>
    </row>
    <row r="1615" spans="1:52" x14ac:dyDescent="0.25">
      <c r="A1615" s="209">
        <v>1152509</v>
      </c>
      <c r="B1615" s="209">
        <v>20</v>
      </c>
      <c r="C1615" s="209" t="s">
        <v>3640</v>
      </c>
      <c r="D1615" s="209">
        <v>10</v>
      </c>
      <c r="E1615" s="209">
        <v>10000002</v>
      </c>
      <c r="F1615" s="209">
        <v>20000337</v>
      </c>
      <c r="G1615" s="209" t="s">
        <v>105</v>
      </c>
      <c r="H1615" s="209">
        <v>20000337</v>
      </c>
      <c r="I1615" s="209">
        <v>2</v>
      </c>
      <c r="J1615" s="209" t="s">
        <v>169</v>
      </c>
      <c r="K1615" s="209" t="s">
        <v>3641</v>
      </c>
      <c r="L1615" s="209" t="s">
        <v>2610</v>
      </c>
      <c r="M1615" s="209" t="s">
        <v>199</v>
      </c>
      <c r="N1615" s="209">
        <v>50039815</v>
      </c>
      <c r="O1615" s="209" t="s">
        <v>2454</v>
      </c>
      <c r="P1615" s="209">
        <v>5121</v>
      </c>
      <c r="Q1615" s="209" t="s">
        <v>200</v>
      </c>
      <c r="R1615" s="209" t="s">
        <v>201</v>
      </c>
      <c r="S1615" s="209" t="s">
        <v>202</v>
      </c>
      <c r="T1615" s="209" t="s">
        <v>203</v>
      </c>
      <c r="U1615" s="209" t="s">
        <v>201</v>
      </c>
      <c r="V1615" s="209" t="s">
        <v>179</v>
      </c>
      <c r="W1615" s="209" t="s">
        <v>179</v>
      </c>
      <c r="X1615" s="209" t="s">
        <v>180</v>
      </c>
      <c r="Y1615" s="209" t="s">
        <v>180</v>
      </c>
      <c r="Z1615" s="209" t="s">
        <v>3594</v>
      </c>
      <c r="AA1615" s="209" t="s">
        <v>3595</v>
      </c>
      <c r="AB1615" s="209" t="s">
        <v>180</v>
      </c>
      <c r="AC1615" s="209" t="s">
        <v>182</v>
      </c>
      <c r="AD1615" s="209">
        <v>11</v>
      </c>
      <c r="AE1615" s="209">
        <v>2025</v>
      </c>
      <c r="AF1615" s="227">
        <v>45982</v>
      </c>
      <c r="AG1615" s="227">
        <v>45986</v>
      </c>
      <c r="AH1615" s="227">
        <v>45986</v>
      </c>
      <c r="AI1615" s="228">
        <v>426816</v>
      </c>
      <c r="AJ1615" s="228">
        <v>52</v>
      </c>
      <c r="AK1615" s="228">
        <v>426816</v>
      </c>
      <c r="AL1615" s="228">
        <v>52</v>
      </c>
      <c r="AM1615" s="228">
        <v>0</v>
      </c>
      <c r="AN1615" s="228">
        <v>0</v>
      </c>
      <c r="AO1615" s="229">
        <v>48</v>
      </c>
      <c r="AP1615" s="231">
        <v>11</v>
      </c>
      <c r="AQ1615" s="231">
        <v>2025</v>
      </c>
      <c r="AR1615" s="231" t="str">
        <f t="shared" si="234"/>
        <v>11/2025</v>
      </c>
      <c r="AS1615" s="231">
        <f t="shared" si="235"/>
        <v>46.6</v>
      </c>
      <c r="AT1615" s="239">
        <f>IF(G1615="CERVECERIA Y MALTERIA",(AS1615*AK1615/1000000)*(1-VLOOKUP(N1615,FCST!D:I,6,FALSE)),0)</f>
        <v>15.911700480000002</v>
      </c>
      <c r="AU1615" s="232">
        <v>5.0000000000000001E-3</v>
      </c>
      <c r="AV1615" s="239">
        <f t="shared" si="236"/>
        <v>15.9912589824</v>
      </c>
      <c r="AW1615" s="239">
        <f>(AS1615*AK1615/1000000)*(VLOOKUP(N1615,FCST!D:I,6,FALSE))</f>
        <v>3.9779251200000005</v>
      </c>
      <c r="AX1615" s="239">
        <f t="shared" si="237"/>
        <v>3.9978147455999999</v>
      </c>
      <c r="AY1615" s="239">
        <f>IF($G1615="CERVECERIA Y MALTERIA.",($AS1615*$AK1615/1000000)*(1-VLOOKUP($N1615,FCST!D:I,6,FALSE)),0)</f>
        <v>0</v>
      </c>
      <c r="AZ1615" s="239">
        <f t="shared" si="238"/>
        <v>0</v>
      </c>
    </row>
    <row r="1616" spans="1:52" x14ac:dyDescent="0.25">
      <c r="A1616" s="209">
        <v>1148760</v>
      </c>
      <c r="B1616" s="209">
        <v>110</v>
      </c>
      <c r="C1616" s="209" t="s">
        <v>3642</v>
      </c>
      <c r="D1616" s="209">
        <v>10</v>
      </c>
      <c r="E1616" s="209">
        <v>10000002</v>
      </c>
      <c r="F1616" s="209">
        <v>20000335</v>
      </c>
      <c r="G1616" s="209" t="s">
        <v>105</v>
      </c>
      <c r="H1616" s="209">
        <v>20000335</v>
      </c>
      <c r="I1616" s="209">
        <v>2</v>
      </c>
      <c r="J1616" s="209" t="s">
        <v>169</v>
      </c>
      <c r="K1616" s="209" t="s">
        <v>3643</v>
      </c>
      <c r="L1616" s="209" t="s">
        <v>2610</v>
      </c>
      <c r="M1616" s="209" t="s">
        <v>199</v>
      </c>
      <c r="N1616" s="209">
        <v>50025345</v>
      </c>
      <c r="O1616" s="209" t="s">
        <v>1998</v>
      </c>
      <c r="P1616" s="209">
        <v>5121</v>
      </c>
      <c r="Q1616" s="209" t="s">
        <v>200</v>
      </c>
      <c r="R1616" s="209" t="s">
        <v>201</v>
      </c>
      <c r="S1616" s="209" t="s">
        <v>202</v>
      </c>
      <c r="T1616" s="209" t="s">
        <v>203</v>
      </c>
      <c r="U1616" s="209" t="s">
        <v>201</v>
      </c>
      <c r="V1616" s="209" t="s">
        <v>179</v>
      </c>
      <c r="W1616" s="209" t="s">
        <v>179</v>
      </c>
      <c r="X1616" s="209" t="s">
        <v>180</v>
      </c>
      <c r="Y1616" s="209" t="s">
        <v>180</v>
      </c>
      <c r="Z1616" s="209" t="s">
        <v>3580</v>
      </c>
      <c r="AA1616" s="209" t="s">
        <v>3581</v>
      </c>
      <c r="AB1616" s="209" t="s">
        <v>180</v>
      </c>
      <c r="AC1616" s="209" t="s">
        <v>182</v>
      </c>
      <c r="AD1616" s="209">
        <v>11</v>
      </c>
      <c r="AE1616" s="209">
        <v>2025</v>
      </c>
      <c r="AF1616" s="227">
        <v>45961</v>
      </c>
      <c r="AG1616" s="227">
        <v>45967</v>
      </c>
      <c r="AH1616" s="227">
        <v>45967</v>
      </c>
      <c r="AI1616" s="228">
        <v>426816</v>
      </c>
      <c r="AJ1616" s="228">
        <v>52</v>
      </c>
      <c r="AK1616" s="228">
        <v>426816</v>
      </c>
      <c r="AL1616" s="228">
        <v>52</v>
      </c>
      <c r="AM1616" s="228">
        <v>0</v>
      </c>
      <c r="AN1616" s="228">
        <v>0</v>
      </c>
      <c r="AO1616" s="229">
        <v>45</v>
      </c>
      <c r="AP1616" s="231">
        <v>11</v>
      </c>
      <c r="AQ1616" s="231">
        <v>2025</v>
      </c>
      <c r="AR1616" s="231" t="str">
        <f t="shared" si="234"/>
        <v>11/2025</v>
      </c>
      <c r="AS1616" s="231">
        <f t="shared" si="235"/>
        <v>46.6</v>
      </c>
      <c r="AT1616" s="239">
        <f>IF(G1616="CERVECERIA Y MALTERIA",(AS1616*AK1616/1000000)*(1-VLOOKUP(N1616,FCST!D:I,6,FALSE)),0)</f>
        <v>19.889625600000002</v>
      </c>
      <c r="AU1616" s="232">
        <v>5.0000000000000001E-3</v>
      </c>
      <c r="AV1616" s="239">
        <f t="shared" si="236"/>
        <v>19.989073728000001</v>
      </c>
      <c r="AW1616" s="239">
        <f>(AS1616*AK1616/1000000)*(VLOOKUP(N1616,FCST!D:I,6,FALSE))</f>
        <v>0</v>
      </c>
      <c r="AX1616" s="239">
        <f t="shared" si="237"/>
        <v>0</v>
      </c>
      <c r="AY1616" s="239">
        <f>IF($G1616="CERVECERIA Y MALTERIA.",($AS1616*$AK1616/1000000)*(1-VLOOKUP($N1616,FCST!D:I,6,FALSE)),0)</f>
        <v>0</v>
      </c>
      <c r="AZ1616" s="239">
        <f t="shared" si="238"/>
        <v>0</v>
      </c>
    </row>
    <row r="1617" spans="1:52" x14ac:dyDescent="0.25">
      <c r="A1617" s="209">
        <v>1148760</v>
      </c>
      <c r="B1617" s="209">
        <v>100</v>
      </c>
      <c r="C1617" s="209" t="s">
        <v>3644</v>
      </c>
      <c r="D1617" s="209">
        <v>10</v>
      </c>
      <c r="E1617" s="209">
        <v>10000002</v>
      </c>
      <c r="F1617" s="209">
        <v>20000335</v>
      </c>
      <c r="G1617" s="209" t="s">
        <v>105</v>
      </c>
      <c r="H1617" s="209">
        <v>20000335</v>
      </c>
      <c r="I1617" s="209">
        <v>2</v>
      </c>
      <c r="J1617" s="209" t="s">
        <v>169</v>
      </c>
      <c r="K1617" s="209" t="s">
        <v>3645</v>
      </c>
      <c r="L1617" s="209" t="s">
        <v>2610</v>
      </c>
      <c r="M1617" s="209" t="s">
        <v>199</v>
      </c>
      <c r="N1617" s="209">
        <v>50025345</v>
      </c>
      <c r="O1617" s="209" t="s">
        <v>1998</v>
      </c>
      <c r="P1617" s="209">
        <v>5121</v>
      </c>
      <c r="Q1617" s="209" t="s">
        <v>200</v>
      </c>
      <c r="R1617" s="209" t="s">
        <v>201</v>
      </c>
      <c r="S1617" s="209" t="s">
        <v>202</v>
      </c>
      <c r="T1617" s="209" t="s">
        <v>203</v>
      </c>
      <c r="U1617" s="209" t="s">
        <v>201</v>
      </c>
      <c r="V1617" s="209" t="s">
        <v>179</v>
      </c>
      <c r="W1617" s="209" t="s">
        <v>179</v>
      </c>
      <c r="X1617" s="209" t="s">
        <v>180</v>
      </c>
      <c r="Y1617" s="209" t="s">
        <v>180</v>
      </c>
      <c r="Z1617" s="209" t="s">
        <v>3580</v>
      </c>
      <c r="AA1617" s="209" t="s">
        <v>3581</v>
      </c>
      <c r="AB1617" s="209" t="s">
        <v>180</v>
      </c>
      <c r="AC1617" s="209" t="s">
        <v>182</v>
      </c>
      <c r="AD1617" s="209">
        <v>11</v>
      </c>
      <c r="AE1617" s="209">
        <v>2025</v>
      </c>
      <c r="AF1617" s="227">
        <v>45961</v>
      </c>
      <c r="AG1617" s="227">
        <v>45967</v>
      </c>
      <c r="AH1617" s="227">
        <v>45967</v>
      </c>
      <c r="AI1617" s="228">
        <v>426816</v>
      </c>
      <c r="AJ1617" s="228">
        <v>52</v>
      </c>
      <c r="AK1617" s="228">
        <v>426816</v>
      </c>
      <c r="AL1617" s="228">
        <v>52</v>
      </c>
      <c r="AM1617" s="228">
        <v>0</v>
      </c>
      <c r="AN1617" s="228">
        <v>0</v>
      </c>
      <c r="AO1617" s="229">
        <v>45</v>
      </c>
      <c r="AP1617" s="231">
        <v>11</v>
      </c>
      <c r="AQ1617" s="231">
        <v>2025</v>
      </c>
      <c r="AR1617" s="231" t="str">
        <f t="shared" si="234"/>
        <v>11/2025</v>
      </c>
      <c r="AS1617" s="231">
        <f t="shared" si="235"/>
        <v>46.6</v>
      </c>
      <c r="AT1617" s="239">
        <f>IF(G1617="CERVECERIA Y MALTERIA",(AS1617*AK1617/1000000)*(1-VLOOKUP(N1617,FCST!D:I,6,FALSE)),0)</f>
        <v>19.889625600000002</v>
      </c>
      <c r="AU1617" s="232">
        <v>5.0000000000000001E-3</v>
      </c>
      <c r="AV1617" s="239">
        <f t="shared" si="236"/>
        <v>19.989073728000001</v>
      </c>
      <c r="AW1617" s="239">
        <f>(AS1617*AK1617/1000000)*(VLOOKUP(N1617,FCST!D:I,6,FALSE))</f>
        <v>0</v>
      </c>
      <c r="AX1617" s="239">
        <f t="shared" si="237"/>
        <v>0</v>
      </c>
      <c r="AY1617" s="239">
        <f>IF($G1617="CERVECERIA Y MALTERIA.",($AS1617*$AK1617/1000000)*(1-VLOOKUP($N1617,FCST!D:I,6,FALSE)),0)</f>
        <v>0</v>
      </c>
      <c r="AZ1617" s="239">
        <f t="shared" si="238"/>
        <v>0</v>
      </c>
    </row>
    <row r="1618" spans="1:52" x14ac:dyDescent="0.25">
      <c r="A1618" s="209">
        <v>1148760</v>
      </c>
      <c r="B1618" s="209">
        <v>120</v>
      </c>
      <c r="C1618" s="209" t="s">
        <v>3646</v>
      </c>
      <c r="D1618" s="209">
        <v>10</v>
      </c>
      <c r="E1618" s="209">
        <v>10000002</v>
      </c>
      <c r="F1618" s="209">
        <v>20000335</v>
      </c>
      <c r="G1618" s="209" t="s">
        <v>105</v>
      </c>
      <c r="H1618" s="209">
        <v>20000335</v>
      </c>
      <c r="I1618" s="209">
        <v>2</v>
      </c>
      <c r="J1618" s="209" t="s">
        <v>169</v>
      </c>
      <c r="K1618" s="209" t="s">
        <v>3647</v>
      </c>
      <c r="L1618" s="209" t="s">
        <v>2610</v>
      </c>
      <c r="M1618" s="209" t="s">
        <v>199</v>
      </c>
      <c r="N1618" s="209">
        <v>50025345</v>
      </c>
      <c r="O1618" s="209" t="s">
        <v>1998</v>
      </c>
      <c r="P1618" s="209">
        <v>5121</v>
      </c>
      <c r="Q1618" s="209" t="s">
        <v>200</v>
      </c>
      <c r="R1618" s="209" t="s">
        <v>201</v>
      </c>
      <c r="S1618" s="209" t="s">
        <v>202</v>
      </c>
      <c r="T1618" s="209" t="s">
        <v>203</v>
      </c>
      <c r="U1618" s="209" t="s">
        <v>201</v>
      </c>
      <c r="V1618" s="209" t="s">
        <v>179</v>
      </c>
      <c r="W1618" s="209" t="s">
        <v>179</v>
      </c>
      <c r="X1618" s="209" t="s">
        <v>180</v>
      </c>
      <c r="Y1618" s="209" t="s">
        <v>180</v>
      </c>
      <c r="Z1618" s="209" t="s">
        <v>3580</v>
      </c>
      <c r="AA1618" s="209" t="s">
        <v>3581</v>
      </c>
      <c r="AB1618" s="209" t="s">
        <v>180</v>
      </c>
      <c r="AC1618" s="209" t="s">
        <v>182</v>
      </c>
      <c r="AD1618" s="209">
        <v>11</v>
      </c>
      <c r="AE1618" s="209">
        <v>2025</v>
      </c>
      <c r="AF1618" s="227">
        <v>45961</v>
      </c>
      <c r="AG1618" s="227">
        <v>45968</v>
      </c>
      <c r="AH1618" s="227">
        <v>45968</v>
      </c>
      <c r="AI1618" s="228">
        <v>426816</v>
      </c>
      <c r="AJ1618" s="228">
        <v>52</v>
      </c>
      <c r="AK1618" s="228">
        <v>426816</v>
      </c>
      <c r="AL1618" s="228">
        <v>52</v>
      </c>
      <c r="AM1618" s="228">
        <v>0</v>
      </c>
      <c r="AN1618" s="228">
        <v>0</v>
      </c>
      <c r="AO1618" s="229">
        <v>45</v>
      </c>
      <c r="AP1618" s="231">
        <v>11</v>
      </c>
      <c r="AQ1618" s="231">
        <v>2025</v>
      </c>
      <c r="AR1618" s="231" t="str">
        <f t="shared" si="234"/>
        <v>11/2025</v>
      </c>
      <c r="AS1618" s="231">
        <f t="shared" si="235"/>
        <v>46.6</v>
      </c>
      <c r="AT1618" s="239">
        <f>IF(G1618="CERVECERIA Y MALTERIA",(AS1618*AK1618/1000000)*(1-VLOOKUP(N1618,FCST!D:I,6,FALSE)),0)</f>
        <v>19.889625600000002</v>
      </c>
      <c r="AU1618" s="232">
        <v>5.0000000000000001E-3</v>
      </c>
      <c r="AV1618" s="239">
        <f t="shared" si="236"/>
        <v>19.989073728000001</v>
      </c>
      <c r="AW1618" s="239">
        <f>(AS1618*AK1618/1000000)*(VLOOKUP(N1618,FCST!D:I,6,FALSE))</f>
        <v>0</v>
      </c>
      <c r="AX1618" s="239">
        <f t="shared" si="237"/>
        <v>0</v>
      </c>
      <c r="AY1618" s="239">
        <f>IF($G1618="CERVECERIA Y MALTERIA.",($AS1618*$AK1618/1000000)*(1-VLOOKUP($N1618,FCST!D:I,6,FALSE)),0)</f>
        <v>0</v>
      </c>
      <c r="AZ1618" s="239">
        <f t="shared" si="238"/>
        <v>0</v>
      </c>
    </row>
    <row r="1619" spans="1:52" x14ac:dyDescent="0.25">
      <c r="A1619" s="209">
        <v>1148921</v>
      </c>
      <c r="B1619" s="209">
        <v>10</v>
      </c>
      <c r="C1619" s="209" t="s">
        <v>3648</v>
      </c>
      <c r="D1619" s="209">
        <v>10</v>
      </c>
      <c r="E1619" s="209">
        <v>10000002</v>
      </c>
      <c r="F1619" s="209">
        <v>20000337</v>
      </c>
      <c r="G1619" s="209" t="s">
        <v>105</v>
      </c>
      <c r="H1619" s="209">
        <v>20000337</v>
      </c>
      <c r="I1619" s="209">
        <v>2</v>
      </c>
      <c r="J1619" s="209" t="s">
        <v>169</v>
      </c>
      <c r="K1619" s="209" t="s">
        <v>3649</v>
      </c>
      <c r="L1619" s="209" t="s">
        <v>2610</v>
      </c>
      <c r="M1619" s="209" t="s">
        <v>199</v>
      </c>
      <c r="N1619" s="209">
        <v>50024497</v>
      </c>
      <c r="O1619" s="209" t="s">
        <v>1352</v>
      </c>
      <c r="P1619" s="209">
        <v>5121</v>
      </c>
      <c r="Q1619" s="209" t="s">
        <v>200</v>
      </c>
      <c r="R1619" s="209" t="s">
        <v>201</v>
      </c>
      <c r="S1619" s="209" t="s">
        <v>202</v>
      </c>
      <c r="T1619" s="209" t="s">
        <v>203</v>
      </c>
      <c r="U1619" s="209" t="s">
        <v>201</v>
      </c>
      <c r="V1619" s="209" t="s">
        <v>179</v>
      </c>
      <c r="W1619" s="209" t="s">
        <v>179</v>
      </c>
      <c r="X1619" s="209" t="s">
        <v>180</v>
      </c>
      <c r="Y1619" s="209" t="s">
        <v>180</v>
      </c>
      <c r="Z1619" s="209" t="s">
        <v>3650</v>
      </c>
      <c r="AA1619" s="209" t="s">
        <v>3651</v>
      </c>
      <c r="AB1619" s="209" t="s">
        <v>180</v>
      </c>
      <c r="AC1619" s="209" t="s">
        <v>182</v>
      </c>
      <c r="AD1619" s="209">
        <v>11</v>
      </c>
      <c r="AE1619" s="209">
        <v>2025</v>
      </c>
      <c r="AF1619" s="227">
        <v>45964</v>
      </c>
      <c r="AG1619" s="227">
        <v>45964</v>
      </c>
      <c r="AH1619" s="227">
        <v>45964</v>
      </c>
      <c r="AI1619" s="228">
        <v>351936</v>
      </c>
      <c r="AJ1619" s="228">
        <v>52</v>
      </c>
      <c r="AK1619" s="228">
        <v>351936</v>
      </c>
      <c r="AL1619" s="228">
        <v>52</v>
      </c>
      <c r="AM1619" s="228">
        <v>0</v>
      </c>
      <c r="AN1619" s="228">
        <v>0</v>
      </c>
      <c r="AO1619" s="229">
        <v>45</v>
      </c>
      <c r="AP1619" s="231">
        <v>11</v>
      </c>
      <c r="AQ1619" s="231">
        <v>2025</v>
      </c>
      <c r="AR1619" s="231" t="str">
        <f t="shared" si="234"/>
        <v>11/2025</v>
      </c>
      <c r="AS1619" s="231">
        <f t="shared" si="235"/>
        <v>54.7</v>
      </c>
      <c r="AT1619" s="239">
        <f>IF(G1619="CERVECERIA Y MALTERIA",(AS1619*AK1619/1000000)*(1-VLOOKUP(N1619,FCST!D:I,6,FALSE)),0)</f>
        <v>19.250899199999999</v>
      </c>
      <c r="AU1619" s="232">
        <v>5.0000000000000001E-3</v>
      </c>
      <c r="AV1619" s="239">
        <f t="shared" si="236"/>
        <v>19.347153695999996</v>
      </c>
      <c r="AW1619" s="239">
        <f>(AS1619*AK1619/1000000)*(VLOOKUP(N1619,FCST!D:I,6,FALSE))</f>
        <v>0</v>
      </c>
      <c r="AX1619" s="239">
        <f t="shared" si="237"/>
        <v>0</v>
      </c>
      <c r="AY1619" s="239">
        <f>IF($G1619="CERVECERIA Y MALTERIA.",($AS1619*$AK1619/1000000)*(1-VLOOKUP($N1619,FCST!D:I,6,FALSE)),0)</f>
        <v>0</v>
      </c>
      <c r="AZ1619" s="239">
        <f t="shared" si="238"/>
        <v>0</v>
      </c>
    </row>
    <row r="1620" spans="1:52" x14ac:dyDescent="0.25">
      <c r="A1620" s="209">
        <v>1148760</v>
      </c>
      <c r="B1620" s="209">
        <v>10</v>
      </c>
      <c r="C1620" s="209" t="s">
        <v>3652</v>
      </c>
      <c r="D1620" s="209">
        <v>10</v>
      </c>
      <c r="E1620" s="209">
        <v>10000002</v>
      </c>
      <c r="F1620" s="209">
        <v>20000335</v>
      </c>
      <c r="G1620" s="209" t="s">
        <v>105</v>
      </c>
      <c r="H1620" s="209">
        <v>20000335</v>
      </c>
      <c r="I1620" s="209">
        <v>2</v>
      </c>
      <c r="J1620" s="209" t="s">
        <v>169</v>
      </c>
      <c r="K1620" s="209" t="s">
        <v>3653</v>
      </c>
      <c r="L1620" s="209" t="s">
        <v>2610</v>
      </c>
      <c r="M1620" s="209" t="s">
        <v>199</v>
      </c>
      <c r="N1620" s="209">
        <v>50037887</v>
      </c>
      <c r="O1620" s="209" t="s">
        <v>679</v>
      </c>
      <c r="P1620" s="209">
        <v>5121</v>
      </c>
      <c r="Q1620" s="209" t="s">
        <v>200</v>
      </c>
      <c r="R1620" s="209" t="s">
        <v>201</v>
      </c>
      <c r="S1620" s="209" t="s">
        <v>202</v>
      </c>
      <c r="T1620" s="209" t="s">
        <v>203</v>
      </c>
      <c r="U1620" s="209" t="s">
        <v>201</v>
      </c>
      <c r="V1620" s="209" t="s">
        <v>179</v>
      </c>
      <c r="W1620" s="209" t="s">
        <v>179</v>
      </c>
      <c r="X1620" s="209" t="s">
        <v>180</v>
      </c>
      <c r="Y1620" s="209" t="s">
        <v>180</v>
      </c>
      <c r="Z1620" s="209" t="s">
        <v>3606</v>
      </c>
      <c r="AA1620" s="209" t="s">
        <v>3607</v>
      </c>
      <c r="AB1620" s="209" t="s">
        <v>180</v>
      </c>
      <c r="AC1620" s="209" t="s">
        <v>182</v>
      </c>
      <c r="AD1620" s="209">
        <v>11</v>
      </c>
      <c r="AE1620" s="209">
        <v>2025</v>
      </c>
      <c r="AF1620" s="227">
        <v>45961</v>
      </c>
      <c r="AG1620" s="227">
        <v>45964</v>
      </c>
      <c r="AH1620" s="227">
        <v>45964</v>
      </c>
      <c r="AI1620" s="228">
        <v>531648</v>
      </c>
      <c r="AJ1620" s="228">
        <v>52</v>
      </c>
      <c r="AK1620" s="228">
        <v>531648</v>
      </c>
      <c r="AL1620" s="228">
        <v>52</v>
      </c>
      <c r="AM1620" s="228">
        <v>0</v>
      </c>
      <c r="AN1620" s="228">
        <v>0</v>
      </c>
      <c r="AO1620" s="229">
        <v>45</v>
      </c>
      <c r="AP1620" s="231">
        <v>11</v>
      </c>
      <c r="AQ1620" s="231">
        <v>2025</v>
      </c>
      <c r="AR1620" s="231" t="str">
        <f t="shared" si="234"/>
        <v>11/2025</v>
      </c>
      <c r="AS1620" s="231">
        <f t="shared" si="235"/>
        <v>37.200000000000003</v>
      </c>
      <c r="AT1620" s="239">
        <f>IF(G1620="CERVECERIA Y MALTERIA",(AS1620*AK1620/1000000)*(1-VLOOKUP(N1620,FCST!D:I,6,FALSE)),0)</f>
        <v>19.777305600000002</v>
      </c>
      <c r="AU1620" s="232">
        <v>5.0000000000000001E-3</v>
      </c>
      <c r="AV1620" s="239">
        <f t="shared" si="236"/>
        <v>19.876192128</v>
      </c>
      <c r="AW1620" s="239">
        <f>(AS1620*AK1620/1000000)*(VLOOKUP(N1620,FCST!D:I,6,FALSE))</f>
        <v>0</v>
      </c>
      <c r="AX1620" s="239">
        <f t="shared" si="237"/>
        <v>0</v>
      </c>
      <c r="AY1620" s="239">
        <f>IF($G1620="CERVECERIA Y MALTERIA.",($AS1620*$AK1620/1000000)*(1-VLOOKUP($N1620,FCST!D:I,6,FALSE)),0)</f>
        <v>0</v>
      </c>
      <c r="AZ1620" s="239">
        <f t="shared" si="238"/>
        <v>0</v>
      </c>
    </row>
    <row r="1621" spans="1:52" x14ac:dyDescent="0.25">
      <c r="A1621" s="209">
        <v>1148760</v>
      </c>
      <c r="B1621" s="209">
        <v>30</v>
      </c>
      <c r="C1621" s="209" t="s">
        <v>3654</v>
      </c>
      <c r="D1621" s="209">
        <v>10</v>
      </c>
      <c r="E1621" s="209">
        <v>10000002</v>
      </c>
      <c r="F1621" s="209">
        <v>20000335</v>
      </c>
      <c r="G1621" s="209" t="s">
        <v>105</v>
      </c>
      <c r="H1621" s="209">
        <v>20000335</v>
      </c>
      <c r="I1621" s="209">
        <v>2</v>
      </c>
      <c r="J1621" s="209" t="s">
        <v>169</v>
      </c>
      <c r="K1621" s="209" t="s">
        <v>3655</v>
      </c>
      <c r="L1621" s="209" t="s">
        <v>2610</v>
      </c>
      <c r="M1621" s="209" t="s">
        <v>199</v>
      </c>
      <c r="N1621" s="209">
        <v>50037887</v>
      </c>
      <c r="O1621" s="209" t="s">
        <v>679</v>
      </c>
      <c r="P1621" s="209">
        <v>5121</v>
      </c>
      <c r="Q1621" s="209" t="s">
        <v>200</v>
      </c>
      <c r="R1621" s="209" t="s">
        <v>201</v>
      </c>
      <c r="S1621" s="209" t="s">
        <v>202</v>
      </c>
      <c r="T1621" s="209" t="s">
        <v>203</v>
      </c>
      <c r="U1621" s="209" t="s">
        <v>201</v>
      </c>
      <c r="V1621" s="209" t="s">
        <v>179</v>
      </c>
      <c r="W1621" s="209" t="s">
        <v>179</v>
      </c>
      <c r="X1621" s="209" t="s">
        <v>180</v>
      </c>
      <c r="Y1621" s="209" t="s">
        <v>180</v>
      </c>
      <c r="Z1621" s="209" t="s">
        <v>3606</v>
      </c>
      <c r="AA1621" s="209" t="s">
        <v>3607</v>
      </c>
      <c r="AB1621" s="209" t="s">
        <v>180</v>
      </c>
      <c r="AC1621" s="209" t="s">
        <v>182</v>
      </c>
      <c r="AD1621" s="209">
        <v>11</v>
      </c>
      <c r="AE1621" s="209">
        <v>2025</v>
      </c>
      <c r="AF1621" s="227">
        <v>45961</v>
      </c>
      <c r="AG1621" s="227">
        <v>45966</v>
      </c>
      <c r="AH1621" s="227">
        <v>45966</v>
      </c>
      <c r="AI1621" s="228">
        <v>531648</v>
      </c>
      <c r="AJ1621" s="228">
        <v>52</v>
      </c>
      <c r="AK1621" s="228">
        <v>531648</v>
      </c>
      <c r="AL1621" s="228">
        <v>52</v>
      </c>
      <c r="AM1621" s="228">
        <v>0</v>
      </c>
      <c r="AN1621" s="228">
        <v>0</v>
      </c>
      <c r="AO1621" s="229">
        <v>45</v>
      </c>
      <c r="AP1621" s="231">
        <v>11</v>
      </c>
      <c r="AQ1621" s="231">
        <v>2025</v>
      </c>
      <c r="AR1621" s="231" t="str">
        <f t="shared" si="234"/>
        <v>11/2025</v>
      </c>
      <c r="AS1621" s="231">
        <f t="shared" si="235"/>
        <v>37.200000000000003</v>
      </c>
      <c r="AT1621" s="239">
        <f>IF(G1621="CERVECERIA Y MALTERIA",(AS1621*AK1621/1000000)*(1-VLOOKUP(N1621,FCST!D:I,6,FALSE)),0)</f>
        <v>19.777305600000002</v>
      </c>
      <c r="AU1621" s="232">
        <v>5.0000000000000001E-3</v>
      </c>
      <c r="AV1621" s="239">
        <f t="shared" si="236"/>
        <v>19.876192128</v>
      </c>
      <c r="AW1621" s="239">
        <f>(AS1621*AK1621/1000000)*(VLOOKUP(N1621,FCST!D:I,6,FALSE))</f>
        <v>0</v>
      </c>
      <c r="AX1621" s="239">
        <f t="shared" si="237"/>
        <v>0</v>
      </c>
      <c r="AY1621" s="239">
        <f>IF($G1621="CERVECERIA Y MALTERIA.",($AS1621*$AK1621/1000000)*(1-VLOOKUP($N1621,FCST!D:I,6,FALSE)),0)</f>
        <v>0</v>
      </c>
      <c r="AZ1621" s="239">
        <f t="shared" si="238"/>
        <v>0</v>
      </c>
    </row>
    <row r="1622" spans="1:52" x14ac:dyDescent="0.25">
      <c r="A1622" s="209">
        <v>1149202</v>
      </c>
      <c r="B1622" s="209">
        <v>10</v>
      </c>
      <c r="C1622" s="209" t="s">
        <v>3656</v>
      </c>
      <c r="D1622" s="209">
        <v>10</v>
      </c>
      <c r="E1622" s="209">
        <v>10000002</v>
      </c>
      <c r="F1622" s="209">
        <v>20000337</v>
      </c>
      <c r="G1622" s="209" t="s">
        <v>105</v>
      </c>
      <c r="H1622" s="209">
        <v>20000337</v>
      </c>
      <c r="I1622" s="209">
        <v>2</v>
      </c>
      <c r="J1622" s="209" t="s">
        <v>169</v>
      </c>
      <c r="K1622" s="209" t="s">
        <v>3657</v>
      </c>
      <c r="L1622" s="209" t="s">
        <v>2610</v>
      </c>
      <c r="M1622" s="209" t="s">
        <v>199</v>
      </c>
      <c r="N1622" s="209">
        <v>50039815</v>
      </c>
      <c r="O1622" s="209" t="s">
        <v>2454</v>
      </c>
      <c r="P1622" s="209">
        <v>5121</v>
      </c>
      <c r="Q1622" s="209" t="s">
        <v>200</v>
      </c>
      <c r="R1622" s="209" t="s">
        <v>201</v>
      </c>
      <c r="S1622" s="209" t="s">
        <v>202</v>
      </c>
      <c r="T1622" s="209" t="s">
        <v>203</v>
      </c>
      <c r="U1622" s="209" t="s">
        <v>201</v>
      </c>
      <c r="V1622" s="209" t="s">
        <v>179</v>
      </c>
      <c r="W1622" s="209" t="s">
        <v>179</v>
      </c>
      <c r="X1622" s="209" t="s">
        <v>180</v>
      </c>
      <c r="Y1622" s="209" t="s">
        <v>180</v>
      </c>
      <c r="Z1622" s="209" t="s">
        <v>3594</v>
      </c>
      <c r="AA1622" s="209" t="s">
        <v>3595</v>
      </c>
      <c r="AB1622" s="209" t="s">
        <v>180</v>
      </c>
      <c r="AC1622" s="209" t="s">
        <v>182</v>
      </c>
      <c r="AD1622" s="209">
        <v>11</v>
      </c>
      <c r="AE1622" s="209">
        <v>2025</v>
      </c>
      <c r="AF1622" s="227">
        <v>45965</v>
      </c>
      <c r="AG1622" s="227">
        <v>45965</v>
      </c>
      <c r="AH1622" s="227">
        <v>45965</v>
      </c>
      <c r="AI1622" s="228">
        <v>426816</v>
      </c>
      <c r="AJ1622" s="228">
        <v>52</v>
      </c>
      <c r="AK1622" s="228">
        <v>426816</v>
      </c>
      <c r="AL1622" s="228">
        <v>52</v>
      </c>
      <c r="AM1622" s="228">
        <v>0</v>
      </c>
      <c r="AN1622" s="228">
        <v>0</v>
      </c>
      <c r="AO1622" s="229">
        <v>45</v>
      </c>
      <c r="AP1622" s="231">
        <v>11</v>
      </c>
      <c r="AQ1622" s="231">
        <v>2025</v>
      </c>
      <c r="AR1622" s="231" t="str">
        <f t="shared" si="234"/>
        <v>11/2025</v>
      </c>
      <c r="AS1622" s="231">
        <f t="shared" si="235"/>
        <v>46.6</v>
      </c>
      <c r="AT1622" s="239">
        <f>IF(G1622="CERVECERIA Y MALTERIA",(AS1622*AK1622/1000000)*(1-VLOOKUP(N1622,FCST!D:I,6,FALSE)),0)</f>
        <v>15.911700480000002</v>
      </c>
      <c r="AU1622" s="232">
        <v>5.0000000000000001E-3</v>
      </c>
      <c r="AV1622" s="239">
        <f t="shared" si="236"/>
        <v>15.9912589824</v>
      </c>
      <c r="AW1622" s="239">
        <f>(AS1622*AK1622/1000000)*(VLOOKUP(N1622,FCST!D:I,6,FALSE))</f>
        <v>3.9779251200000005</v>
      </c>
      <c r="AX1622" s="239">
        <f t="shared" si="237"/>
        <v>3.9978147455999999</v>
      </c>
      <c r="AY1622" s="239">
        <f>IF($G1622="CERVECERIA Y MALTERIA.",($AS1622*$AK1622/1000000)*(1-VLOOKUP($N1622,FCST!D:I,6,FALSE)),0)</f>
        <v>0</v>
      </c>
      <c r="AZ1622" s="239">
        <f t="shared" si="238"/>
        <v>0</v>
      </c>
    </row>
    <row r="1623" spans="1:52" x14ac:dyDescent="0.25">
      <c r="A1623" s="209">
        <v>1148760</v>
      </c>
      <c r="B1623" s="209">
        <v>20</v>
      </c>
      <c r="C1623" s="209" t="s">
        <v>3658</v>
      </c>
      <c r="D1623" s="209">
        <v>10</v>
      </c>
      <c r="E1623" s="209">
        <v>10000002</v>
      </c>
      <c r="F1623" s="209">
        <v>20000335</v>
      </c>
      <c r="G1623" s="209" t="s">
        <v>105</v>
      </c>
      <c r="H1623" s="209">
        <v>20000335</v>
      </c>
      <c r="I1623" s="209">
        <v>2</v>
      </c>
      <c r="J1623" s="209" t="s">
        <v>169</v>
      </c>
      <c r="K1623" s="209" t="s">
        <v>3659</v>
      </c>
      <c r="L1623" s="209" t="s">
        <v>2610</v>
      </c>
      <c r="M1623" s="209" t="s">
        <v>199</v>
      </c>
      <c r="N1623" s="209">
        <v>50037887</v>
      </c>
      <c r="O1623" s="209" t="s">
        <v>679</v>
      </c>
      <c r="P1623" s="209">
        <v>5121</v>
      </c>
      <c r="Q1623" s="209" t="s">
        <v>200</v>
      </c>
      <c r="R1623" s="209" t="s">
        <v>201</v>
      </c>
      <c r="S1623" s="209" t="s">
        <v>202</v>
      </c>
      <c r="T1623" s="209" t="s">
        <v>203</v>
      </c>
      <c r="U1623" s="209" t="s">
        <v>201</v>
      </c>
      <c r="V1623" s="209" t="s">
        <v>179</v>
      </c>
      <c r="W1623" s="209" t="s">
        <v>179</v>
      </c>
      <c r="X1623" s="209" t="s">
        <v>180</v>
      </c>
      <c r="Y1623" s="209" t="s">
        <v>180</v>
      </c>
      <c r="Z1623" s="209" t="s">
        <v>3606</v>
      </c>
      <c r="AA1623" s="209" t="s">
        <v>3607</v>
      </c>
      <c r="AB1623" s="209" t="s">
        <v>180</v>
      </c>
      <c r="AC1623" s="209" t="s">
        <v>182</v>
      </c>
      <c r="AD1623" s="209">
        <v>11</v>
      </c>
      <c r="AE1623" s="209">
        <v>2025</v>
      </c>
      <c r="AF1623" s="227">
        <v>45961</v>
      </c>
      <c r="AG1623" s="227">
        <v>45965</v>
      </c>
      <c r="AH1623" s="227">
        <v>45965</v>
      </c>
      <c r="AI1623" s="228">
        <v>531648</v>
      </c>
      <c r="AJ1623" s="228">
        <v>52</v>
      </c>
      <c r="AK1623" s="228">
        <v>531648</v>
      </c>
      <c r="AL1623" s="228">
        <v>52</v>
      </c>
      <c r="AM1623" s="228">
        <v>0</v>
      </c>
      <c r="AN1623" s="228">
        <v>0</v>
      </c>
      <c r="AO1623" s="229">
        <v>45</v>
      </c>
      <c r="AP1623" s="231">
        <v>11</v>
      </c>
      <c r="AQ1623" s="231">
        <v>2025</v>
      </c>
      <c r="AR1623" s="231" t="str">
        <f t="shared" si="234"/>
        <v>11/2025</v>
      </c>
      <c r="AS1623" s="231">
        <f t="shared" si="235"/>
        <v>37.200000000000003</v>
      </c>
      <c r="AT1623" s="239">
        <f>IF(G1623="CERVECERIA Y MALTERIA",(AS1623*AK1623/1000000)*(1-VLOOKUP(N1623,FCST!D:I,6,FALSE)),0)</f>
        <v>19.777305600000002</v>
      </c>
      <c r="AU1623" s="232">
        <v>5.0000000000000001E-3</v>
      </c>
      <c r="AV1623" s="239">
        <f t="shared" si="236"/>
        <v>19.876192128</v>
      </c>
      <c r="AW1623" s="239">
        <f>(AS1623*AK1623/1000000)*(VLOOKUP(N1623,FCST!D:I,6,FALSE))</f>
        <v>0</v>
      </c>
      <c r="AX1623" s="239">
        <f t="shared" si="237"/>
        <v>0</v>
      </c>
      <c r="AY1623" s="239">
        <f>IF($G1623="CERVECERIA Y MALTERIA.",($AS1623*$AK1623/1000000)*(1-VLOOKUP($N1623,FCST!D:I,6,FALSE)),0)</f>
        <v>0</v>
      </c>
      <c r="AZ1623" s="239">
        <f t="shared" si="238"/>
        <v>0</v>
      </c>
    </row>
    <row r="1624" spans="1:52" x14ac:dyDescent="0.25">
      <c r="A1624" s="209">
        <v>1151126</v>
      </c>
      <c r="B1624" s="209">
        <v>20</v>
      </c>
      <c r="C1624" s="209" t="s">
        <v>3660</v>
      </c>
      <c r="D1624" s="209">
        <v>10</v>
      </c>
      <c r="E1624" s="209">
        <v>10000002</v>
      </c>
      <c r="F1624" s="209">
        <v>20000339</v>
      </c>
      <c r="G1624" s="209" t="s">
        <v>105</v>
      </c>
      <c r="H1624" s="209">
        <v>20000339</v>
      </c>
      <c r="I1624" s="209">
        <v>2</v>
      </c>
      <c r="J1624" s="209" t="s">
        <v>169</v>
      </c>
      <c r="K1624" s="209" t="s">
        <v>3661</v>
      </c>
      <c r="L1624" s="209" t="s">
        <v>2610</v>
      </c>
      <c r="M1624" s="209" t="s">
        <v>227</v>
      </c>
      <c r="N1624" s="209">
        <v>50030542</v>
      </c>
      <c r="O1624" s="209" t="s">
        <v>2453</v>
      </c>
      <c r="P1624" s="209">
        <v>5121</v>
      </c>
      <c r="Q1624" s="209" t="s">
        <v>228</v>
      </c>
      <c r="R1624" s="209" t="s">
        <v>229</v>
      </c>
      <c r="S1624" s="209" t="s">
        <v>230</v>
      </c>
      <c r="T1624" s="209" t="s">
        <v>231</v>
      </c>
      <c r="U1624" s="209" t="s">
        <v>232</v>
      </c>
      <c r="V1624" s="209" t="s">
        <v>179</v>
      </c>
      <c r="W1624" s="209" t="s">
        <v>179</v>
      </c>
      <c r="X1624" s="209" t="s">
        <v>180</v>
      </c>
      <c r="Y1624" s="209" t="s">
        <v>180</v>
      </c>
      <c r="Z1624" s="209" t="s">
        <v>3662</v>
      </c>
      <c r="AA1624" s="209" t="s">
        <v>3663</v>
      </c>
      <c r="AB1624" s="209" t="s">
        <v>180</v>
      </c>
      <c r="AC1624" s="209" t="s">
        <v>182</v>
      </c>
      <c r="AD1624" s="209">
        <v>11</v>
      </c>
      <c r="AE1624" s="209">
        <v>2025</v>
      </c>
      <c r="AF1624" s="227">
        <v>45974</v>
      </c>
      <c r="AG1624" s="227">
        <v>45974</v>
      </c>
      <c r="AH1624" s="227">
        <v>45974</v>
      </c>
      <c r="AI1624" s="228">
        <v>406848</v>
      </c>
      <c r="AJ1624" s="228">
        <v>52</v>
      </c>
      <c r="AK1624" s="228">
        <v>406848</v>
      </c>
      <c r="AL1624" s="228">
        <v>52</v>
      </c>
      <c r="AM1624" s="228">
        <v>0</v>
      </c>
      <c r="AN1624" s="228">
        <v>0</v>
      </c>
      <c r="AO1624" s="229">
        <v>46</v>
      </c>
      <c r="AP1624" s="231">
        <v>11</v>
      </c>
      <c r="AQ1624" s="231">
        <v>2025</v>
      </c>
      <c r="AR1624" s="231" t="str">
        <f t="shared" si="234"/>
        <v>11/2025</v>
      </c>
      <c r="AS1624" s="231">
        <f t="shared" si="235"/>
        <v>44</v>
      </c>
      <c r="AT1624" s="239">
        <f>IF(G1624="CERVECERIA Y MALTERIA",(AS1624*AK1624/1000000)*(1-VLOOKUP(N1624,FCST!D:I,6,FALSE)),0)</f>
        <v>17.901312000000001</v>
      </c>
      <c r="AU1624" s="232">
        <v>5.0000000000000001E-3</v>
      </c>
      <c r="AV1624" s="239">
        <f t="shared" si="236"/>
        <v>17.990818559999997</v>
      </c>
      <c r="AW1624" s="239">
        <f>(AS1624*AK1624/1000000)*(VLOOKUP(N1624,FCST!D:I,6,FALSE))</f>
        <v>0</v>
      </c>
      <c r="AX1624" s="239">
        <f t="shared" si="237"/>
        <v>0</v>
      </c>
      <c r="AY1624" s="239">
        <f>IF($G1624="CERVECERIA Y MALTERIA.",($AS1624*$AK1624/1000000)*(1-VLOOKUP($N1624,FCST!D:I,6,FALSE)),0)</f>
        <v>0</v>
      </c>
      <c r="AZ1624" s="239">
        <f t="shared" si="238"/>
        <v>0</v>
      </c>
    </row>
    <row r="1625" spans="1:52" x14ac:dyDescent="0.25">
      <c r="A1625" s="209">
        <v>1150925</v>
      </c>
      <c r="B1625" s="209">
        <v>10</v>
      </c>
      <c r="C1625" s="209" t="s">
        <v>3664</v>
      </c>
      <c r="D1625" s="209">
        <v>10</v>
      </c>
      <c r="E1625" s="209">
        <v>10000002</v>
      </c>
      <c r="F1625" s="209">
        <v>20001057</v>
      </c>
      <c r="G1625" s="209" t="s">
        <v>105</v>
      </c>
      <c r="H1625" s="209">
        <v>20001057</v>
      </c>
      <c r="I1625" s="209">
        <v>2</v>
      </c>
      <c r="J1625" s="209" t="s">
        <v>169</v>
      </c>
      <c r="K1625" s="209" t="s">
        <v>3665</v>
      </c>
      <c r="L1625" s="209" t="s">
        <v>2610</v>
      </c>
      <c r="M1625" s="209" t="s">
        <v>199</v>
      </c>
      <c r="N1625" s="209">
        <v>50024497</v>
      </c>
      <c r="O1625" s="209" t="s">
        <v>1352</v>
      </c>
      <c r="P1625" s="209">
        <v>5121</v>
      </c>
      <c r="Q1625" s="209" t="s">
        <v>200</v>
      </c>
      <c r="R1625" s="209" t="s">
        <v>201</v>
      </c>
      <c r="S1625" s="209" t="s">
        <v>202</v>
      </c>
      <c r="T1625" s="209" t="s">
        <v>203</v>
      </c>
      <c r="U1625" s="209" t="s">
        <v>201</v>
      </c>
      <c r="V1625" s="209" t="s">
        <v>179</v>
      </c>
      <c r="W1625" s="209" t="s">
        <v>179</v>
      </c>
      <c r="X1625" s="209" t="s">
        <v>180</v>
      </c>
      <c r="Y1625" s="209" t="s">
        <v>180</v>
      </c>
      <c r="Z1625" s="209" t="s">
        <v>3572</v>
      </c>
      <c r="AA1625" s="209" t="s">
        <v>3573</v>
      </c>
      <c r="AB1625" s="209" t="s">
        <v>180</v>
      </c>
      <c r="AC1625" s="209" t="s">
        <v>182</v>
      </c>
      <c r="AD1625" s="209">
        <v>11</v>
      </c>
      <c r="AE1625" s="209">
        <v>2025</v>
      </c>
      <c r="AF1625" s="227">
        <v>45973</v>
      </c>
      <c r="AG1625" s="227">
        <v>45974</v>
      </c>
      <c r="AH1625" s="227">
        <v>45974</v>
      </c>
      <c r="AI1625" s="228">
        <v>351936</v>
      </c>
      <c r="AJ1625" s="228">
        <v>52</v>
      </c>
      <c r="AK1625" s="228">
        <v>351936</v>
      </c>
      <c r="AL1625" s="228">
        <v>52</v>
      </c>
      <c r="AM1625" s="228">
        <v>0</v>
      </c>
      <c r="AN1625" s="228">
        <v>0</v>
      </c>
      <c r="AO1625" s="229">
        <v>46</v>
      </c>
      <c r="AP1625" s="231">
        <v>11</v>
      </c>
      <c r="AQ1625" s="231">
        <v>2025</v>
      </c>
      <c r="AR1625" s="231" t="str">
        <f t="shared" si="234"/>
        <v>11/2025</v>
      </c>
      <c r="AS1625" s="231">
        <f t="shared" si="235"/>
        <v>54.7</v>
      </c>
      <c r="AT1625" s="239">
        <f>IF(G1625="CERVECERIA Y MALTERIA",(AS1625*AK1625/1000000)*(1-VLOOKUP(N1625,FCST!D:I,6,FALSE)),0)</f>
        <v>19.250899199999999</v>
      </c>
      <c r="AU1625" s="232">
        <v>5.0000000000000001E-3</v>
      </c>
      <c r="AV1625" s="239">
        <f t="shared" si="236"/>
        <v>19.347153695999996</v>
      </c>
      <c r="AW1625" s="239">
        <f>(AS1625*AK1625/1000000)*(VLOOKUP(N1625,FCST!D:I,6,FALSE))</f>
        <v>0</v>
      </c>
      <c r="AX1625" s="239">
        <f t="shared" si="237"/>
        <v>0</v>
      </c>
      <c r="AY1625" s="239">
        <f>IF($G1625="CERVECERIA Y MALTERIA.",($AS1625*$AK1625/1000000)*(1-VLOOKUP($N1625,FCST!D:I,6,FALSE)),0)</f>
        <v>0</v>
      </c>
      <c r="AZ1625" s="239">
        <f t="shared" si="238"/>
        <v>0</v>
      </c>
    </row>
    <row r="1626" spans="1:52" x14ac:dyDescent="0.25">
      <c r="A1626" s="209">
        <v>1150120</v>
      </c>
      <c r="B1626" s="209">
        <v>20</v>
      </c>
      <c r="C1626" s="209" t="s">
        <v>3666</v>
      </c>
      <c r="D1626" s="209">
        <v>10</v>
      </c>
      <c r="E1626" s="209">
        <v>10000002</v>
      </c>
      <c r="F1626" s="209">
        <v>20000336</v>
      </c>
      <c r="G1626" s="209" t="s">
        <v>105</v>
      </c>
      <c r="H1626" s="209">
        <v>20000336</v>
      </c>
      <c r="I1626" s="209">
        <v>2</v>
      </c>
      <c r="J1626" s="209" t="s">
        <v>169</v>
      </c>
      <c r="K1626" s="209" t="s">
        <v>3667</v>
      </c>
      <c r="L1626" s="209" t="s">
        <v>2610</v>
      </c>
      <c r="M1626" s="209" t="s">
        <v>199</v>
      </c>
      <c r="N1626" s="209">
        <v>50030381</v>
      </c>
      <c r="O1626" s="209" t="s">
        <v>1791</v>
      </c>
      <c r="P1626" s="209">
        <v>5121</v>
      </c>
      <c r="Q1626" s="209" t="s">
        <v>200</v>
      </c>
      <c r="R1626" s="209" t="s">
        <v>201</v>
      </c>
      <c r="S1626" s="209" t="s">
        <v>202</v>
      </c>
      <c r="T1626" s="209" t="s">
        <v>203</v>
      </c>
      <c r="U1626" s="209" t="s">
        <v>201</v>
      </c>
      <c r="V1626" s="209" t="s">
        <v>179</v>
      </c>
      <c r="W1626" s="209" t="s">
        <v>179</v>
      </c>
      <c r="X1626" s="209" t="s">
        <v>180</v>
      </c>
      <c r="Y1626" s="209" t="s">
        <v>180</v>
      </c>
      <c r="Z1626" s="209" t="s">
        <v>3668</v>
      </c>
      <c r="AA1626" s="209" t="s">
        <v>3669</v>
      </c>
      <c r="AB1626" s="209" t="s">
        <v>180</v>
      </c>
      <c r="AC1626" s="209" t="s">
        <v>182</v>
      </c>
      <c r="AD1626" s="209">
        <v>11</v>
      </c>
      <c r="AE1626" s="209">
        <v>2025</v>
      </c>
      <c r="AF1626" s="227">
        <v>45968</v>
      </c>
      <c r="AG1626" s="227">
        <v>45973</v>
      </c>
      <c r="AH1626" s="227">
        <v>45973</v>
      </c>
      <c r="AI1626" s="228">
        <v>210816</v>
      </c>
      <c r="AJ1626" s="228">
        <v>27</v>
      </c>
      <c r="AK1626" s="228">
        <v>210816</v>
      </c>
      <c r="AL1626" s="228">
        <v>27</v>
      </c>
      <c r="AM1626" s="228">
        <v>0</v>
      </c>
      <c r="AN1626" s="228">
        <v>0</v>
      </c>
      <c r="AO1626" s="229">
        <v>46</v>
      </c>
      <c r="AP1626" s="231">
        <v>11</v>
      </c>
      <c r="AQ1626" s="231">
        <v>2025</v>
      </c>
      <c r="AR1626" s="231" t="str">
        <f t="shared" si="234"/>
        <v>11/2025</v>
      </c>
      <c r="AS1626" s="231">
        <f t="shared" si="235"/>
        <v>46.6</v>
      </c>
      <c r="AT1626" s="239">
        <f>IF(G1626="CERVECERIA Y MALTERIA",(AS1626*AK1626/1000000)*(1-VLOOKUP(N1626,FCST!D:I,6,FALSE)),0)</f>
        <v>9.8240255999999988</v>
      </c>
      <c r="AU1626" s="232">
        <v>5.0000000000000001E-3</v>
      </c>
      <c r="AV1626" s="239">
        <f t="shared" si="236"/>
        <v>9.8731457279999972</v>
      </c>
      <c r="AW1626" s="239">
        <f>(AS1626*AK1626/1000000)*(VLOOKUP(N1626,FCST!D:I,6,FALSE))</f>
        <v>0</v>
      </c>
      <c r="AX1626" s="239">
        <f t="shared" si="237"/>
        <v>0</v>
      </c>
      <c r="AY1626" s="239">
        <f>IF($G1626="CERVECERIA Y MALTERIA.",($AS1626*$AK1626/1000000)*(1-VLOOKUP($N1626,FCST!D:I,6,FALSE)),0)</f>
        <v>0</v>
      </c>
      <c r="AZ1626" s="239">
        <f t="shared" si="238"/>
        <v>0</v>
      </c>
    </row>
    <row r="1627" spans="1:52" x14ac:dyDescent="0.25">
      <c r="A1627" s="209">
        <v>1151126</v>
      </c>
      <c r="B1627" s="209">
        <v>10</v>
      </c>
      <c r="C1627" s="209" t="s">
        <v>3670</v>
      </c>
      <c r="D1627" s="209">
        <v>10</v>
      </c>
      <c r="E1627" s="209">
        <v>10000002</v>
      </c>
      <c r="F1627" s="209">
        <v>20000339</v>
      </c>
      <c r="G1627" s="209" t="s">
        <v>105</v>
      </c>
      <c r="H1627" s="209">
        <v>20000339</v>
      </c>
      <c r="I1627" s="209">
        <v>2</v>
      </c>
      <c r="J1627" s="209" t="s">
        <v>169</v>
      </c>
      <c r="K1627" s="209" t="s">
        <v>3671</v>
      </c>
      <c r="L1627" s="209" t="s">
        <v>2610</v>
      </c>
      <c r="M1627" s="209" t="s">
        <v>227</v>
      </c>
      <c r="N1627" s="209">
        <v>50036287</v>
      </c>
      <c r="O1627" s="209" t="s">
        <v>2191</v>
      </c>
      <c r="P1627" s="209">
        <v>5121</v>
      </c>
      <c r="Q1627" s="209" t="s">
        <v>228</v>
      </c>
      <c r="R1627" s="209" t="s">
        <v>229</v>
      </c>
      <c r="S1627" s="209" t="s">
        <v>230</v>
      </c>
      <c r="T1627" s="209" t="s">
        <v>231</v>
      </c>
      <c r="U1627" s="209" t="s">
        <v>232</v>
      </c>
      <c r="V1627" s="209" t="s">
        <v>179</v>
      </c>
      <c r="W1627" s="209" t="s">
        <v>179</v>
      </c>
      <c r="X1627" s="209" t="s">
        <v>180</v>
      </c>
      <c r="Y1627" s="209" t="s">
        <v>180</v>
      </c>
      <c r="Z1627" s="209" t="s">
        <v>3590</v>
      </c>
      <c r="AA1627" s="209" t="s">
        <v>3591</v>
      </c>
      <c r="AB1627" s="209" t="s">
        <v>180</v>
      </c>
      <c r="AC1627" s="209" t="s">
        <v>182</v>
      </c>
      <c r="AD1627" s="209">
        <v>11</v>
      </c>
      <c r="AE1627" s="209">
        <v>2025</v>
      </c>
      <c r="AF1627" s="227">
        <v>45974</v>
      </c>
      <c r="AG1627" s="227">
        <v>45975</v>
      </c>
      <c r="AH1627" s="227">
        <v>45975</v>
      </c>
      <c r="AI1627" s="228">
        <v>363168</v>
      </c>
      <c r="AJ1627" s="228">
        <v>52</v>
      </c>
      <c r="AK1627" s="228">
        <v>363168</v>
      </c>
      <c r="AL1627" s="228">
        <v>52</v>
      </c>
      <c r="AM1627" s="228">
        <v>0</v>
      </c>
      <c r="AN1627" s="228">
        <v>0</v>
      </c>
      <c r="AO1627" s="229">
        <v>46</v>
      </c>
      <c r="AP1627" s="231">
        <v>11</v>
      </c>
      <c r="AQ1627" s="231">
        <v>2025</v>
      </c>
      <c r="AR1627" s="231" t="str">
        <f t="shared" si="234"/>
        <v>11/2025</v>
      </c>
      <c r="AS1627" s="231">
        <f t="shared" si="235"/>
        <v>52</v>
      </c>
      <c r="AT1627" s="239">
        <f>IF(G1627="CERVECERIA Y MALTERIA",(AS1627*AK1627/1000000)*(1-VLOOKUP(N1627,FCST!D:I,6,FALSE)),0)</f>
        <v>18.884736</v>
      </c>
      <c r="AU1627" s="232">
        <v>5.0000000000000001E-3</v>
      </c>
      <c r="AV1627" s="239">
        <f t="shared" si="236"/>
        <v>18.979159679999999</v>
      </c>
      <c r="AW1627" s="239">
        <f>(AS1627*AK1627/1000000)*(VLOOKUP(N1627,FCST!D:I,6,FALSE))</f>
        <v>0</v>
      </c>
      <c r="AX1627" s="239">
        <f t="shared" si="237"/>
        <v>0</v>
      </c>
      <c r="AY1627" s="239">
        <f>IF($G1627="CERVECERIA Y MALTERIA.",($AS1627*$AK1627/1000000)*(1-VLOOKUP($N1627,FCST!D:I,6,FALSE)),0)</f>
        <v>0</v>
      </c>
      <c r="AZ1627" s="239">
        <f t="shared" si="238"/>
        <v>0</v>
      </c>
    </row>
    <row r="1628" spans="1:52" x14ac:dyDescent="0.25">
      <c r="A1628" s="209">
        <v>1150086</v>
      </c>
      <c r="B1628" s="209">
        <v>20</v>
      </c>
      <c r="C1628" s="209" t="s">
        <v>3672</v>
      </c>
      <c r="D1628" s="209">
        <v>10</v>
      </c>
      <c r="E1628" s="209">
        <v>10000002</v>
      </c>
      <c r="F1628" s="209">
        <v>20000335</v>
      </c>
      <c r="G1628" s="209" t="s">
        <v>105</v>
      </c>
      <c r="H1628" s="209">
        <v>20000335</v>
      </c>
      <c r="I1628" s="209">
        <v>2</v>
      </c>
      <c r="J1628" s="209" t="s">
        <v>169</v>
      </c>
      <c r="K1628" s="209" t="s">
        <v>3673</v>
      </c>
      <c r="L1628" s="209" t="s">
        <v>2610</v>
      </c>
      <c r="M1628" s="209" t="s">
        <v>199</v>
      </c>
      <c r="N1628" s="209">
        <v>50037887</v>
      </c>
      <c r="O1628" s="209" t="s">
        <v>679</v>
      </c>
      <c r="P1628" s="209">
        <v>5121</v>
      </c>
      <c r="Q1628" s="209" t="s">
        <v>200</v>
      </c>
      <c r="R1628" s="209" t="s">
        <v>201</v>
      </c>
      <c r="S1628" s="209" t="s">
        <v>202</v>
      </c>
      <c r="T1628" s="209" t="s">
        <v>203</v>
      </c>
      <c r="U1628" s="209" t="s">
        <v>201</v>
      </c>
      <c r="V1628" s="209" t="s">
        <v>179</v>
      </c>
      <c r="W1628" s="209" t="s">
        <v>179</v>
      </c>
      <c r="X1628" s="209" t="s">
        <v>180</v>
      </c>
      <c r="Y1628" s="209" t="s">
        <v>180</v>
      </c>
      <c r="Z1628" s="209" t="s">
        <v>3606</v>
      </c>
      <c r="AA1628" s="209" t="s">
        <v>3607</v>
      </c>
      <c r="AB1628" s="209" t="s">
        <v>180</v>
      </c>
      <c r="AC1628" s="209" t="s">
        <v>182</v>
      </c>
      <c r="AD1628" s="209">
        <v>11</v>
      </c>
      <c r="AE1628" s="209">
        <v>2025</v>
      </c>
      <c r="AF1628" s="227">
        <v>45968</v>
      </c>
      <c r="AG1628" s="227">
        <v>45975</v>
      </c>
      <c r="AH1628" s="227">
        <v>45975</v>
      </c>
      <c r="AI1628" s="228">
        <v>531648</v>
      </c>
      <c r="AJ1628" s="228">
        <v>52</v>
      </c>
      <c r="AK1628" s="228">
        <v>531648</v>
      </c>
      <c r="AL1628" s="228">
        <v>52</v>
      </c>
      <c r="AM1628" s="228">
        <v>0</v>
      </c>
      <c r="AN1628" s="228">
        <v>0</v>
      </c>
      <c r="AO1628" s="229">
        <v>46</v>
      </c>
      <c r="AP1628" s="231">
        <v>11</v>
      </c>
      <c r="AQ1628" s="231">
        <v>2025</v>
      </c>
      <c r="AR1628" s="231" t="str">
        <f t="shared" si="234"/>
        <v>11/2025</v>
      </c>
      <c r="AS1628" s="231">
        <f t="shared" si="235"/>
        <v>37.200000000000003</v>
      </c>
      <c r="AT1628" s="239">
        <f>IF(G1628="CERVECERIA Y MALTERIA",(AS1628*AK1628/1000000)*(1-VLOOKUP(N1628,FCST!D:I,6,FALSE)),0)</f>
        <v>19.777305600000002</v>
      </c>
      <c r="AU1628" s="232">
        <v>5.0000000000000001E-3</v>
      </c>
      <c r="AV1628" s="239">
        <f t="shared" si="236"/>
        <v>19.876192128</v>
      </c>
      <c r="AW1628" s="239">
        <f>(AS1628*AK1628/1000000)*(VLOOKUP(N1628,FCST!D:I,6,FALSE))</f>
        <v>0</v>
      </c>
      <c r="AX1628" s="239">
        <f t="shared" si="237"/>
        <v>0</v>
      </c>
      <c r="AY1628" s="239">
        <f>IF($G1628="CERVECERIA Y MALTERIA.",($AS1628*$AK1628/1000000)*(1-VLOOKUP($N1628,FCST!D:I,6,FALSE)),0)</f>
        <v>0</v>
      </c>
      <c r="AZ1628" s="239">
        <f t="shared" si="238"/>
        <v>0</v>
      </c>
    </row>
    <row r="1629" spans="1:52" x14ac:dyDescent="0.25">
      <c r="A1629" s="209">
        <v>1150925</v>
      </c>
      <c r="B1629" s="209">
        <v>30</v>
      </c>
      <c r="C1629" s="209" t="s">
        <v>3674</v>
      </c>
      <c r="D1629" s="209">
        <v>10</v>
      </c>
      <c r="E1629" s="209">
        <v>10000002</v>
      </c>
      <c r="F1629" s="209">
        <v>20001057</v>
      </c>
      <c r="G1629" s="209" t="s">
        <v>105</v>
      </c>
      <c r="H1629" s="209">
        <v>20001057</v>
      </c>
      <c r="I1629" s="209">
        <v>2</v>
      </c>
      <c r="J1629" s="209" t="s">
        <v>169</v>
      </c>
      <c r="K1629" s="209" t="s">
        <v>3675</v>
      </c>
      <c r="L1629" s="209" t="s">
        <v>2610</v>
      </c>
      <c r="M1629" s="209" t="s">
        <v>199</v>
      </c>
      <c r="N1629" s="209">
        <v>50037887</v>
      </c>
      <c r="O1629" s="209" t="s">
        <v>679</v>
      </c>
      <c r="P1629" s="209">
        <v>5121</v>
      </c>
      <c r="Q1629" s="209" t="s">
        <v>200</v>
      </c>
      <c r="R1629" s="209" t="s">
        <v>201</v>
      </c>
      <c r="S1629" s="209" t="s">
        <v>202</v>
      </c>
      <c r="T1629" s="209" t="s">
        <v>203</v>
      </c>
      <c r="U1629" s="209" t="s">
        <v>201</v>
      </c>
      <c r="V1629" s="209" t="s">
        <v>179</v>
      </c>
      <c r="W1629" s="209" t="s">
        <v>179</v>
      </c>
      <c r="X1629" s="209" t="s">
        <v>180</v>
      </c>
      <c r="Y1629" s="209" t="s">
        <v>180</v>
      </c>
      <c r="Z1629" s="209" t="s">
        <v>3576</v>
      </c>
      <c r="AA1629" s="209" t="s">
        <v>3577</v>
      </c>
      <c r="AB1629" s="209" t="s">
        <v>180</v>
      </c>
      <c r="AC1629" s="209" t="s">
        <v>182</v>
      </c>
      <c r="AD1629" s="209">
        <v>11</v>
      </c>
      <c r="AE1629" s="209">
        <v>2025</v>
      </c>
      <c r="AF1629" s="227">
        <v>45973</v>
      </c>
      <c r="AG1629" s="227">
        <v>45975</v>
      </c>
      <c r="AH1629" s="227">
        <v>45975</v>
      </c>
      <c r="AI1629" s="228">
        <v>531648</v>
      </c>
      <c r="AJ1629" s="228">
        <v>52</v>
      </c>
      <c r="AK1629" s="228">
        <v>531648</v>
      </c>
      <c r="AL1629" s="228">
        <v>52</v>
      </c>
      <c r="AM1629" s="228">
        <v>0</v>
      </c>
      <c r="AN1629" s="228">
        <v>0</v>
      </c>
      <c r="AO1629" s="229">
        <v>46</v>
      </c>
      <c r="AP1629" s="231">
        <v>11</v>
      </c>
      <c r="AQ1629" s="231">
        <v>2025</v>
      </c>
      <c r="AR1629" s="231" t="str">
        <f t="shared" si="234"/>
        <v>11/2025</v>
      </c>
      <c r="AS1629" s="231">
        <f t="shared" si="235"/>
        <v>37.200000000000003</v>
      </c>
      <c r="AT1629" s="239">
        <f>IF(G1629="CERVECERIA Y MALTERIA",(AS1629*AK1629/1000000)*(1-VLOOKUP(N1629,FCST!D:I,6,FALSE)),0)</f>
        <v>19.777305600000002</v>
      </c>
      <c r="AU1629" s="232">
        <v>5.0000000000000001E-3</v>
      </c>
      <c r="AV1629" s="239">
        <f t="shared" si="236"/>
        <v>19.876192128</v>
      </c>
      <c r="AW1629" s="239">
        <f>(AS1629*AK1629/1000000)*(VLOOKUP(N1629,FCST!D:I,6,FALSE))</f>
        <v>0</v>
      </c>
      <c r="AX1629" s="239">
        <f t="shared" si="237"/>
        <v>0</v>
      </c>
      <c r="AY1629" s="239">
        <f>IF($G1629="CERVECERIA Y MALTERIA.",($AS1629*$AK1629/1000000)*(1-VLOOKUP($N1629,FCST!D:I,6,FALSE)),0)</f>
        <v>0</v>
      </c>
      <c r="AZ1629" s="239">
        <f t="shared" si="238"/>
        <v>0</v>
      </c>
    </row>
    <row r="1630" spans="1:52" x14ac:dyDescent="0.25">
      <c r="A1630" s="209">
        <v>1150086</v>
      </c>
      <c r="B1630" s="209">
        <v>30</v>
      </c>
      <c r="C1630" s="209" t="s">
        <v>3676</v>
      </c>
      <c r="D1630" s="209">
        <v>10</v>
      </c>
      <c r="E1630" s="209">
        <v>10000002</v>
      </c>
      <c r="F1630" s="209">
        <v>20000335</v>
      </c>
      <c r="G1630" s="209" t="s">
        <v>105</v>
      </c>
      <c r="H1630" s="209">
        <v>20000335</v>
      </c>
      <c r="I1630" s="209">
        <v>2</v>
      </c>
      <c r="J1630" s="209" t="s">
        <v>169</v>
      </c>
      <c r="K1630" s="209" t="s">
        <v>3677</v>
      </c>
      <c r="L1630" s="209" t="s">
        <v>2610</v>
      </c>
      <c r="M1630" s="209" t="s">
        <v>199</v>
      </c>
      <c r="N1630" s="209">
        <v>50024497</v>
      </c>
      <c r="O1630" s="209" t="s">
        <v>1352</v>
      </c>
      <c r="P1630" s="209">
        <v>5121</v>
      </c>
      <c r="Q1630" s="209" t="s">
        <v>200</v>
      </c>
      <c r="R1630" s="209" t="s">
        <v>201</v>
      </c>
      <c r="S1630" s="209" t="s">
        <v>202</v>
      </c>
      <c r="T1630" s="209" t="s">
        <v>203</v>
      </c>
      <c r="U1630" s="209" t="s">
        <v>201</v>
      </c>
      <c r="V1630" s="209" t="s">
        <v>179</v>
      </c>
      <c r="W1630" s="209" t="s">
        <v>179</v>
      </c>
      <c r="X1630" s="209" t="s">
        <v>180</v>
      </c>
      <c r="Y1630" s="209" t="s">
        <v>180</v>
      </c>
      <c r="Z1630" s="209" t="s">
        <v>3638</v>
      </c>
      <c r="AA1630" s="209" t="s">
        <v>3639</v>
      </c>
      <c r="AB1630" s="209" t="s">
        <v>180</v>
      </c>
      <c r="AC1630" s="209" t="s">
        <v>182</v>
      </c>
      <c r="AD1630" s="209">
        <v>11</v>
      </c>
      <c r="AE1630" s="209">
        <v>2025</v>
      </c>
      <c r="AF1630" s="227">
        <v>45968</v>
      </c>
      <c r="AG1630" s="227">
        <v>45971</v>
      </c>
      <c r="AH1630" s="227">
        <v>45971</v>
      </c>
      <c r="AI1630" s="228">
        <v>351936</v>
      </c>
      <c r="AJ1630" s="228">
        <v>52</v>
      </c>
      <c r="AK1630" s="228">
        <v>351936</v>
      </c>
      <c r="AL1630" s="228">
        <v>52</v>
      </c>
      <c r="AM1630" s="228">
        <v>0</v>
      </c>
      <c r="AN1630" s="228">
        <v>0</v>
      </c>
      <c r="AO1630" s="229">
        <v>46</v>
      </c>
      <c r="AP1630" s="231">
        <v>11</v>
      </c>
      <c r="AQ1630" s="231">
        <v>2025</v>
      </c>
      <c r="AR1630" s="231" t="str">
        <f t="shared" si="234"/>
        <v>11/2025</v>
      </c>
      <c r="AS1630" s="231">
        <f t="shared" si="235"/>
        <v>54.7</v>
      </c>
      <c r="AT1630" s="239">
        <f>IF(G1630="CERVECERIA Y MALTERIA",(AS1630*AK1630/1000000)*(1-VLOOKUP(N1630,FCST!D:I,6,FALSE)),0)</f>
        <v>19.250899199999999</v>
      </c>
      <c r="AU1630" s="232">
        <v>5.0000000000000001E-3</v>
      </c>
      <c r="AV1630" s="239">
        <f t="shared" si="236"/>
        <v>19.347153695999996</v>
      </c>
      <c r="AW1630" s="239">
        <f>(AS1630*AK1630/1000000)*(VLOOKUP(N1630,FCST!D:I,6,FALSE))</f>
        <v>0</v>
      </c>
      <c r="AX1630" s="239">
        <f t="shared" si="237"/>
        <v>0</v>
      </c>
      <c r="AY1630" s="239">
        <f>IF($G1630="CERVECERIA Y MALTERIA.",($AS1630*$AK1630/1000000)*(1-VLOOKUP($N1630,FCST!D:I,6,FALSE)),0)</f>
        <v>0</v>
      </c>
      <c r="AZ1630" s="239">
        <f t="shared" si="238"/>
        <v>0</v>
      </c>
    </row>
    <row r="1631" spans="1:52" x14ac:dyDescent="0.25">
      <c r="A1631" s="209">
        <v>1150117</v>
      </c>
      <c r="B1631" s="209">
        <v>10</v>
      </c>
      <c r="C1631" s="209" t="s">
        <v>3678</v>
      </c>
      <c r="D1631" s="209">
        <v>10</v>
      </c>
      <c r="E1631" s="209">
        <v>10000002</v>
      </c>
      <c r="F1631" s="209">
        <v>20000339</v>
      </c>
      <c r="G1631" s="209" t="s">
        <v>105</v>
      </c>
      <c r="H1631" s="209">
        <v>20000339</v>
      </c>
      <c r="I1631" s="209">
        <v>2</v>
      </c>
      <c r="J1631" s="209" t="s">
        <v>169</v>
      </c>
      <c r="K1631" s="209" t="s">
        <v>3679</v>
      </c>
      <c r="L1631" s="209" t="s">
        <v>2610</v>
      </c>
      <c r="M1631" s="209" t="s">
        <v>227</v>
      </c>
      <c r="N1631" s="209">
        <v>50038607</v>
      </c>
      <c r="O1631" s="209" t="s">
        <v>1992</v>
      </c>
      <c r="P1631" s="209">
        <v>5101</v>
      </c>
      <c r="Q1631" s="209" t="s">
        <v>444</v>
      </c>
      <c r="R1631" s="209" t="s">
        <v>445</v>
      </c>
      <c r="S1631" s="209" t="s">
        <v>230</v>
      </c>
      <c r="T1631" s="209" t="s">
        <v>446</v>
      </c>
      <c r="U1631" s="209" t="s">
        <v>447</v>
      </c>
      <c r="V1631" s="209" t="s">
        <v>179</v>
      </c>
      <c r="W1631" s="209" t="s">
        <v>179</v>
      </c>
      <c r="X1631" s="209" t="s">
        <v>180</v>
      </c>
      <c r="Y1631" s="209" t="s">
        <v>180</v>
      </c>
      <c r="Z1631" s="209" t="s">
        <v>3564</v>
      </c>
      <c r="AA1631" s="209" t="s">
        <v>3565</v>
      </c>
      <c r="AB1631" s="209" t="s">
        <v>180</v>
      </c>
      <c r="AC1631" s="209" t="s">
        <v>182</v>
      </c>
      <c r="AD1631" s="209">
        <v>11</v>
      </c>
      <c r="AE1631" s="209">
        <v>2025</v>
      </c>
      <c r="AF1631" s="227">
        <v>45968</v>
      </c>
      <c r="AG1631" s="227">
        <v>45972</v>
      </c>
      <c r="AH1631" s="227">
        <v>45972</v>
      </c>
      <c r="AI1631" s="228">
        <v>686592</v>
      </c>
      <c r="AJ1631" s="228">
        <v>48</v>
      </c>
      <c r="AK1631" s="228">
        <v>657984</v>
      </c>
      <c r="AL1631" s="228">
        <v>46</v>
      </c>
      <c r="AM1631" s="228">
        <v>0</v>
      </c>
      <c r="AN1631" s="228">
        <v>0</v>
      </c>
      <c r="AO1631" s="229">
        <v>46</v>
      </c>
      <c r="AP1631" s="231">
        <v>11</v>
      </c>
      <c r="AQ1631" s="231">
        <v>2025</v>
      </c>
      <c r="AR1631" s="231" t="str">
        <f t="shared" si="234"/>
        <v>11/2025</v>
      </c>
      <c r="AS1631" s="231">
        <f t="shared" si="235"/>
        <v>25</v>
      </c>
      <c r="AT1631" s="239">
        <f>IF(G1631="CERVECERIA Y MALTERIA",(AS1631*AK1631/1000000)*(1-VLOOKUP(N1631,FCST!D:I,6,FALSE)),0)</f>
        <v>16.4496</v>
      </c>
      <c r="AU1631" s="232">
        <v>5.0000000000000001E-3</v>
      </c>
      <c r="AV1631" s="239">
        <f t="shared" si="236"/>
        <v>16.531848</v>
      </c>
      <c r="AW1631" s="239">
        <f>(AS1631*AK1631/1000000)*(VLOOKUP(N1631,FCST!D:I,6,FALSE))</f>
        <v>0</v>
      </c>
      <c r="AX1631" s="239">
        <f t="shared" si="237"/>
        <v>0</v>
      </c>
      <c r="AY1631" s="239">
        <f>IF($G1631="CERVECERIA Y MALTERIA.",($AS1631*$AK1631/1000000)*(1-VLOOKUP($N1631,FCST!D:I,6,FALSE)),0)</f>
        <v>0</v>
      </c>
      <c r="AZ1631" s="239">
        <f t="shared" si="238"/>
        <v>0</v>
      </c>
    </row>
    <row r="1632" spans="1:52" x14ac:dyDescent="0.25">
      <c r="A1632" s="209">
        <v>1151459</v>
      </c>
      <c r="B1632" s="209">
        <v>20</v>
      </c>
      <c r="C1632" s="209" t="s">
        <v>3600</v>
      </c>
      <c r="D1632" s="209">
        <v>20</v>
      </c>
      <c r="E1632" s="209">
        <v>10000002</v>
      </c>
      <c r="F1632" s="209">
        <v>20000336</v>
      </c>
      <c r="G1632" s="209" t="s">
        <v>105</v>
      </c>
      <c r="H1632" s="209">
        <v>20000336</v>
      </c>
      <c r="I1632" s="209">
        <v>2</v>
      </c>
      <c r="J1632" s="209" t="s">
        <v>169</v>
      </c>
      <c r="K1632" s="209" t="s">
        <v>3601</v>
      </c>
      <c r="L1632" s="209" t="s">
        <v>2610</v>
      </c>
      <c r="M1632" s="209" t="s">
        <v>199</v>
      </c>
      <c r="N1632" s="209">
        <v>50024497</v>
      </c>
      <c r="O1632" s="209" t="s">
        <v>1352</v>
      </c>
      <c r="P1632" s="209">
        <v>5121</v>
      </c>
      <c r="Q1632" s="209" t="s">
        <v>200</v>
      </c>
      <c r="R1632" s="209" t="s">
        <v>201</v>
      </c>
      <c r="S1632" s="209" t="s">
        <v>202</v>
      </c>
      <c r="T1632" s="209" t="s">
        <v>203</v>
      </c>
      <c r="U1632" s="209" t="s">
        <v>201</v>
      </c>
      <c r="V1632" s="209" t="s">
        <v>179</v>
      </c>
      <c r="W1632" s="209" t="s">
        <v>179</v>
      </c>
      <c r="X1632" s="209" t="s">
        <v>180</v>
      </c>
      <c r="Y1632" s="209" t="s">
        <v>180</v>
      </c>
      <c r="Z1632" s="209" t="s">
        <v>3602</v>
      </c>
      <c r="AA1632" s="209" t="s">
        <v>3603</v>
      </c>
      <c r="AB1632" s="209" t="s">
        <v>180</v>
      </c>
      <c r="AC1632" s="209" t="s">
        <v>182</v>
      </c>
      <c r="AD1632" s="209">
        <v>11</v>
      </c>
      <c r="AE1632" s="209">
        <v>2025</v>
      </c>
      <c r="AF1632" s="227">
        <v>45975</v>
      </c>
      <c r="AG1632" s="227">
        <v>45978</v>
      </c>
      <c r="AH1632" s="227">
        <v>45978</v>
      </c>
      <c r="AI1632" s="228">
        <v>203040</v>
      </c>
      <c r="AJ1632" s="228">
        <v>30</v>
      </c>
      <c r="AK1632" s="228">
        <v>203040</v>
      </c>
      <c r="AL1632" s="228">
        <v>30</v>
      </c>
      <c r="AM1632" s="228">
        <v>0</v>
      </c>
      <c r="AN1632" s="228">
        <v>0</v>
      </c>
      <c r="AO1632" s="229">
        <v>47</v>
      </c>
      <c r="AP1632" s="231">
        <v>11</v>
      </c>
      <c r="AQ1632" s="231">
        <v>2025</v>
      </c>
      <c r="AR1632" s="231" t="str">
        <f t="shared" si="234"/>
        <v>11/2025</v>
      </c>
      <c r="AS1632" s="231">
        <f t="shared" si="235"/>
        <v>54.7</v>
      </c>
      <c r="AT1632" s="239">
        <f>IF(G1632="CERVECERIA Y MALTERIA",(AS1632*AK1632/1000000)*(1-VLOOKUP(N1632,FCST!D:I,6,FALSE)),0)</f>
        <v>11.106287999999999</v>
      </c>
      <c r="AU1632" s="232">
        <v>5.0000000000000001E-3</v>
      </c>
      <c r="AV1632" s="239">
        <f t="shared" si="236"/>
        <v>11.161819439999999</v>
      </c>
      <c r="AW1632" s="239">
        <f>(AS1632*AK1632/1000000)*(VLOOKUP(N1632,FCST!D:I,6,FALSE))</f>
        <v>0</v>
      </c>
      <c r="AX1632" s="239">
        <f t="shared" si="237"/>
        <v>0</v>
      </c>
      <c r="AY1632" s="239">
        <f>IF($G1632="CERVECERIA Y MALTERIA.",($AS1632*$AK1632/1000000)*(1-VLOOKUP($N1632,FCST!D:I,6,FALSE)),0)</f>
        <v>0</v>
      </c>
      <c r="AZ1632" s="239">
        <f t="shared" si="238"/>
        <v>0</v>
      </c>
    </row>
    <row r="1633" spans="1:52" x14ac:dyDescent="0.25">
      <c r="A1633" s="209">
        <v>1152468</v>
      </c>
      <c r="B1633" s="209">
        <v>170</v>
      </c>
      <c r="C1633" s="209" t="s">
        <v>3618</v>
      </c>
      <c r="D1633" s="209">
        <v>20</v>
      </c>
      <c r="E1633" s="209">
        <v>10000002</v>
      </c>
      <c r="F1633" s="209">
        <v>20000335</v>
      </c>
      <c r="G1633" s="209" t="s">
        <v>105</v>
      </c>
      <c r="H1633" s="209">
        <v>20000335</v>
      </c>
      <c r="I1633" s="209">
        <v>2</v>
      </c>
      <c r="J1633" s="209" t="s">
        <v>169</v>
      </c>
      <c r="K1633" s="209" t="s">
        <v>3619</v>
      </c>
      <c r="L1633" s="209" t="s">
        <v>2610</v>
      </c>
      <c r="M1633" s="209" t="s">
        <v>199</v>
      </c>
      <c r="N1633" s="209">
        <v>50037887</v>
      </c>
      <c r="O1633" s="209" t="s">
        <v>679</v>
      </c>
      <c r="P1633" s="209">
        <v>5121</v>
      </c>
      <c r="Q1633" s="209" t="s">
        <v>200</v>
      </c>
      <c r="R1633" s="209" t="s">
        <v>201</v>
      </c>
      <c r="S1633" s="209" t="s">
        <v>202</v>
      </c>
      <c r="T1633" s="209" t="s">
        <v>203</v>
      </c>
      <c r="U1633" s="209" t="s">
        <v>201</v>
      </c>
      <c r="V1633" s="209" t="s">
        <v>179</v>
      </c>
      <c r="W1633" s="209" t="s">
        <v>179</v>
      </c>
      <c r="X1633" s="209" t="s">
        <v>180</v>
      </c>
      <c r="Y1633" s="209" t="s">
        <v>180</v>
      </c>
      <c r="Z1633" s="209" t="s">
        <v>3620</v>
      </c>
      <c r="AA1633" s="209" t="s">
        <v>3621</v>
      </c>
      <c r="AB1633" s="209" t="s">
        <v>180</v>
      </c>
      <c r="AC1633" s="209" t="s">
        <v>182</v>
      </c>
      <c r="AD1633" s="209">
        <v>11</v>
      </c>
      <c r="AE1633" s="209">
        <v>2025</v>
      </c>
      <c r="AF1633" s="227">
        <v>45982</v>
      </c>
      <c r="AG1633" s="227">
        <v>45988</v>
      </c>
      <c r="AH1633" s="227">
        <v>45988</v>
      </c>
      <c r="AI1633" s="228">
        <v>408960</v>
      </c>
      <c r="AJ1633" s="228">
        <v>40</v>
      </c>
      <c r="AK1633" s="228">
        <v>408960</v>
      </c>
      <c r="AL1633" s="228">
        <v>40</v>
      </c>
      <c r="AM1633" s="228">
        <v>0</v>
      </c>
      <c r="AN1633" s="228">
        <v>0</v>
      </c>
      <c r="AO1633" s="229">
        <v>48</v>
      </c>
      <c r="AP1633" s="231">
        <v>11</v>
      </c>
      <c r="AQ1633" s="231">
        <v>2025</v>
      </c>
      <c r="AR1633" s="231" t="str">
        <f t="shared" si="234"/>
        <v>11/2025</v>
      </c>
      <c r="AS1633" s="231">
        <f t="shared" si="235"/>
        <v>37.200000000000003</v>
      </c>
      <c r="AT1633" s="239">
        <f>IF(G1633="CERVECERIA Y MALTERIA",(AS1633*AK1633/1000000)*(1-VLOOKUP(N1633,FCST!D:I,6,FALSE)),0)</f>
        <v>15.213312000000002</v>
      </c>
      <c r="AU1633" s="232">
        <v>5.0000000000000001E-3</v>
      </c>
      <c r="AV1633" s="239">
        <f t="shared" si="236"/>
        <v>15.289378560000001</v>
      </c>
      <c r="AW1633" s="239">
        <f>(AS1633*AK1633/1000000)*(VLOOKUP(N1633,FCST!D:I,6,FALSE))</f>
        <v>0</v>
      </c>
      <c r="AX1633" s="239">
        <f t="shared" si="237"/>
        <v>0</v>
      </c>
      <c r="AY1633" s="239">
        <f>IF($G1633="CERVECERIA Y MALTERIA.",($AS1633*$AK1633/1000000)*(1-VLOOKUP($N1633,FCST!D:I,6,FALSE)),0)</f>
        <v>0</v>
      </c>
      <c r="AZ1633" s="239">
        <f t="shared" si="238"/>
        <v>0</v>
      </c>
    </row>
    <row r="1634" spans="1:52" x14ac:dyDescent="0.25">
      <c r="A1634" s="209">
        <v>1152468</v>
      </c>
      <c r="B1634" s="209">
        <v>130</v>
      </c>
      <c r="C1634" s="209" t="s">
        <v>3622</v>
      </c>
      <c r="D1634" s="209">
        <v>20</v>
      </c>
      <c r="E1634" s="209">
        <v>10000002</v>
      </c>
      <c r="F1634" s="209">
        <v>20000335</v>
      </c>
      <c r="G1634" s="209" t="s">
        <v>105</v>
      </c>
      <c r="H1634" s="209">
        <v>20000335</v>
      </c>
      <c r="I1634" s="209">
        <v>2</v>
      </c>
      <c r="J1634" s="209" t="s">
        <v>169</v>
      </c>
      <c r="K1634" s="209" t="s">
        <v>3623</v>
      </c>
      <c r="L1634" s="209" t="s">
        <v>2610</v>
      </c>
      <c r="M1634" s="209" t="s">
        <v>199</v>
      </c>
      <c r="N1634" s="209">
        <v>50035184</v>
      </c>
      <c r="O1634" s="209" t="s">
        <v>672</v>
      </c>
      <c r="P1634" s="209">
        <v>5121</v>
      </c>
      <c r="Q1634" s="209" t="s">
        <v>200</v>
      </c>
      <c r="R1634" s="209" t="s">
        <v>201</v>
      </c>
      <c r="S1634" s="209" t="s">
        <v>202</v>
      </c>
      <c r="T1634" s="209" t="s">
        <v>203</v>
      </c>
      <c r="U1634" s="209" t="s">
        <v>201</v>
      </c>
      <c r="V1634" s="209" t="s">
        <v>179</v>
      </c>
      <c r="W1634" s="209" t="s">
        <v>179</v>
      </c>
      <c r="X1634" s="209" t="s">
        <v>180</v>
      </c>
      <c r="Y1634" s="209" t="s">
        <v>180</v>
      </c>
      <c r="Z1634" s="209" t="s">
        <v>3624</v>
      </c>
      <c r="AA1634" s="209" t="s">
        <v>3625</v>
      </c>
      <c r="AB1634" s="209" t="s">
        <v>180</v>
      </c>
      <c r="AC1634" s="209" t="s">
        <v>182</v>
      </c>
      <c r="AD1634" s="209">
        <v>11</v>
      </c>
      <c r="AE1634" s="209">
        <v>2025</v>
      </c>
      <c r="AF1634" s="227">
        <v>45982</v>
      </c>
      <c r="AG1634" s="227">
        <v>45988</v>
      </c>
      <c r="AH1634" s="227">
        <v>45988</v>
      </c>
      <c r="AI1634" s="228">
        <v>300672</v>
      </c>
      <c r="AJ1634" s="228">
        <v>16</v>
      </c>
      <c r="AK1634" s="228">
        <v>300672</v>
      </c>
      <c r="AL1634" s="228">
        <v>16</v>
      </c>
      <c r="AM1634" s="228">
        <v>0</v>
      </c>
      <c r="AN1634" s="228">
        <v>0</v>
      </c>
      <c r="AO1634" s="229">
        <v>48</v>
      </c>
      <c r="AP1634" s="231">
        <v>11</v>
      </c>
      <c r="AQ1634" s="231">
        <v>2025</v>
      </c>
      <c r="AR1634" s="231" t="str">
        <f t="shared" si="234"/>
        <v>11/2025</v>
      </c>
      <c r="AS1634" s="231">
        <f t="shared" si="235"/>
        <v>19.5</v>
      </c>
      <c r="AT1634" s="239">
        <f>IF(G1634="CERVECERIA Y MALTERIA",(AS1634*AK1634/1000000)*(1-VLOOKUP(N1634,FCST!D:I,6,FALSE)),0)</f>
        <v>5.8631039999999999</v>
      </c>
      <c r="AU1634" s="232">
        <v>5.0000000000000001E-3</v>
      </c>
      <c r="AV1634" s="239">
        <f t="shared" si="236"/>
        <v>5.8924195199999989</v>
      </c>
      <c r="AW1634" s="239">
        <f>(AS1634*AK1634/1000000)*(VLOOKUP(N1634,FCST!D:I,6,FALSE))</f>
        <v>0</v>
      </c>
      <c r="AX1634" s="239">
        <f t="shared" si="237"/>
        <v>0</v>
      </c>
      <c r="AY1634" s="239">
        <f>IF($G1634="CERVECERIA Y MALTERIA.",($AS1634*$AK1634/1000000)*(1-VLOOKUP($N1634,FCST!D:I,6,FALSE)),0)</f>
        <v>0</v>
      </c>
      <c r="AZ1634" s="239">
        <f t="shared" si="238"/>
        <v>0</v>
      </c>
    </row>
    <row r="1635" spans="1:52" x14ac:dyDescent="0.25">
      <c r="A1635" s="209">
        <v>1152468</v>
      </c>
      <c r="B1635" s="209">
        <v>230</v>
      </c>
      <c r="C1635" s="209" t="s">
        <v>3630</v>
      </c>
      <c r="D1635" s="209">
        <v>20</v>
      </c>
      <c r="E1635" s="209">
        <v>10000002</v>
      </c>
      <c r="F1635" s="209">
        <v>20000335</v>
      </c>
      <c r="G1635" s="209" t="s">
        <v>105</v>
      </c>
      <c r="H1635" s="209">
        <v>20000335</v>
      </c>
      <c r="I1635" s="209">
        <v>2</v>
      </c>
      <c r="J1635" s="209" t="s">
        <v>169</v>
      </c>
      <c r="K1635" s="209" t="s">
        <v>3631</v>
      </c>
      <c r="L1635" s="209" t="s">
        <v>2610</v>
      </c>
      <c r="M1635" s="209" t="s">
        <v>199</v>
      </c>
      <c r="N1635" s="209">
        <v>50037887</v>
      </c>
      <c r="O1635" s="209" t="s">
        <v>679</v>
      </c>
      <c r="P1635" s="209">
        <v>5121</v>
      </c>
      <c r="Q1635" s="209" t="s">
        <v>200</v>
      </c>
      <c r="R1635" s="209" t="s">
        <v>201</v>
      </c>
      <c r="S1635" s="209" t="s">
        <v>202</v>
      </c>
      <c r="T1635" s="209" t="s">
        <v>203</v>
      </c>
      <c r="U1635" s="209" t="s">
        <v>201</v>
      </c>
      <c r="V1635" s="209" t="s">
        <v>179</v>
      </c>
      <c r="W1635" s="209" t="s">
        <v>179</v>
      </c>
      <c r="X1635" s="209" t="s">
        <v>180</v>
      </c>
      <c r="Y1635" s="209" t="s">
        <v>180</v>
      </c>
      <c r="Z1635" s="209" t="s">
        <v>3632</v>
      </c>
      <c r="AA1635" s="209" t="s">
        <v>3633</v>
      </c>
      <c r="AB1635" s="209" t="s">
        <v>180</v>
      </c>
      <c r="AC1635" s="209" t="s">
        <v>182</v>
      </c>
      <c r="AD1635" s="209">
        <v>11</v>
      </c>
      <c r="AE1635" s="209">
        <v>2025</v>
      </c>
      <c r="AF1635" s="227">
        <v>45982</v>
      </c>
      <c r="AG1635" s="227">
        <v>45989</v>
      </c>
      <c r="AH1635" s="227">
        <v>45989</v>
      </c>
      <c r="AI1635" s="228">
        <v>429408</v>
      </c>
      <c r="AJ1635" s="228">
        <v>42</v>
      </c>
      <c r="AK1635" s="228">
        <v>429408</v>
      </c>
      <c r="AL1635" s="228">
        <v>42</v>
      </c>
      <c r="AM1635" s="228">
        <v>0</v>
      </c>
      <c r="AN1635" s="228">
        <v>0</v>
      </c>
      <c r="AO1635" s="229">
        <v>48</v>
      </c>
      <c r="AP1635" s="231">
        <v>11</v>
      </c>
      <c r="AQ1635" s="231">
        <v>2025</v>
      </c>
      <c r="AR1635" s="231" t="str">
        <f t="shared" si="234"/>
        <v>11/2025</v>
      </c>
      <c r="AS1635" s="231">
        <f t="shared" si="235"/>
        <v>37.200000000000003</v>
      </c>
      <c r="AT1635" s="239">
        <f>IF(G1635="CERVECERIA Y MALTERIA",(AS1635*AK1635/1000000)*(1-VLOOKUP(N1635,FCST!D:I,6,FALSE)),0)</f>
        <v>15.973977600000001</v>
      </c>
      <c r="AU1635" s="232">
        <v>5.0000000000000001E-3</v>
      </c>
      <c r="AV1635" s="239">
        <f t="shared" si="236"/>
        <v>16.053847487999999</v>
      </c>
      <c r="AW1635" s="239">
        <f>(AS1635*AK1635/1000000)*(VLOOKUP(N1635,FCST!D:I,6,FALSE))</f>
        <v>0</v>
      </c>
      <c r="AX1635" s="239">
        <f t="shared" si="237"/>
        <v>0</v>
      </c>
      <c r="AY1635" s="239">
        <f>IF($G1635="CERVECERIA Y MALTERIA.",($AS1635*$AK1635/1000000)*(1-VLOOKUP($N1635,FCST!D:I,6,FALSE)),0)</f>
        <v>0</v>
      </c>
      <c r="AZ1635" s="239">
        <f t="shared" si="238"/>
        <v>0</v>
      </c>
    </row>
    <row r="1636" spans="1:52" x14ac:dyDescent="0.25">
      <c r="A1636" s="209">
        <v>1150120</v>
      </c>
      <c r="B1636" s="209">
        <v>30</v>
      </c>
      <c r="C1636" s="209" t="s">
        <v>3666</v>
      </c>
      <c r="D1636" s="209">
        <v>20</v>
      </c>
      <c r="E1636" s="209">
        <v>10000002</v>
      </c>
      <c r="F1636" s="209">
        <v>20000336</v>
      </c>
      <c r="G1636" s="209" t="s">
        <v>105</v>
      </c>
      <c r="H1636" s="209">
        <v>20000336</v>
      </c>
      <c r="I1636" s="209">
        <v>2</v>
      </c>
      <c r="J1636" s="209" t="s">
        <v>169</v>
      </c>
      <c r="K1636" s="209" t="s">
        <v>3667</v>
      </c>
      <c r="L1636" s="209" t="s">
        <v>2610</v>
      </c>
      <c r="M1636" s="209" t="s">
        <v>199</v>
      </c>
      <c r="N1636" s="209">
        <v>50037887</v>
      </c>
      <c r="O1636" s="209" t="s">
        <v>679</v>
      </c>
      <c r="P1636" s="209">
        <v>5121</v>
      </c>
      <c r="Q1636" s="209" t="s">
        <v>200</v>
      </c>
      <c r="R1636" s="209" t="s">
        <v>201</v>
      </c>
      <c r="S1636" s="209" t="s">
        <v>202</v>
      </c>
      <c r="T1636" s="209" t="s">
        <v>203</v>
      </c>
      <c r="U1636" s="209" t="s">
        <v>201</v>
      </c>
      <c r="V1636" s="209" t="s">
        <v>179</v>
      </c>
      <c r="W1636" s="209" t="s">
        <v>179</v>
      </c>
      <c r="X1636" s="209" t="s">
        <v>180</v>
      </c>
      <c r="Y1636" s="209" t="s">
        <v>180</v>
      </c>
      <c r="Z1636" s="209" t="s">
        <v>3668</v>
      </c>
      <c r="AA1636" s="209" t="s">
        <v>3669</v>
      </c>
      <c r="AB1636" s="209" t="s">
        <v>180</v>
      </c>
      <c r="AC1636" s="209" t="s">
        <v>182</v>
      </c>
      <c r="AD1636" s="209">
        <v>11</v>
      </c>
      <c r="AE1636" s="209">
        <v>2025</v>
      </c>
      <c r="AF1636" s="227">
        <v>45968</v>
      </c>
      <c r="AG1636" s="227">
        <v>45973</v>
      </c>
      <c r="AH1636" s="227">
        <v>45973</v>
      </c>
      <c r="AI1636" s="228">
        <v>255600</v>
      </c>
      <c r="AJ1636" s="228">
        <v>25</v>
      </c>
      <c r="AK1636" s="228">
        <v>255600</v>
      </c>
      <c r="AL1636" s="228">
        <v>25</v>
      </c>
      <c r="AM1636" s="228">
        <v>0</v>
      </c>
      <c r="AN1636" s="228">
        <v>0</v>
      </c>
      <c r="AO1636" s="229">
        <v>46</v>
      </c>
      <c r="AP1636" s="231">
        <v>11</v>
      </c>
      <c r="AQ1636" s="231">
        <v>2025</v>
      </c>
      <c r="AR1636" s="231" t="str">
        <f t="shared" si="234"/>
        <v>11/2025</v>
      </c>
      <c r="AS1636" s="231">
        <f t="shared" si="235"/>
        <v>37.200000000000003</v>
      </c>
      <c r="AT1636" s="239">
        <f>IF(G1636="CERVECERIA Y MALTERIA",(AS1636*AK1636/1000000)*(1-VLOOKUP(N1636,FCST!D:I,6,FALSE)),0)</f>
        <v>9.5083199999999994</v>
      </c>
      <c r="AU1636" s="232">
        <v>5.0000000000000001E-3</v>
      </c>
      <c r="AV1636" s="239">
        <f t="shared" si="236"/>
        <v>9.5558615999999983</v>
      </c>
      <c r="AW1636" s="239">
        <f>(AS1636*AK1636/1000000)*(VLOOKUP(N1636,FCST!D:I,6,FALSE))</f>
        <v>0</v>
      </c>
      <c r="AX1636" s="239">
        <f t="shared" si="237"/>
        <v>0</v>
      </c>
      <c r="AY1636" s="239">
        <f>IF($G1636="CERVECERIA Y MALTERIA.",($AS1636*$AK1636/1000000)*(1-VLOOKUP($N1636,FCST!D:I,6,FALSE)),0)</f>
        <v>0</v>
      </c>
      <c r="AZ1636" s="239">
        <f t="shared" si="238"/>
        <v>0</v>
      </c>
    </row>
    <row r="1637" spans="1:52" x14ac:dyDescent="0.25">
      <c r="A1637" s="209">
        <v>1152468</v>
      </c>
      <c r="B1637" s="209">
        <v>150</v>
      </c>
      <c r="C1637" s="209" t="s">
        <v>3446</v>
      </c>
      <c r="D1637" s="209">
        <v>20</v>
      </c>
      <c r="E1637" s="209">
        <v>10000002</v>
      </c>
      <c r="F1637" s="209">
        <v>20000335</v>
      </c>
      <c r="G1637" s="209" t="s">
        <v>105</v>
      </c>
      <c r="H1637" s="209">
        <v>20000335</v>
      </c>
      <c r="I1637" s="209">
        <v>2</v>
      </c>
      <c r="J1637" s="209" t="s">
        <v>169</v>
      </c>
      <c r="K1637" s="209" t="s">
        <v>3447</v>
      </c>
      <c r="L1637" s="209" t="s">
        <v>2610</v>
      </c>
      <c r="M1637" s="209" t="s">
        <v>172</v>
      </c>
      <c r="N1637" s="209">
        <v>50037887</v>
      </c>
      <c r="O1637" s="209" t="s">
        <v>679</v>
      </c>
      <c r="P1637" s="209">
        <v>5121</v>
      </c>
      <c r="Q1637" s="209" t="s">
        <v>174</v>
      </c>
      <c r="R1637" s="209" t="s">
        <v>175</v>
      </c>
      <c r="S1637" s="209" t="s">
        <v>176</v>
      </c>
      <c r="T1637" s="209" t="s">
        <v>177</v>
      </c>
      <c r="U1637" s="209" t="s">
        <v>178</v>
      </c>
      <c r="V1637" s="209" t="s">
        <v>179</v>
      </c>
      <c r="W1637" s="209" t="s">
        <v>179</v>
      </c>
      <c r="X1637" s="209" t="s">
        <v>180</v>
      </c>
      <c r="Y1637" s="209" t="s">
        <v>180</v>
      </c>
      <c r="Z1637" s="209" t="s">
        <v>3448</v>
      </c>
      <c r="AA1637" s="209" t="s">
        <v>3449</v>
      </c>
      <c r="AB1637" s="209" t="s">
        <v>180</v>
      </c>
      <c r="AC1637" s="209" t="s">
        <v>182</v>
      </c>
      <c r="AD1637" s="209">
        <v>11</v>
      </c>
      <c r="AE1637" s="209">
        <v>2025</v>
      </c>
      <c r="AF1637" s="227">
        <v>45982</v>
      </c>
      <c r="AG1637" s="227">
        <v>45988</v>
      </c>
      <c r="AH1637" s="227">
        <v>45988</v>
      </c>
      <c r="AI1637" s="228">
        <v>347616</v>
      </c>
      <c r="AJ1637" s="228">
        <v>34</v>
      </c>
      <c r="AK1637" s="228">
        <v>347616</v>
      </c>
      <c r="AL1637" s="228">
        <v>34</v>
      </c>
      <c r="AM1637" s="228">
        <v>0</v>
      </c>
      <c r="AN1637" s="228">
        <v>0</v>
      </c>
      <c r="AO1637" s="229">
        <v>48</v>
      </c>
      <c r="AP1637" s="231">
        <v>11</v>
      </c>
      <c r="AQ1637" s="231">
        <v>2025</v>
      </c>
      <c r="AR1637" s="231" t="str">
        <f t="shared" si="234"/>
        <v>11/2025</v>
      </c>
      <c r="AS1637" s="231">
        <f t="shared" si="235"/>
        <v>37.200000000000003</v>
      </c>
      <c r="AT1637" s="239">
        <f>IF(G1637="CERVECERIA Y MALTERIA",(AS1637*AK1637/1000000)*(1-VLOOKUP(N1637,FCST!D:I,6,FALSE)),0)</f>
        <v>12.9313152</v>
      </c>
      <c r="AU1637" s="232">
        <v>5.0000000000000001E-3</v>
      </c>
      <c r="AV1637" s="239">
        <f t="shared" si="236"/>
        <v>12.995971775999999</v>
      </c>
      <c r="AW1637" s="239">
        <f>(AS1637*AK1637/1000000)*(VLOOKUP(N1637,FCST!D:I,6,FALSE))</f>
        <v>0</v>
      </c>
      <c r="AX1637" s="239">
        <f t="shared" si="237"/>
        <v>0</v>
      </c>
      <c r="AY1637" s="239">
        <f>IF($G1637="CERVECERIA Y MALTERIA.",($AS1637*$AK1637/1000000)*(1-VLOOKUP($N1637,FCST!D:I,6,FALSE)),0)</f>
        <v>0</v>
      </c>
      <c r="AZ1637" s="239">
        <f t="shared" si="238"/>
        <v>0</v>
      </c>
    </row>
    <row r="1638" spans="1:52" x14ac:dyDescent="0.25">
      <c r="A1638" s="209">
        <v>1152468</v>
      </c>
      <c r="B1638" s="209">
        <v>210</v>
      </c>
      <c r="C1638" s="209" t="s">
        <v>3458</v>
      </c>
      <c r="D1638" s="209">
        <v>20</v>
      </c>
      <c r="E1638" s="209">
        <v>10000002</v>
      </c>
      <c r="F1638" s="209">
        <v>20000335</v>
      </c>
      <c r="G1638" s="209" t="s">
        <v>105</v>
      </c>
      <c r="H1638" s="209">
        <v>20000335</v>
      </c>
      <c r="I1638" s="209">
        <v>2</v>
      </c>
      <c r="J1638" s="209" t="s">
        <v>169</v>
      </c>
      <c r="K1638" s="209" t="s">
        <v>3459</v>
      </c>
      <c r="L1638" s="209" t="s">
        <v>2610</v>
      </c>
      <c r="M1638" s="209" t="s">
        <v>172</v>
      </c>
      <c r="N1638" s="209">
        <v>50037887</v>
      </c>
      <c r="O1638" s="209" t="s">
        <v>679</v>
      </c>
      <c r="P1638" s="209">
        <v>5121</v>
      </c>
      <c r="Q1638" s="209" t="s">
        <v>174</v>
      </c>
      <c r="R1638" s="209" t="s">
        <v>175</v>
      </c>
      <c r="S1638" s="209" t="s">
        <v>176</v>
      </c>
      <c r="T1638" s="209" t="s">
        <v>177</v>
      </c>
      <c r="U1638" s="209" t="s">
        <v>178</v>
      </c>
      <c r="V1638" s="209" t="s">
        <v>179</v>
      </c>
      <c r="W1638" s="209" t="s">
        <v>179</v>
      </c>
      <c r="X1638" s="209" t="s">
        <v>180</v>
      </c>
      <c r="Y1638" s="209" t="s">
        <v>180</v>
      </c>
      <c r="Z1638" s="209" t="s">
        <v>3460</v>
      </c>
      <c r="AA1638" s="209" t="s">
        <v>3461</v>
      </c>
      <c r="AB1638" s="209" t="s">
        <v>180</v>
      </c>
      <c r="AC1638" s="209" t="s">
        <v>182</v>
      </c>
      <c r="AD1638" s="209">
        <v>11</v>
      </c>
      <c r="AE1638" s="209">
        <v>2025</v>
      </c>
      <c r="AF1638" s="227">
        <v>45982</v>
      </c>
      <c r="AG1638" s="227">
        <v>45989</v>
      </c>
      <c r="AH1638" s="227">
        <v>45989</v>
      </c>
      <c r="AI1638" s="228">
        <v>408960</v>
      </c>
      <c r="AJ1638" s="228">
        <v>40</v>
      </c>
      <c r="AK1638" s="228">
        <v>408960</v>
      </c>
      <c r="AL1638" s="228">
        <v>40</v>
      </c>
      <c r="AM1638" s="228">
        <v>0</v>
      </c>
      <c r="AN1638" s="228">
        <v>0</v>
      </c>
      <c r="AO1638" s="229">
        <v>48</v>
      </c>
      <c r="AP1638" s="231">
        <v>11</v>
      </c>
      <c r="AQ1638" s="231">
        <v>2025</v>
      </c>
      <c r="AR1638" s="231" t="str">
        <f t="shared" si="234"/>
        <v>11/2025</v>
      </c>
      <c r="AS1638" s="231">
        <f t="shared" si="235"/>
        <v>37.200000000000003</v>
      </c>
      <c r="AT1638" s="239">
        <f>IF(G1638="CERVECERIA Y MALTERIA",(AS1638*AK1638/1000000)*(1-VLOOKUP(N1638,FCST!D:I,6,FALSE)),0)</f>
        <v>15.213312000000002</v>
      </c>
      <c r="AU1638" s="232">
        <v>5.0000000000000001E-3</v>
      </c>
      <c r="AV1638" s="239">
        <f t="shared" si="236"/>
        <v>15.289378560000001</v>
      </c>
      <c r="AW1638" s="239">
        <f>(AS1638*AK1638/1000000)*(VLOOKUP(N1638,FCST!D:I,6,FALSE))</f>
        <v>0</v>
      </c>
      <c r="AX1638" s="239">
        <f t="shared" si="237"/>
        <v>0</v>
      </c>
      <c r="AY1638" s="239">
        <f>IF($G1638="CERVECERIA Y MALTERIA.",($AS1638*$AK1638/1000000)*(1-VLOOKUP($N1638,FCST!D:I,6,FALSE)),0)</f>
        <v>0</v>
      </c>
      <c r="AZ1638" s="239">
        <f t="shared" si="238"/>
        <v>0</v>
      </c>
    </row>
    <row r="1639" spans="1:52" x14ac:dyDescent="0.25">
      <c r="A1639" s="209">
        <v>1152468</v>
      </c>
      <c r="B1639" s="209">
        <v>190</v>
      </c>
      <c r="C1639" s="209" t="s">
        <v>3462</v>
      </c>
      <c r="D1639" s="209">
        <v>20</v>
      </c>
      <c r="E1639" s="209">
        <v>10000002</v>
      </c>
      <c r="F1639" s="209">
        <v>20000335</v>
      </c>
      <c r="G1639" s="209" t="s">
        <v>105</v>
      </c>
      <c r="H1639" s="209">
        <v>20000335</v>
      </c>
      <c r="I1639" s="209">
        <v>2</v>
      </c>
      <c r="J1639" s="209" t="s">
        <v>169</v>
      </c>
      <c r="K1639" s="209" t="s">
        <v>3463</v>
      </c>
      <c r="L1639" s="209" t="s">
        <v>2610</v>
      </c>
      <c r="M1639" s="209" t="s">
        <v>184</v>
      </c>
      <c r="N1639" s="209">
        <v>50035183</v>
      </c>
      <c r="O1639" s="209" t="s">
        <v>215</v>
      </c>
      <c r="P1639" s="209">
        <v>5121</v>
      </c>
      <c r="Q1639" s="209" t="s">
        <v>174</v>
      </c>
      <c r="R1639" s="209" t="s">
        <v>175</v>
      </c>
      <c r="S1639" s="209" t="s">
        <v>176</v>
      </c>
      <c r="T1639" s="209" t="s">
        <v>177</v>
      </c>
      <c r="U1639" s="209" t="s">
        <v>178</v>
      </c>
      <c r="V1639" s="209" t="s">
        <v>179</v>
      </c>
      <c r="W1639" s="209" t="s">
        <v>179</v>
      </c>
      <c r="X1639" s="209" t="s">
        <v>180</v>
      </c>
      <c r="Y1639" s="209" t="s">
        <v>180</v>
      </c>
      <c r="Z1639" s="209" t="s">
        <v>3464</v>
      </c>
      <c r="AA1639" s="209" t="s">
        <v>3465</v>
      </c>
      <c r="AB1639" s="209" t="s">
        <v>180</v>
      </c>
      <c r="AC1639" s="209" t="s">
        <v>182</v>
      </c>
      <c r="AD1639" s="209">
        <v>11</v>
      </c>
      <c r="AE1639" s="209">
        <v>2025</v>
      </c>
      <c r="AF1639" s="227">
        <v>45982</v>
      </c>
      <c r="AG1639" s="227">
        <v>45989</v>
      </c>
      <c r="AH1639" s="227">
        <v>45989</v>
      </c>
      <c r="AI1639" s="228">
        <v>114912</v>
      </c>
      <c r="AJ1639" s="228">
        <v>14</v>
      </c>
      <c r="AK1639" s="228">
        <v>114912</v>
      </c>
      <c r="AL1639" s="228">
        <v>14</v>
      </c>
      <c r="AM1639" s="228">
        <v>0</v>
      </c>
      <c r="AN1639" s="228">
        <v>0</v>
      </c>
      <c r="AO1639" s="229">
        <v>48</v>
      </c>
      <c r="AP1639" s="231">
        <v>11</v>
      </c>
      <c r="AQ1639" s="231">
        <v>2025</v>
      </c>
      <c r="AR1639" s="231" t="str">
        <f t="shared" si="234"/>
        <v>11/2025</v>
      </c>
      <c r="AS1639" s="231">
        <f t="shared" si="235"/>
        <v>46.6</v>
      </c>
      <c r="AT1639" s="239">
        <f>IF(G1639="CERVECERIA Y MALTERIA",(AS1639*AK1639/1000000)*(1-VLOOKUP(N1639,FCST!D:I,6,FALSE)),0)</f>
        <v>5.3548992000000002</v>
      </c>
      <c r="AU1639" s="232">
        <v>5.0000000000000001E-3</v>
      </c>
      <c r="AV1639" s="239">
        <f t="shared" si="236"/>
        <v>5.381673696</v>
      </c>
      <c r="AW1639" s="239">
        <f>(AS1639*AK1639/1000000)*(VLOOKUP(N1639,FCST!D:I,6,FALSE))</f>
        <v>0</v>
      </c>
      <c r="AX1639" s="239">
        <f t="shared" si="237"/>
        <v>0</v>
      </c>
      <c r="AY1639" s="239">
        <f>IF($G1639="CERVECERIA Y MALTERIA.",($AS1639*$AK1639/1000000)*(1-VLOOKUP($N1639,FCST!D:I,6,FALSE)),0)</f>
        <v>0</v>
      </c>
      <c r="AZ1639" s="239">
        <f t="shared" si="238"/>
        <v>0</v>
      </c>
    </row>
    <row r="1640" spans="1:52" x14ac:dyDescent="0.25">
      <c r="A1640" s="209">
        <v>1152468</v>
      </c>
      <c r="B1640" s="209">
        <v>70</v>
      </c>
      <c r="C1640" s="209" t="s">
        <v>3466</v>
      </c>
      <c r="D1640" s="209">
        <v>20</v>
      </c>
      <c r="E1640" s="209">
        <v>10000002</v>
      </c>
      <c r="F1640" s="209">
        <v>20000335</v>
      </c>
      <c r="G1640" s="209" t="s">
        <v>105</v>
      </c>
      <c r="H1640" s="209">
        <v>20000335</v>
      </c>
      <c r="I1640" s="209">
        <v>2</v>
      </c>
      <c r="J1640" s="209" t="s">
        <v>169</v>
      </c>
      <c r="K1640" s="209" t="s">
        <v>3467</v>
      </c>
      <c r="L1640" s="209" t="s">
        <v>2610</v>
      </c>
      <c r="M1640" s="209" t="s">
        <v>184</v>
      </c>
      <c r="N1640" s="209">
        <v>50025345</v>
      </c>
      <c r="O1640" s="209" t="s">
        <v>1998</v>
      </c>
      <c r="P1640" s="209">
        <v>5121</v>
      </c>
      <c r="Q1640" s="209" t="s">
        <v>174</v>
      </c>
      <c r="R1640" s="209" t="s">
        <v>175</v>
      </c>
      <c r="S1640" s="209" t="s">
        <v>176</v>
      </c>
      <c r="T1640" s="209" t="s">
        <v>177</v>
      </c>
      <c r="U1640" s="209" t="s">
        <v>178</v>
      </c>
      <c r="V1640" s="209" t="s">
        <v>179</v>
      </c>
      <c r="W1640" s="209" t="s">
        <v>179</v>
      </c>
      <c r="X1640" s="209" t="s">
        <v>180</v>
      </c>
      <c r="Y1640" s="209" t="s">
        <v>180</v>
      </c>
      <c r="Z1640" s="209" t="s">
        <v>3468</v>
      </c>
      <c r="AA1640" s="209" t="s">
        <v>3469</v>
      </c>
      <c r="AB1640" s="209" t="s">
        <v>180</v>
      </c>
      <c r="AC1640" s="209" t="s">
        <v>182</v>
      </c>
      <c r="AD1640" s="209">
        <v>11</v>
      </c>
      <c r="AE1640" s="209">
        <v>2025</v>
      </c>
      <c r="AF1640" s="227">
        <v>45982</v>
      </c>
      <c r="AG1640" s="227">
        <v>45987</v>
      </c>
      <c r="AH1640" s="227">
        <v>45987</v>
      </c>
      <c r="AI1640" s="228">
        <v>213408</v>
      </c>
      <c r="AJ1640" s="228">
        <v>26</v>
      </c>
      <c r="AK1640" s="228">
        <v>213408</v>
      </c>
      <c r="AL1640" s="228">
        <v>26</v>
      </c>
      <c r="AM1640" s="228">
        <v>0</v>
      </c>
      <c r="AN1640" s="228">
        <v>0</v>
      </c>
      <c r="AO1640" s="229">
        <v>48</v>
      </c>
      <c r="AP1640" s="231">
        <v>11</v>
      </c>
      <c r="AQ1640" s="231">
        <v>2025</v>
      </c>
      <c r="AR1640" s="231" t="str">
        <f t="shared" si="234"/>
        <v>11/2025</v>
      </c>
      <c r="AS1640" s="231">
        <f t="shared" si="235"/>
        <v>46.6</v>
      </c>
      <c r="AT1640" s="239">
        <f>IF(G1640="CERVECERIA Y MALTERIA",(AS1640*AK1640/1000000)*(1-VLOOKUP(N1640,FCST!D:I,6,FALSE)),0)</f>
        <v>9.9448128000000011</v>
      </c>
      <c r="AU1640" s="232">
        <v>5.0000000000000001E-3</v>
      </c>
      <c r="AV1640" s="239">
        <f t="shared" si="236"/>
        <v>9.9945368640000005</v>
      </c>
      <c r="AW1640" s="239">
        <f>(AS1640*AK1640/1000000)*(VLOOKUP(N1640,FCST!D:I,6,FALSE))</f>
        <v>0</v>
      </c>
      <c r="AX1640" s="239">
        <f t="shared" si="237"/>
        <v>0</v>
      </c>
      <c r="AY1640" s="239">
        <f>IF($G1640="CERVECERIA Y MALTERIA.",($AS1640*$AK1640/1000000)*(1-VLOOKUP($N1640,FCST!D:I,6,FALSE)),0)</f>
        <v>0</v>
      </c>
      <c r="AZ1640" s="239">
        <f t="shared" si="238"/>
        <v>0</v>
      </c>
    </row>
    <row r="1641" spans="1:52" x14ac:dyDescent="0.25">
      <c r="A1641" s="209">
        <v>1152468</v>
      </c>
      <c r="B1641" s="209">
        <v>80</v>
      </c>
      <c r="C1641" s="209" t="s">
        <v>3470</v>
      </c>
      <c r="D1641" s="209">
        <v>20</v>
      </c>
      <c r="E1641" s="209">
        <v>10000002</v>
      </c>
      <c r="F1641" s="209">
        <v>20000335</v>
      </c>
      <c r="G1641" s="209" t="s">
        <v>105</v>
      </c>
      <c r="H1641" s="209">
        <v>20000335</v>
      </c>
      <c r="I1641" s="209">
        <v>2</v>
      </c>
      <c r="J1641" s="209" t="s">
        <v>169</v>
      </c>
      <c r="K1641" s="209" t="s">
        <v>3471</v>
      </c>
      <c r="L1641" s="209" t="s">
        <v>2610</v>
      </c>
      <c r="M1641" s="209" t="s">
        <v>184</v>
      </c>
      <c r="N1641" s="209">
        <v>50035183</v>
      </c>
      <c r="O1641" s="209" t="s">
        <v>215</v>
      </c>
      <c r="P1641" s="209">
        <v>5121</v>
      </c>
      <c r="Q1641" s="209" t="s">
        <v>174</v>
      </c>
      <c r="R1641" s="209" t="s">
        <v>175</v>
      </c>
      <c r="S1641" s="209" t="s">
        <v>176</v>
      </c>
      <c r="T1641" s="209" t="s">
        <v>177</v>
      </c>
      <c r="U1641" s="209" t="s">
        <v>178</v>
      </c>
      <c r="V1641" s="209" t="s">
        <v>179</v>
      </c>
      <c r="W1641" s="209" t="s">
        <v>179</v>
      </c>
      <c r="X1641" s="209" t="s">
        <v>180</v>
      </c>
      <c r="Y1641" s="209" t="s">
        <v>180</v>
      </c>
      <c r="Z1641" s="209" t="s">
        <v>3472</v>
      </c>
      <c r="AA1641" s="209" t="s">
        <v>3473</v>
      </c>
      <c r="AB1641" s="209" t="s">
        <v>180</v>
      </c>
      <c r="AC1641" s="209" t="s">
        <v>182</v>
      </c>
      <c r="AD1641" s="209">
        <v>11</v>
      </c>
      <c r="AE1641" s="209">
        <v>2025</v>
      </c>
      <c r="AF1641" s="227">
        <v>45982</v>
      </c>
      <c r="AG1641" s="227">
        <v>45987</v>
      </c>
      <c r="AH1641" s="227">
        <v>45987</v>
      </c>
      <c r="AI1641" s="228">
        <v>213408</v>
      </c>
      <c r="AJ1641" s="228">
        <v>26</v>
      </c>
      <c r="AK1641" s="228">
        <v>213408</v>
      </c>
      <c r="AL1641" s="228">
        <v>26</v>
      </c>
      <c r="AM1641" s="228">
        <v>0</v>
      </c>
      <c r="AN1641" s="228">
        <v>0</v>
      </c>
      <c r="AO1641" s="229">
        <v>48</v>
      </c>
      <c r="AP1641" s="231">
        <v>11</v>
      </c>
      <c r="AQ1641" s="231">
        <v>2025</v>
      </c>
      <c r="AR1641" s="231" t="str">
        <f t="shared" si="234"/>
        <v>11/2025</v>
      </c>
      <c r="AS1641" s="231">
        <f t="shared" si="235"/>
        <v>46.6</v>
      </c>
      <c r="AT1641" s="239">
        <f>IF(G1641="CERVECERIA Y MALTERIA",(AS1641*AK1641/1000000)*(1-VLOOKUP(N1641,FCST!D:I,6,FALSE)),0)</f>
        <v>9.9448128000000011</v>
      </c>
      <c r="AU1641" s="232">
        <v>5.0000000000000001E-3</v>
      </c>
      <c r="AV1641" s="239">
        <f t="shared" si="236"/>
        <v>9.9945368640000005</v>
      </c>
      <c r="AW1641" s="239">
        <f>(AS1641*AK1641/1000000)*(VLOOKUP(N1641,FCST!D:I,6,FALSE))</f>
        <v>0</v>
      </c>
      <c r="AX1641" s="239">
        <f t="shared" si="237"/>
        <v>0</v>
      </c>
      <c r="AY1641" s="239">
        <f>IF($G1641="CERVECERIA Y MALTERIA.",($AS1641*$AK1641/1000000)*(1-VLOOKUP($N1641,FCST!D:I,6,FALSE)),0)</f>
        <v>0</v>
      </c>
      <c r="AZ1641" s="239">
        <f t="shared" si="238"/>
        <v>0</v>
      </c>
    </row>
    <row r="1643" spans="1:52" x14ac:dyDescent="0.25">
      <c r="A1643" s="209">
        <v>1157496</v>
      </c>
      <c r="B1643" s="209">
        <v>10</v>
      </c>
      <c r="C1643" s="209" t="s">
        <v>3680</v>
      </c>
      <c r="D1643" s="209">
        <v>10</v>
      </c>
      <c r="E1643" s="209">
        <v>10000002</v>
      </c>
      <c r="F1643" s="209">
        <v>20000335</v>
      </c>
      <c r="G1643" s="209" t="s">
        <v>105</v>
      </c>
      <c r="H1643" s="209">
        <v>20000335</v>
      </c>
      <c r="I1643" s="209">
        <v>2</v>
      </c>
      <c r="J1643" s="209" t="s">
        <v>169</v>
      </c>
      <c r="K1643" s="209" t="s">
        <v>3681</v>
      </c>
      <c r="L1643" s="209" t="s">
        <v>2610</v>
      </c>
      <c r="M1643" s="209" t="s">
        <v>184</v>
      </c>
      <c r="N1643" s="209">
        <v>50037887</v>
      </c>
      <c r="O1643" s="209" t="s">
        <v>679</v>
      </c>
      <c r="P1643" s="209">
        <v>5121</v>
      </c>
      <c r="Q1643" s="209" t="s">
        <v>174</v>
      </c>
      <c r="R1643" s="209" t="s">
        <v>175</v>
      </c>
      <c r="S1643" s="209" t="s">
        <v>176</v>
      </c>
      <c r="T1643" s="209" t="s">
        <v>177</v>
      </c>
      <c r="U1643" s="209" t="s">
        <v>178</v>
      </c>
      <c r="V1643" s="209" t="s">
        <v>179</v>
      </c>
      <c r="W1643" s="209" t="s">
        <v>179</v>
      </c>
      <c r="X1643" s="209" t="s">
        <v>180</v>
      </c>
      <c r="Y1643" s="209" t="s">
        <v>180</v>
      </c>
      <c r="Z1643" s="209" t="s">
        <v>3682</v>
      </c>
      <c r="AA1643" s="209" t="s">
        <v>3683</v>
      </c>
      <c r="AB1643" s="209" t="s">
        <v>180</v>
      </c>
      <c r="AC1643" s="209" t="s">
        <v>182</v>
      </c>
      <c r="AD1643" s="209">
        <v>12</v>
      </c>
      <c r="AE1643" s="209">
        <v>2025</v>
      </c>
      <c r="AF1643" s="227">
        <v>46010</v>
      </c>
      <c r="AG1643" s="227">
        <v>46013</v>
      </c>
      <c r="AH1643" s="227">
        <v>46013</v>
      </c>
      <c r="AI1643" s="228">
        <v>531648</v>
      </c>
      <c r="AJ1643" s="228">
        <v>52</v>
      </c>
      <c r="AK1643" s="228">
        <v>531648</v>
      </c>
      <c r="AL1643" s="228">
        <v>52</v>
      </c>
      <c r="AM1643" s="228">
        <v>0</v>
      </c>
      <c r="AN1643" s="228">
        <v>0</v>
      </c>
      <c r="AO1643" s="229">
        <v>52</v>
      </c>
      <c r="AP1643" s="231">
        <v>12</v>
      </c>
      <c r="AQ1643" s="231">
        <v>2025</v>
      </c>
      <c r="AR1643" s="231" t="str">
        <f t="shared" ref="AR1643" si="239">+IF(AP1643&lt;10,"0"&amp;AP1643&amp; "/"&amp;AQ1643,AP1643&amp; "/"&amp;AQ1643)</f>
        <v>12/2025</v>
      </c>
      <c r="AS1643" s="231">
        <f t="shared" ref="AS1643" si="240">VALUE(MID(INDEX(_xlfn.TEXTSPLIT(O1643, ","), 1, 3), 1,FIND("G", INDEX(_xlfn.TEXTSPLIT(O1643, ","), 1, 3))-1))</f>
        <v>37.200000000000003</v>
      </c>
      <c r="AT1643" s="239">
        <f>IF(G1643="CERVECERIA Y MALTERIA",(AS1643*AK1643/1000000)*(1-VLOOKUP(N1643,FCST!D:I,6,FALSE)),0)</f>
        <v>19.777305600000002</v>
      </c>
      <c r="AU1643" s="232">
        <v>5.0000000000000001E-3</v>
      </c>
      <c r="AV1643" s="239">
        <f t="shared" ref="AV1643" si="241">+AT1643*(1+AU1643)</f>
        <v>19.876192128</v>
      </c>
      <c r="AW1643" s="239">
        <f>(AS1643*AK1643/1000000)*(VLOOKUP(N1643,FCST!D:I,6,FALSE))</f>
        <v>0</v>
      </c>
      <c r="AX1643" s="239">
        <f t="shared" ref="AX1643" si="242">+AW1643*(1+AU1643)</f>
        <v>0</v>
      </c>
      <c r="AY1643" s="239">
        <f>IF($G1643="CERVECERIA Y MALTERIA.",($AS1643*$AK1643/1000000)*(1-VLOOKUP($N1643,FCST!D:I,6,FALSE)),0)</f>
        <v>0</v>
      </c>
      <c r="AZ1643" s="239">
        <f t="shared" ref="AZ1643" si="243">+AY1643*(1+AU1643)</f>
        <v>0</v>
      </c>
    </row>
    <row r="1644" spans="1:52" x14ac:dyDescent="0.25">
      <c r="A1644" s="209">
        <v>1156326</v>
      </c>
      <c r="B1644" s="209">
        <v>40</v>
      </c>
      <c r="C1644" s="209" t="s">
        <v>3684</v>
      </c>
      <c r="D1644" s="209">
        <v>10</v>
      </c>
      <c r="E1644" s="209">
        <v>10000002</v>
      </c>
      <c r="F1644" s="209">
        <v>20000337</v>
      </c>
      <c r="G1644" s="209" t="s">
        <v>105</v>
      </c>
      <c r="H1644" s="209">
        <v>20000337</v>
      </c>
      <c r="I1644" s="209">
        <v>2</v>
      </c>
      <c r="J1644" s="209" t="s">
        <v>169</v>
      </c>
      <c r="K1644" s="209" t="s">
        <v>3685</v>
      </c>
      <c r="L1644" s="209" t="s">
        <v>2610</v>
      </c>
      <c r="M1644" s="209" t="s">
        <v>172</v>
      </c>
      <c r="N1644" s="209">
        <v>50036915</v>
      </c>
      <c r="O1644" s="209" t="s">
        <v>541</v>
      </c>
      <c r="P1644" s="209">
        <v>5121</v>
      </c>
      <c r="Q1644" s="209" t="s">
        <v>174</v>
      </c>
      <c r="R1644" s="209" t="s">
        <v>175</v>
      </c>
      <c r="S1644" s="209" t="s">
        <v>176</v>
      </c>
      <c r="T1644" s="209" t="s">
        <v>177</v>
      </c>
      <c r="U1644" s="209" t="s">
        <v>178</v>
      </c>
      <c r="V1644" s="209" t="s">
        <v>179</v>
      </c>
      <c r="W1644" s="209" t="s">
        <v>179</v>
      </c>
      <c r="X1644" s="209" t="s">
        <v>180</v>
      </c>
      <c r="Y1644" s="209" t="s">
        <v>180</v>
      </c>
      <c r="Z1644" s="209" t="s">
        <v>3686</v>
      </c>
      <c r="AA1644" s="209" t="s">
        <v>3687</v>
      </c>
      <c r="AB1644" s="209" t="s">
        <v>180</v>
      </c>
      <c r="AC1644" s="209" t="s">
        <v>182</v>
      </c>
      <c r="AD1644" s="209">
        <v>12</v>
      </c>
      <c r="AE1644" s="209">
        <v>2025</v>
      </c>
      <c r="AF1644" s="227">
        <v>46003</v>
      </c>
      <c r="AG1644" s="227">
        <v>46010</v>
      </c>
      <c r="AH1644" s="227">
        <v>46011</v>
      </c>
      <c r="AI1644" s="228">
        <v>426816</v>
      </c>
      <c r="AJ1644" s="228">
        <v>52</v>
      </c>
      <c r="AK1644" s="228">
        <v>426816</v>
      </c>
      <c r="AL1644" s="228">
        <v>52</v>
      </c>
      <c r="AM1644" s="228">
        <v>0</v>
      </c>
      <c r="AN1644" s="228">
        <v>0</v>
      </c>
      <c r="AO1644" s="229">
        <v>51</v>
      </c>
      <c r="AP1644" s="231">
        <v>12</v>
      </c>
      <c r="AQ1644" s="231">
        <v>2025</v>
      </c>
      <c r="AR1644" s="231" t="str">
        <f t="shared" ref="AR1644:AR1707" si="244">+IF(AP1644&lt;10,"0"&amp;AP1644&amp; "/"&amp;AQ1644,AP1644&amp; "/"&amp;AQ1644)</f>
        <v>12/2025</v>
      </c>
      <c r="AS1644" s="231">
        <f t="shared" ref="AS1644:AS1707" si="245">VALUE(MID(INDEX(_xlfn.TEXTSPLIT(O1644, ","), 1, 3), 1,FIND("G", INDEX(_xlfn.TEXTSPLIT(O1644, ","), 1, 3))-1))</f>
        <v>46.6</v>
      </c>
      <c r="AT1644" s="239">
        <f>IF(G1644="CERVECERIA Y MALTERIA",(AS1644*AK1644/1000000)*(1-VLOOKUP(N1644,FCST!D:I,6,FALSE)),0)</f>
        <v>15.911700480000002</v>
      </c>
      <c r="AU1644" s="232">
        <v>5.0000000000000001E-3</v>
      </c>
      <c r="AV1644" s="239">
        <f t="shared" ref="AV1644:AV1707" si="246">+AT1644*(1+AU1644)</f>
        <v>15.9912589824</v>
      </c>
      <c r="AW1644" s="239">
        <f>(AS1644*AK1644/1000000)*(VLOOKUP(N1644,FCST!D:I,6,FALSE))</f>
        <v>3.9779251200000005</v>
      </c>
      <c r="AX1644" s="239">
        <f t="shared" ref="AX1644:AX1707" si="247">+AW1644*(1+AU1644)</f>
        <v>3.9978147455999999</v>
      </c>
      <c r="AY1644" s="239">
        <f>IF($G1644="CERVECERIA Y MALTERIA.",($AS1644*$AK1644/1000000)*(1-VLOOKUP($N1644,FCST!D:I,6,FALSE)),0)</f>
        <v>0</v>
      </c>
      <c r="AZ1644" s="239">
        <f t="shared" ref="AZ1644:AZ1707" si="248">+AY1644*(1+AU1644)</f>
        <v>0</v>
      </c>
    </row>
    <row r="1645" spans="1:52" x14ac:dyDescent="0.25">
      <c r="A1645" s="209">
        <v>1157619</v>
      </c>
      <c r="B1645" s="209">
        <v>10</v>
      </c>
      <c r="C1645" s="209" t="s">
        <v>3688</v>
      </c>
      <c r="D1645" s="209">
        <v>10</v>
      </c>
      <c r="E1645" s="209">
        <v>10000002</v>
      </c>
      <c r="F1645" s="209">
        <v>20000340</v>
      </c>
      <c r="G1645" s="209" t="s">
        <v>117</v>
      </c>
      <c r="H1645" s="209">
        <v>20000340</v>
      </c>
      <c r="I1645" s="209">
        <v>2</v>
      </c>
      <c r="J1645" s="209" t="s">
        <v>169</v>
      </c>
      <c r="K1645" s="209" t="s">
        <v>3689</v>
      </c>
      <c r="L1645" s="209" t="s">
        <v>2610</v>
      </c>
      <c r="M1645" s="209" t="s">
        <v>184</v>
      </c>
      <c r="N1645" s="209">
        <v>50039856</v>
      </c>
      <c r="O1645" s="209" t="s">
        <v>2871</v>
      </c>
      <c r="P1645" s="209">
        <v>5101</v>
      </c>
      <c r="Q1645" s="209" t="s">
        <v>186</v>
      </c>
      <c r="R1645" s="209" t="s">
        <v>175</v>
      </c>
      <c r="S1645" s="209" t="s">
        <v>176</v>
      </c>
      <c r="T1645" s="209" t="s">
        <v>187</v>
      </c>
      <c r="U1645" s="209" t="s">
        <v>188</v>
      </c>
      <c r="V1645" s="209" t="s">
        <v>179</v>
      </c>
      <c r="W1645" s="209" t="s">
        <v>179</v>
      </c>
      <c r="X1645" s="209" t="s">
        <v>180</v>
      </c>
      <c r="Y1645" s="209" t="s">
        <v>180</v>
      </c>
      <c r="Z1645" s="209" t="s">
        <v>3690</v>
      </c>
      <c r="AA1645" s="209" t="s">
        <v>3691</v>
      </c>
      <c r="AB1645" s="209" t="s">
        <v>180</v>
      </c>
      <c r="AC1645" s="209" t="s">
        <v>182</v>
      </c>
      <c r="AD1645" s="209">
        <v>12</v>
      </c>
      <c r="AE1645" s="209">
        <v>2025</v>
      </c>
      <c r="AF1645" s="227">
        <v>46010</v>
      </c>
      <c r="AG1645" s="227">
        <v>46013</v>
      </c>
      <c r="AH1645" s="227">
        <v>46013</v>
      </c>
      <c r="AI1645" s="228">
        <v>399360</v>
      </c>
      <c r="AJ1645" s="228">
        <v>52</v>
      </c>
      <c r="AK1645" s="228">
        <v>399360</v>
      </c>
      <c r="AL1645" s="228">
        <v>52</v>
      </c>
      <c r="AM1645" s="228">
        <v>0</v>
      </c>
      <c r="AN1645" s="228">
        <v>0</v>
      </c>
      <c r="AO1645" s="229">
        <v>52</v>
      </c>
      <c r="AP1645" s="231">
        <v>12</v>
      </c>
      <c r="AQ1645" s="231">
        <v>2025</v>
      </c>
      <c r="AR1645" s="231" t="str">
        <f t="shared" si="244"/>
        <v>12/2025</v>
      </c>
      <c r="AS1645" s="231">
        <f t="shared" si="245"/>
        <v>52</v>
      </c>
      <c r="AT1645" s="239">
        <f>IF(G1645="CERVECERIA Y MALTERIA",(AS1645*AK1645/1000000)*(1-VLOOKUP(N1645,FCST!D:I,6,FALSE)),0)</f>
        <v>0</v>
      </c>
      <c r="AU1645" s="232">
        <v>5.0000000000000001E-3</v>
      </c>
      <c r="AV1645" s="239">
        <f t="shared" si="246"/>
        <v>0</v>
      </c>
      <c r="AW1645" s="239">
        <f>(AS1645*AK1645/1000000)*(VLOOKUP(N1645,FCST!D:I,6,FALSE))</f>
        <v>0</v>
      </c>
      <c r="AX1645" s="239">
        <f t="shared" si="247"/>
        <v>0</v>
      </c>
      <c r="AY1645" s="239">
        <f>IF($G1645="CERVECERIA Y MALTERIA.",($AS1645*$AK1645/1000000)*(1-VLOOKUP($N1645,FCST!D:I,6,FALSE)),0)</f>
        <v>20.766719999999999</v>
      </c>
      <c r="AZ1645" s="239">
        <f t="shared" si="248"/>
        <v>20.870553599999997</v>
      </c>
    </row>
    <row r="1646" spans="1:52" x14ac:dyDescent="0.25">
      <c r="A1646" s="209">
        <v>1157496</v>
      </c>
      <c r="B1646" s="209">
        <v>80</v>
      </c>
      <c r="C1646" s="209" t="s">
        <v>3692</v>
      </c>
      <c r="D1646" s="209">
        <v>10</v>
      </c>
      <c r="E1646" s="209">
        <v>10000002</v>
      </c>
      <c r="F1646" s="209">
        <v>20000335</v>
      </c>
      <c r="G1646" s="209" t="s">
        <v>105</v>
      </c>
      <c r="H1646" s="209">
        <v>20000335</v>
      </c>
      <c r="I1646" s="209">
        <v>2</v>
      </c>
      <c r="J1646" s="209" t="s">
        <v>169</v>
      </c>
      <c r="K1646" s="209" t="s">
        <v>3693</v>
      </c>
      <c r="L1646" s="209" t="s">
        <v>2610</v>
      </c>
      <c r="M1646" s="209" t="s">
        <v>184</v>
      </c>
      <c r="N1646" s="209">
        <v>50021818</v>
      </c>
      <c r="O1646" s="209" t="s">
        <v>2170</v>
      </c>
      <c r="P1646" s="209">
        <v>5121</v>
      </c>
      <c r="Q1646" s="209" t="s">
        <v>174</v>
      </c>
      <c r="R1646" s="209" t="s">
        <v>175</v>
      </c>
      <c r="S1646" s="209" t="s">
        <v>176</v>
      </c>
      <c r="T1646" s="209" t="s">
        <v>177</v>
      </c>
      <c r="U1646" s="209" t="s">
        <v>178</v>
      </c>
      <c r="V1646" s="209" t="s">
        <v>179</v>
      </c>
      <c r="W1646" s="209" t="s">
        <v>179</v>
      </c>
      <c r="X1646" s="209" t="s">
        <v>180</v>
      </c>
      <c r="Y1646" s="209" t="s">
        <v>180</v>
      </c>
      <c r="Z1646" s="209" t="s">
        <v>3694</v>
      </c>
      <c r="AA1646" s="209" t="s">
        <v>3695</v>
      </c>
      <c r="AB1646" s="209" t="s">
        <v>180</v>
      </c>
      <c r="AC1646" s="209" t="s">
        <v>182</v>
      </c>
      <c r="AD1646" s="209">
        <v>12</v>
      </c>
      <c r="AE1646" s="209">
        <v>2025</v>
      </c>
      <c r="AF1646" s="227">
        <v>46010</v>
      </c>
      <c r="AG1646" s="227">
        <v>46013</v>
      </c>
      <c r="AH1646" s="227">
        <v>46013</v>
      </c>
      <c r="AI1646" s="228">
        <v>426816</v>
      </c>
      <c r="AJ1646" s="228">
        <v>52</v>
      </c>
      <c r="AK1646" s="228">
        <v>426816</v>
      </c>
      <c r="AL1646" s="228">
        <v>52</v>
      </c>
      <c r="AM1646" s="228">
        <v>0</v>
      </c>
      <c r="AN1646" s="228">
        <v>0</v>
      </c>
      <c r="AO1646" s="229">
        <v>52</v>
      </c>
      <c r="AP1646" s="231">
        <v>12</v>
      </c>
      <c r="AQ1646" s="231">
        <v>2025</v>
      </c>
      <c r="AR1646" s="231" t="str">
        <f t="shared" si="244"/>
        <v>12/2025</v>
      </c>
      <c r="AS1646" s="231">
        <f t="shared" si="245"/>
        <v>46.6</v>
      </c>
      <c r="AT1646" s="239">
        <f>IF(G1646="CERVECERIA Y MALTERIA",(AS1646*AK1646/1000000)*(1-VLOOKUP(N1646,FCST!D:I,6,FALSE)),0)</f>
        <v>19.889625600000002</v>
      </c>
      <c r="AU1646" s="232">
        <v>5.0000000000000001E-3</v>
      </c>
      <c r="AV1646" s="239">
        <f t="shared" si="246"/>
        <v>19.989073728000001</v>
      </c>
      <c r="AW1646" s="239">
        <f>(AS1646*AK1646/1000000)*(VLOOKUP(N1646,FCST!D:I,6,FALSE))</f>
        <v>0</v>
      </c>
      <c r="AX1646" s="239">
        <f t="shared" si="247"/>
        <v>0</v>
      </c>
      <c r="AY1646" s="239">
        <f>IF($G1646="CERVECERIA Y MALTERIA.",($AS1646*$AK1646/1000000)*(1-VLOOKUP($N1646,FCST!D:I,6,FALSE)),0)</f>
        <v>0</v>
      </c>
      <c r="AZ1646" s="239">
        <f t="shared" si="248"/>
        <v>0</v>
      </c>
    </row>
    <row r="1647" spans="1:52" x14ac:dyDescent="0.25">
      <c r="A1647" s="209">
        <v>1157753</v>
      </c>
      <c r="B1647" s="209">
        <v>10</v>
      </c>
      <c r="C1647" s="209" t="s">
        <v>3696</v>
      </c>
      <c r="D1647" s="209">
        <v>10</v>
      </c>
      <c r="E1647" s="209">
        <v>10000002</v>
      </c>
      <c r="F1647" s="209">
        <v>20000336</v>
      </c>
      <c r="G1647" s="209" t="s">
        <v>105</v>
      </c>
      <c r="H1647" s="209">
        <v>20000336</v>
      </c>
      <c r="I1647" s="209">
        <v>2</v>
      </c>
      <c r="J1647" s="209" t="s">
        <v>169</v>
      </c>
      <c r="K1647" s="209" t="s">
        <v>3697</v>
      </c>
      <c r="L1647" s="209" t="s">
        <v>2610</v>
      </c>
      <c r="M1647" s="209" t="s">
        <v>184</v>
      </c>
      <c r="N1647" s="209">
        <v>50030381</v>
      </c>
      <c r="O1647" s="209" t="s">
        <v>1791</v>
      </c>
      <c r="P1647" s="209">
        <v>5121</v>
      </c>
      <c r="Q1647" s="209" t="s">
        <v>174</v>
      </c>
      <c r="R1647" s="209" t="s">
        <v>175</v>
      </c>
      <c r="S1647" s="209" t="s">
        <v>176</v>
      </c>
      <c r="T1647" s="209" t="s">
        <v>177</v>
      </c>
      <c r="U1647" s="209" t="s">
        <v>178</v>
      </c>
      <c r="V1647" s="209" t="s">
        <v>179</v>
      </c>
      <c r="W1647" s="209" t="s">
        <v>179</v>
      </c>
      <c r="X1647" s="209" t="s">
        <v>180</v>
      </c>
      <c r="Y1647" s="209" t="s">
        <v>180</v>
      </c>
      <c r="Z1647" s="209" t="s">
        <v>3698</v>
      </c>
      <c r="AA1647" s="209" t="s">
        <v>3699</v>
      </c>
      <c r="AB1647" s="209" t="s">
        <v>180</v>
      </c>
      <c r="AC1647" s="209" t="s">
        <v>182</v>
      </c>
      <c r="AD1647" s="209">
        <v>12</v>
      </c>
      <c r="AE1647" s="209">
        <v>2025</v>
      </c>
      <c r="AF1647" s="227">
        <v>46013</v>
      </c>
      <c r="AG1647" s="227">
        <v>46014</v>
      </c>
      <c r="AH1647" s="227">
        <v>46014</v>
      </c>
      <c r="AI1647" s="228">
        <v>406016</v>
      </c>
      <c r="AJ1647" s="228">
        <v>52</v>
      </c>
      <c r="AK1647" s="228">
        <v>406016</v>
      </c>
      <c r="AL1647" s="228">
        <v>52</v>
      </c>
      <c r="AM1647" s="228">
        <v>0</v>
      </c>
      <c r="AN1647" s="228">
        <v>0</v>
      </c>
      <c r="AO1647" s="229">
        <v>52</v>
      </c>
      <c r="AP1647" s="231">
        <v>12</v>
      </c>
      <c r="AQ1647" s="231">
        <v>2025</v>
      </c>
      <c r="AR1647" s="231" t="str">
        <f t="shared" si="244"/>
        <v>12/2025</v>
      </c>
      <c r="AS1647" s="231">
        <f t="shared" si="245"/>
        <v>46.6</v>
      </c>
      <c r="AT1647" s="239">
        <f>IF(G1647="CERVECERIA Y MALTERIA",(AS1647*AK1647/1000000)*(1-VLOOKUP(N1647,FCST!D:I,6,FALSE)),0)</f>
        <v>18.920345600000001</v>
      </c>
      <c r="AU1647" s="232">
        <v>5.0000000000000001E-3</v>
      </c>
      <c r="AV1647" s="239">
        <f t="shared" si="246"/>
        <v>19.014947327999998</v>
      </c>
      <c r="AW1647" s="239">
        <f>(AS1647*AK1647/1000000)*(VLOOKUP(N1647,FCST!D:I,6,FALSE))</f>
        <v>0</v>
      </c>
      <c r="AX1647" s="239">
        <f t="shared" si="247"/>
        <v>0</v>
      </c>
      <c r="AY1647" s="239">
        <f>IF($G1647="CERVECERIA Y MALTERIA.",($AS1647*$AK1647/1000000)*(1-VLOOKUP($N1647,FCST!D:I,6,FALSE)),0)</f>
        <v>0</v>
      </c>
      <c r="AZ1647" s="239">
        <f t="shared" si="248"/>
        <v>0</v>
      </c>
    </row>
    <row r="1648" spans="1:52" x14ac:dyDescent="0.25">
      <c r="A1648" s="209">
        <v>1157595</v>
      </c>
      <c r="B1648" s="209">
        <v>20</v>
      </c>
      <c r="C1648" s="209" t="s">
        <v>3700</v>
      </c>
      <c r="D1648" s="209">
        <v>10</v>
      </c>
      <c r="E1648" s="209">
        <v>10000002</v>
      </c>
      <c r="F1648" s="209">
        <v>20001057</v>
      </c>
      <c r="G1648" s="209" t="s">
        <v>105</v>
      </c>
      <c r="H1648" s="209">
        <v>20001057</v>
      </c>
      <c r="I1648" s="209">
        <v>2</v>
      </c>
      <c r="J1648" s="209" t="s">
        <v>169</v>
      </c>
      <c r="K1648" s="209" t="s">
        <v>3701</v>
      </c>
      <c r="L1648" s="209" t="s">
        <v>2610</v>
      </c>
      <c r="M1648" s="209" t="s">
        <v>172</v>
      </c>
      <c r="N1648" s="209">
        <v>50035184</v>
      </c>
      <c r="O1648" s="209" t="s">
        <v>672</v>
      </c>
      <c r="P1648" s="209">
        <v>5121</v>
      </c>
      <c r="Q1648" s="209" t="s">
        <v>174</v>
      </c>
      <c r="R1648" s="209" t="s">
        <v>175</v>
      </c>
      <c r="S1648" s="209" t="s">
        <v>176</v>
      </c>
      <c r="T1648" s="209" t="s">
        <v>177</v>
      </c>
      <c r="U1648" s="209" t="s">
        <v>178</v>
      </c>
      <c r="V1648" s="209" t="s">
        <v>179</v>
      </c>
      <c r="W1648" s="209" t="s">
        <v>179</v>
      </c>
      <c r="X1648" s="209" t="s">
        <v>180</v>
      </c>
      <c r="Y1648" s="209" t="s">
        <v>180</v>
      </c>
      <c r="Z1648" s="209" t="s">
        <v>3702</v>
      </c>
      <c r="AA1648" s="209" t="s">
        <v>3703</v>
      </c>
      <c r="AB1648" s="209" t="s">
        <v>180</v>
      </c>
      <c r="AC1648" s="209" t="s">
        <v>182</v>
      </c>
      <c r="AD1648" s="209">
        <v>12</v>
      </c>
      <c r="AE1648" s="209">
        <v>2025</v>
      </c>
      <c r="AF1648" s="227">
        <v>46010</v>
      </c>
      <c r="AG1648" s="227">
        <v>46014</v>
      </c>
      <c r="AH1648" s="227">
        <v>46014</v>
      </c>
      <c r="AI1648" s="228">
        <v>977184</v>
      </c>
      <c r="AJ1648" s="228">
        <v>52</v>
      </c>
      <c r="AK1648" s="228">
        <v>977184</v>
      </c>
      <c r="AL1648" s="228">
        <v>52</v>
      </c>
      <c r="AM1648" s="228">
        <v>0</v>
      </c>
      <c r="AN1648" s="228">
        <v>0</v>
      </c>
      <c r="AO1648" s="229">
        <v>52</v>
      </c>
      <c r="AP1648" s="231">
        <v>12</v>
      </c>
      <c r="AQ1648" s="231">
        <v>2025</v>
      </c>
      <c r="AR1648" s="231" t="str">
        <f t="shared" si="244"/>
        <v>12/2025</v>
      </c>
      <c r="AS1648" s="231">
        <f t="shared" si="245"/>
        <v>19.5</v>
      </c>
      <c r="AT1648" s="239">
        <f>IF(G1648="CERVECERIA Y MALTERIA",(AS1648*AK1648/1000000)*(1-VLOOKUP(N1648,FCST!D:I,6,FALSE)),0)</f>
        <v>19.055088000000001</v>
      </c>
      <c r="AU1648" s="232">
        <v>5.0000000000000001E-3</v>
      </c>
      <c r="AV1648" s="239">
        <f t="shared" si="246"/>
        <v>19.15036344</v>
      </c>
      <c r="AW1648" s="239">
        <f>(AS1648*AK1648/1000000)*(VLOOKUP(N1648,FCST!D:I,6,FALSE))</f>
        <v>0</v>
      </c>
      <c r="AX1648" s="239">
        <f t="shared" si="247"/>
        <v>0</v>
      </c>
      <c r="AY1648" s="239">
        <f>IF($G1648="CERVECERIA Y MALTERIA.",($AS1648*$AK1648/1000000)*(1-VLOOKUP($N1648,FCST!D:I,6,FALSE)),0)</f>
        <v>0</v>
      </c>
      <c r="AZ1648" s="239">
        <f t="shared" si="248"/>
        <v>0</v>
      </c>
    </row>
    <row r="1649" spans="1:52" x14ac:dyDescent="0.25">
      <c r="A1649" s="209">
        <v>1157515</v>
      </c>
      <c r="B1649" s="209">
        <v>40</v>
      </c>
      <c r="C1649" s="209" t="s">
        <v>3704</v>
      </c>
      <c r="D1649" s="209">
        <v>10</v>
      </c>
      <c r="E1649" s="209">
        <v>10000002</v>
      </c>
      <c r="F1649" s="209">
        <v>20000337</v>
      </c>
      <c r="G1649" s="209" t="s">
        <v>105</v>
      </c>
      <c r="H1649" s="209">
        <v>20000337</v>
      </c>
      <c r="I1649" s="209">
        <v>2</v>
      </c>
      <c r="J1649" s="209" t="s">
        <v>169</v>
      </c>
      <c r="K1649" s="209" t="s">
        <v>3705</v>
      </c>
      <c r="L1649" s="209" t="s">
        <v>2610</v>
      </c>
      <c r="M1649" s="209" t="s">
        <v>172</v>
      </c>
      <c r="N1649" s="209">
        <v>50036915</v>
      </c>
      <c r="O1649" s="209" t="s">
        <v>541</v>
      </c>
      <c r="P1649" s="209">
        <v>5121</v>
      </c>
      <c r="Q1649" s="209" t="s">
        <v>174</v>
      </c>
      <c r="R1649" s="209" t="s">
        <v>175</v>
      </c>
      <c r="S1649" s="209" t="s">
        <v>176</v>
      </c>
      <c r="T1649" s="209" t="s">
        <v>177</v>
      </c>
      <c r="U1649" s="209" t="s">
        <v>178</v>
      </c>
      <c r="V1649" s="209" t="s">
        <v>179</v>
      </c>
      <c r="W1649" s="209" t="s">
        <v>179</v>
      </c>
      <c r="X1649" s="209" t="s">
        <v>180</v>
      </c>
      <c r="Y1649" s="209" t="s">
        <v>180</v>
      </c>
      <c r="Z1649" s="209" t="s">
        <v>3686</v>
      </c>
      <c r="AA1649" s="209" t="s">
        <v>3687</v>
      </c>
      <c r="AB1649" s="209" t="s">
        <v>180</v>
      </c>
      <c r="AC1649" s="209" t="s">
        <v>182</v>
      </c>
      <c r="AD1649" s="209">
        <v>12</v>
      </c>
      <c r="AE1649" s="209">
        <v>2025</v>
      </c>
      <c r="AF1649" s="227">
        <v>46010</v>
      </c>
      <c r="AG1649" s="227">
        <v>46014</v>
      </c>
      <c r="AH1649" s="227">
        <v>46014</v>
      </c>
      <c r="AI1649" s="228">
        <v>426816</v>
      </c>
      <c r="AJ1649" s="228">
        <v>52</v>
      </c>
      <c r="AK1649" s="228">
        <v>426816</v>
      </c>
      <c r="AL1649" s="228">
        <v>52</v>
      </c>
      <c r="AM1649" s="228">
        <v>0</v>
      </c>
      <c r="AN1649" s="228">
        <v>0</v>
      </c>
      <c r="AO1649" s="229">
        <v>52</v>
      </c>
      <c r="AP1649" s="231">
        <v>12</v>
      </c>
      <c r="AQ1649" s="231">
        <v>2025</v>
      </c>
      <c r="AR1649" s="231" t="str">
        <f t="shared" si="244"/>
        <v>12/2025</v>
      </c>
      <c r="AS1649" s="231">
        <f t="shared" si="245"/>
        <v>46.6</v>
      </c>
      <c r="AT1649" s="239">
        <f>IF(G1649="CERVECERIA Y MALTERIA",(AS1649*AK1649/1000000)*(1-VLOOKUP(N1649,FCST!D:I,6,FALSE)),0)</f>
        <v>15.911700480000002</v>
      </c>
      <c r="AU1649" s="232">
        <v>5.0000000000000001E-3</v>
      </c>
      <c r="AV1649" s="239">
        <f t="shared" si="246"/>
        <v>15.9912589824</v>
      </c>
      <c r="AW1649" s="239">
        <f>(AS1649*AK1649/1000000)*(VLOOKUP(N1649,FCST!D:I,6,FALSE))</f>
        <v>3.9779251200000005</v>
      </c>
      <c r="AX1649" s="239">
        <f t="shared" si="247"/>
        <v>3.9978147455999999</v>
      </c>
      <c r="AY1649" s="239">
        <f>IF($G1649="CERVECERIA Y MALTERIA.",($AS1649*$AK1649/1000000)*(1-VLOOKUP($N1649,FCST!D:I,6,FALSE)),0)</f>
        <v>0</v>
      </c>
      <c r="AZ1649" s="239">
        <f t="shared" si="248"/>
        <v>0</v>
      </c>
    </row>
    <row r="1650" spans="1:52" x14ac:dyDescent="0.25">
      <c r="A1650" s="209">
        <v>1157496</v>
      </c>
      <c r="B1650" s="209">
        <v>70</v>
      </c>
      <c r="C1650" s="209" t="s">
        <v>3706</v>
      </c>
      <c r="D1650" s="209">
        <v>10</v>
      </c>
      <c r="E1650" s="209">
        <v>10000002</v>
      </c>
      <c r="F1650" s="209">
        <v>20000335</v>
      </c>
      <c r="G1650" s="209" t="s">
        <v>105</v>
      </c>
      <c r="H1650" s="209">
        <v>20000335</v>
      </c>
      <c r="I1650" s="209">
        <v>2</v>
      </c>
      <c r="J1650" s="209" t="s">
        <v>169</v>
      </c>
      <c r="K1650" s="209" t="s">
        <v>3707</v>
      </c>
      <c r="L1650" s="209" t="s">
        <v>2610</v>
      </c>
      <c r="M1650" s="209" t="s">
        <v>172</v>
      </c>
      <c r="N1650" s="209">
        <v>50034561</v>
      </c>
      <c r="O1650" s="209" t="s">
        <v>307</v>
      </c>
      <c r="P1650" s="209">
        <v>5121</v>
      </c>
      <c r="Q1650" s="209" t="s">
        <v>174</v>
      </c>
      <c r="R1650" s="209" t="s">
        <v>175</v>
      </c>
      <c r="S1650" s="209" t="s">
        <v>176</v>
      </c>
      <c r="T1650" s="209" t="s">
        <v>177</v>
      </c>
      <c r="U1650" s="209" t="s">
        <v>178</v>
      </c>
      <c r="V1650" s="209" t="s">
        <v>179</v>
      </c>
      <c r="W1650" s="209" t="s">
        <v>179</v>
      </c>
      <c r="X1650" s="209" t="s">
        <v>180</v>
      </c>
      <c r="Y1650" s="209" t="s">
        <v>180</v>
      </c>
      <c r="Z1650" s="209" t="s">
        <v>3708</v>
      </c>
      <c r="AA1650" s="209" t="s">
        <v>3709</v>
      </c>
      <c r="AB1650" s="209" t="s">
        <v>180</v>
      </c>
      <c r="AC1650" s="209" t="s">
        <v>182</v>
      </c>
      <c r="AD1650" s="209">
        <v>12</v>
      </c>
      <c r="AE1650" s="209">
        <v>2025</v>
      </c>
      <c r="AF1650" s="227">
        <v>46010</v>
      </c>
      <c r="AG1650" s="227">
        <v>46014</v>
      </c>
      <c r="AH1650" s="227">
        <v>46014</v>
      </c>
      <c r="AI1650" s="228">
        <v>977184</v>
      </c>
      <c r="AJ1650" s="228">
        <v>52</v>
      </c>
      <c r="AK1650" s="228">
        <v>977184</v>
      </c>
      <c r="AL1650" s="228">
        <v>52</v>
      </c>
      <c r="AM1650" s="228">
        <v>0</v>
      </c>
      <c r="AN1650" s="228">
        <v>0</v>
      </c>
      <c r="AO1650" s="229">
        <v>52</v>
      </c>
      <c r="AP1650" s="231">
        <v>12</v>
      </c>
      <c r="AQ1650" s="231">
        <v>2025</v>
      </c>
      <c r="AR1650" s="231" t="str">
        <f t="shared" si="244"/>
        <v>12/2025</v>
      </c>
      <c r="AS1650" s="231">
        <f t="shared" si="245"/>
        <v>19.5</v>
      </c>
      <c r="AT1650" s="239">
        <f>IF(G1650="CERVECERIA Y MALTERIA",(AS1650*AK1650/1000000)*(1-VLOOKUP(N1650,FCST!D:I,6,FALSE)),0)</f>
        <v>19.055088000000001</v>
      </c>
      <c r="AU1650" s="232">
        <v>5.0000000000000001E-3</v>
      </c>
      <c r="AV1650" s="239">
        <f t="shared" si="246"/>
        <v>19.15036344</v>
      </c>
      <c r="AW1650" s="239">
        <f>(AS1650*AK1650/1000000)*(VLOOKUP(N1650,FCST!D:I,6,FALSE))</f>
        <v>0</v>
      </c>
      <c r="AX1650" s="239">
        <f t="shared" si="247"/>
        <v>0</v>
      </c>
      <c r="AY1650" s="239">
        <f>IF($G1650="CERVECERIA Y MALTERIA.",($AS1650*$AK1650/1000000)*(1-VLOOKUP($N1650,FCST!D:I,6,FALSE)),0)</f>
        <v>0</v>
      </c>
      <c r="AZ1650" s="239">
        <f t="shared" si="248"/>
        <v>0</v>
      </c>
    </row>
    <row r="1651" spans="1:52" x14ac:dyDescent="0.25">
      <c r="A1651" s="209">
        <v>1157619</v>
      </c>
      <c r="B1651" s="209">
        <v>20</v>
      </c>
      <c r="C1651" s="209" t="s">
        <v>3710</v>
      </c>
      <c r="D1651" s="209">
        <v>10</v>
      </c>
      <c r="E1651" s="209">
        <v>10000002</v>
      </c>
      <c r="F1651" s="209">
        <v>20000340</v>
      </c>
      <c r="G1651" s="209" t="s">
        <v>117</v>
      </c>
      <c r="H1651" s="209">
        <v>20000340</v>
      </c>
      <c r="I1651" s="209">
        <v>2</v>
      </c>
      <c r="J1651" s="209" t="s">
        <v>169</v>
      </c>
      <c r="K1651" s="209" t="s">
        <v>3711</v>
      </c>
      <c r="L1651" s="209" t="s">
        <v>2610</v>
      </c>
      <c r="M1651" s="209" t="s">
        <v>172</v>
      </c>
      <c r="N1651" s="209">
        <v>50039856</v>
      </c>
      <c r="O1651" s="209" t="s">
        <v>2871</v>
      </c>
      <c r="P1651" s="209">
        <v>5101</v>
      </c>
      <c r="Q1651" s="209" t="s">
        <v>186</v>
      </c>
      <c r="R1651" s="209" t="s">
        <v>175</v>
      </c>
      <c r="S1651" s="209" t="s">
        <v>176</v>
      </c>
      <c r="T1651" s="209" t="s">
        <v>187</v>
      </c>
      <c r="U1651" s="209" t="s">
        <v>188</v>
      </c>
      <c r="V1651" s="209" t="s">
        <v>179</v>
      </c>
      <c r="W1651" s="209" t="s">
        <v>179</v>
      </c>
      <c r="X1651" s="209" t="s">
        <v>180</v>
      </c>
      <c r="Y1651" s="209" t="s">
        <v>180</v>
      </c>
      <c r="Z1651" s="209" t="s">
        <v>3690</v>
      </c>
      <c r="AA1651" s="209" t="s">
        <v>3691</v>
      </c>
      <c r="AB1651" s="209" t="s">
        <v>180</v>
      </c>
      <c r="AC1651" s="209" t="s">
        <v>182</v>
      </c>
      <c r="AD1651" s="209">
        <v>12</v>
      </c>
      <c r="AE1651" s="209">
        <v>2025</v>
      </c>
      <c r="AF1651" s="227">
        <v>46010</v>
      </c>
      <c r="AG1651" s="227">
        <v>46014</v>
      </c>
      <c r="AH1651" s="227">
        <v>46014</v>
      </c>
      <c r="AI1651" s="228">
        <v>399360</v>
      </c>
      <c r="AJ1651" s="228">
        <v>52</v>
      </c>
      <c r="AK1651" s="228">
        <v>399360</v>
      </c>
      <c r="AL1651" s="228">
        <v>52</v>
      </c>
      <c r="AM1651" s="228">
        <v>0</v>
      </c>
      <c r="AN1651" s="228">
        <v>0</v>
      </c>
      <c r="AO1651" s="229">
        <v>52</v>
      </c>
      <c r="AP1651" s="231">
        <v>12</v>
      </c>
      <c r="AQ1651" s="231">
        <v>2025</v>
      </c>
      <c r="AR1651" s="231" t="str">
        <f t="shared" si="244"/>
        <v>12/2025</v>
      </c>
      <c r="AS1651" s="231">
        <f t="shared" si="245"/>
        <v>52</v>
      </c>
      <c r="AT1651" s="239">
        <f>IF(G1651="CERVECERIA Y MALTERIA",(AS1651*AK1651/1000000)*(1-VLOOKUP(N1651,FCST!D:I,6,FALSE)),0)</f>
        <v>0</v>
      </c>
      <c r="AU1651" s="232">
        <v>5.0000000000000001E-3</v>
      </c>
      <c r="AV1651" s="239">
        <f t="shared" si="246"/>
        <v>0</v>
      </c>
      <c r="AW1651" s="239">
        <f>(AS1651*AK1651/1000000)*(VLOOKUP(N1651,FCST!D:I,6,FALSE))</f>
        <v>0</v>
      </c>
      <c r="AX1651" s="239">
        <f t="shared" si="247"/>
        <v>0</v>
      </c>
      <c r="AY1651" s="239">
        <f>IF($G1651="CERVECERIA Y MALTERIA.",($AS1651*$AK1651/1000000)*(1-VLOOKUP($N1651,FCST!D:I,6,FALSE)),0)</f>
        <v>20.766719999999999</v>
      </c>
      <c r="AZ1651" s="239">
        <f t="shared" si="248"/>
        <v>20.870553599999997</v>
      </c>
    </row>
    <row r="1652" spans="1:52" x14ac:dyDescent="0.25">
      <c r="A1652" s="209">
        <v>1156738</v>
      </c>
      <c r="B1652" s="209">
        <v>10</v>
      </c>
      <c r="C1652" s="209" t="s">
        <v>3712</v>
      </c>
      <c r="D1652" s="209">
        <v>10</v>
      </c>
      <c r="E1652" s="209">
        <v>10000002</v>
      </c>
      <c r="F1652" s="209">
        <v>20000339</v>
      </c>
      <c r="G1652" s="209" t="s">
        <v>105</v>
      </c>
      <c r="H1652" s="209">
        <v>20000339</v>
      </c>
      <c r="I1652" s="209">
        <v>2</v>
      </c>
      <c r="J1652" s="209" t="s">
        <v>169</v>
      </c>
      <c r="K1652" s="209" t="s">
        <v>3713</v>
      </c>
      <c r="L1652" s="209" t="s">
        <v>2610</v>
      </c>
      <c r="M1652" s="209" t="s">
        <v>184</v>
      </c>
      <c r="N1652" s="209">
        <v>50034194</v>
      </c>
      <c r="O1652" s="209" t="s">
        <v>276</v>
      </c>
      <c r="P1652" s="209">
        <v>5121</v>
      </c>
      <c r="Q1652" s="209" t="s">
        <v>174</v>
      </c>
      <c r="R1652" s="209" t="s">
        <v>175</v>
      </c>
      <c r="S1652" s="209" t="s">
        <v>176</v>
      </c>
      <c r="T1652" s="209" t="s">
        <v>177</v>
      </c>
      <c r="U1652" s="209" t="s">
        <v>178</v>
      </c>
      <c r="V1652" s="209" t="s">
        <v>179</v>
      </c>
      <c r="W1652" s="209" t="s">
        <v>179</v>
      </c>
      <c r="X1652" s="209" t="s">
        <v>180</v>
      </c>
      <c r="Y1652" s="209" t="s">
        <v>180</v>
      </c>
      <c r="Z1652" s="209" t="s">
        <v>3714</v>
      </c>
      <c r="AA1652" s="209" t="s">
        <v>3715</v>
      </c>
      <c r="AB1652" s="209" t="s">
        <v>180</v>
      </c>
      <c r="AC1652" s="209" t="s">
        <v>182</v>
      </c>
      <c r="AD1652" s="209">
        <v>12</v>
      </c>
      <c r="AE1652" s="209">
        <v>2025</v>
      </c>
      <c r="AF1652" s="227">
        <v>46007</v>
      </c>
      <c r="AG1652" s="227">
        <v>46008</v>
      </c>
      <c r="AH1652" s="227">
        <v>46008</v>
      </c>
      <c r="AI1652" s="228">
        <v>182880</v>
      </c>
      <c r="AJ1652" s="228">
        <v>30</v>
      </c>
      <c r="AK1652" s="228">
        <v>182880</v>
      </c>
      <c r="AL1652" s="228">
        <v>30</v>
      </c>
      <c r="AM1652" s="228">
        <v>0</v>
      </c>
      <c r="AN1652" s="228">
        <v>0</v>
      </c>
      <c r="AO1652" s="229">
        <v>51</v>
      </c>
      <c r="AP1652" s="231">
        <v>12</v>
      </c>
      <c r="AQ1652" s="231">
        <v>2025</v>
      </c>
      <c r="AR1652" s="231" t="str">
        <f t="shared" si="244"/>
        <v>12/2025</v>
      </c>
      <c r="AS1652" s="231">
        <f t="shared" si="245"/>
        <v>62</v>
      </c>
      <c r="AT1652" s="239">
        <f>IF(G1652="CERVECERIA Y MALTERIA",(AS1652*AK1652/1000000)*(1-VLOOKUP(N1652,FCST!D:I,6,FALSE)),0)</f>
        <v>11.338559999999999</v>
      </c>
      <c r="AU1652" s="232">
        <v>5.0000000000000001E-3</v>
      </c>
      <c r="AV1652" s="239">
        <f t="shared" si="246"/>
        <v>11.395252799999998</v>
      </c>
      <c r="AW1652" s="239">
        <f>(AS1652*AK1652/1000000)*(VLOOKUP(N1652,FCST!D:I,6,FALSE))</f>
        <v>0</v>
      </c>
      <c r="AX1652" s="239">
        <f t="shared" si="247"/>
        <v>0</v>
      </c>
      <c r="AY1652" s="239">
        <f>IF($G1652="CERVECERIA Y MALTERIA.",($AS1652*$AK1652/1000000)*(1-VLOOKUP($N1652,FCST!D:I,6,FALSE)),0)</f>
        <v>0</v>
      </c>
      <c r="AZ1652" s="239">
        <f t="shared" si="248"/>
        <v>0</v>
      </c>
    </row>
    <row r="1653" spans="1:52" x14ac:dyDescent="0.25">
      <c r="A1653" s="209">
        <v>1156312</v>
      </c>
      <c r="B1653" s="209">
        <v>20</v>
      </c>
      <c r="C1653" s="209" t="s">
        <v>3716</v>
      </c>
      <c r="D1653" s="209">
        <v>10</v>
      </c>
      <c r="E1653" s="209">
        <v>10000002</v>
      </c>
      <c r="F1653" s="209">
        <v>20000340</v>
      </c>
      <c r="G1653" s="209" t="s">
        <v>117</v>
      </c>
      <c r="H1653" s="209">
        <v>20000340</v>
      </c>
      <c r="I1653" s="209">
        <v>2</v>
      </c>
      <c r="J1653" s="209" t="s">
        <v>169</v>
      </c>
      <c r="K1653" s="209" t="s">
        <v>3717</v>
      </c>
      <c r="L1653" s="209" t="s">
        <v>2610</v>
      </c>
      <c r="M1653" s="209" t="s">
        <v>184</v>
      </c>
      <c r="N1653" s="209">
        <v>50038523</v>
      </c>
      <c r="O1653" s="209" t="s">
        <v>249</v>
      </c>
      <c r="P1653" s="209">
        <v>5101</v>
      </c>
      <c r="Q1653" s="209" t="s">
        <v>186</v>
      </c>
      <c r="R1653" s="209" t="s">
        <v>175</v>
      </c>
      <c r="S1653" s="209" t="s">
        <v>176</v>
      </c>
      <c r="T1653" s="209" t="s">
        <v>187</v>
      </c>
      <c r="U1653" s="209" t="s">
        <v>188</v>
      </c>
      <c r="V1653" s="209" t="s">
        <v>179</v>
      </c>
      <c r="W1653" s="209" t="s">
        <v>179</v>
      </c>
      <c r="X1653" s="209" t="s">
        <v>180</v>
      </c>
      <c r="Y1653" s="209" t="s">
        <v>180</v>
      </c>
      <c r="Z1653" s="209" t="s">
        <v>3718</v>
      </c>
      <c r="AA1653" s="209" t="s">
        <v>3719</v>
      </c>
      <c r="AB1653" s="209" t="s">
        <v>180</v>
      </c>
      <c r="AC1653" s="209" t="s">
        <v>182</v>
      </c>
      <c r="AD1653" s="209">
        <v>12</v>
      </c>
      <c r="AE1653" s="209">
        <v>2025</v>
      </c>
      <c r="AF1653" s="227">
        <v>46003</v>
      </c>
      <c r="AG1653" s="227">
        <v>46008</v>
      </c>
      <c r="AH1653" s="227">
        <v>46008</v>
      </c>
      <c r="AI1653" s="228">
        <v>606528</v>
      </c>
      <c r="AJ1653" s="228">
        <v>52</v>
      </c>
      <c r="AK1653" s="228">
        <v>606528</v>
      </c>
      <c r="AL1653" s="228">
        <v>52</v>
      </c>
      <c r="AM1653" s="228">
        <v>0</v>
      </c>
      <c r="AN1653" s="228">
        <v>0</v>
      </c>
      <c r="AO1653" s="229">
        <v>51</v>
      </c>
      <c r="AP1653" s="231">
        <v>12</v>
      </c>
      <c r="AQ1653" s="231">
        <v>2025</v>
      </c>
      <c r="AR1653" s="231" t="str">
        <f t="shared" si="244"/>
        <v>12/2025</v>
      </c>
      <c r="AS1653" s="231">
        <f t="shared" si="245"/>
        <v>30</v>
      </c>
      <c r="AT1653" s="239">
        <f>IF(G1653="CERVECERIA Y MALTERIA",(AS1653*AK1653/1000000)*(1-VLOOKUP(N1653,FCST!D:I,6,FALSE)),0)</f>
        <v>0</v>
      </c>
      <c r="AU1653" s="232">
        <v>5.0000000000000001E-3</v>
      </c>
      <c r="AV1653" s="239">
        <f t="shared" si="246"/>
        <v>0</v>
      </c>
      <c r="AW1653" s="239">
        <f>(AS1653*AK1653/1000000)*(VLOOKUP(N1653,FCST!D:I,6,FALSE))</f>
        <v>0</v>
      </c>
      <c r="AX1653" s="239">
        <f t="shared" si="247"/>
        <v>0</v>
      </c>
      <c r="AY1653" s="239">
        <f>IF($G1653="CERVECERIA Y MALTERIA.",($AS1653*$AK1653/1000000)*(1-VLOOKUP($N1653,FCST!D:I,6,FALSE)),0)</f>
        <v>18.19584</v>
      </c>
      <c r="AZ1653" s="239">
        <f t="shared" si="248"/>
        <v>18.2868192</v>
      </c>
    </row>
    <row r="1654" spans="1:52" x14ac:dyDescent="0.25">
      <c r="A1654" s="209">
        <v>1156328</v>
      </c>
      <c r="B1654" s="209">
        <v>20</v>
      </c>
      <c r="C1654" s="209" t="s">
        <v>3720</v>
      </c>
      <c r="D1654" s="209">
        <v>10</v>
      </c>
      <c r="E1654" s="209">
        <v>10000002</v>
      </c>
      <c r="F1654" s="209">
        <v>20000336</v>
      </c>
      <c r="G1654" s="209" t="s">
        <v>105</v>
      </c>
      <c r="H1654" s="209">
        <v>20000336</v>
      </c>
      <c r="I1654" s="209">
        <v>2</v>
      </c>
      <c r="J1654" s="209" t="s">
        <v>169</v>
      </c>
      <c r="K1654" s="209" t="s">
        <v>3721</v>
      </c>
      <c r="L1654" s="209" t="s">
        <v>2610</v>
      </c>
      <c r="M1654" s="209" t="s">
        <v>184</v>
      </c>
      <c r="N1654" s="209">
        <v>50030381</v>
      </c>
      <c r="O1654" s="209" t="s">
        <v>1791</v>
      </c>
      <c r="P1654" s="209">
        <v>5121</v>
      </c>
      <c r="Q1654" s="209" t="s">
        <v>174</v>
      </c>
      <c r="R1654" s="209" t="s">
        <v>175</v>
      </c>
      <c r="S1654" s="209" t="s">
        <v>176</v>
      </c>
      <c r="T1654" s="209" t="s">
        <v>177</v>
      </c>
      <c r="U1654" s="209" t="s">
        <v>178</v>
      </c>
      <c r="V1654" s="209" t="s">
        <v>179</v>
      </c>
      <c r="W1654" s="209" t="s">
        <v>179</v>
      </c>
      <c r="X1654" s="209" t="s">
        <v>180</v>
      </c>
      <c r="Y1654" s="209" t="s">
        <v>180</v>
      </c>
      <c r="Z1654" s="209" t="s">
        <v>3722</v>
      </c>
      <c r="AA1654" s="209" t="s">
        <v>3723</v>
      </c>
      <c r="AB1654" s="209" t="s">
        <v>180</v>
      </c>
      <c r="AC1654" s="209" t="s">
        <v>182</v>
      </c>
      <c r="AD1654" s="209">
        <v>12</v>
      </c>
      <c r="AE1654" s="209">
        <v>2025</v>
      </c>
      <c r="AF1654" s="227">
        <v>46003</v>
      </c>
      <c r="AG1654" s="227">
        <v>46008</v>
      </c>
      <c r="AH1654" s="227">
        <v>46008</v>
      </c>
      <c r="AI1654" s="228">
        <v>406016</v>
      </c>
      <c r="AJ1654" s="228">
        <v>52</v>
      </c>
      <c r="AK1654" s="228">
        <v>406016</v>
      </c>
      <c r="AL1654" s="228">
        <v>52</v>
      </c>
      <c r="AM1654" s="228">
        <v>0</v>
      </c>
      <c r="AN1654" s="228">
        <v>0</v>
      </c>
      <c r="AO1654" s="229">
        <v>51</v>
      </c>
      <c r="AP1654" s="231">
        <v>12</v>
      </c>
      <c r="AQ1654" s="231">
        <v>2025</v>
      </c>
      <c r="AR1654" s="231" t="str">
        <f t="shared" si="244"/>
        <v>12/2025</v>
      </c>
      <c r="AS1654" s="231">
        <f t="shared" si="245"/>
        <v>46.6</v>
      </c>
      <c r="AT1654" s="239">
        <f>IF(G1654="CERVECERIA Y MALTERIA",(AS1654*AK1654/1000000)*(1-VLOOKUP(N1654,FCST!D:I,6,FALSE)),0)</f>
        <v>18.920345600000001</v>
      </c>
      <c r="AU1654" s="232">
        <v>5.0000000000000001E-3</v>
      </c>
      <c r="AV1654" s="239">
        <f t="shared" si="246"/>
        <v>19.014947327999998</v>
      </c>
      <c r="AW1654" s="239">
        <f>(AS1654*AK1654/1000000)*(VLOOKUP(N1654,FCST!D:I,6,FALSE))</f>
        <v>0</v>
      </c>
      <c r="AX1654" s="239">
        <f t="shared" si="247"/>
        <v>0</v>
      </c>
      <c r="AY1654" s="239">
        <f>IF($G1654="CERVECERIA Y MALTERIA.",($AS1654*$AK1654/1000000)*(1-VLOOKUP($N1654,FCST!D:I,6,FALSE)),0)</f>
        <v>0</v>
      </c>
      <c r="AZ1654" s="239">
        <f t="shared" si="248"/>
        <v>0</v>
      </c>
    </row>
    <row r="1655" spans="1:52" x14ac:dyDescent="0.25">
      <c r="A1655" s="209">
        <v>1156323</v>
      </c>
      <c r="B1655" s="209">
        <v>70</v>
      </c>
      <c r="C1655" s="209" t="s">
        <v>3724</v>
      </c>
      <c r="D1655" s="209">
        <v>10</v>
      </c>
      <c r="E1655" s="209">
        <v>10000002</v>
      </c>
      <c r="F1655" s="209">
        <v>20000335</v>
      </c>
      <c r="G1655" s="209" t="s">
        <v>105</v>
      </c>
      <c r="H1655" s="209">
        <v>20000335</v>
      </c>
      <c r="I1655" s="209">
        <v>2</v>
      </c>
      <c r="J1655" s="209" t="s">
        <v>169</v>
      </c>
      <c r="K1655" s="209" t="s">
        <v>3725</v>
      </c>
      <c r="L1655" s="209" t="s">
        <v>2610</v>
      </c>
      <c r="M1655" s="209" t="s">
        <v>184</v>
      </c>
      <c r="N1655" s="209">
        <v>50021818</v>
      </c>
      <c r="O1655" s="209" t="s">
        <v>2170</v>
      </c>
      <c r="P1655" s="209">
        <v>5121</v>
      </c>
      <c r="Q1655" s="209" t="s">
        <v>174</v>
      </c>
      <c r="R1655" s="209" t="s">
        <v>175</v>
      </c>
      <c r="S1655" s="209" t="s">
        <v>176</v>
      </c>
      <c r="T1655" s="209" t="s">
        <v>177</v>
      </c>
      <c r="U1655" s="209" t="s">
        <v>178</v>
      </c>
      <c r="V1655" s="209" t="s">
        <v>179</v>
      </c>
      <c r="W1655" s="209" t="s">
        <v>179</v>
      </c>
      <c r="X1655" s="209" t="s">
        <v>180</v>
      </c>
      <c r="Y1655" s="209" t="s">
        <v>180</v>
      </c>
      <c r="Z1655" s="209" t="s">
        <v>3726</v>
      </c>
      <c r="AA1655" s="209" t="s">
        <v>3727</v>
      </c>
      <c r="AB1655" s="209" t="s">
        <v>180</v>
      </c>
      <c r="AC1655" s="209" t="s">
        <v>182</v>
      </c>
      <c r="AD1655" s="209">
        <v>12</v>
      </c>
      <c r="AE1655" s="209">
        <v>2025</v>
      </c>
      <c r="AF1655" s="227">
        <v>46003</v>
      </c>
      <c r="AG1655" s="227">
        <v>46008</v>
      </c>
      <c r="AH1655" s="227">
        <v>46008</v>
      </c>
      <c r="AI1655" s="228">
        <v>426816</v>
      </c>
      <c r="AJ1655" s="228">
        <v>52</v>
      </c>
      <c r="AK1655" s="228">
        <v>426816</v>
      </c>
      <c r="AL1655" s="228">
        <v>52</v>
      </c>
      <c r="AM1655" s="228">
        <v>0</v>
      </c>
      <c r="AN1655" s="228">
        <v>0</v>
      </c>
      <c r="AO1655" s="229">
        <v>51</v>
      </c>
      <c r="AP1655" s="231">
        <v>12</v>
      </c>
      <c r="AQ1655" s="231">
        <v>2025</v>
      </c>
      <c r="AR1655" s="231" t="str">
        <f t="shared" si="244"/>
        <v>12/2025</v>
      </c>
      <c r="AS1655" s="231">
        <f t="shared" si="245"/>
        <v>46.6</v>
      </c>
      <c r="AT1655" s="239">
        <f>IF(G1655="CERVECERIA Y MALTERIA",(AS1655*AK1655/1000000)*(1-VLOOKUP(N1655,FCST!D:I,6,FALSE)),0)</f>
        <v>19.889625600000002</v>
      </c>
      <c r="AU1655" s="232">
        <v>5.0000000000000001E-3</v>
      </c>
      <c r="AV1655" s="239">
        <f t="shared" si="246"/>
        <v>19.989073728000001</v>
      </c>
      <c r="AW1655" s="239">
        <f>(AS1655*AK1655/1000000)*(VLOOKUP(N1655,FCST!D:I,6,FALSE))</f>
        <v>0</v>
      </c>
      <c r="AX1655" s="239">
        <f t="shared" si="247"/>
        <v>0</v>
      </c>
      <c r="AY1655" s="239">
        <f>IF($G1655="CERVECERIA Y MALTERIA.",($AS1655*$AK1655/1000000)*(1-VLOOKUP($N1655,FCST!D:I,6,FALSE)),0)</f>
        <v>0</v>
      </c>
      <c r="AZ1655" s="239">
        <f t="shared" si="248"/>
        <v>0</v>
      </c>
    </row>
    <row r="1656" spans="1:52" x14ac:dyDescent="0.25">
      <c r="A1656" s="209">
        <v>1156323</v>
      </c>
      <c r="B1656" s="209">
        <v>20</v>
      </c>
      <c r="C1656" s="209" t="s">
        <v>3728</v>
      </c>
      <c r="D1656" s="209">
        <v>10</v>
      </c>
      <c r="E1656" s="209">
        <v>10000002</v>
      </c>
      <c r="F1656" s="209">
        <v>20000335</v>
      </c>
      <c r="G1656" s="209" t="s">
        <v>105</v>
      </c>
      <c r="H1656" s="209">
        <v>20000335</v>
      </c>
      <c r="I1656" s="209">
        <v>2</v>
      </c>
      <c r="J1656" s="209" t="s">
        <v>169</v>
      </c>
      <c r="K1656" s="209" t="s">
        <v>3729</v>
      </c>
      <c r="L1656" s="209" t="s">
        <v>2610</v>
      </c>
      <c r="M1656" s="209" t="s">
        <v>172</v>
      </c>
      <c r="N1656" s="209">
        <v>50035184</v>
      </c>
      <c r="O1656" s="209" t="s">
        <v>672</v>
      </c>
      <c r="P1656" s="209">
        <v>5121</v>
      </c>
      <c r="Q1656" s="209" t="s">
        <v>174</v>
      </c>
      <c r="R1656" s="209" t="s">
        <v>175</v>
      </c>
      <c r="S1656" s="209" t="s">
        <v>176</v>
      </c>
      <c r="T1656" s="209" t="s">
        <v>177</v>
      </c>
      <c r="U1656" s="209" t="s">
        <v>178</v>
      </c>
      <c r="V1656" s="209" t="s">
        <v>179</v>
      </c>
      <c r="W1656" s="209" t="s">
        <v>179</v>
      </c>
      <c r="X1656" s="209" t="s">
        <v>180</v>
      </c>
      <c r="Y1656" s="209" t="s">
        <v>180</v>
      </c>
      <c r="Z1656" s="209" t="s">
        <v>3730</v>
      </c>
      <c r="AA1656" s="209" t="s">
        <v>3731</v>
      </c>
      <c r="AB1656" s="209" t="s">
        <v>180</v>
      </c>
      <c r="AC1656" s="209" t="s">
        <v>182</v>
      </c>
      <c r="AD1656" s="209">
        <v>12</v>
      </c>
      <c r="AE1656" s="209">
        <v>2025</v>
      </c>
      <c r="AF1656" s="227">
        <v>46003</v>
      </c>
      <c r="AG1656" s="227">
        <v>46010</v>
      </c>
      <c r="AH1656" s="227">
        <v>46010</v>
      </c>
      <c r="AI1656" s="228">
        <v>977184</v>
      </c>
      <c r="AJ1656" s="228">
        <v>52</v>
      </c>
      <c r="AK1656" s="228">
        <v>977184</v>
      </c>
      <c r="AL1656" s="228">
        <v>52</v>
      </c>
      <c r="AM1656" s="228">
        <v>0</v>
      </c>
      <c r="AN1656" s="228">
        <v>0</v>
      </c>
      <c r="AO1656" s="229">
        <v>51</v>
      </c>
      <c r="AP1656" s="231">
        <v>12</v>
      </c>
      <c r="AQ1656" s="231">
        <v>2025</v>
      </c>
      <c r="AR1656" s="231" t="str">
        <f t="shared" si="244"/>
        <v>12/2025</v>
      </c>
      <c r="AS1656" s="231">
        <f t="shared" si="245"/>
        <v>19.5</v>
      </c>
      <c r="AT1656" s="239">
        <f>IF(G1656="CERVECERIA Y MALTERIA",(AS1656*AK1656/1000000)*(1-VLOOKUP(N1656,FCST!D:I,6,FALSE)),0)</f>
        <v>19.055088000000001</v>
      </c>
      <c r="AU1656" s="232">
        <v>5.0000000000000001E-3</v>
      </c>
      <c r="AV1656" s="239">
        <f t="shared" si="246"/>
        <v>19.15036344</v>
      </c>
      <c r="AW1656" s="239">
        <f>(AS1656*AK1656/1000000)*(VLOOKUP(N1656,FCST!D:I,6,FALSE))</f>
        <v>0</v>
      </c>
      <c r="AX1656" s="239">
        <f t="shared" si="247"/>
        <v>0</v>
      </c>
      <c r="AY1656" s="239">
        <f>IF($G1656="CERVECERIA Y MALTERIA.",($AS1656*$AK1656/1000000)*(1-VLOOKUP($N1656,FCST!D:I,6,FALSE)),0)</f>
        <v>0</v>
      </c>
      <c r="AZ1656" s="239">
        <f t="shared" si="248"/>
        <v>0</v>
      </c>
    </row>
    <row r="1657" spans="1:52" x14ac:dyDescent="0.25">
      <c r="A1657" s="209">
        <v>1156323</v>
      </c>
      <c r="B1657" s="209">
        <v>90</v>
      </c>
      <c r="C1657" s="209" t="s">
        <v>3732</v>
      </c>
      <c r="D1657" s="209">
        <v>10</v>
      </c>
      <c r="E1657" s="209">
        <v>10000002</v>
      </c>
      <c r="F1657" s="209">
        <v>20000335</v>
      </c>
      <c r="G1657" s="209" t="s">
        <v>105</v>
      </c>
      <c r="H1657" s="209">
        <v>20000335</v>
      </c>
      <c r="I1657" s="209">
        <v>2</v>
      </c>
      <c r="J1657" s="209" t="s">
        <v>169</v>
      </c>
      <c r="K1657" s="209" t="s">
        <v>3733</v>
      </c>
      <c r="L1657" s="209" t="s">
        <v>2610</v>
      </c>
      <c r="M1657" s="209" t="s">
        <v>172</v>
      </c>
      <c r="N1657" s="209">
        <v>50021818</v>
      </c>
      <c r="O1657" s="209" t="s">
        <v>2170</v>
      </c>
      <c r="P1657" s="209">
        <v>5121</v>
      </c>
      <c r="Q1657" s="209" t="s">
        <v>174</v>
      </c>
      <c r="R1657" s="209" t="s">
        <v>175</v>
      </c>
      <c r="S1657" s="209" t="s">
        <v>176</v>
      </c>
      <c r="T1657" s="209" t="s">
        <v>177</v>
      </c>
      <c r="U1657" s="209" t="s">
        <v>178</v>
      </c>
      <c r="V1657" s="209" t="s">
        <v>179</v>
      </c>
      <c r="W1657" s="209" t="s">
        <v>179</v>
      </c>
      <c r="X1657" s="209" t="s">
        <v>180</v>
      </c>
      <c r="Y1657" s="209" t="s">
        <v>180</v>
      </c>
      <c r="Z1657" s="209" t="s">
        <v>3726</v>
      </c>
      <c r="AA1657" s="209" t="s">
        <v>3727</v>
      </c>
      <c r="AB1657" s="209" t="s">
        <v>180</v>
      </c>
      <c r="AC1657" s="209" t="s">
        <v>182</v>
      </c>
      <c r="AD1657" s="209">
        <v>12</v>
      </c>
      <c r="AE1657" s="209">
        <v>2025</v>
      </c>
      <c r="AF1657" s="227">
        <v>46003</v>
      </c>
      <c r="AG1657" s="227">
        <v>46010</v>
      </c>
      <c r="AH1657" s="227">
        <v>46010</v>
      </c>
      <c r="AI1657" s="228">
        <v>426816</v>
      </c>
      <c r="AJ1657" s="228">
        <v>52</v>
      </c>
      <c r="AK1657" s="228">
        <v>426816</v>
      </c>
      <c r="AL1657" s="228">
        <v>52</v>
      </c>
      <c r="AM1657" s="228">
        <v>0</v>
      </c>
      <c r="AN1657" s="228">
        <v>0</v>
      </c>
      <c r="AO1657" s="229">
        <v>51</v>
      </c>
      <c r="AP1657" s="231">
        <v>12</v>
      </c>
      <c r="AQ1657" s="231">
        <v>2025</v>
      </c>
      <c r="AR1657" s="231" t="str">
        <f t="shared" si="244"/>
        <v>12/2025</v>
      </c>
      <c r="AS1657" s="231">
        <f t="shared" si="245"/>
        <v>46.6</v>
      </c>
      <c r="AT1657" s="239">
        <f>IF(G1657="CERVECERIA Y MALTERIA",(AS1657*AK1657/1000000)*(1-VLOOKUP(N1657,FCST!D:I,6,FALSE)),0)</f>
        <v>19.889625600000002</v>
      </c>
      <c r="AU1657" s="232">
        <v>5.0000000000000001E-3</v>
      </c>
      <c r="AV1657" s="239">
        <f t="shared" si="246"/>
        <v>19.989073728000001</v>
      </c>
      <c r="AW1657" s="239">
        <f>(AS1657*AK1657/1000000)*(VLOOKUP(N1657,FCST!D:I,6,FALSE))</f>
        <v>0</v>
      </c>
      <c r="AX1657" s="239">
        <f t="shared" si="247"/>
        <v>0</v>
      </c>
      <c r="AY1657" s="239">
        <f>IF($G1657="CERVECERIA Y MALTERIA.",($AS1657*$AK1657/1000000)*(1-VLOOKUP($N1657,FCST!D:I,6,FALSE)),0)</f>
        <v>0</v>
      </c>
      <c r="AZ1657" s="239">
        <f t="shared" si="248"/>
        <v>0</v>
      </c>
    </row>
    <row r="1658" spans="1:52" x14ac:dyDescent="0.25">
      <c r="A1658" s="209">
        <v>1156326</v>
      </c>
      <c r="B1658" s="209">
        <v>30</v>
      </c>
      <c r="C1658" s="209" t="s">
        <v>3734</v>
      </c>
      <c r="D1658" s="209">
        <v>10</v>
      </c>
      <c r="E1658" s="209">
        <v>10000002</v>
      </c>
      <c r="F1658" s="209">
        <v>20000337</v>
      </c>
      <c r="G1658" s="209" t="s">
        <v>105</v>
      </c>
      <c r="H1658" s="209">
        <v>20000337</v>
      </c>
      <c r="I1658" s="209">
        <v>2</v>
      </c>
      <c r="J1658" s="209" t="s">
        <v>169</v>
      </c>
      <c r="K1658" s="209" t="s">
        <v>3735</v>
      </c>
      <c r="L1658" s="209" t="s">
        <v>2610</v>
      </c>
      <c r="M1658" s="209" t="s">
        <v>184</v>
      </c>
      <c r="N1658" s="209">
        <v>50036915</v>
      </c>
      <c r="O1658" s="209" t="s">
        <v>541</v>
      </c>
      <c r="P1658" s="209">
        <v>5121</v>
      </c>
      <c r="Q1658" s="209" t="s">
        <v>174</v>
      </c>
      <c r="R1658" s="209" t="s">
        <v>175</v>
      </c>
      <c r="S1658" s="209" t="s">
        <v>176</v>
      </c>
      <c r="T1658" s="209" t="s">
        <v>177</v>
      </c>
      <c r="U1658" s="209" t="s">
        <v>178</v>
      </c>
      <c r="V1658" s="209" t="s">
        <v>179</v>
      </c>
      <c r="W1658" s="209" t="s">
        <v>179</v>
      </c>
      <c r="X1658" s="209" t="s">
        <v>180</v>
      </c>
      <c r="Y1658" s="209" t="s">
        <v>180</v>
      </c>
      <c r="Z1658" s="209" t="s">
        <v>3736</v>
      </c>
      <c r="AA1658" s="209" t="s">
        <v>3737</v>
      </c>
      <c r="AB1658" s="209" t="s">
        <v>180</v>
      </c>
      <c r="AC1658" s="209" t="s">
        <v>182</v>
      </c>
      <c r="AD1658" s="209">
        <v>12</v>
      </c>
      <c r="AE1658" s="209">
        <v>2025</v>
      </c>
      <c r="AF1658" s="227">
        <v>46003</v>
      </c>
      <c r="AG1658" s="227">
        <v>46010</v>
      </c>
      <c r="AH1658" s="227">
        <v>46010</v>
      </c>
      <c r="AI1658" s="228">
        <v>393984</v>
      </c>
      <c r="AJ1658" s="228">
        <v>48</v>
      </c>
      <c r="AK1658" s="228">
        <v>393984</v>
      </c>
      <c r="AL1658" s="228">
        <v>48</v>
      </c>
      <c r="AM1658" s="228">
        <v>0</v>
      </c>
      <c r="AN1658" s="228">
        <v>0</v>
      </c>
      <c r="AO1658" s="229">
        <v>51</v>
      </c>
      <c r="AP1658" s="231">
        <v>12</v>
      </c>
      <c r="AQ1658" s="231">
        <v>2025</v>
      </c>
      <c r="AR1658" s="231" t="str">
        <f t="shared" si="244"/>
        <v>12/2025</v>
      </c>
      <c r="AS1658" s="231">
        <f t="shared" si="245"/>
        <v>46.6</v>
      </c>
      <c r="AT1658" s="239">
        <f>IF(G1658="CERVECERIA Y MALTERIA",(AS1658*AK1658/1000000)*(1-VLOOKUP(N1658,FCST!D:I,6,FALSE)),0)</f>
        <v>14.687723520000004</v>
      </c>
      <c r="AU1658" s="232">
        <v>5.0000000000000001E-3</v>
      </c>
      <c r="AV1658" s="239">
        <f t="shared" si="246"/>
        <v>14.761162137600003</v>
      </c>
      <c r="AW1658" s="239">
        <f>(AS1658*AK1658/1000000)*(VLOOKUP(N1658,FCST!D:I,6,FALSE))</f>
        <v>3.671930880000001</v>
      </c>
      <c r="AX1658" s="239">
        <f t="shared" si="247"/>
        <v>3.6902905344000008</v>
      </c>
      <c r="AY1658" s="239">
        <f>IF($G1658="CERVECERIA Y MALTERIA.",($AS1658*$AK1658/1000000)*(1-VLOOKUP($N1658,FCST!D:I,6,FALSE)),0)</f>
        <v>0</v>
      </c>
      <c r="AZ1658" s="239">
        <f t="shared" si="248"/>
        <v>0</v>
      </c>
    </row>
    <row r="1659" spans="1:52" x14ac:dyDescent="0.25">
      <c r="A1659" s="209">
        <v>1156323</v>
      </c>
      <c r="B1659" s="209">
        <v>30</v>
      </c>
      <c r="C1659" s="209" t="s">
        <v>3738</v>
      </c>
      <c r="D1659" s="209">
        <v>10</v>
      </c>
      <c r="E1659" s="209">
        <v>10000002</v>
      </c>
      <c r="F1659" s="209">
        <v>20000335</v>
      </c>
      <c r="G1659" s="209" t="s">
        <v>105</v>
      </c>
      <c r="H1659" s="209">
        <v>20000335</v>
      </c>
      <c r="I1659" s="209">
        <v>2</v>
      </c>
      <c r="J1659" s="209" t="s">
        <v>169</v>
      </c>
      <c r="K1659" s="209" t="s">
        <v>3739</v>
      </c>
      <c r="L1659" s="209" t="s">
        <v>2610</v>
      </c>
      <c r="M1659" s="209" t="s">
        <v>2718</v>
      </c>
      <c r="N1659" s="209">
        <v>50037887</v>
      </c>
      <c r="O1659" s="209" t="s">
        <v>679</v>
      </c>
      <c r="P1659" s="209">
        <v>5121</v>
      </c>
      <c r="Q1659" s="209" t="s">
        <v>174</v>
      </c>
      <c r="R1659" s="209" t="s">
        <v>175</v>
      </c>
      <c r="S1659" s="209" t="s">
        <v>176</v>
      </c>
      <c r="T1659" s="209" t="s">
        <v>177</v>
      </c>
      <c r="U1659" s="209" t="s">
        <v>178</v>
      </c>
      <c r="V1659" s="209" t="s">
        <v>179</v>
      </c>
      <c r="W1659" s="209" t="s">
        <v>179</v>
      </c>
      <c r="X1659" s="209" t="s">
        <v>180</v>
      </c>
      <c r="Y1659" s="209" t="s">
        <v>180</v>
      </c>
      <c r="Z1659" s="209" t="s">
        <v>3740</v>
      </c>
      <c r="AA1659" s="209" t="s">
        <v>3741</v>
      </c>
      <c r="AB1659" s="209" t="s">
        <v>180</v>
      </c>
      <c r="AC1659" s="209" t="s">
        <v>182</v>
      </c>
      <c r="AD1659" s="209">
        <v>12</v>
      </c>
      <c r="AE1659" s="209">
        <v>2025</v>
      </c>
      <c r="AF1659" s="227">
        <v>46003</v>
      </c>
      <c r="AG1659" s="227">
        <v>46009</v>
      </c>
      <c r="AH1659" s="227">
        <v>46009</v>
      </c>
      <c r="AI1659" s="228">
        <v>531648</v>
      </c>
      <c r="AJ1659" s="228">
        <v>52</v>
      </c>
      <c r="AK1659" s="228">
        <v>531648</v>
      </c>
      <c r="AL1659" s="228">
        <v>52</v>
      </c>
      <c r="AM1659" s="228">
        <v>0</v>
      </c>
      <c r="AN1659" s="228">
        <v>0</v>
      </c>
      <c r="AO1659" s="229">
        <v>51</v>
      </c>
      <c r="AP1659" s="231">
        <v>12</v>
      </c>
      <c r="AQ1659" s="231">
        <v>2025</v>
      </c>
      <c r="AR1659" s="231" t="str">
        <f t="shared" si="244"/>
        <v>12/2025</v>
      </c>
      <c r="AS1659" s="231">
        <f t="shared" si="245"/>
        <v>37.200000000000003</v>
      </c>
      <c r="AT1659" s="239">
        <f>IF(G1659="CERVECERIA Y MALTERIA",(AS1659*AK1659/1000000)*(1-VLOOKUP(N1659,FCST!D:I,6,FALSE)),0)</f>
        <v>19.777305600000002</v>
      </c>
      <c r="AU1659" s="232">
        <v>5.0000000000000001E-3</v>
      </c>
      <c r="AV1659" s="239">
        <f t="shared" si="246"/>
        <v>19.876192128</v>
      </c>
      <c r="AW1659" s="239">
        <f>(AS1659*AK1659/1000000)*(VLOOKUP(N1659,FCST!D:I,6,FALSE))</f>
        <v>0</v>
      </c>
      <c r="AX1659" s="239">
        <f t="shared" si="247"/>
        <v>0</v>
      </c>
      <c r="AY1659" s="239">
        <f>IF($G1659="CERVECERIA Y MALTERIA.",($AS1659*$AK1659/1000000)*(1-VLOOKUP($N1659,FCST!D:I,6,FALSE)),0)</f>
        <v>0</v>
      </c>
      <c r="AZ1659" s="239">
        <f t="shared" si="248"/>
        <v>0</v>
      </c>
    </row>
    <row r="1660" spans="1:52" x14ac:dyDescent="0.25">
      <c r="A1660" s="209">
        <v>1157041</v>
      </c>
      <c r="B1660" s="209">
        <v>30</v>
      </c>
      <c r="C1660" s="209" t="s">
        <v>3742</v>
      </c>
      <c r="D1660" s="209">
        <v>10</v>
      </c>
      <c r="E1660" s="209">
        <v>10000002</v>
      </c>
      <c r="F1660" s="209">
        <v>20000335</v>
      </c>
      <c r="G1660" s="209" t="s">
        <v>105</v>
      </c>
      <c r="H1660" s="209">
        <v>20000335</v>
      </c>
      <c r="I1660" s="209">
        <v>2</v>
      </c>
      <c r="J1660" s="209" t="s">
        <v>169</v>
      </c>
      <c r="K1660" s="209" t="s">
        <v>3743</v>
      </c>
      <c r="L1660" s="209" t="s">
        <v>3744</v>
      </c>
      <c r="M1660" s="209" t="s">
        <v>2718</v>
      </c>
      <c r="N1660" s="209">
        <v>50021818</v>
      </c>
      <c r="O1660" s="209" t="s">
        <v>2170</v>
      </c>
      <c r="P1660" s="209">
        <v>5121</v>
      </c>
      <c r="Q1660" s="209" t="s">
        <v>174</v>
      </c>
      <c r="R1660" s="209" t="s">
        <v>175</v>
      </c>
      <c r="S1660" s="209" t="s">
        <v>176</v>
      </c>
      <c r="T1660" s="209" t="s">
        <v>177</v>
      </c>
      <c r="U1660" s="209" t="s">
        <v>178</v>
      </c>
      <c r="V1660" s="209" t="s">
        <v>179</v>
      </c>
      <c r="W1660" s="209" t="s">
        <v>179</v>
      </c>
      <c r="X1660" s="209" t="s">
        <v>180</v>
      </c>
      <c r="Y1660" s="209" t="s">
        <v>180</v>
      </c>
      <c r="Z1660" s="209" t="s">
        <v>3726</v>
      </c>
      <c r="AA1660" s="209" t="s">
        <v>3727</v>
      </c>
      <c r="AB1660" s="209" t="s">
        <v>180</v>
      </c>
      <c r="AC1660" s="209" t="s">
        <v>182</v>
      </c>
      <c r="AD1660" s="209">
        <v>12</v>
      </c>
      <c r="AE1660" s="209">
        <v>2025</v>
      </c>
      <c r="AF1660" s="227">
        <v>46008</v>
      </c>
      <c r="AG1660" s="227">
        <v>46009</v>
      </c>
      <c r="AH1660" s="227">
        <v>46009</v>
      </c>
      <c r="AI1660" s="228">
        <v>426816</v>
      </c>
      <c r="AJ1660" s="228">
        <v>52</v>
      </c>
      <c r="AK1660" s="228">
        <v>426816</v>
      </c>
      <c r="AL1660" s="228">
        <v>52</v>
      </c>
      <c r="AM1660" s="228">
        <v>0</v>
      </c>
      <c r="AN1660" s="228">
        <v>0</v>
      </c>
      <c r="AO1660" s="229">
        <v>51</v>
      </c>
      <c r="AP1660" s="231">
        <v>12</v>
      </c>
      <c r="AQ1660" s="231">
        <v>2025</v>
      </c>
      <c r="AR1660" s="231" t="str">
        <f t="shared" si="244"/>
        <v>12/2025</v>
      </c>
      <c r="AS1660" s="231">
        <f t="shared" si="245"/>
        <v>46.6</v>
      </c>
      <c r="AT1660" s="239">
        <f>IF(G1660="CERVECERIA Y MALTERIA",(AS1660*AK1660/1000000)*(1-VLOOKUP(N1660,FCST!D:I,6,FALSE)),0)</f>
        <v>19.889625600000002</v>
      </c>
      <c r="AU1660" s="232">
        <v>5.0000000000000001E-3</v>
      </c>
      <c r="AV1660" s="239">
        <f t="shared" si="246"/>
        <v>19.989073728000001</v>
      </c>
      <c r="AW1660" s="239">
        <f>(AS1660*AK1660/1000000)*(VLOOKUP(N1660,FCST!D:I,6,FALSE))</f>
        <v>0</v>
      </c>
      <c r="AX1660" s="239">
        <f t="shared" si="247"/>
        <v>0</v>
      </c>
      <c r="AY1660" s="239">
        <f>IF($G1660="CERVECERIA Y MALTERIA.",($AS1660*$AK1660/1000000)*(1-VLOOKUP($N1660,FCST!D:I,6,FALSE)),0)</f>
        <v>0</v>
      </c>
      <c r="AZ1660" s="239">
        <f t="shared" si="248"/>
        <v>0</v>
      </c>
    </row>
    <row r="1661" spans="1:52" x14ac:dyDescent="0.25">
      <c r="A1661" s="209">
        <v>1158296</v>
      </c>
      <c r="B1661" s="209">
        <v>10</v>
      </c>
      <c r="C1661" s="209" t="s">
        <v>3745</v>
      </c>
      <c r="D1661" s="209">
        <v>10</v>
      </c>
      <c r="E1661" s="209">
        <v>10000002</v>
      </c>
      <c r="F1661" s="209">
        <v>20000337</v>
      </c>
      <c r="G1661" s="209" t="s">
        <v>105</v>
      </c>
      <c r="H1661" s="209">
        <v>20000337</v>
      </c>
      <c r="I1661" s="209">
        <v>2</v>
      </c>
      <c r="J1661" s="209" t="s">
        <v>169</v>
      </c>
      <c r="K1661" s="209" t="s">
        <v>3746</v>
      </c>
      <c r="L1661" s="209" t="s">
        <v>2610</v>
      </c>
      <c r="M1661" s="209" t="s">
        <v>172</v>
      </c>
      <c r="N1661" s="209">
        <v>50024497</v>
      </c>
      <c r="O1661" s="209" t="s">
        <v>1352</v>
      </c>
      <c r="P1661" s="209">
        <v>5121</v>
      </c>
      <c r="Q1661" s="209" t="s">
        <v>174</v>
      </c>
      <c r="R1661" s="209" t="s">
        <v>175</v>
      </c>
      <c r="S1661" s="209" t="s">
        <v>176</v>
      </c>
      <c r="T1661" s="209" t="s">
        <v>177</v>
      </c>
      <c r="U1661" s="209" t="s">
        <v>178</v>
      </c>
      <c r="V1661" s="209" t="s">
        <v>179</v>
      </c>
      <c r="W1661" s="209" t="s">
        <v>179</v>
      </c>
      <c r="X1661" s="209" t="s">
        <v>180</v>
      </c>
      <c r="Y1661" s="209" t="s">
        <v>180</v>
      </c>
      <c r="Z1661" s="209" t="s">
        <v>3747</v>
      </c>
      <c r="AA1661" s="209" t="s">
        <v>3748</v>
      </c>
      <c r="AB1661" s="209" t="s">
        <v>180</v>
      </c>
      <c r="AC1661" s="209" t="s">
        <v>182</v>
      </c>
      <c r="AD1661" s="209">
        <v>12</v>
      </c>
      <c r="AE1661" s="209">
        <v>2025</v>
      </c>
      <c r="AF1661" s="227">
        <v>46017</v>
      </c>
      <c r="AG1661" s="227">
        <v>46020</v>
      </c>
      <c r="AH1661" s="227">
        <v>46021</v>
      </c>
      <c r="AI1661" s="228">
        <v>351936</v>
      </c>
      <c r="AJ1661" s="228">
        <v>52</v>
      </c>
      <c r="AK1661" s="228">
        <v>351936</v>
      </c>
      <c r="AL1661" s="228">
        <v>52</v>
      </c>
      <c r="AM1661" s="228">
        <v>0</v>
      </c>
      <c r="AN1661" s="228">
        <v>0</v>
      </c>
      <c r="AO1661" s="229">
        <v>1</v>
      </c>
      <c r="AP1661" s="231">
        <v>12</v>
      </c>
      <c r="AQ1661" s="231">
        <v>2025</v>
      </c>
      <c r="AR1661" s="231" t="str">
        <f t="shared" si="244"/>
        <v>12/2025</v>
      </c>
      <c r="AS1661" s="231">
        <f t="shared" si="245"/>
        <v>54.7</v>
      </c>
      <c r="AT1661" s="239">
        <f>IF(G1661="CERVECERIA Y MALTERIA",(AS1661*AK1661/1000000)*(1-VLOOKUP(N1661,FCST!D:I,6,FALSE)),0)</f>
        <v>19.250899199999999</v>
      </c>
      <c r="AU1661" s="232">
        <v>5.0000000000000001E-3</v>
      </c>
      <c r="AV1661" s="239">
        <f t="shared" si="246"/>
        <v>19.347153695999996</v>
      </c>
      <c r="AW1661" s="239">
        <f>(AS1661*AK1661/1000000)*(VLOOKUP(N1661,FCST!D:I,6,FALSE))</f>
        <v>0</v>
      </c>
      <c r="AX1661" s="239">
        <f t="shared" si="247"/>
        <v>0</v>
      </c>
      <c r="AY1661" s="239">
        <f>IF($G1661="CERVECERIA Y MALTERIA.",($AS1661*$AK1661/1000000)*(1-VLOOKUP($N1661,FCST!D:I,6,FALSE)),0)</f>
        <v>0</v>
      </c>
      <c r="AZ1661" s="239">
        <f t="shared" si="248"/>
        <v>0</v>
      </c>
    </row>
    <row r="1662" spans="1:52" x14ac:dyDescent="0.25">
      <c r="A1662" s="209">
        <v>1158575</v>
      </c>
      <c r="B1662" s="209">
        <v>10</v>
      </c>
      <c r="C1662" s="209" t="s">
        <v>3749</v>
      </c>
      <c r="D1662" s="209">
        <v>10</v>
      </c>
      <c r="E1662" s="209">
        <v>10000002</v>
      </c>
      <c r="F1662" s="209">
        <v>20000339</v>
      </c>
      <c r="G1662" s="209" t="s">
        <v>105</v>
      </c>
      <c r="H1662" s="209">
        <v>20000339</v>
      </c>
      <c r="I1662" s="209">
        <v>2</v>
      </c>
      <c r="J1662" s="209" t="s">
        <v>169</v>
      </c>
      <c r="K1662" s="209" t="s">
        <v>3750</v>
      </c>
      <c r="L1662" s="209" t="s">
        <v>2610</v>
      </c>
      <c r="M1662" s="209" t="s">
        <v>2718</v>
      </c>
      <c r="N1662" s="209">
        <v>50038607</v>
      </c>
      <c r="O1662" s="209" t="s">
        <v>1992</v>
      </c>
      <c r="P1662" s="209">
        <v>5101</v>
      </c>
      <c r="Q1662" s="209" t="s">
        <v>186</v>
      </c>
      <c r="R1662" s="209" t="s">
        <v>175</v>
      </c>
      <c r="S1662" s="209" t="s">
        <v>176</v>
      </c>
      <c r="T1662" s="209" t="s">
        <v>187</v>
      </c>
      <c r="U1662" s="209" t="s">
        <v>188</v>
      </c>
      <c r="V1662" s="209" t="s">
        <v>179</v>
      </c>
      <c r="W1662" s="209" t="s">
        <v>179</v>
      </c>
      <c r="X1662" s="209" t="s">
        <v>180</v>
      </c>
      <c r="Y1662" s="209" t="s">
        <v>180</v>
      </c>
      <c r="Z1662" s="209" t="s">
        <v>3751</v>
      </c>
      <c r="AA1662" s="209" t="s">
        <v>3752</v>
      </c>
      <c r="AB1662" s="209" t="s">
        <v>180</v>
      </c>
      <c r="AC1662" s="209" t="s">
        <v>182</v>
      </c>
      <c r="AD1662" s="209">
        <v>12</v>
      </c>
      <c r="AE1662" s="209">
        <v>2025</v>
      </c>
      <c r="AF1662" s="227">
        <v>46020</v>
      </c>
      <c r="AG1662" s="227">
        <v>46021</v>
      </c>
      <c r="AH1662" s="227">
        <v>46021</v>
      </c>
      <c r="AI1662" s="228">
        <v>743808</v>
      </c>
      <c r="AJ1662" s="228">
        <v>52</v>
      </c>
      <c r="AK1662" s="228">
        <v>743808</v>
      </c>
      <c r="AL1662" s="228">
        <v>52</v>
      </c>
      <c r="AM1662" s="228">
        <v>0</v>
      </c>
      <c r="AN1662" s="228">
        <v>0</v>
      </c>
      <c r="AO1662" s="229">
        <v>1</v>
      </c>
      <c r="AP1662" s="231">
        <v>12</v>
      </c>
      <c r="AQ1662" s="231">
        <v>2025</v>
      </c>
      <c r="AR1662" s="231" t="str">
        <f t="shared" si="244"/>
        <v>12/2025</v>
      </c>
      <c r="AS1662" s="231">
        <f t="shared" si="245"/>
        <v>25</v>
      </c>
      <c r="AT1662" s="239">
        <f>IF(G1662="CERVECERIA Y MALTERIA",(AS1662*AK1662/1000000)*(1-VLOOKUP(N1662,FCST!D:I,6,FALSE)),0)</f>
        <v>18.595199999999998</v>
      </c>
      <c r="AU1662" s="232">
        <v>5.0000000000000001E-3</v>
      </c>
      <c r="AV1662" s="239">
        <f t="shared" si="246"/>
        <v>18.688175999999995</v>
      </c>
      <c r="AW1662" s="239">
        <f>(AS1662*AK1662/1000000)*(VLOOKUP(N1662,FCST!D:I,6,FALSE))</f>
        <v>0</v>
      </c>
      <c r="AX1662" s="239">
        <f t="shared" si="247"/>
        <v>0</v>
      </c>
      <c r="AY1662" s="239">
        <f>IF($G1662="CERVECERIA Y MALTERIA.",($AS1662*$AK1662/1000000)*(1-VLOOKUP($N1662,FCST!D:I,6,FALSE)),0)</f>
        <v>0</v>
      </c>
      <c r="AZ1662" s="239">
        <f t="shared" si="248"/>
        <v>0</v>
      </c>
    </row>
    <row r="1663" spans="1:52" x14ac:dyDescent="0.25">
      <c r="A1663" s="209">
        <v>1158575</v>
      </c>
      <c r="B1663" s="209">
        <v>20</v>
      </c>
      <c r="C1663" s="209" t="s">
        <v>3753</v>
      </c>
      <c r="D1663" s="209">
        <v>10</v>
      </c>
      <c r="E1663" s="209">
        <v>10000002</v>
      </c>
      <c r="F1663" s="209">
        <v>20000339</v>
      </c>
      <c r="G1663" s="209" t="s">
        <v>105</v>
      </c>
      <c r="H1663" s="209">
        <v>20000339</v>
      </c>
      <c r="I1663" s="209">
        <v>2</v>
      </c>
      <c r="J1663" s="209" t="s">
        <v>169</v>
      </c>
      <c r="K1663" s="209" t="s">
        <v>3754</v>
      </c>
      <c r="L1663" s="209" t="s">
        <v>2610</v>
      </c>
      <c r="M1663" s="209" t="s">
        <v>2718</v>
      </c>
      <c r="N1663" s="209">
        <v>50038607</v>
      </c>
      <c r="O1663" s="209" t="s">
        <v>1992</v>
      </c>
      <c r="P1663" s="209">
        <v>5101</v>
      </c>
      <c r="Q1663" s="209" t="s">
        <v>186</v>
      </c>
      <c r="R1663" s="209" t="s">
        <v>175</v>
      </c>
      <c r="S1663" s="209" t="s">
        <v>176</v>
      </c>
      <c r="T1663" s="209" t="s">
        <v>187</v>
      </c>
      <c r="U1663" s="209" t="s">
        <v>188</v>
      </c>
      <c r="V1663" s="209" t="s">
        <v>179</v>
      </c>
      <c r="W1663" s="209" t="s">
        <v>179</v>
      </c>
      <c r="X1663" s="209" t="s">
        <v>180</v>
      </c>
      <c r="Y1663" s="209" t="s">
        <v>180</v>
      </c>
      <c r="Z1663" s="209" t="s">
        <v>3751</v>
      </c>
      <c r="AA1663" s="209" t="s">
        <v>3752</v>
      </c>
      <c r="AB1663" s="209" t="s">
        <v>180</v>
      </c>
      <c r="AC1663" s="209" t="s">
        <v>182</v>
      </c>
      <c r="AD1663" s="209">
        <v>12</v>
      </c>
      <c r="AE1663" s="209">
        <v>2025</v>
      </c>
      <c r="AF1663" s="227">
        <v>46020</v>
      </c>
      <c r="AG1663" s="227">
        <v>46022</v>
      </c>
      <c r="AH1663" s="227">
        <v>46021</v>
      </c>
      <c r="AI1663" s="228">
        <v>743808</v>
      </c>
      <c r="AJ1663" s="228">
        <v>52</v>
      </c>
      <c r="AK1663" s="228">
        <v>743808</v>
      </c>
      <c r="AL1663" s="228">
        <v>52</v>
      </c>
      <c r="AM1663" s="228">
        <v>0</v>
      </c>
      <c r="AN1663" s="228">
        <v>0</v>
      </c>
      <c r="AO1663" s="229">
        <v>1</v>
      </c>
      <c r="AP1663" s="231">
        <v>12</v>
      </c>
      <c r="AQ1663" s="231">
        <v>2025</v>
      </c>
      <c r="AR1663" s="231" t="str">
        <f t="shared" si="244"/>
        <v>12/2025</v>
      </c>
      <c r="AS1663" s="231">
        <f t="shared" si="245"/>
        <v>25</v>
      </c>
      <c r="AT1663" s="239">
        <f>IF(G1663="CERVECERIA Y MALTERIA",(AS1663*AK1663/1000000)*(1-VLOOKUP(N1663,FCST!D:I,6,FALSE)),0)</f>
        <v>18.595199999999998</v>
      </c>
      <c r="AU1663" s="232">
        <v>5.0000000000000001E-3</v>
      </c>
      <c r="AV1663" s="239">
        <f t="shared" si="246"/>
        <v>18.688175999999995</v>
      </c>
      <c r="AW1663" s="239">
        <f>(AS1663*AK1663/1000000)*(VLOOKUP(N1663,FCST!D:I,6,FALSE))</f>
        <v>0</v>
      </c>
      <c r="AX1663" s="239">
        <f t="shared" si="247"/>
        <v>0</v>
      </c>
      <c r="AY1663" s="239">
        <f>IF($G1663="CERVECERIA Y MALTERIA.",($AS1663*$AK1663/1000000)*(1-VLOOKUP($N1663,FCST!D:I,6,FALSE)),0)</f>
        <v>0</v>
      </c>
      <c r="AZ1663" s="239">
        <f t="shared" si="248"/>
        <v>0</v>
      </c>
    </row>
    <row r="1664" spans="1:52" x14ac:dyDescent="0.25">
      <c r="A1664" s="209">
        <v>1158260</v>
      </c>
      <c r="B1664" s="209">
        <v>40</v>
      </c>
      <c r="C1664" s="209" t="s">
        <v>3755</v>
      </c>
      <c r="D1664" s="209">
        <v>10</v>
      </c>
      <c r="E1664" s="209">
        <v>10000002</v>
      </c>
      <c r="F1664" s="209">
        <v>20000335</v>
      </c>
      <c r="G1664" s="209" t="s">
        <v>105</v>
      </c>
      <c r="H1664" s="209">
        <v>20000335</v>
      </c>
      <c r="I1664" s="209">
        <v>2</v>
      </c>
      <c r="J1664" s="209" t="s">
        <v>169</v>
      </c>
      <c r="K1664" s="209" t="s">
        <v>3756</v>
      </c>
      <c r="L1664" s="209" t="s">
        <v>2610</v>
      </c>
      <c r="M1664" s="209" t="s">
        <v>172</v>
      </c>
      <c r="N1664" s="209">
        <v>50037887</v>
      </c>
      <c r="O1664" s="209" t="s">
        <v>679</v>
      </c>
      <c r="P1664" s="209">
        <v>5121</v>
      </c>
      <c r="Q1664" s="209" t="s">
        <v>174</v>
      </c>
      <c r="R1664" s="209" t="s">
        <v>175</v>
      </c>
      <c r="S1664" s="209" t="s">
        <v>176</v>
      </c>
      <c r="T1664" s="209" t="s">
        <v>177</v>
      </c>
      <c r="U1664" s="209" t="s">
        <v>178</v>
      </c>
      <c r="V1664" s="209" t="s">
        <v>179</v>
      </c>
      <c r="W1664" s="209" t="s">
        <v>179</v>
      </c>
      <c r="X1664" s="209" t="s">
        <v>180</v>
      </c>
      <c r="Y1664" s="209" t="s">
        <v>180</v>
      </c>
      <c r="Z1664" s="209" t="s">
        <v>3757</v>
      </c>
      <c r="AA1664" s="209" t="s">
        <v>3758</v>
      </c>
      <c r="AB1664" s="209" t="s">
        <v>180</v>
      </c>
      <c r="AC1664" s="209" t="s">
        <v>182</v>
      </c>
      <c r="AD1664" s="209">
        <v>12</v>
      </c>
      <c r="AE1664" s="209">
        <v>2025</v>
      </c>
      <c r="AF1664" s="227">
        <v>46017</v>
      </c>
      <c r="AG1664" s="227">
        <v>46021</v>
      </c>
      <c r="AH1664" s="227">
        <v>46021</v>
      </c>
      <c r="AI1664" s="228">
        <v>490752</v>
      </c>
      <c r="AJ1664" s="228">
        <v>48</v>
      </c>
      <c r="AK1664" s="228">
        <v>490752</v>
      </c>
      <c r="AL1664" s="228">
        <v>48</v>
      </c>
      <c r="AM1664" s="228">
        <v>0</v>
      </c>
      <c r="AN1664" s="228">
        <v>0</v>
      </c>
      <c r="AO1664" s="229">
        <v>1</v>
      </c>
      <c r="AP1664" s="231">
        <v>12</v>
      </c>
      <c r="AQ1664" s="231">
        <v>2025</v>
      </c>
      <c r="AR1664" s="231" t="str">
        <f t="shared" si="244"/>
        <v>12/2025</v>
      </c>
      <c r="AS1664" s="231">
        <f t="shared" si="245"/>
        <v>37.200000000000003</v>
      </c>
      <c r="AT1664" s="239">
        <f>IF(G1664="CERVECERIA Y MALTERIA",(AS1664*AK1664/1000000)*(1-VLOOKUP(N1664,FCST!D:I,6,FALSE)),0)</f>
        <v>18.255974400000003</v>
      </c>
      <c r="AU1664" s="232">
        <v>5.0000000000000001E-3</v>
      </c>
      <c r="AV1664" s="239">
        <f t="shared" si="246"/>
        <v>18.347254272000001</v>
      </c>
      <c r="AW1664" s="239">
        <f>(AS1664*AK1664/1000000)*(VLOOKUP(N1664,FCST!D:I,6,FALSE))</f>
        <v>0</v>
      </c>
      <c r="AX1664" s="239">
        <f t="shared" si="247"/>
        <v>0</v>
      </c>
      <c r="AY1664" s="239">
        <f>IF($G1664="CERVECERIA Y MALTERIA.",($AS1664*$AK1664/1000000)*(1-VLOOKUP($N1664,FCST!D:I,6,FALSE)),0)</f>
        <v>0</v>
      </c>
      <c r="AZ1664" s="239">
        <f t="shared" si="248"/>
        <v>0</v>
      </c>
    </row>
    <row r="1665" spans="1:52" x14ac:dyDescent="0.25">
      <c r="A1665" s="209">
        <v>1157619</v>
      </c>
      <c r="B1665" s="209">
        <v>30</v>
      </c>
      <c r="C1665" s="209" t="s">
        <v>3759</v>
      </c>
      <c r="D1665" s="209">
        <v>10</v>
      </c>
      <c r="E1665" s="209">
        <v>10000002</v>
      </c>
      <c r="F1665" s="209">
        <v>20000340</v>
      </c>
      <c r="G1665" s="209" t="s">
        <v>117</v>
      </c>
      <c r="H1665" s="209">
        <v>20000340</v>
      </c>
      <c r="I1665" s="209">
        <v>2</v>
      </c>
      <c r="J1665" s="209" t="s">
        <v>169</v>
      </c>
      <c r="K1665" s="209" t="s">
        <v>3760</v>
      </c>
      <c r="L1665" s="209" t="s">
        <v>2610</v>
      </c>
      <c r="M1665" s="209" t="s">
        <v>184</v>
      </c>
      <c r="N1665" s="209">
        <v>50027468</v>
      </c>
      <c r="O1665" s="209" t="s">
        <v>285</v>
      </c>
      <c r="P1665" s="209">
        <v>5101</v>
      </c>
      <c r="Q1665" s="209" t="s">
        <v>186</v>
      </c>
      <c r="R1665" s="209" t="s">
        <v>175</v>
      </c>
      <c r="S1665" s="209" t="s">
        <v>176</v>
      </c>
      <c r="T1665" s="209" t="s">
        <v>187</v>
      </c>
      <c r="U1665" s="209" t="s">
        <v>188</v>
      </c>
      <c r="V1665" s="209" t="s">
        <v>179</v>
      </c>
      <c r="W1665" s="209" t="s">
        <v>179</v>
      </c>
      <c r="X1665" s="209" t="s">
        <v>180</v>
      </c>
      <c r="Y1665" s="209" t="s">
        <v>180</v>
      </c>
      <c r="Z1665" s="209" t="s">
        <v>3690</v>
      </c>
      <c r="AA1665" s="209" t="s">
        <v>3691</v>
      </c>
      <c r="AB1665" s="209" t="s">
        <v>180</v>
      </c>
      <c r="AC1665" s="209" t="s">
        <v>182</v>
      </c>
      <c r="AD1665" s="209">
        <v>12</v>
      </c>
      <c r="AE1665" s="209">
        <v>2025</v>
      </c>
      <c r="AF1665" s="227">
        <v>46010</v>
      </c>
      <c r="AG1665" s="227">
        <v>46017</v>
      </c>
      <c r="AH1665" s="227">
        <v>46017</v>
      </c>
      <c r="AI1665" s="228">
        <v>399360</v>
      </c>
      <c r="AJ1665" s="228">
        <v>52</v>
      </c>
      <c r="AK1665" s="228">
        <v>399360</v>
      </c>
      <c r="AL1665" s="228">
        <v>52</v>
      </c>
      <c r="AM1665" s="228">
        <v>0</v>
      </c>
      <c r="AN1665" s="228">
        <v>0</v>
      </c>
      <c r="AO1665" s="229">
        <v>52</v>
      </c>
      <c r="AP1665" s="231">
        <v>12</v>
      </c>
      <c r="AQ1665" s="231">
        <v>2025</v>
      </c>
      <c r="AR1665" s="231" t="str">
        <f t="shared" si="244"/>
        <v>12/2025</v>
      </c>
      <c r="AS1665" s="231">
        <f t="shared" si="245"/>
        <v>52</v>
      </c>
      <c r="AT1665" s="239">
        <f>IF(G1665="CERVECERIA Y MALTERIA",(AS1665*AK1665/1000000)*(1-VLOOKUP(N1665,FCST!D:I,6,FALSE)),0)</f>
        <v>0</v>
      </c>
      <c r="AU1665" s="232">
        <v>5.0000000000000001E-3</v>
      </c>
      <c r="AV1665" s="239">
        <f t="shared" si="246"/>
        <v>0</v>
      </c>
      <c r="AW1665" s="239">
        <f>(AS1665*AK1665/1000000)*(VLOOKUP(N1665,FCST!D:I,6,FALSE))</f>
        <v>0</v>
      </c>
      <c r="AX1665" s="239">
        <f t="shared" si="247"/>
        <v>0</v>
      </c>
      <c r="AY1665" s="239">
        <f>IF($G1665="CERVECERIA Y MALTERIA.",($AS1665*$AK1665/1000000)*(1-VLOOKUP($N1665,FCST!D:I,6,FALSE)),0)</f>
        <v>20.766719999999999</v>
      </c>
      <c r="AZ1665" s="239">
        <f t="shared" si="248"/>
        <v>20.870553599999997</v>
      </c>
    </row>
    <row r="1666" spans="1:52" x14ac:dyDescent="0.25">
      <c r="A1666" s="209">
        <v>1157496</v>
      </c>
      <c r="B1666" s="209">
        <v>30</v>
      </c>
      <c r="C1666" s="209" t="s">
        <v>3761</v>
      </c>
      <c r="D1666" s="209">
        <v>10</v>
      </c>
      <c r="E1666" s="209">
        <v>10000002</v>
      </c>
      <c r="F1666" s="209">
        <v>20000335</v>
      </c>
      <c r="G1666" s="209" t="s">
        <v>105</v>
      </c>
      <c r="H1666" s="209">
        <v>20000335</v>
      </c>
      <c r="I1666" s="209">
        <v>2</v>
      </c>
      <c r="J1666" s="209" t="s">
        <v>169</v>
      </c>
      <c r="K1666" s="209" t="s">
        <v>3762</v>
      </c>
      <c r="L1666" s="209" t="s">
        <v>2610</v>
      </c>
      <c r="M1666" s="209" t="s">
        <v>184</v>
      </c>
      <c r="N1666" s="209">
        <v>50037887</v>
      </c>
      <c r="O1666" s="209" t="s">
        <v>679</v>
      </c>
      <c r="P1666" s="209">
        <v>5121</v>
      </c>
      <c r="Q1666" s="209" t="s">
        <v>174</v>
      </c>
      <c r="R1666" s="209" t="s">
        <v>175</v>
      </c>
      <c r="S1666" s="209" t="s">
        <v>176</v>
      </c>
      <c r="T1666" s="209" t="s">
        <v>177</v>
      </c>
      <c r="U1666" s="209" t="s">
        <v>178</v>
      </c>
      <c r="V1666" s="209" t="s">
        <v>179</v>
      </c>
      <c r="W1666" s="209" t="s">
        <v>179</v>
      </c>
      <c r="X1666" s="209" t="s">
        <v>180</v>
      </c>
      <c r="Y1666" s="209" t="s">
        <v>180</v>
      </c>
      <c r="Z1666" s="209" t="s">
        <v>3682</v>
      </c>
      <c r="AA1666" s="209" t="s">
        <v>3683</v>
      </c>
      <c r="AB1666" s="209" t="s">
        <v>180</v>
      </c>
      <c r="AC1666" s="209" t="s">
        <v>182</v>
      </c>
      <c r="AD1666" s="209">
        <v>12</v>
      </c>
      <c r="AE1666" s="209">
        <v>2025</v>
      </c>
      <c r="AF1666" s="227">
        <v>46010</v>
      </c>
      <c r="AG1666" s="227">
        <v>46017</v>
      </c>
      <c r="AH1666" s="227">
        <v>46017</v>
      </c>
      <c r="AI1666" s="228">
        <v>531648</v>
      </c>
      <c r="AJ1666" s="228">
        <v>52</v>
      </c>
      <c r="AK1666" s="228">
        <v>531648</v>
      </c>
      <c r="AL1666" s="228">
        <v>52</v>
      </c>
      <c r="AM1666" s="228">
        <v>0</v>
      </c>
      <c r="AN1666" s="228">
        <v>0</v>
      </c>
      <c r="AO1666" s="229">
        <v>52</v>
      </c>
      <c r="AP1666" s="231">
        <v>12</v>
      </c>
      <c r="AQ1666" s="231">
        <v>2025</v>
      </c>
      <c r="AR1666" s="231" t="str">
        <f t="shared" si="244"/>
        <v>12/2025</v>
      </c>
      <c r="AS1666" s="231">
        <f t="shared" si="245"/>
        <v>37.200000000000003</v>
      </c>
      <c r="AT1666" s="239">
        <f>IF(G1666="CERVECERIA Y MALTERIA",(AS1666*AK1666/1000000)*(1-VLOOKUP(N1666,FCST!D:I,6,FALSE)),0)</f>
        <v>19.777305600000002</v>
      </c>
      <c r="AU1666" s="232">
        <v>5.0000000000000001E-3</v>
      </c>
      <c r="AV1666" s="239">
        <f t="shared" si="246"/>
        <v>19.876192128</v>
      </c>
      <c r="AW1666" s="239">
        <f>(AS1666*AK1666/1000000)*(VLOOKUP(N1666,FCST!D:I,6,FALSE))</f>
        <v>0</v>
      </c>
      <c r="AX1666" s="239">
        <f t="shared" si="247"/>
        <v>0</v>
      </c>
      <c r="AY1666" s="239">
        <f>IF($G1666="CERVECERIA Y MALTERIA.",($AS1666*$AK1666/1000000)*(1-VLOOKUP($N1666,FCST!D:I,6,FALSE)),0)</f>
        <v>0</v>
      </c>
      <c r="AZ1666" s="239">
        <f t="shared" si="248"/>
        <v>0</v>
      </c>
    </row>
    <row r="1667" spans="1:52" x14ac:dyDescent="0.25">
      <c r="A1667" s="209">
        <v>1158260</v>
      </c>
      <c r="B1667" s="209">
        <v>20</v>
      </c>
      <c r="C1667" s="209" t="s">
        <v>3763</v>
      </c>
      <c r="D1667" s="209">
        <v>10</v>
      </c>
      <c r="E1667" s="209">
        <v>10000002</v>
      </c>
      <c r="F1667" s="209">
        <v>20000335</v>
      </c>
      <c r="G1667" s="209" t="s">
        <v>105</v>
      </c>
      <c r="H1667" s="209">
        <v>20000335</v>
      </c>
      <c r="I1667" s="209">
        <v>2</v>
      </c>
      <c r="J1667" s="209" t="s">
        <v>169</v>
      </c>
      <c r="K1667" s="209" t="s">
        <v>3764</v>
      </c>
      <c r="L1667" s="209" t="s">
        <v>2610</v>
      </c>
      <c r="M1667" s="209" t="s">
        <v>172</v>
      </c>
      <c r="N1667" s="209">
        <v>50034561</v>
      </c>
      <c r="O1667" s="209" t="s">
        <v>307</v>
      </c>
      <c r="P1667" s="209">
        <v>5121</v>
      </c>
      <c r="Q1667" s="209" t="s">
        <v>174</v>
      </c>
      <c r="R1667" s="209" t="s">
        <v>175</v>
      </c>
      <c r="S1667" s="209" t="s">
        <v>176</v>
      </c>
      <c r="T1667" s="209" t="s">
        <v>177</v>
      </c>
      <c r="U1667" s="209" t="s">
        <v>178</v>
      </c>
      <c r="V1667" s="209" t="s">
        <v>179</v>
      </c>
      <c r="W1667" s="209" t="s">
        <v>179</v>
      </c>
      <c r="X1667" s="209" t="s">
        <v>180</v>
      </c>
      <c r="Y1667" s="209" t="s">
        <v>180</v>
      </c>
      <c r="Z1667" s="209" t="s">
        <v>3708</v>
      </c>
      <c r="AA1667" s="209" t="s">
        <v>3709</v>
      </c>
      <c r="AB1667" s="209" t="s">
        <v>180</v>
      </c>
      <c r="AC1667" s="209" t="s">
        <v>182</v>
      </c>
      <c r="AD1667" s="209">
        <v>12</v>
      </c>
      <c r="AE1667" s="209">
        <v>2025</v>
      </c>
      <c r="AF1667" s="227">
        <v>46017</v>
      </c>
      <c r="AG1667" s="227">
        <v>46020</v>
      </c>
      <c r="AH1667" s="227">
        <v>46020</v>
      </c>
      <c r="AI1667" s="228">
        <v>977184</v>
      </c>
      <c r="AJ1667" s="228">
        <v>52</v>
      </c>
      <c r="AK1667" s="228">
        <v>977184</v>
      </c>
      <c r="AL1667" s="228">
        <v>52</v>
      </c>
      <c r="AM1667" s="228">
        <v>0</v>
      </c>
      <c r="AN1667" s="228">
        <v>0</v>
      </c>
      <c r="AO1667" s="229">
        <v>1</v>
      </c>
      <c r="AP1667" s="231">
        <v>12</v>
      </c>
      <c r="AQ1667" s="231">
        <v>2025</v>
      </c>
      <c r="AR1667" s="231" t="str">
        <f t="shared" si="244"/>
        <v>12/2025</v>
      </c>
      <c r="AS1667" s="231">
        <f t="shared" si="245"/>
        <v>19.5</v>
      </c>
      <c r="AT1667" s="239">
        <f>IF(G1667="CERVECERIA Y MALTERIA",(AS1667*AK1667/1000000)*(1-VLOOKUP(N1667,FCST!D:I,6,FALSE)),0)</f>
        <v>19.055088000000001</v>
      </c>
      <c r="AU1667" s="232">
        <v>5.0000000000000001E-3</v>
      </c>
      <c r="AV1667" s="239">
        <f t="shared" si="246"/>
        <v>19.15036344</v>
      </c>
      <c r="AW1667" s="239">
        <f>(AS1667*AK1667/1000000)*(VLOOKUP(N1667,FCST!D:I,6,FALSE))</f>
        <v>0</v>
      </c>
      <c r="AX1667" s="239">
        <f t="shared" si="247"/>
        <v>0</v>
      </c>
      <c r="AY1667" s="239">
        <f>IF($G1667="CERVECERIA Y MALTERIA.",($AS1667*$AK1667/1000000)*(1-VLOOKUP($N1667,FCST!D:I,6,FALSE)),0)</f>
        <v>0</v>
      </c>
      <c r="AZ1667" s="239">
        <f t="shared" si="248"/>
        <v>0</v>
      </c>
    </row>
    <row r="1668" spans="1:52" x14ac:dyDescent="0.25">
      <c r="A1668" s="209">
        <v>1158260</v>
      </c>
      <c r="B1668" s="209">
        <v>30</v>
      </c>
      <c r="C1668" s="209" t="s">
        <v>3765</v>
      </c>
      <c r="D1668" s="209">
        <v>10</v>
      </c>
      <c r="E1668" s="209">
        <v>10000002</v>
      </c>
      <c r="F1668" s="209">
        <v>20000335</v>
      </c>
      <c r="G1668" s="209" t="s">
        <v>105</v>
      </c>
      <c r="H1668" s="209">
        <v>20000335</v>
      </c>
      <c r="I1668" s="209">
        <v>2</v>
      </c>
      <c r="J1668" s="209" t="s">
        <v>169</v>
      </c>
      <c r="K1668" s="209" t="s">
        <v>3766</v>
      </c>
      <c r="L1668" s="209" t="s">
        <v>2610</v>
      </c>
      <c r="M1668" s="209" t="s">
        <v>2718</v>
      </c>
      <c r="N1668" s="209">
        <v>50037887</v>
      </c>
      <c r="O1668" s="209" t="s">
        <v>679</v>
      </c>
      <c r="P1668" s="209">
        <v>5121</v>
      </c>
      <c r="Q1668" s="209" t="s">
        <v>174</v>
      </c>
      <c r="R1668" s="209" t="s">
        <v>175</v>
      </c>
      <c r="S1668" s="209" t="s">
        <v>176</v>
      </c>
      <c r="T1668" s="209" t="s">
        <v>177</v>
      </c>
      <c r="U1668" s="209" t="s">
        <v>178</v>
      </c>
      <c r="V1668" s="209" t="s">
        <v>179</v>
      </c>
      <c r="W1668" s="209" t="s">
        <v>179</v>
      </c>
      <c r="X1668" s="209" t="s">
        <v>180</v>
      </c>
      <c r="Y1668" s="209" t="s">
        <v>180</v>
      </c>
      <c r="Z1668" s="209" t="s">
        <v>3757</v>
      </c>
      <c r="AA1668" s="209" t="s">
        <v>3758</v>
      </c>
      <c r="AB1668" s="209" t="s">
        <v>180</v>
      </c>
      <c r="AC1668" s="209" t="s">
        <v>182</v>
      </c>
      <c r="AD1668" s="209">
        <v>12</v>
      </c>
      <c r="AE1668" s="209">
        <v>2025</v>
      </c>
      <c r="AF1668" s="227">
        <v>46017</v>
      </c>
      <c r="AG1668" s="227">
        <v>46020</v>
      </c>
      <c r="AH1668" s="227">
        <v>46020</v>
      </c>
      <c r="AI1668" s="228">
        <v>531648</v>
      </c>
      <c r="AJ1668" s="228">
        <v>52</v>
      </c>
      <c r="AK1668" s="228">
        <v>531648</v>
      </c>
      <c r="AL1668" s="228">
        <v>52</v>
      </c>
      <c r="AM1668" s="228">
        <v>0</v>
      </c>
      <c r="AN1668" s="228">
        <v>0</v>
      </c>
      <c r="AO1668" s="229">
        <v>1</v>
      </c>
      <c r="AP1668" s="231">
        <v>12</v>
      </c>
      <c r="AQ1668" s="231">
        <v>2025</v>
      </c>
      <c r="AR1668" s="231" t="str">
        <f t="shared" si="244"/>
        <v>12/2025</v>
      </c>
      <c r="AS1668" s="231">
        <f t="shared" si="245"/>
        <v>37.200000000000003</v>
      </c>
      <c r="AT1668" s="239">
        <f>IF(G1668="CERVECERIA Y MALTERIA",(AS1668*AK1668/1000000)*(1-VLOOKUP(N1668,FCST!D:I,6,FALSE)),0)</f>
        <v>19.777305600000002</v>
      </c>
      <c r="AU1668" s="232">
        <v>5.0000000000000001E-3</v>
      </c>
      <c r="AV1668" s="239">
        <f t="shared" si="246"/>
        <v>19.876192128</v>
      </c>
      <c r="AW1668" s="239">
        <f>(AS1668*AK1668/1000000)*(VLOOKUP(N1668,FCST!D:I,6,FALSE))</f>
        <v>0</v>
      </c>
      <c r="AX1668" s="239">
        <f t="shared" si="247"/>
        <v>0</v>
      </c>
      <c r="AY1668" s="239">
        <f>IF($G1668="CERVECERIA Y MALTERIA.",($AS1668*$AK1668/1000000)*(1-VLOOKUP($N1668,FCST!D:I,6,FALSE)),0)</f>
        <v>0</v>
      </c>
      <c r="AZ1668" s="239">
        <f t="shared" si="248"/>
        <v>0</v>
      </c>
    </row>
    <row r="1669" spans="1:52" x14ac:dyDescent="0.25">
      <c r="A1669" s="209">
        <v>1158509</v>
      </c>
      <c r="B1669" s="209">
        <v>10</v>
      </c>
      <c r="C1669" s="209" t="s">
        <v>3767</v>
      </c>
      <c r="D1669" s="209">
        <v>10</v>
      </c>
      <c r="E1669" s="209">
        <v>10000002</v>
      </c>
      <c r="F1669" s="209">
        <v>20001057</v>
      </c>
      <c r="G1669" s="209" t="s">
        <v>105</v>
      </c>
      <c r="H1669" s="209">
        <v>20001057</v>
      </c>
      <c r="I1669" s="209">
        <v>2</v>
      </c>
      <c r="J1669" s="209" t="s">
        <v>169</v>
      </c>
      <c r="K1669" s="209" t="s">
        <v>3768</v>
      </c>
      <c r="L1669" s="209" t="s">
        <v>2610</v>
      </c>
      <c r="M1669" s="209" t="s">
        <v>2718</v>
      </c>
      <c r="N1669" s="209">
        <v>50037887</v>
      </c>
      <c r="O1669" s="209" t="s">
        <v>679</v>
      </c>
      <c r="P1669" s="209">
        <v>5121</v>
      </c>
      <c r="Q1669" s="209" t="s">
        <v>174</v>
      </c>
      <c r="R1669" s="209" t="s">
        <v>175</v>
      </c>
      <c r="S1669" s="209" t="s">
        <v>176</v>
      </c>
      <c r="T1669" s="209" t="s">
        <v>177</v>
      </c>
      <c r="U1669" s="209" t="s">
        <v>178</v>
      </c>
      <c r="V1669" s="209" t="s">
        <v>179</v>
      </c>
      <c r="W1669" s="209" t="s">
        <v>179</v>
      </c>
      <c r="X1669" s="209" t="s">
        <v>180</v>
      </c>
      <c r="Y1669" s="209" t="s">
        <v>180</v>
      </c>
      <c r="Z1669" s="209" t="s">
        <v>3769</v>
      </c>
      <c r="AA1669" s="209" t="s">
        <v>3770</v>
      </c>
      <c r="AB1669" s="209" t="s">
        <v>180</v>
      </c>
      <c r="AC1669" s="209" t="s">
        <v>182</v>
      </c>
      <c r="AD1669" s="209">
        <v>12</v>
      </c>
      <c r="AE1669" s="209">
        <v>2025</v>
      </c>
      <c r="AF1669" s="227">
        <v>46020</v>
      </c>
      <c r="AG1669" s="227">
        <v>46020</v>
      </c>
      <c r="AH1669" s="227">
        <v>46020</v>
      </c>
      <c r="AI1669" s="228">
        <v>357840</v>
      </c>
      <c r="AJ1669" s="228">
        <v>35</v>
      </c>
      <c r="AK1669" s="228">
        <v>357840</v>
      </c>
      <c r="AL1669" s="228">
        <v>35</v>
      </c>
      <c r="AM1669" s="228">
        <v>0</v>
      </c>
      <c r="AN1669" s="228">
        <v>0</v>
      </c>
      <c r="AO1669" s="229">
        <v>1</v>
      </c>
      <c r="AP1669" s="231">
        <v>12</v>
      </c>
      <c r="AQ1669" s="231">
        <v>2025</v>
      </c>
      <c r="AR1669" s="231" t="str">
        <f t="shared" si="244"/>
        <v>12/2025</v>
      </c>
      <c r="AS1669" s="231">
        <f t="shared" si="245"/>
        <v>37.200000000000003</v>
      </c>
      <c r="AT1669" s="239">
        <f>IF(G1669="CERVECERIA Y MALTERIA",(AS1669*AK1669/1000000)*(1-VLOOKUP(N1669,FCST!D:I,6,FALSE)),0)</f>
        <v>13.311648000000002</v>
      </c>
      <c r="AU1669" s="232">
        <v>5.0000000000000001E-3</v>
      </c>
      <c r="AV1669" s="239">
        <f t="shared" si="246"/>
        <v>13.378206240000001</v>
      </c>
      <c r="AW1669" s="239">
        <f>(AS1669*AK1669/1000000)*(VLOOKUP(N1669,FCST!D:I,6,FALSE))</f>
        <v>0</v>
      </c>
      <c r="AX1669" s="239">
        <f t="shared" si="247"/>
        <v>0</v>
      </c>
      <c r="AY1669" s="239">
        <f>IF($G1669="CERVECERIA Y MALTERIA.",($AS1669*$AK1669/1000000)*(1-VLOOKUP($N1669,FCST!D:I,6,FALSE)),0)</f>
        <v>0</v>
      </c>
      <c r="AZ1669" s="239">
        <f t="shared" si="248"/>
        <v>0</v>
      </c>
    </row>
    <row r="1670" spans="1:52" x14ac:dyDescent="0.25">
      <c r="A1670" s="209">
        <v>1158296</v>
      </c>
      <c r="B1670" s="209">
        <v>20</v>
      </c>
      <c r="C1670" s="209" t="s">
        <v>3771</v>
      </c>
      <c r="D1670" s="209">
        <v>10</v>
      </c>
      <c r="E1670" s="209">
        <v>10000002</v>
      </c>
      <c r="F1670" s="209">
        <v>20000337</v>
      </c>
      <c r="G1670" s="209" t="s">
        <v>105</v>
      </c>
      <c r="H1670" s="209">
        <v>20000337</v>
      </c>
      <c r="I1670" s="209">
        <v>2</v>
      </c>
      <c r="J1670" s="209" t="s">
        <v>169</v>
      </c>
      <c r="K1670" s="209" t="s">
        <v>3772</v>
      </c>
      <c r="L1670" s="209" t="s">
        <v>2610</v>
      </c>
      <c r="M1670" s="209" t="s">
        <v>2718</v>
      </c>
      <c r="N1670" s="209">
        <v>50024497</v>
      </c>
      <c r="O1670" s="209" t="s">
        <v>1352</v>
      </c>
      <c r="P1670" s="209">
        <v>5121</v>
      </c>
      <c r="Q1670" s="209" t="s">
        <v>174</v>
      </c>
      <c r="R1670" s="209" t="s">
        <v>175</v>
      </c>
      <c r="S1670" s="209" t="s">
        <v>176</v>
      </c>
      <c r="T1670" s="209" t="s">
        <v>177</v>
      </c>
      <c r="U1670" s="209" t="s">
        <v>178</v>
      </c>
      <c r="V1670" s="209" t="s">
        <v>179</v>
      </c>
      <c r="W1670" s="209" t="s">
        <v>179</v>
      </c>
      <c r="X1670" s="209" t="s">
        <v>180</v>
      </c>
      <c r="Y1670" s="209" t="s">
        <v>180</v>
      </c>
      <c r="Z1670" s="209" t="s">
        <v>3747</v>
      </c>
      <c r="AA1670" s="209" t="s">
        <v>3748</v>
      </c>
      <c r="AB1670" s="209" t="s">
        <v>180</v>
      </c>
      <c r="AC1670" s="209" t="s">
        <v>182</v>
      </c>
      <c r="AD1670" s="209">
        <v>12</v>
      </c>
      <c r="AE1670" s="209">
        <v>2025</v>
      </c>
      <c r="AF1670" s="227">
        <v>46017</v>
      </c>
      <c r="AG1670" s="227">
        <v>46020</v>
      </c>
      <c r="AH1670" s="227">
        <v>46020</v>
      </c>
      <c r="AI1670" s="228">
        <v>351936</v>
      </c>
      <c r="AJ1670" s="228">
        <v>52</v>
      </c>
      <c r="AK1670" s="228">
        <v>351936</v>
      </c>
      <c r="AL1670" s="228">
        <v>52</v>
      </c>
      <c r="AM1670" s="228">
        <v>0</v>
      </c>
      <c r="AN1670" s="228">
        <v>0</v>
      </c>
      <c r="AO1670" s="229">
        <v>1</v>
      </c>
      <c r="AP1670" s="231">
        <v>12</v>
      </c>
      <c r="AQ1670" s="231">
        <v>2025</v>
      </c>
      <c r="AR1670" s="231" t="str">
        <f t="shared" si="244"/>
        <v>12/2025</v>
      </c>
      <c r="AS1670" s="231">
        <f t="shared" si="245"/>
        <v>54.7</v>
      </c>
      <c r="AT1670" s="239">
        <f>IF(G1670="CERVECERIA Y MALTERIA",(AS1670*AK1670/1000000)*(1-VLOOKUP(N1670,FCST!D:I,6,FALSE)),0)</f>
        <v>19.250899199999999</v>
      </c>
      <c r="AU1670" s="232">
        <v>5.0000000000000001E-3</v>
      </c>
      <c r="AV1670" s="239">
        <f t="shared" si="246"/>
        <v>19.347153695999996</v>
      </c>
      <c r="AW1670" s="239">
        <f>(AS1670*AK1670/1000000)*(VLOOKUP(N1670,FCST!D:I,6,FALSE))</f>
        <v>0</v>
      </c>
      <c r="AX1670" s="239">
        <f t="shared" si="247"/>
        <v>0</v>
      </c>
      <c r="AY1670" s="239">
        <f>IF($G1670="CERVECERIA Y MALTERIA.",($AS1670*$AK1670/1000000)*(1-VLOOKUP($N1670,FCST!D:I,6,FALSE)),0)</f>
        <v>0</v>
      </c>
      <c r="AZ1670" s="239">
        <f t="shared" si="248"/>
        <v>0</v>
      </c>
    </row>
    <row r="1671" spans="1:52" x14ac:dyDescent="0.25">
      <c r="A1671" s="209">
        <v>1158260</v>
      </c>
      <c r="B1671" s="209">
        <v>10</v>
      </c>
      <c r="C1671" s="209" t="s">
        <v>3773</v>
      </c>
      <c r="D1671" s="209">
        <v>10</v>
      </c>
      <c r="E1671" s="209">
        <v>10000002</v>
      </c>
      <c r="F1671" s="209">
        <v>20000335</v>
      </c>
      <c r="G1671" s="209" t="s">
        <v>105</v>
      </c>
      <c r="H1671" s="209">
        <v>20000335</v>
      </c>
      <c r="I1671" s="209">
        <v>2</v>
      </c>
      <c r="J1671" s="209" t="s">
        <v>169</v>
      </c>
      <c r="K1671" s="209" t="s">
        <v>3774</v>
      </c>
      <c r="L1671" s="209" t="s">
        <v>2610</v>
      </c>
      <c r="M1671" s="209" t="s">
        <v>2718</v>
      </c>
      <c r="N1671" s="209">
        <v>50034561</v>
      </c>
      <c r="O1671" s="209" t="s">
        <v>307</v>
      </c>
      <c r="P1671" s="209">
        <v>5121</v>
      </c>
      <c r="Q1671" s="209" t="s">
        <v>174</v>
      </c>
      <c r="R1671" s="209" t="s">
        <v>175</v>
      </c>
      <c r="S1671" s="209" t="s">
        <v>176</v>
      </c>
      <c r="T1671" s="209" t="s">
        <v>177</v>
      </c>
      <c r="U1671" s="209" t="s">
        <v>178</v>
      </c>
      <c r="V1671" s="209" t="s">
        <v>179</v>
      </c>
      <c r="W1671" s="209" t="s">
        <v>179</v>
      </c>
      <c r="X1671" s="209" t="s">
        <v>180</v>
      </c>
      <c r="Y1671" s="209" t="s">
        <v>180</v>
      </c>
      <c r="Z1671" s="209" t="s">
        <v>3708</v>
      </c>
      <c r="AA1671" s="209" t="s">
        <v>3709</v>
      </c>
      <c r="AB1671" s="209" t="s">
        <v>180</v>
      </c>
      <c r="AC1671" s="209" t="s">
        <v>182</v>
      </c>
      <c r="AD1671" s="209">
        <v>12</v>
      </c>
      <c r="AE1671" s="209">
        <v>2025</v>
      </c>
      <c r="AF1671" s="227">
        <v>46017</v>
      </c>
      <c r="AG1671" s="227">
        <v>46020</v>
      </c>
      <c r="AH1671" s="227">
        <v>46020</v>
      </c>
      <c r="AI1671" s="228">
        <v>977184</v>
      </c>
      <c r="AJ1671" s="228">
        <v>52</v>
      </c>
      <c r="AK1671" s="228">
        <v>977184</v>
      </c>
      <c r="AL1671" s="228">
        <v>52</v>
      </c>
      <c r="AM1671" s="228">
        <v>0</v>
      </c>
      <c r="AN1671" s="228">
        <v>0</v>
      </c>
      <c r="AO1671" s="229">
        <v>1</v>
      </c>
      <c r="AP1671" s="231">
        <v>12</v>
      </c>
      <c r="AQ1671" s="231">
        <v>2025</v>
      </c>
      <c r="AR1671" s="231" t="str">
        <f t="shared" si="244"/>
        <v>12/2025</v>
      </c>
      <c r="AS1671" s="231">
        <f t="shared" si="245"/>
        <v>19.5</v>
      </c>
      <c r="AT1671" s="239">
        <f>IF(G1671="CERVECERIA Y MALTERIA",(AS1671*AK1671/1000000)*(1-VLOOKUP(N1671,FCST!D:I,6,FALSE)),0)</f>
        <v>19.055088000000001</v>
      </c>
      <c r="AU1671" s="232">
        <v>5.0000000000000001E-3</v>
      </c>
      <c r="AV1671" s="239">
        <f t="shared" si="246"/>
        <v>19.15036344</v>
      </c>
      <c r="AW1671" s="239">
        <f>(AS1671*AK1671/1000000)*(VLOOKUP(N1671,FCST!D:I,6,FALSE))</f>
        <v>0</v>
      </c>
      <c r="AX1671" s="239">
        <f t="shared" si="247"/>
        <v>0</v>
      </c>
      <c r="AY1671" s="239">
        <f>IF($G1671="CERVECERIA Y MALTERIA.",($AS1671*$AK1671/1000000)*(1-VLOOKUP($N1671,FCST!D:I,6,FALSE)),0)</f>
        <v>0</v>
      </c>
      <c r="AZ1671" s="239">
        <f t="shared" si="248"/>
        <v>0</v>
      </c>
    </row>
    <row r="1672" spans="1:52" x14ac:dyDescent="0.25">
      <c r="A1672" s="209">
        <v>1154117</v>
      </c>
      <c r="B1672" s="209">
        <v>30</v>
      </c>
      <c r="C1672" s="209" t="s">
        <v>3775</v>
      </c>
      <c r="D1672" s="209">
        <v>10</v>
      </c>
      <c r="E1672" s="209">
        <v>10000002</v>
      </c>
      <c r="F1672" s="209">
        <v>20001057</v>
      </c>
      <c r="G1672" s="209" t="s">
        <v>105</v>
      </c>
      <c r="H1672" s="209">
        <v>20001057</v>
      </c>
      <c r="I1672" s="209">
        <v>2</v>
      </c>
      <c r="J1672" s="209" t="s">
        <v>169</v>
      </c>
      <c r="K1672" s="209" t="s">
        <v>3776</v>
      </c>
      <c r="L1672" s="209" t="s">
        <v>2610</v>
      </c>
      <c r="M1672" s="209" t="s">
        <v>184</v>
      </c>
      <c r="N1672" s="209">
        <v>50037887</v>
      </c>
      <c r="O1672" s="209" t="s">
        <v>679</v>
      </c>
      <c r="P1672" s="209">
        <v>5121</v>
      </c>
      <c r="Q1672" s="209" t="s">
        <v>174</v>
      </c>
      <c r="R1672" s="209" t="s">
        <v>175</v>
      </c>
      <c r="S1672" s="209" t="s">
        <v>176</v>
      </c>
      <c r="T1672" s="209" t="s">
        <v>177</v>
      </c>
      <c r="U1672" s="209" t="s">
        <v>178</v>
      </c>
      <c r="V1672" s="209" t="s">
        <v>179</v>
      </c>
      <c r="W1672" s="209" t="s">
        <v>179</v>
      </c>
      <c r="X1672" s="209" t="s">
        <v>180</v>
      </c>
      <c r="Y1672" s="209" t="s">
        <v>180</v>
      </c>
      <c r="Z1672" s="209" t="s">
        <v>3777</v>
      </c>
      <c r="AA1672" s="209" t="s">
        <v>3778</v>
      </c>
      <c r="AB1672" s="209" t="s">
        <v>180</v>
      </c>
      <c r="AC1672" s="209" t="s">
        <v>182</v>
      </c>
      <c r="AD1672" s="209">
        <v>12</v>
      </c>
      <c r="AE1672" s="209">
        <v>2025</v>
      </c>
      <c r="AF1672" s="227">
        <v>45993</v>
      </c>
      <c r="AG1672" s="227">
        <v>45996</v>
      </c>
      <c r="AH1672" s="227">
        <v>45996</v>
      </c>
      <c r="AI1672" s="228">
        <v>531648</v>
      </c>
      <c r="AJ1672" s="228">
        <v>52</v>
      </c>
      <c r="AK1672" s="228">
        <v>531648</v>
      </c>
      <c r="AL1672" s="228">
        <v>52</v>
      </c>
      <c r="AM1672" s="228">
        <v>0</v>
      </c>
      <c r="AN1672" s="228">
        <v>0</v>
      </c>
      <c r="AO1672" s="229">
        <v>49</v>
      </c>
      <c r="AP1672" s="231">
        <v>12</v>
      </c>
      <c r="AQ1672" s="231">
        <v>2025</v>
      </c>
      <c r="AR1672" s="231" t="str">
        <f t="shared" si="244"/>
        <v>12/2025</v>
      </c>
      <c r="AS1672" s="231">
        <f t="shared" si="245"/>
        <v>37.200000000000003</v>
      </c>
      <c r="AT1672" s="239">
        <f>IF(G1672="CERVECERIA Y MALTERIA",(AS1672*AK1672/1000000)*(1-VLOOKUP(N1672,FCST!D:I,6,FALSE)),0)</f>
        <v>19.777305600000002</v>
      </c>
      <c r="AU1672" s="232">
        <v>5.0000000000000001E-3</v>
      </c>
      <c r="AV1672" s="239">
        <f t="shared" si="246"/>
        <v>19.876192128</v>
      </c>
      <c r="AW1672" s="239">
        <f>(AS1672*AK1672/1000000)*(VLOOKUP(N1672,FCST!D:I,6,FALSE))</f>
        <v>0</v>
      </c>
      <c r="AX1672" s="239">
        <f t="shared" si="247"/>
        <v>0</v>
      </c>
      <c r="AY1672" s="239">
        <f>IF($G1672="CERVECERIA Y MALTERIA.",($AS1672*$AK1672/1000000)*(1-VLOOKUP($N1672,FCST!D:I,6,FALSE)),0)</f>
        <v>0</v>
      </c>
      <c r="AZ1672" s="239">
        <f t="shared" si="248"/>
        <v>0</v>
      </c>
    </row>
    <row r="1673" spans="1:52" x14ac:dyDescent="0.25">
      <c r="A1673" s="209">
        <v>1153742</v>
      </c>
      <c r="B1673" s="209">
        <v>50</v>
      </c>
      <c r="C1673" s="209" t="s">
        <v>3779</v>
      </c>
      <c r="D1673" s="209">
        <v>10</v>
      </c>
      <c r="E1673" s="209">
        <v>10000002</v>
      </c>
      <c r="F1673" s="209">
        <v>20000335</v>
      </c>
      <c r="G1673" s="209" t="s">
        <v>105</v>
      </c>
      <c r="H1673" s="209">
        <v>20000335</v>
      </c>
      <c r="I1673" s="209">
        <v>2</v>
      </c>
      <c r="J1673" s="209" t="s">
        <v>169</v>
      </c>
      <c r="K1673" s="209" t="s">
        <v>3780</v>
      </c>
      <c r="L1673" s="209" t="s">
        <v>2610</v>
      </c>
      <c r="M1673" s="209" t="s">
        <v>172</v>
      </c>
      <c r="N1673" s="209">
        <v>50037887</v>
      </c>
      <c r="O1673" s="209" t="s">
        <v>679</v>
      </c>
      <c r="P1673" s="209">
        <v>5121</v>
      </c>
      <c r="Q1673" s="209" t="s">
        <v>174</v>
      </c>
      <c r="R1673" s="209" t="s">
        <v>175</v>
      </c>
      <c r="S1673" s="209" t="s">
        <v>176</v>
      </c>
      <c r="T1673" s="209" t="s">
        <v>177</v>
      </c>
      <c r="U1673" s="209" t="s">
        <v>178</v>
      </c>
      <c r="V1673" s="209" t="s">
        <v>179</v>
      </c>
      <c r="W1673" s="209" t="s">
        <v>179</v>
      </c>
      <c r="X1673" s="209" t="s">
        <v>180</v>
      </c>
      <c r="Y1673" s="209" t="s">
        <v>180</v>
      </c>
      <c r="Z1673" s="209" t="s">
        <v>3740</v>
      </c>
      <c r="AA1673" s="209" t="s">
        <v>3741</v>
      </c>
      <c r="AB1673" s="209" t="s">
        <v>180</v>
      </c>
      <c r="AC1673" s="209" t="s">
        <v>182</v>
      </c>
      <c r="AD1673" s="209">
        <v>12</v>
      </c>
      <c r="AE1673" s="209">
        <v>2025</v>
      </c>
      <c r="AF1673" s="227">
        <v>45989</v>
      </c>
      <c r="AG1673" s="227">
        <v>45995</v>
      </c>
      <c r="AH1673" s="227">
        <v>45995</v>
      </c>
      <c r="AI1673" s="228">
        <v>531648</v>
      </c>
      <c r="AJ1673" s="228">
        <v>52</v>
      </c>
      <c r="AK1673" s="228">
        <v>531648</v>
      </c>
      <c r="AL1673" s="228">
        <v>52</v>
      </c>
      <c r="AM1673" s="228">
        <v>0</v>
      </c>
      <c r="AN1673" s="228">
        <v>0</v>
      </c>
      <c r="AO1673" s="229">
        <v>49</v>
      </c>
      <c r="AP1673" s="231">
        <v>12</v>
      </c>
      <c r="AQ1673" s="231">
        <v>2025</v>
      </c>
      <c r="AR1673" s="231" t="str">
        <f t="shared" si="244"/>
        <v>12/2025</v>
      </c>
      <c r="AS1673" s="231">
        <f t="shared" si="245"/>
        <v>37.200000000000003</v>
      </c>
      <c r="AT1673" s="239">
        <f>IF(G1673="CERVECERIA Y MALTERIA",(AS1673*AK1673/1000000)*(1-VLOOKUP(N1673,FCST!D:I,6,FALSE)),0)</f>
        <v>19.777305600000002</v>
      </c>
      <c r="AU1673" s="232">
        <v>5.0000000000000001E-3</v>
      </c>
      <c r="AV1673" s="239">
        <f t="shared" si="246"/>
        <v>19.876192128</v>
      </c>
      <c r="AW1673" s="239">
        <f>(AS1673*AK1673/1000000)*(VLOOKUP(N1673,FCST!D:I,6,FALSE))</f>
        <v>0</v>
      </c>
      <c r="AX1673" s="239">
        <f t="shared" si="247"/>
        <v>0</v>
      </c>
      <c r="AY1673" s="239">
        <f>IF($G1673="CERVECERIA Y MALTERIA.",($AS1673*$AK1673/1000000)*(1-VLOOKUP($N1673,FCST!D:I,6,FALSE)),0)</f>
        <v>0</v>
      </c>
      <c r="AZ1673" s="239">
        <f t="shared" si="248"/>
        <v>0</v>
      </c>
    </row>
    <row r="1674" spans="1:52" x14ac:dyDescent="0.25">
      <c r="A1674" s="209">
        <v>1153742</v>
      </c>
      <c r="B1674" s="209">
        <v>20</v>
      </c>
      <c r="C1674" s="209" t="s">
        <v>3781</v>
      </c>
      <c r="D1674" s="209">
        <v>10</v>
      </c>
      <c r="E1674" s="209">
        <v>10000002</v>
      </c>
      <c r="F1674" s="209">
        <v>20000335</v>
      </c>
      <c r="G1674" s="209" t="s">
        <v>105</v>
      </c>
      <c r="H1674" s="209">
        <v>20000335</v>
      </c>
      <c r="I1674" s="209">
        <v>2</v>
      </c>
      <c r="J1674" s="209" t="s">
        <v>169</v>
      </c>
      <c r="K1674" s="209" t="s">
        <v>3782</v>
      </c>
      <c r="L1674" s="209" t="s">
        <v>2610</v>
      </c>
      <c r="M1674" s="209" t="s">
        <v>172</v>
      </c>
      <c r="N1674" s="209">
        <v>50035184</v>
      </c>
      <c r="O1674" s="209" t="s">
        <v>672</v>
      </c>
      <c r="P1674" s="209">
        <v>5121</v>
      </c>
      <c r="Q1674" s="209" t="s">
        <v>174</v>
      </c>
      <c r="R1674" s="209" t="s">
        <v>175</v>
      </c>
      <c r="S1674" s="209" t="s">
        <v>176</v>
      </c>
      <c r="T1674" s="209" t="s">
        <v>177</v>
      </c>
      <c r="U1674" s="209" t="s">
        <v>178</v>
      </c>
      <c r="V1674" s="209" t="s">
        <v>179</v>
      </c>
      <c r="W1674" s="209" t="s">
        <v>179</v>
      </c>
      <c r="X1674" s="209" t="s">
        <v>180</v>
      </c>
      <c r="Y1674" s="209" t="s">
        <v>180</v>
      </c>
      <c r="Z1674" s="209" t="s">
        <v>3730</v>
      </c>
      <c r="AA1674" s="209" t="s">
        <v>3731</v>
      </c>
      <c r="AB1674" s="209" t="s">
        <v>180</v>
      </c>
      <c r="AC1674" s="209" t="s">
        <v>182</v>
      </c>
      <c r="AD1674" s="209">
        <v>12</v>
      </c>
      <c r="AE1674" s="209">
        <v>2025</v>
      </c>
      <c r="AF1674" s="227">
        <v>45989</v>
      </c>
      <c r="AG1674" s="227">
        <v>45995</v>
      </c>
      <c r="AH1674" s="227">
        <v>45995</v>
      </c>
      <c r="AI1674" s="228">
        <v>977184</v>
      </c>
      <c r="AJ1674" s="228">
        <v>52</v>
      </c>
      <c r="AK1674" s="228">
        <v>977184</v>
      </c>
      <c r="AL1674" s="228">
        <v>52</v>
      </c>
      <c r="AM1674" s="228">
        <v>0</v>
      </c>
      <c r="AN1674" s="228">
        <v>0</v>
      </c>
      <c r="AO1674" s="229">
        <v>49</v>
      </c>
      <c r="AP1674" s="231">
        <v>12</v>
      </c>
      <c r="AQ1674" s="231">
        <v>2025</v>
      </c>
      <c r="AR1674" s="231" t="str">
        <f t="shared" si="244"/>
        <v>12/2025</v>
      </c>
      <c r="AS1674" s="231">
        <f t="shared" si="245"/>
        <v>19.5</v>
      </c>
      <c r="AT1674" s="239">
        <f>IF(G1674="CERVECERIA Y MALTERIA",(AS1674*AK1674/1000000)*(1-VLOOKUP(N1674,FCST!D:I,6,FALSE)),0)</f>
        <v>19.055088000000001</v>
      </c>
      <c r="AU1674" s="232">
        <v>5.0000000000000001E-3</v>
      </c>
      <c r="AV1674" s="239">
        <f t="shared" si="246"/>
        <v>19.15036344</v>
      </c>
      <c r="AW1674" s="239">
        <f>(AS1674*AK1674/1000000)*(VLOOKUP(N1674,FCST!D:I,6,FALSE))</f>
        <v>0</v>
      </c>
      <c r="AX1674" s="239">
        <f t="shared" si="247"/>
        <v>0</v>
      </c>
      <c r="AY1674" s="239">
        <f>IF($G1674="CERVECERIA Y MALTERIA.",($AS1674*$AK1674/1000000)*(1-VLOOKUP($N1674,FCST!D:I,6,FALSE)),0)</f>
        <v>0</v>
      </c>
      <c r="AZ1674" s="239">
        <f t="shared" si="248"/>
        <v>0</v>
      </c>
    </row>
    <row r="1675" spans="1:52" x14ac:dyDescent="0.25">
      <c r="A1675" s="209">
        <v>1153749</v>
      </c>
      <c r="B1675" s="209">
        <v>10</v>
      </c>
      <c r="C1675" s="209" t="s">
        <v>3783</v>
      </c>
      <c r="D1675" s="209">
        <v>10</v>
      </c>
      <c r="E1675" s="209">
        <v>10000002</v>
      </c>
      <c r="F1675" s="209">
        <v>20000340</v>
      </c>
      <c r="G1675" s="209" t="s">
        <v>117</v>
      </c>
      <c r="H1675" s="209">
        <v>20000340</v>
      </c>
      <c r="I1675" s="209">
        <v>2</v>
      </c>
      <c r="J1675" s="209" t="s">
        <v>169</v>
      </c>
      <c r="K1675" s="209" t="s">
        <v>3784</v>
      </c>
      <c r="L1675" s="209" t="s">
        <v>2610</v>
      </c>
      <c r="M1675" s="209" t="s">
        <v>2718</v>
      </c>
      <c r="N1675" s="209">
        <v>50038523</v>
      </c>
      <c r="O1675" s="209" t="s">
        <v>249</v>
      </c>
      <c r="P1675" s="209">
        <v>5101</v>
      </c>
      <c r="Q1675" s="209" t="s">
        <v>186</v>
      </c>
      <c r="R1675" s="209" t="s">
        <v>175</v>
      </c>
      <c r="S1675" s="209" t="s">
        <v>176</v>
      </c>
      <c r="T1675" s="209" t="s">
        <v>187</v>
      </c>
      <c r="U1675" s="209" t="s">
        <v>188</v>
      </c>
      <c r="V1675" s="209" t="s">
        <v>179</v>
      </c>
      <c r="W1675" s="209" t="s">
        <v>179</v>
      </c>
      <c r="X1675" s="209" t="s">
        <v>180</v>
      </c>
      <c r="Y1675" s="209" t="s">
        <v>180</v>
      </c>
      <c r="Z1675" s="209" t="s">
        <v>3718</v>
      </c>
      <c r="AA1675" s="209" t="s">
        <v>3719</v>
      </c>
      <c r="AB1675" s="209" t="s">
        <v>180</v>
      </c>
      <c r="AC1675" s="209" t="s">
        <v>182</v>
      </c>
      <c r="AD1675" s="209">
        <v>12</v>
      </c>
      <c r="AE1675" s="209">
        <v>2025</v>
      </c>
      <c r="AF1675" s="227">
        <v>45989</v>
      </c>
      <c r="AG1675" s="227">
        <v>45996</v>
      </c>
      <c r="AH1675" s="227">
        <v>45996</v>
      </c>
      <c r="AI1675" s="228">
        <v>606528</v>
      </c>
      <c r="AJ1675" s="228">
        <v>52</v>
      </c>
      <c r="AK1675" s="228">
        <v>606528</v>
      </c>
      <c r="AL1675" s="228">
        <v>52</v>
      </c>
      <c r="AM1675" s="228">
        <v>0</v>
      </c>
      <c r="AN1675" s="228">
        <v>0</v>
      </c>
      <c r="AO1675" s="229">
        <v>49</v>
      </c>
      <c r="AP1675" s="231">
        <v>12</v>
      </c>
      <c r="AQ1675" s="231">
        <v>2025</v>
      </c>
      <c r="AR1675" s="231" t="str">
        <f t="shared" si="244"/>
        <v>12/2025</v>
      </c>
      <c r="AS1675" s="231">
        <f t="shared" si="245"/>
        <v>30</v>
      </c>
      <c r="AT1675" s="239">
        <f>IF(G1675="CERVECERIA Y MALTERIA",(AS1675*AK1675/1000000)*(1-VLOOKUP(N1675,FCST!D:I,6,FALSE)),0)</f>
        <v>0</v>
      </c>
      <c r="AU1675" s="232">
        <v>5.0000000000000001E-3</v>
      </c>
      <c r="AV1675" s="239">
        <f t="shared" si="246"/>
        <v>0</v>
      </c>
      <c r="AW1675" s="239">
        <f>(AS1675*AK1675/1000000)*(VLOOKUP(N1675,FCST!D:I,6,FALSE))</f>
        <v>0</v>
      </c>
      <c r="AX1675" s="239">
        <f t="shared" si="247"/>
        <v>0</v>
      </c>
      <c r="AY1675" s="239">
        <f>IF($G1675="CERVECERIA Y MALTERIA.",($AS1675*$AK1675/1000000)*(1-VLOOKUP($N1675,FCST!D:I,6,FALSE)),0)</f>
        <v>18.19584</v>
      </c>
      <c r="AZ1675" s="239">
        <f t="shared" si="248"/>
        <v>18.2868192</v>
      </c>
    </row>
    <row r="1676" spans="1:52" x14ac:dyDescent="0.25">
      <c r="A1676" s="209">
        <v>1155013</v>
      </c>
      <c r="B1676" s="209">
        <v>10</v>
      </c>
      <c r="C1676" s="209" t="s">
        <v>3785</v>
      </c>
      <c r="D1676" s="209">
        <v>10</v>
      </c>
      <c r="E1676" s="209">
        <v>10000002</v>
      </c>
      <c r="F1676" s="209">
        <v>20000336</v>
      </c>
      <c r="G1676" s="209" t="s">
        <v>105</v>
      </c>
      <c r="H1676" s="209">
        <v>20000336</v>
      </c>
      <c r="I1676" s="209">
        <v>2</v>
      </c>
      <c r="J1676" s="209" t="s">
        <v>169</v>
      </c>
      <c r="K1676" s="209" t="s">
        <v>3786</v>
      </c>
      <c r="L1676" s="209" t="s">
        <v>2610</v>
      </c>
      <c r="M1676" s="209" t="s">
        <v>172</v>
      </c>
      <c r="N1676" s="209">
        <v>50024497</v>
      </c>
      <c r="O1676" s="209" t="s">
        <v>1352</v>
      </c>
      <c r="P1676" s="209">
        <v>5121</v>
      </c>
      <c r="Q1676" s="209" t="s">
        <v>174</v>
      </c>
      <c r="R1676" s="209" t="s">
        <v>175</v>
      </c>
      <c r="S1676" s="209" t="s">
        <v>176</v>
      </c>
      <c r="T1676" s="209" t="s">
        <v>177</v>
      </c>
      <c r="U1676" s="209" t="s">
        <v>178</v>
      </c>
      <c r="V1676" s="209" t="s">
        <v>179</v>
      </c>
      <c r="W1676" s="209" t="s">
        <v>179</v>
      </c>
      <c r="X1676" s="209" t="s">
        <v>180</v>
      </c>
      <c r="Y1676" s="209" t="s">
        <v>180</v>
      </c>
      <c r="Z1676" s="209" t="s">
        <v>3787</v>
      </c>
      <c r="AA1676" s="209" t="s">
        <v>3788</v>
      </c>
      <c r="AB1676" s="209" t="s">
        <v>180</v>
      </c>
      <c r="AC1676" s="209" t="s">
        <v>182</v>
      </c>
      <c r="AD1676" s="209">
        <v>12</v>
      </c>
      <c r="AE1676" s="209">
        <v>2025</v>
      </c>
      <c r="AF1676" s="227">
        <v>45996</v>
      </c>
      <c r="AG1676" s="227">
        <v>46000</v>
      </c>
      <c r="AH1676" s="227">
        <v>46000</v>
      </c>
      <c r="AI1676" s="228">
        <v>162432</v>
      </c>
      <c r="AJ1676" s="228">
        <v>24</v>
      </c>
      <c r="AK1676" s="228">
        <v>162432</v>
      </c>
      <c r="AL1676" s="228">
        <v>24</v>
      </c>
      <c r="AM1676" s="228">
        <v>0</v>
      </c>
      <c r="AN1676" s="228">
        <v>0</v>
      </c>
      <c r="AO1676" s="229">
        <v>50</v>
      </c>
      <c r="AP1676" s="231">
        <v>12</v>
      </c>
      <c r="AQ1676" s="231">
        <v>2025</v>
      </c>
      <c r="AR1676" s="231" t="str">
        <f t="shared" si="244"/>
        <v>12/2025</v>
      </c>
      <c r="AS1676" s="231">
        <f t="shared" si="245"/>
        <v>54.7</v>
      </c>
      <c r="AT1676" s="239">
        <f>IF(G1676="CERVECERIA Y MALTERIA",(AS1676*AK1676/1000000)*(1-VLOOKUP(N1676,FCST!D:I,6,FALSE)),0)</f>
        <v>8.8850303999999998</v>
      </c>
      <c r="AU1676" s="232">
        <v>5.0000000000000001E-3</v>
      </c>
      <c r="AV1676" s="239">
        <f t="shared" si="246"/>
        <v>8.9294555519999985</v>
      </c>
      <c r="AW1676" s="239">
        <f>(AS1676*AK1676/1000000)*(VLOOKUP(N1676,FCST!D:I,6,FALSE))</f>
        <v>0</v>
      </c>
      <c r="AX1676" s="239">
        <f t="shared" si="247"/>
        <v>0</v>
      </c>
      <c r="AY1676" s="239">
        <f>IF($G1676="CERVECERIA Y MALTERIA.",($AS1676*$AK1676/1000000)*(1-VLOOKUP($N1676,FCST!D:I,6,FALSE)),0)</f>
        <v>0</v>
      </c>
      <c r="AZ1676" s="239">
        <f t="shared" si="248"/>
        <v>0</v>
      </c>
    </row>
    <row r="1677" spans="1:52" x14ac:dyDescent="0.25">
      <c r="A1677" s="209">
        <v>1154963</v>
      </c>
      <c r="B1677" s="209">
        <v>10</v>
      </c>
      <c r="C1677" s="209" t="s">
        <v>3789</v>
      </c>
      <c r="D1677" s="209">
        <v>10</v>
      </c>
      <c r="E1677" s="209">
        <v>10000002</v>
      </c>
      <c r="F1677" s="209">
        <v>20000335</v>
      </c>
      <c r="G1677" s="209" t="s">
        <v>105</v>
      </c>
      <c r="H1677" s="209">
        <v>20000335</v>
      </c>
      <c r="I1677" s="209">
        <v>2</v>
      </c>
      <c r="J1677" s="209" t="s">
        <v>169</v>
      </c>
      <c r="K1677" s="209" t="s">
        <v>3790</v>
      </c>
      <c r="L1677" s="209" t="s">
        <v>2610</v>
      </c>
      <c r="M1677" s="209" t="s">
        <v>172</v>
      </c>
      <c r="N1677" s="209">
        <v>50037887</v>
      </c>
      <c r="O1677" s="209" t="s">
        <v>679</v>
      </c>
      <c r="P1677" s="209">
        <v>5121</v>
      </c>
      <c r="Q1677" s="209" t="s">
        <v>174</v>
      </c>
      <c r="R1677" s="209" t="s">
        <v>175</v>
      </c>
      <c r="S1677" s="209" t="s">
        <v>176</v>
      </c>
      <c r="T1677" s="209" t="s">
        <v>177</v>
      </c>
      <c r="U1677" s="209" t="s">
        <v>178</v>
      </c>
      <c r="V1677" s="209" t="s">
        <v>179</v>
      </c>
      <c r="W1677" s="209" t="s">
        <v>179</v>
      </c>
      <c r="X1677" s="209" t="s">
        <v>180</v>
      </c>
      <c r="Y1677" s="209" t="s">
        <v>180</v>
      </c>
      <c r="Z1677" s="209" t="s">
        <v>3740</v>
      </c>
      <c r="AA1677" s="209" t="s">
        <v>3741</v>
      </c>
      <c r="AB1677" s="209" t="s">
        <v>180</v>
      </c>
      <c r="AC1677" s="209" t="s">
        <v>182</v>
      </c>
      <c r="AD1677" s="209">
        <v>12</v>
      </c>
      <c r="AE1677" s="209">
        <v>2025</v>
      </c>
      <c r="AF1677" s="227">
        <v>45996</v>
      </c>
      <c r="AG1677" s="227">
        <v>46000</v>
      </c>
      <c r="AH1677" s="227">
        <v>46000</v>
      </c>
      <c r="AI1677" s="228">
        <v>531648</v>
      </c>
      <c r="AJ1677" s="228">
        <v>52</v>
      </c>
      <c r="AK1677" s="228">
        <v>531648</v>
      </c>
      <c r="AL1677" s="228">
        <v>52</v>
      </c>
      <c r="AM1677" s="228">
        <v>0</v>
      </c>
      <c r="AN1677" s="228">
        <v>0</v>
      </c>
      <c r="AO1677" s="229">
        <v>50</v>
      </c>
      <c r="AP1677" s="231">
        <v>12</v>
      </c>
      <c r="AQ1677" s="231">
        <v>2025</v>
      </c>
      <c r="AR1677" s="231" t="str">
        <f t="shared" si="244"/>
        <v>12/2025</v>
      </c>
      <c r="AS1677" s="231">
        <f t="shared" si="245"/>
        <v>37.200000000000003</v>
      </c>
      <c r="AT1677" s="239">
        <f>IF(G1677="CERVECERIA Y MALTERIA",(AS1677*AK1677/1000000)*(1-VLOOKUP(N1677,FCST!D:I,6,FALSE)),0)</f>
        <v>19.777305600000002</v>
      </c>
      <c r="AU1677" s="232">
        <v>5.0000000000000001E-3</v>
      </c>
      <c r="AV1677" s="239">
        <f t="shared" si="246"/>
        <v>19.876192128</v>
      </c>
      <c r="AW1677" s="239">
        <f>(AS1677*AK1677/1000000)*(VLOOKUP(N1677,FCST!D:I,6,FALSE))</f>
        <v>0</v>
      </c>
      <c r="AX1677" s="239">
        <f t="shared" si="247"/>
        <v>0</v>
      </c>
      <c r="AY1677" s="239">
        <f>IF($G1677="CERVECERIA Y MALTERIA.",($AS1677*$AK1677/1000000)*(1-VLOOKUP($N1677,FCST!D:I,6,FALSE)),0)</f>
        <v>0</v>
      </c>
      <c r="AZ1677" s="239">
        <f t="shared" si="248"/>
        <v>0</v>
      </c>
    </row>
    <row r="1678" spans="1:52" x14ac:dyDescent="0.25">
      <c r="A1678" s="209">
        <v>1153742</v>
      </c>
      <c r="B1678" s="209">
        <v>30</v>
      </c>
      <c r="C1678" s="209" t="s">
        <v>3791</v>
      </c>
      <c r="D1678" s="209">
        <v>10</v>
      </c>
      <c r="E1678" s="209">
        <v>10000002</v>
      </c>
      <c r="F1678" s="209">
        <v>20000335</v>
      </c>
      <c r="G1678" s="209" t="s">
        <v>105</v>
      </c>
      <c r="H1678" s="209">
        <v>20000335</v>
      </c>
      <c r="I1678" s="209">
        <v>2</v>
      </c>
      <c r="J1678" s="209" t="s">
        <v>169</v>
      </c>
      <c r="K1678" s="209" t="s">
        <v>3792</v>
      </c>
      <c r="L1678" s="209" t="s">
        <v>2610</v>
      </c>
      <c r="M1678" s="209" t="s">
        <v>184</v>
      </c>
      <c r="N1678" s="209">
        <v>50037887</v>
      </c>
      <c r="O1678" s="209" t="s">
        <v>679</v>
      </c>
      <c r="P1678" s="209">
        <v>5121</v>
      </c>
      <c r="Q1678" s="209" t="s">
        <v>174</v>
      </c>
      <c r="R1678" s="209" t="s">
        <v>175</v>
      </c>
      <c r="S1678" s="209" t="s">
        <v>176</v>
      </c>
      <c r="T1678" s="209" t="s">
        <v>177</v>
      </c>
      <c r="U1678" s="209" t="s">
        <v>178</v>
      </c>
      <c r="V1678" s="209" t="s">
        <v>179</v>
      </c>
      <c r="W1678" s="209" t="s">
        <v>179</v>
      </c>
      <c r="X1678" s="209" t="s">
        <v>180</v>
      </c>
      <c r="Y1678" s="209" t="s">
        <v>180</v>
      </c>
      <c r="Z1678" s="209" t="s">
        <v>3740</v>
      </c>
      <c r="AA1678" s="209" t="s">
        <v>3741</v>
      </c>
      <c r="AB1678" s="209" t="s">
        <v>180</v>
      </c>
      <c r="AC1678" s="209" t="s">
        <v>182</v>
      </c>
      <c r="AD1678" s="209">
        <v>12</v>
      </c>
      <c r="AE1678" s="209">
        <v>2025</v>
      </c>
      <c r="AF1678" s="227">
        <v>45989</v>
      </c>
      <c r="AG1678" s="227">
        <v>45992</v>
      </c>
      <c r="AH1678" s="227">
        <v>45992</v>
      </c>
      <c r="AI1678" s="228">
        <v>531648</v>
      </c>
      <c r="AJ1678" s="228">
        <v>52</v>
      </c>
      <c r="AK1678" s="228">
        <v>531648</v>
      </c>
      <c r="AL1678" s="228">
        <v>52</v>
      </c>
      <c r="AM1678" s="228">
        <v>0</v>
      </c>
      <c r="AN1678" s="228">
        <v>0</v>
      </c>
      <c r="AO1678" s="229">
        <v>49</v>
      </c>
      <c r="AP1678" s="231">
        <v>12</v>
      </c>
      <c r="AQ1678" s="231">
        <v>2025</v>
      </c>
      <c r="AR1678" s="231" t="str">
        <f t="shared" si="244"/>
        <v>12/2025</v>
      </c>
      <c r="AS1678" s="231">
        <f t="shared" si="245"/>
        <v>37.200000000000003</v>
      </c>
      <c r="AT1678" s="239">
        <f>IF(G1678="CERVECERIA Y MALTERIA",(AS1678*AK1678/1000000)*(1-VLOOKUP(N1678,FCST!D:I,6,FALSE)),0)</f>
        <v>19.777305600000002</v>
      </c>
      <c r="AU1678" s="232">
        <v>5.0000000000000001E-3</v>
      </c>
      <c r="AV1678" s="239">
        <f t="shared" si="246"/>
        <v>19.876192128</v>
      </c>
      <c r="AW1678" s="239">
        <f>(AS1678*AK1678/1000000)*(VLOOKUP(N1678,FCST!D:I,6,FALSE))</f>
        <v>0</v>
      </c>
      <c r="AX1678" s="239">
        <f t="shared" si="247"/>
        <v>0</v>
      </c>
      <c r="AY1678" s="239">
        <f>IF($G1678="CERVECERIA Y MALTERIA.",($AS1678*$AK1678/1000000)*(1-VLOOKUP($N1678,FCST!D:I,6,FALSE)),0)</f>
        <v>0</v>
      </c>
      <c r="AZ1678" s="239">
        <f t="shared" si="248"/>
        <v>0</v>
      </c>
    </row>
    <row r="1679" spans="1:52" x14ac:dyDescent="0.25">
      <c r="A1679" s="209">
        <v>1153774</v>
      </c>
      <c r="B1679" s="209">
        <v>10</v>
      </c>
      <c r="C1679" s="209" t="s">
        <v>3793</v>
      </c>
      <c r="D1679" s="209">
        <v>10</v>
      </c>
      <c r="E1679" s="209">
        <v>10000002</v>
      </c>
      <c r="F1679" s="209">
        <v>20001057</v>
      </c>
      <c r="G1679" s="209" t="s">
        <v>105</v>
      </c>
      <c r="H1679" s="209">
        <v>20001057</v>
      </c>
      <c r="I1679" s="209">
        <v>2</v>
      </c>
      <c r="J1679" s="209" t="s">
        <v>169</v>
      </c>
      <c r="K1679" s="209" t="s">
        <v>3794</v>
      </c>
      <c r="L1679" s="209" t="s">
        <v>2610</v>
      </c>
      <c r="M1679" s="209" t="s">
        <v>184</v>
      </c>
      <c r="N1679" s="209">
        <v>50030381</v>
      </c>
      <c r="O1679" s="209" t="s">
        <v>1791</v>
      </c>
      <c r="P1679" s="209">
        <v>5121</v>
      </c>
      <c r="Q1679" s="209" t="s">
        <v>174</v>
      </c>
      <c r="R1679" s="209" t="s">
        <v>175</v>
      </c>
      <c r="S1679" s="209" t="s">
        <v>176</v>
      </c>
      <c r="T1679" s="209" t="s">
        <v>177</v>
      </c>
      <c r="U1679" s="209" t="s">
        <v>178</v>
      </c>
      <c r="V1679" s="209" t="s">
        <v>179</v>
      </c>
      <c r="W1679" s="209" t="s">
        <v>179</v>
      </c>
      <c r="X1679" s="209" t="s">
        <v>180</v>
      </c>
      <c r="Y1679" s="209" t="s">
        <v>180</v>
      </c>
      <c r="Z1679" s="209" t="s">
        <v>3795</v>
      </c>
      <c r="AA1679" s="209" t="s">
        <v>3796</v>
      </c>
      <c r="AB1679" s="209" t="s">
        <v>180</v>
      </c>
      <c r="AC1679" s="209" t="s">
        <v>182</v>
      </c>
      <c r="AD1679" s="209">
        <v>12</v>
      </c>
      <c r="AE1679" s="209">
        <v>2025</v>
      </c>
      <c r="AF1679" s="227">
        <v>45989</v>
      </c>
      <c r="AG1679" s="227">
        <v>45992</v>
      </c>
      <c r="AH1679" s="227">
        <v>45992</v>
      </c>
      <c r="AI1679" s="228">
        <v>406016</v>
      </c>
      <c r="AJ1679" s="228">
        <v>52</v>
      </c>
      <c r="AK1679" s="228">
        <v>406016</v>
      </c>
      <c r="AL1679" s="228">
        <v>52</v>
      </c>
      <c r="AM1679" s="228">
        <v>0</v>
      </c>
      <c r="AN1679" s="228">
        <v>0</v>
      </c>
      <c r="AO1679" s="229">
        <v>49</v>
      </c>
      <c r="AP1679" s="231">
        <v>12</v>
      </c>
      <c r="AQ1679" s="231">
        <v>2025</v>
      </c>
      <c r="AR1679" s="231" t="str">
        <f t="shared" si="244"/>
        <v>12/2025</v>
      </c>
      <c r="AS1679" s="231">
        <f t="shared" si="245"/>
        <v>46.6</v>
      </c>
      <c r="AT1679" s="239">
        <f>IF(G1679="CERVECERIA Y MALTERIA",(AS1679*AK1679/1000000)*(1-VLOOKUP(N1679,FCST!D:I,6,FALSE)),0)</f>
        <v>18.920345600000001</v>
      </c>
      <c r="AU1679" s="232">
        <v>5.0000000000000001E-3</v>
      </c>
      <c r="AV1679" s="239">
        <f t="shared" si="246"/>
        <v>19.014947327999998</v>
      </c>
      <c r="AW1679" s="239">
        <f>(AS1679*AK1679/1000000)*(VLOOKUP(N1679,FCST!D:I,6,FALSE))</f>
        <v>0</v>
      </c>
      <c r="AX1679" s="239">
        <f t="shared" si="247"/>
        <v>0</v>
      </c>
      <c r="AY1679" s="239">
        <f>IF($G1679="CERVECERIA Y MALTERIA.",($AS1679*$AK1679/1000000)*(1-VLOOKUP($N1679,FCST!D:I,6,FALSE)),0)</f>
        <v>0</v>
      </c>
      <c r="AZ1679" s="239">
        <f t="shared" si="248"/>
        <v>0</v>
      </c>
    </row>
    <row r="1680" spans="1:52" x14ac:dyDescent="0.25">
      <c r="A1680" s="209">
        <v>1153746</v>
      </c>
      <c r="B1680" s="209">
        <v>10</v>
      </c>
      <c r="C1680" s="209" t="s">
        <v>3797</v>
      </c>
      <c r="D1680" s="209">
        <v>10</v>
      </c>
      <c r="E1680" s="209">
        <v>10000002</v>
      </c>
      <c r="F1680" s="209">
        <v>20000340</v>
      </c>
      <c r="G1680" s="209" t="s">
        <v>117</v>
      </c>
      <c r="H1680" s="209">
        <v>20000340</v>
      </c>
      <c r="I1680" s="209">
        <v>2</v>
      </c>
      <c r="J1680" s="209" t="s">
        <v>169</v>
      </c>
      <c r="K1680" s="209" t="s">
        <v>3798</v>
      </c>
      <c r="L1680" s="209" t="s">
        <v>2610</v>
      </c>
      <c r="M1680" s="209" t="s">
        <v>172</v>
      </c>
      <c r="N1680" s="209">
        <v>50029843</v>
      </c>
      <c r="O1680" s="209" t="s">
        <v>460</v>
      </c>
      <c r="P1680" s="209">
        <v>5121</v>
      </c>
      <c r="Q1680" s="209" t="s">
        <v>174</v>
      </c>
      <c r="R1680" s="209" t="s">
        <v>175</v>
      </c>
      <c r="S1680" s="209" t="s">
        <v>176</v>
      </c>
      <c r="T1680" s="209" t="s">
        <v>177</v>
      </c>
      <c r="U1680" s="209" t="s">
        <v>178</v>
      </c>
      <c r="V1680" s="209" t="s">
        <v>179</v>
      </c>
      <c r="W1680" s="209" t="s">
        <v>179</v>
      </c>
      <c r="X1680" s="209" t="s">
        <v>180</v>
      </c>
      <c r="Y1680" s="209" t="s">
        <v>180</v>
      </c>
      <c r="Z1680" s="209" t="s">
        <v>3799</v>
      </c>
      <c r="AA1680" s="209" t="s">
        <v>3800</v>
      </c>
      <c r="AB1680" s="209" t="s">
        <v>180</v>
      </c>
      <c r="AC1680" s="209" t="s">
        <v>182</v>
      </c>
      <c r="AD1680" s="209">
        <v>12</v>
      </c>
      <c r="AE1680" s="209">
        <v>2025</v>
      </c>
      <c r="AF1680" s="227">
        <v>45989</v>
      </c>
      <c r="AG1680" s="227">
        <v>45993</v>
      </c>
      <c r="AH1680" s="227">
        <v>45993</v>
      </c>
      <c r="AI1680" s="228">
        <v>419328</v>
      </c>
      <c r="AJ1680" s="228">
        <v>52</v>
      </c>
      <c r="AK1680" s="228">
        <v>419328</v>
      </c>
      <c r="AL1680" s="228">
        <v>52</v>
      </c>
      <c r="AM1680" s="228">
        <v>0</v>
      </c>
      <c r="AN1680" s="228">
        <v>0</v>
      </c>
      <c r="AO1680" s="229">
        <v>49</v>
      </c>
      <c r="AP1680" s="231">
        <v>12</v>
      </c>
      <c r="AQ1680" s="231">
        <v>2025</v>
      </c>
      <c r="AR1680" s="231" t="str">
        <f t="shared" si="244"/>
        <v>12/2025</v>
      </c>
      <c r="AS1680" s="231">
        <f t="shared" si="245"/>
        <v>44.8</v>
      </c>
      <c r="AT1680" s="239">
        <f>IF(G1680="CERVECERIA Y MALTERIA",(AS1680*AK1680/1000000)*(1-VLOOKUP(N1680,FCST!D:I,6,FALSE)),0)</f>
        <v>0</v>
      </c>
      <c r="AU1680" s="232">
        <v>5.0000000000000001E-3</v>
      </c>
      <c r="AV1680" s="239">
        <f t="shared" si="246"/>
        <v>0</v>
      </c>
      <c r="AW1680" s="239">
        <f>(AS1680*AK1680/1000000)*(VLOOKUP(N1680,FCST!D:I,6,FALSE))</f>
        <v>0</v>
      </c>
      <c r="AX1680" s="239">
        <f t="shared" si="247"/>
        <v>0</v>
      </c>
      <c r="AY1680" s="239">
        <f>IF($G1680="CERVECERIA Y MALTERIA.",($AS1680*$AK1680/1000000)*(1-VLOOKUP($N1680,FCST!D:I,6,FALSE)),0)</f>
        <v>18.7858944</v>
      </c>
      <c r="AZ1680" s="239">
        <f t="shared" si="248"/>
        <v>18.879823871999999</v>
      </c>
    </row>
    <row r="1681" spans="1:52" x14ac:dyDescent="0.25">
      <c r="A1681" s="209">
        <v>1153742</v>
      </c>
      <c r="B1681" s="209">
        <v>10</v>
      </c>
      <c r="C1681" s="209" t="s">
        <v>3801</v>
      </c>
      <c r="D1681" s="209">
        <v>10</v>
      </c>
      <c r="E1681" s="209">
        <v>10000002</v>
      </c>
      <c r="F1681" s="209">
        <v>20000335</v>
      </c>
      <c r="G1681" s="209" t="s">
        <v>105</v>
      </c>
      <c r="H1681" s="209">
        <v>20000335</v>
      </c>
      <c r="I1681" s="209">
        <v>2</v>
      </c>
      <c r="J1681" s="209" t="s">
        <v>169</v>
      </c>
      <c r="K1681" s="209" t="s">
        <v>3802</v>
      </c>
      <c r="L1681" s="209" t="s">
        <v>2610</v>
      </c>
      <c r="M1681" s="209" t="s">
        <v>172</v>
      </c>
      <c r="N1681" s="209">
        <v>50035184</v>
      </c>
      <c r="O1681" s="209" t="s">
        <v>672</v>
      </c>
      <c r="P1681" s="209">
        <v>5121</v>
      </c>
      <c r="Q1681" s="209" t="s">
        <v>174</v>
      </c>
      <c r="R1681" s="209" t="s">
        <v>175</v>
      </c>
      <c r="S1681" s="209" t="s">
        <v>176</v>
      </c>
      <c r="T1681" s="209" t="s">
        <v>177</v>
      </c>
      <c r="U1681" s="209" t="s">
        <v>178</v>
      </c>
      <c r="V1681" s="209" t="s">
        <v>179</v>
      </c>
      <c r="W1681" s="209" t="s">
        <v>179</v>
      </c>
      <c r="X1681" s="209" t="s">
        <v>180</v>
      </c>
      <c r="Y1681" s="209" t="s">
        <v>180</v>
      </c>
      <c r="Z1681" s="209" t="s">
        <v>3730</v>
      </c>
      <c r="AA1681" s="209" t="s">
        <v>3731</v>
      </c>
      <c r="AB1681" s="209" t="s">
        <v>180</v>
      </c>
      <c r="AC1681" s="209" t="s">
        <v>182</v>
      </c>
      <c r="AD1681" s="209">
        <v>12</v>
      </c>
      <c r="AE1681" s="209">
        <v>2025</v>
      </c>
      <c r="AF1681" s="227">
        <v>45989</v>
      </c>
      <c r="AG1681" s="227">
        <v>45993</v>
      </c>
      <c r="AH1681" s="227">
        <v>45993</v>
      </c>
      <c r="AI1681" s="228">
        <v>977184</v>
      </c>
      <c r="AJ1681" s="228">
        <v>52</v>
      </c>
      <c r="AK1681" s="228">
        <v>977184</v>
      </c>
      <c r="AL1681" s="228">
        <v>52</v>
      </c>
      <c r="AM1681" s="228">
        <v>0</v>
      </c>
      <c r="AN1681" s="228">
        <v>0</v>
      </c>
      <c r="AO1681" s="229">
        <v>49</v>
      </c>
      <c r="AP1681" s="231">
        <v>12</v>
      </c>
      <c r="AQ1681" s="231">
        <v>2025</v>
      </c>
      <c r="AR1681" s="231" t="str">
        <f t="shared" si="244"/>
        <v>12/2025</v>
      </c>
      <c r="AS1681" s="231">
        <f t="shared" si="245"/>
        <v>19.5</v>
      </c>
      <c r="AT1681" s="239">
        <f>IF(G1681="CERVECERIA Y MALTERIA",(AS1681*AK1681/1000000)*(1-VLOOKUP(N1681,FCST!D:I,6,FALSE)),0)</f>
        <v>19.055088000000001</v>
      </c>
      <c r="AU1681" s="232">
        <v>5.0000000000000001E-3</v>
      </c>
      <c r="AV1681" s="239">
        <f t="shared" si="246"/>
        <v>19.15036344</v>
      </c>
      <c r="AW1681" s="239">
        <f>(AS1681*AK1681/1000000)*(VLOOKUP(N1681,FCST!D:I,6,FALSE))</f>
        <v>0</v>
      </c>
      <c r="AX1681" s="239">
        <f t="shared" si="247"/>
        <v>0</v>
      </c>
      <c r="AY1681" s="239">
        <f>IF($G1681="CERVECERIA Y MALTERIA.",($AS1681*$AK1681/1000000)*(1-VLOOKUP($N1681,FCST!D:I,6,FALSE)),0)</f>
        <v>0</v>
      </c>
      <c r="AZ1681" s="239">
        <f t="shared" si="248"/>
        <v>0</v>
      </c>
    </row>
    <row r="1682" spans="1:52" x14ac:dyDescent="0.25">
      <c r="A1682" s="209">
        <v>1153746</v>
      </c>
      <c r="B1682" s="209">
        <v>20</v>
      </c>
      <c r="C1682" s="209" t="s">
        <v>3803</v>
      </c>
      <c r="D1682" s="209">
        <v>10</v>
      </c>
      <c r="E1682" s="209">
        <v>10000002</v>
      </c>
      <c r="F1682" s="209">
        <v>20000340</v>
      </c>
      <c r="G1682" s="209" t="s">
        <v>117</v>
      </c>
      <c r="H1682" s="209">
        <v>20000340</v>
      </c>
      <c r="I1682" s="209">
        <v>2</v>
      </c>
      <c r="J1682" s="209" t="s">
        <v>169</v>
      </c>
      <c r="K1682" s="209" t="s">
        <v>3804</v>
      </c>
      <c r="L1682" s="209" t="s">
        <v>2610</v>
      </c>
      <c r="M1682" s="209" t="s">
        <v>172</v>
      </c>
      <c r="N1682" s="209">
        <v>50029843</v>
      </c>
      <c r="O1682" s="209" t="s">
        <v>460</v>
      </c>
      <c r="P1682" s="209">
        <v>5121</v>
      </c>
      <c r="Q1682" s="209" t="s">
        <v>174</v>
      </c>
      <c r="R1682" s="209" t="s">
        <v>175</v>
      </c>
      <c r="S1682" s="209" t="s">
        <v>176</v>
      </c>
      <c r="T1682" s="209" t="s">
        <v>177</v>
      </c>
      <c r="U1682" s="209" t="s">
        <v>178</v>
      </c>
      <c r="V1682" s="209" t="s">
        <v>179</v>
      </c>
      <c r="W1682" s="209" t="s">
        <v>179</v>
      </c>
      <c r="X1682" s="209" t="s">
        <v>180</v>
      </c>
      <c r="Y1682" s="209" t="s">
        <v>180</v>
      </c>
      <c r="Z1682" s="209" t="s">
        <v>3799</v>
      </c>
      <c r="AA1682" s="209" t="s">
        <v>3800</v>
      </c>
      <c r="AB1682" s="209" t="s">
        <v>180</v>
      </c>
      <c r="AC1682" s="209" t="s">
        <v>182</v>
      </c>
      <c r="AD1682" s="209">
        <v>12</v>
      </c>
      <c r="AE1682" s="209">
        <v>2025</v>
      </c>
      <c r="AF1682" s="227">
        <v>45989</v>
      </c>
      <c r="AG1682" s="227">
        <v>45994</v>
      </c>
      <c r="AH1682" s="227">
        <v>45994</v>
      </c>
      <c r="AI1682" s="228">
        <v>419328</v>
      </c>
      <c r="AJ1682" s="228">
        <v>52</v>
      </c>
      <c r="AK1682" s="228">
        <v>419328</v>
      </c>
      <c r="AL1682" s="228">
        <v>52</v>
      </c>
      <c r="AM1682" s="228">
        <v>0</v>
      </c>
      <c r="AN1682" s="228">
        <v>0</v>
      </c>
      <c r="AO1682" s="229">
        <v>49</v>
      </c>
      <c r="AP1682" s="231">
        <v>12</v>
      </c>
      <c r="AQ1682" s="231">
        <v>2025</v>
      </c>
      <c r="AR1682" s="231" t="str">
        <f t="shared" si="244"/>
        <v>12/2025</v>
      </c>
      <c r="AS1682" s="231">
        <f t="shared" si="245"/>
        <v>44.8</v>
      </c>
      <c r="AT1682" s="239">
        <f>IF(G1682="CERVECERIA Y MALTERIA",(AS1682*AK1682/1000000)*(1-VLOOKUP(N1682,FCST!D:I,6,FALSE)),0)</f>
        <v>0</v>
      </c>
      <c r="AU1682" s="232">
        <v>5.0000000000000001E-3</v>
      </c>
      <c r="AV1682" s="239">
        <f t="shared" si="246"/>
        <v>0</v>
      </c>
      <c r="AW1682" s="239">
        <f>(AS1682*AK1682/1000000)*(VLOOKUP(N1682,FCST!D:I,6,FALSE))</f>
        <v>0</v>
      </c>
      <c r="AX1682" s="239">
        <f t="shared" si="247"/>
        <v>0</v>
      </c>
      <c r="AY1682" s="239">
        <f>IF($G1682="CERVECERIA Y MALTERIA.",($AS1682*$AK1682/1000000)*(1-VLOOKUP($N1682,FCST!D:I,6,FALSE)),0)</f>
        <v>18.7858944</v>
      </c>
      <c r="AZ1682" s="239">
        <f t="shared" si="248"/>
        <v>18.879823871999999</v>
      </c>
    </row>
    <row r="1683" spans="1:52" x14ac:dyDescent="0.25">
      <c r="A1683" s="209">
        <v>1153742</v>
      </c>
      <c r="B1683" s="209">
        <v>60</v>
      </c>
      <c r="C1683" s="209" t="s">
        <v>3805</v>
      </c>
      <c r="D1683" s="209">
        <v>10</v>
      </c>
      <c r="E1683" s="209">
        <v>10000002</v>
      </c>
      <c r="F1683" s="209">
        <v>20000335</v>
      </c>
      <c r="G1683" s="209" t="s">
        <v>105</v>
      </c>
      <c r="H1683" s="209">
        <v>20000335</v>
      </c>
      <c r="I1683" s="209">
        <v>2</v>
      </c>
      <c r="J1683" s="209" t="s">
        <v>169</v>
      </c>
      <c r="K1683" s="209" t="s">
        <v>3806</v>
      </c>
      <c r="L1683" s="209" t="s">
        <v>2610</v>
      </c>
      <c r="M1683" s="209" t="s">
        <v>172</v>
      </c>
      <c r="N1683" s="209">
        <v>50024497</v>
      </c>
      <c r="O1683" s="209" t="s">
        <v>1352</v>
      </c>
      <c r="P1683" s="209">
        <v>5121</v>
      </c>
      <c r="Q1683" s="209" t="s">
        <v>174</v>
      </c>
      <c r="R1683" s="209" t="s">
        <v>175</v>
      </c>
      <c r="S1683" s="209" t="s">
        <v>176</v>
      </c>
      <c r="T1683" s="209" t="s">
        <v>177</v>
      </c>
      <c r="U1683" s="209" t="s">
        <v>178</v>
      </c>
      <c r="V1683" s="209" t="s">
        <v>179</v>
      </c>
      <c r="W1683" s="209" t="s">
        <v>179</v>
      </c>
      <c r="X1683" s="209" t="s">
        <v>180</v>
      </c>
      <c r="Y1683" s="209" t="s">
        <v>180</v>
      </c>
      <c r="Z1683" s="209" t="s">
        <v>3807</v>
      </c>
      <c r="AA1683" s="209" t="s">
        <v>3808</v>
      </c>
      <c r="AB1683" s="209" t="s">
        <v>180</v>
      </c>
      <c r="AC1683" s="209" t="s">
        <v>182</v>
      </c>
      <c r="AD1683" s="209">
        <v>12</v>
      </c>
      <c r="AE1683" s="209">
        <v>2025</v>
      </c>
      <c r="AF1683" s="227">
        <v>45989</v>
      </c>
      <c r="AG1683" s="227">
        <v>45994</v>
      </c>
      <c r="AH1683" s="227">
        <v>45994</v>
      </c>
      <c r="AI1683" s="228">
        <v>169200</v>
      </c>
      <c r="AJ1683" s="228">
        <v>25</v>
      </c>
      <c r="AK1683" s="228">
        <v>169200</v>
      </c>
      <c r="AL1683" s="228">
        <v>25</v>
      </c>
      <c r="AM1683" s="228">
        <v>0</v>
      </c>
      <c r="AN1683" s="228">
        <v>0</v>
      </c>
      <c r="AO1683" s="229">
        <v>49</v>
      </c>
      <c r="AP1683" s="231">
        <v>12</v>
      </c>
      <c r="AQ1683" s="231">
        <v>2025</v>
      </c>
      <c r="AR1683" s="231" t="str">
        <f t="shared" si="244"/>
        <v>12/2025</v>
      </c>
      <c r="AS1683" s="231">
        <f t="shared" si="245"/>
        <v>54.7</v>
      </c>
      <c r="AT1683" s="239">
        <f>IF(G1683="CERVECERIA Y MALTERIA",(AS1683*AK1683/1000000)*(1-VLOOKUP(N1683,FCST!D:I,6,FALSE)),0)</f>
        <v>9.2552400000000006</v>
      </c>
      <c r="AU1683" s="232">
        <v>5.0000000000000001E-3</v>
      </c>
      <c r="AV1683" s="239">
        <f t="shared" si="246"/>
        <v>9.3015162</v>
      </c>
      <c r="AW1683" s="239">
        <f>(AS1683*AK1683/1000000)*(VLOOKUP(N1683,FCST!D:I,6,FALSE))</f>
        <v>0</v>
      </c>
      <c r="AX1683" s="239">
        <f t="shared" si="247"/>
        <v>0</v>
      </c>
      <c r="AY1683" s="239">
        <f>IF($G1683="CERVECERIA Y MALTERIA.",($AS1683*$AK1683/1000000)*(1-VLOOKUP($N1683,FCST!D:I,6,FALSE)),0)</f>
        <v>0</v>
      </c>
      <c r="AZ1683" s="239">
        <f t="shared" si="248"/>
        <v>0</v>
      </c>
    </row>
    <row r="1684" spans="1:52" x14ac:dyDescent="0.25">
      <c r="A1684" s="209">
        <v>1153746</v>
      </c>
      <c r="B1684" s="209">
        <v>30</v>
      </c>
      <c r="C1684" s="209" t="s">
        <v>3809</v>
      </c>
      <c r="D1684" s="209">
        <v>10</v>
      </c>
      <c r="E1684" s="209">
        <v>10000002</v>
      </c>
      <c r="F1684" s="209">
        <v>20000340</v>
      </c>
      <c r="G1684" s="209" t="s">
        <v>117</v>
      </c>
      <c r="H1684" s="209">
        <v>20000340</v>
      </c>
      <c r="I1684" s="209">
        <v>2</v>
      </c>
      <c r="J1684" s="209" t="s">
        <v>169</v>
      </c>
      <c r="K1684" s="209" t="s">
        <v>3810</v>
      </c>
      <c r="L1684" s="209" t="s">
        <v>2610</v>
      </c>
      <c r="M1684" s="209" t="s">
        <v>172</v>
      </c>
      <c r="N1684" s="209">
        <v>50029843</v>
      </c>
      <c r="O1684" s="209" t="s">
        <v>460</v>
      </c>
      <c r="P1684" s="209">
        <v>5121</v>
      </c>
      <c r="Q1684" s="209" t="s">
        <v>174</v>
      </c>
      <c r="R1684" s="209" t="s">
        <v>175</v>
      </c>
      <c r="S1684" s="209" t="s">
        <v>176</v>
      </c>
      <c r="T1684" s="209" t="s">
        <v>177</v>
      </c>
      <c r="U1684" s="209" t="s">
        <v>178</v>
      </c>
      <c r="V1684" s="209" t="s">
        <v>179</v>
      </c>
      <c r="W1684" s="209" t="s">
        <v>179</v>
      </c>
      <c r="X1684" s="209" t="s">
        <v>180</v>
      </c>
      <c r="Y1684" s="209" t="s">
        <v>180</v>
      </c>
      <c r="Z1684" s="209" t="s">
        <v>3799</v>
      </c>
      <c r="AA1684" s="209" t="s">
        <v>3800</v>
      </c>
      <c r="AB1684" s="209" t="s">
        <v>180</v>
      </c>
      <c r="AC1684" s="209" t="s">
        <v>182</v>
      </c>
      <c r="AD1684" s="209">
        <v>12</v>
      </c>
      <c r="AE1684" s="209">
        <v>2025</v>
      </c>
      <c r="AF1684" s="227">
        <v>45989</v>
      </c>
      <c r="AG1684" s="227">
        <v>45994</v>
      </c>
      <c r="AH1684" s="227">
        <v>45994</v>
      </c>
      <c r="AI1684" s="228">
        <v>209664</v>
      </c>
      <c r="AJ1684" s="228">
        <v>26</v>
      </c>
      <c r="AK1684" s="228">
        <v>209664</v>
      </c>
      <c r="AL1684" s="228">
        <v>26</v>
      </c>
      <c r="AM1684" s="228">
        <v>0</v>
      </c>
      <c r="AN1684" s="228">
        <v>0</v>
      </c>
      <c r="AO1684" s="229">
        <v>49</v>
      </c>
      <c r="AP1684" s="231">
        <v>12</v>
      </c>
      <c r="AQ1684" s="231">
        <v>2025</v>
      </c>
      <c r="AR1684" s="231" t="str">
        <f t="shared" si="244"/>
        <v>12/2025</v>
      </c>
      <c r="AS1684" s="231">
        <f t="shared" si="245"/>
        <v>44.8</v>
      </c>
      <c r="AT1684" s="239">
        <f>IF(G1684="CERVECERIA Y MALTERIA",(AS1684*AK1684/1000000)*(1-VLOOKUP(N1684,FCST!D:I,6,FALSE)),0)</f>
        <v>0</v>
      </c>
      <c r="AU1684" s="232">
        <v>5.0000000000000001E-3</v>
      </c>
      <c r="AV1684" s="239">
        <f t="shared" si="246"/>
        <v>0</v>
      </c>
      <c r="AW1684" s="239">
        <f>(AS1684*AK1684/1000000)*(VLOOKUP(N1684,FCST!D:I,6,FALSE))</f>
        <v>0</v>
      </c>
      <c r="AX1684" s="239">
        <f t="shared" si="247"/>
        <v>0</v>
      </c>
      <c r="AY1684" s="239">
        <f>IF($G1684="CERVECERIA Y MALTERIA.",($AS1684*$AK1684/1000000)*(1-VLOOKUP($N1684,FCST!D:I,6,FALSE)),0)</f>
        <v>9.3929472000000001</v>
      </c>
      <c r="AZ1684" s="239">
        <f t="shared" si="248"/>
        <v>9.4399119359999997</v>
      </c>
    </row>
    <row r="1685" spans="1:52" x14ac:dyDescent="0.25">
      <c r="A1685" s="209">
        <v>1153742</v>
      </c>
      <c r="B1685" s="209">
        <v>40</v>
      </c>
      <c r="C1685" s="209" t="s">
        <v>3811</v>
      </c>
      <c r="D1685" s="209">
        <v>10</v>
      </c>
      <c r="E1685" s="209">
        <v>10000002</v>
      </c>
      <c r="F1685" s="209">
        <v>20000335</v>
      </c>
      <c r="G1685" s="209" t="s">
        <v>105</v>
      </c>
      <c r="H1685" s="209">
        <v>20000335</v>
      </c>
      <c r="I1685" s="209">
        <v>2</v>
      </c>
      <c r="J1685" s="209" t="s">
        <v>169</v>
      </c>
      <c r="K1685" s="209" t="s">
        <v>3812</v>
      </c>
      <c r="L1685" s="209" t="s">
        <v>2610</v>
      </c>
      <c r="M1685" s="209" t="s">
        <v>172</v>
      </c>
      <c r="N1685" s="209">
        <v>50037887</v>
      </c>
      <c r="O1685" s="209" t="s">
        <v>679</v>
      </c>
      <c r="P1685" s="209">
        <v>5121</v>
      </c>
      <c r="Q1685" s="209" t="s">
        <v>174</v>
      </c>
      <c r="R1685" s="209" t="s">
        <v>175</v>
      </c>
      <c r="S1685" s="209" t="s">
        <v>176</v>
      </c>
      <c r="T1685" s="209" t="s">
        <v>177</v>
      </c>
      <c r="U1685" s="209" t="s">
        <v>178</v>
      </c>
      <c r="V1685" s="209" t="s">
        <v>179</v>
      </c>
      <c r="W1685" s="209" t="s">
        <v>179</v>
      </c>
      <c r="X1685" s="209" t="s">
        <v>180</v>
      </c>
      <c r="Y1685" s="209" t="s">
        <v>180</v>
      </c>
      <c r="Z1685" s="209" t="s">
        <v>3740</v>
      </c>
      <c r="AA1685" s="209" t="s">
        <v>3741</v>
      </c>
      <c r="AB1685" s="209" t="s">
        <v>180</v>
      </c>
      <c r="AC1685" s="209" t="s">
        <v>182</v>
      </c>
      <c r="AD1685" s="209">
        <v>12</v>
      </c>
      <c r="AE1685" s="209">
        <v>2025</v>
      </c>
      <c r="AF1685" s="227">
        <v>45989</v>
      </c>
      <c r="AG1685" s="227">
        <v>45995</v>
      </c>
      <c r="AH1685" s="227">
        <v>45995</v>
      </c>
      <c r="AI1685" s="228">
        <v>531648</v>
      </c>
      <c r="AJ1685" s="228">
        <v>52</v>
      </c>
      <c r="AK1685" s="228">
        <v>531648</v>
      </c>
      <c r="AL1685" s="228">
        <v>52</v>
      </c>
      <c r="AM1685" s="228">
        <v>0</v>
      </c>
      <c r="AN1685" s="228">
        <v>0</v>
      </c>
      <c r="AO1685" s="229">
        <v>49</v>
      </c>
      <c r="AP1685" s="231">
        <v>12</v>
      </c>
      <c r="AQ1685" s="231">
        <v>2025</v>
      </c>
      <c r="AR1685" s="231" t="str">
        <f t="shared" si="244"/>
        <v>12/2025</v>
      </c>
      <c r="AS1685" s="231">
        <f t="shared" si="245"/>
        <v>37.200000000000003</v>
      </c>
      <c r="AT1685" s="239">
        <f>IF(G1685="CERVECERIA Y MALTERIA",(AS1685*AK1685/1000000)*(1-VLOOKUP(N1685,FCST!D:I,6,FALSE)),0)</f>
        <v>19.777305600000002</v>
      </c>
      <c r="AU1685" s="232">
        <v>5.0000000000000001E-3</v>
      </c>
      <c r="AV1685" s="239">
        <f t="shared" si="246"/>
        <v>19.876192128</v>
      </c>
      <c r="AW1685" s="239">
        <f>(AS1685*AK1685/1000000)*(VLOOKUP(N1685,FCST!D:I,6,FALSE))</f>
        <v>0</v>
      </c>
      <c r="AX1685" s="239">
        <f t="shared" si="247"/>
        <v>0</v>
      </c>
      <c r="AY1685" s="239">
        <f>IF($G1685="CERVECERIA Y MALTERIA.",($AS1685*$AK1685/1000000)*(1-VLOOKUP($N1685,FCST!D:I,6,FALSE)),0)</f>
        <v>0</v>
      </c>
      <c r="AZ1685" s="239">
        <f t="shared" si="248"/>
        <v>0</v>
      </c>
    </row>
    <row r="1686" spans="1:52" x14ac:dyDescent="0.25">
      <c r="A1686" s="209">
        <v>1154117</v>
      </c>
      <c r="B1686" s="209">
        <v>10</v>
      </c>
      <c r="C1686" s="209" t="s">
        <v>3813</v>
      </c>
      <c r="D1686" s="209">
        <v>10</v>
      </c>
      <c r="E1686" s="209">
        <v>10000002</v>
      </c>
      <c r="F1686" s="209">
        <v>20001057</v>
      </c>
      <c r="G1686" s="209" t="s">
        <v>105</v>
      </c>
      <c r="H1686" s="209">
        <v>20001057</v>
      </c>
      <c r="I1686" s="209">
        <v>2</v>
      </c>
      <c r="J1686" s="209" t="s">
        <v>169</v>
      </c>
      <c r="K1686" s="209" t="s">
        <v>3814</v>
      </c>
      <c r="L1686" s="209" t="s">
        <v>2610</v>
      </c>
      <c r="M1686" s="209" t="s">
        <v>184</v>
      </c>
      <c r="N1686" s="209">
        <v>50030381</v>
      </c>
      <c r="O1686" s="209" t="s">
        <v>1791</v>
      </c>
      <c r="P1686" s="209">
        <v>5121</v>
      </c>
      <c r="Q1686" s="209" t="s">
        <v>174</v>
      </c>
      <c r="R1686" s="209" t="s">
        <v>175</v>
      </c>
      <c r="S1686" s="209" t="s">
        <v>176</v>
      </c>
      <c r="T1686" s="209" t="s">
        <v>177</v>
      </c>
      <c r="U1686" s="209" t="s">
        <v>178</v>
      </c>
      <c r="V1686" s="209" t="s">
        <v>179</v>
      </c>
      <c r="W1686" s="209" t="s">
        <v>179</v>
      </c>
      <c r="X1686" s="209" t="s">
        <v>180</v>
      </c>
      <c r="Y1686" s="209" t="s">
        <v>180</v>
      </c>
      <c r="Z1686" s="209" t="s">
        <v>3795</v>
      </c>
      <c r="AA1686" s="209" t="s">
        <v>3796</v>
      </c>
      <c r="AB1686" s="209" t="s">
        <v>180</v>
      </c>
      <c r="AC1686" s="209" t="s">
        <v>182</v>
      </c>
      <c r="AD1686" s="209">
        <v>12</v>
      </c>
      <c r="AE1686" s="209">
        <v>2025</v>
      </c>
      <c r="AF1686" s="227">
        <v>45993</v>
      </c>
      <c r="AG1686" s="227">
        <v>45994</v>
      </c>
      <c r="AH1686" s="227">
        <v>45994</v>
      </c>
      <c r="AI1686" s="228">
        <v>406016</v>
      </c>
      <c r="AJ1686" s="228">
        <v>52</v>
      </c>
      <c r="AK1686" s="228">
        <v>406016</v>
      </c>
      <c r="AL1686" s="228">
        <v>52</v>
      </c>
      <c r="AM1686" s="228">
        <v>0</v>
      </c>
      <c r="AN1686" s="228">
        <v>0</v>
      </c>
      <c r="AO1686" s="229">
        <v>49</v>
      </c>
      <c r="AP1686" s="231">
        <v>12</v>
      </c>
      <c r="AQ1686" s="231">
        <v>2025</v>
      </c>
      <c r="AR1686" s="231" t="str">
        <f t="shared" si="244"/>
        <v>12/2025</v>
      </c>
      <c r="AS1686" s="231">
        <f t="shared" si="245"/>
        <v>46.6</v>
      </c>
      <c r="AT1686" s="239">
        <f>IF(G1686="CERVECERIA Y MALTERIA",(AS1686*AK1686/1000000)*(1-VLOOKUP(N1686,FCST!D:I,6,FALSE)),0)</f>
        <v>18.920345600000001</v>
      </c>
      <c r="AU1686" s="232">
        <v>5.0000000000000001E-3</v>
      </c>
      <c r="AV1686" s="239">
        <f t="shared" si="246"/>
        <v>19.014947327999998</v>
      </c>
      <c r="AW1686" s="239">
        <f>(AS1686*AK1686/1000000)*(VLOOKUP(N1686,FCST!D:I,6,FALSE))</f>
        <v>0</v>
      </c>
      <c r="AX1686" s="239">
        <f t="shared" si="247"/>
        <v>0</v>
      </c>
      <c r="AY1686" s="239">
        <f>IF($G1686="CERVECERIA Y MALTERIA.",($AS1686*$AK1686/1000000)*(1-VLOOKUP($N1686,FCST!D:I,6,FALSE)),0)</f>
        <v>0</v>
      </c>
      <c r="AZ1686" s="239">
        <f t="shared" si="248"/>
        <v>0</v>
      </c>
    </row>
    <row r="1687" spans="1:52" x14ac:dyDescent="0.25">
      <c r="A1687" s="209">
        <v>1156312</v>
      </c>
      <c r="B1687" s="209">
        <v>10</v>
      </c>
      <c r="C1687" s="209" t="s">
        <v>3815</v>
      </c>
      <c r="D1687" s="209">
        <v>10</v>
      </c>
      <c r="E1687" s="209">
        <v>10000002</v>
      </c>
      <c r="F1687" s="209">
        <v>20000340</v>
      </c>
      <c r="G1687" s="209" t="s">
        <v>117</v>
      </c>
      <c r="H1687" s="209">
        <v>20000340</v>
      </c>
      <c r="I1687" s="209">
        <v>2</v>
      </c>
      <c r="J1687" s="209" t="s">
        <v>169</v>
      </c>
      <c r="K1687" s="209" t="s">
        <v>3816</v>
      </c>
      <c r="L1687" s="209" t="s">
        <v>2610</v>
      </c>
      <c r="M1687" s="209" t="s">
        <v>172</v>
      </c>
      <c r="N1687" s="209">
        <v>50038523</v>
      </c>
      <c r="O1687" s="209" t="s">
        <v>249</v>
      </c>
      <c r="P1687" s="209">
        <v>5101</v>
      </c>
      <c r="Q1687" s="209" t="s">
        <v>186</v>
      </c>
      <c r="R1687" s="209" t="s">
        <v>175</v>
      </c>
      <c r="S1687" s="209" t="s">
        <v>176</v>
      </c>
      <c r="T1687" s="209" t="s">
        <v>187</v>
      </c>
      <c r="U1687" s="209" t="s">
        <v>188</v>
      </c>
      <c r="V1687" s="209" t="s">
        <v>179</v>
      </c>
      <c r="W1687" s="209" t="s">
        <v>179</v>
      </c>
      <c r="X1687" s="209" t="s">
        <v>180</v>
      </c>
      <c r="Y1687" s="209" t="s">
        <v>180</v>
      </c>
      <c r="Z1687" s="209" t="s">
        <v>3718</v>
      </c>
      <c r="AA1687" s="209" t="s">
        <v>3719</v>
      </c>
      <c r="AB1687" s="209" t="s">
        <v>180</v>
      </c>
      <c r="AC1687" s="209" t="s">
        <v>182</v>
      </c>
      <c r="AD1687" s="209">
        <v>12</v>
      </c>
      <c r="AE1687" s="209">
        <v>2025</v>
      </c>
      <c r="AF1687" s="227">
        <v>46003</v>
      </c>
      <c r="AG1687" s="227">
        <v>46006</v>
      </c>
      <c r="AH1687" s="227">
        <v>46006</v>
      </c>
      <c r="AI1687" s="228">
        <v>606528</v>
      </c>
      <c r="AJ1687" s="228">
        <v>52</v>
      </c>
      <c r="AK1687" s="228">
        <v>606528</v>
      </c>
      <c r="AL1687" s="228">
        <v>52</v>
      </c>
      <c r="AM1687" s="228">
        <v>0</v>
      </c>
      <c r="AN1687" s="228">
        <v>0</v>
      </c>
      <c r="AO1687" s="229">
        <v>51</v>
      </c>
      <c r="AP1687" s="231">
        <v>12</v>
      </c>
      <c r="AQ1687" s="231">
        <v>2025</v>
      </c>
      <c r="AR1687" s="231" t="str">
        <f t="shared" si="244"/>
        <v>12/2025</v>
      </c>
      <c r="AS1687" s="231">
        <f t="shared" si="245"/>
        <v>30</v>
      </c>
      <c r="AT1687" s="239">
        <f>IF(G1687="CERVECERIA Y MALTERIA",(AS1687*AK1687/1000000)*(1-VLOOKUP(N1687,FCST!D:I,6,FALSE)),0)</f>
        <v>0</v>
      </c>
      <c r="AU1687" s="232">
        <v>5.0000000000000001E-3</v>
      </c>
      <c r="AV1687" s="239">
        <f t="shared" si="246"/>
        <v>0</v>
      </c>
      <c r="AW1687" s="239">
        <f>(AS1687*AK1687/1000000)*(VLOOKUP(N1687,FCST!D:I,6,FALSE))</f>
        <v>0</v>
      </c>
      <c r="AX1687" s="239">
        <f t="shared" si="247"/>
        <v>0</v>
      </c>
      <c r="AY1687" s="239">
        <f>IF($G1687="CERVECERIA Y MALTERIA.",($AS1687*$AK1687/1000000)*(1-VLOOKUP($N1687,FCST!D:I,6,FALSE)),0)</f>
        <v>18.19584</v>
      </c>
      <c r="AZ1687" s="239">
        <f t="shared" si="248"/>
        <v>18.2868192</v>
      </c>
    </row>
    <row r="1688" spans="1:52" x14ac:dyDescent="0.25">
      <c r="A1688" s="209">
        <v>1156323</v>
      </c>
      <c r="B1688" s="209">
        <v>40</v>
      </c>
      <c r="C1688" s="209" t="s">
        <v>3817</v>
      </c>
      <c r="D1688" s="209">
        <v>10</v>
      </c>
      <c r="E1688" s="209">
        <v>10000002</v>
      </c>
      <c r="F1688" s="209">
        <v>20000335</v>
      </c>
      <c r="G1688" s="209" t="s">
        <v>105</v>
      </c>
      <c r="H1688" s="209">
        <v>20000335</v>
      </c>
      <c r="I1688" s="209">
        <v>2</v>
      </c>
      <c r="J1688" s="209" t="s">
        <v>169</v>
      </c>
      <c r="K1688" s="209" t="s">
        <v>3818</v>
      </c>
      <c r="L1688" s="209" t="s">
        <v>2610</v>
      </c>
      <c r="M1688" s="209" t="s">
        <v>184</v>
      </c>
      <c r="N1688" s="209">
        <v>50025345</v>
      </c>
      <c r="O1688" s="209" t="s">
        <v>1998</v>
      </c>
      <c r="P1688" s="209">
        <v>5121</v>
      </c>
      <c r="Q1688" s="209" t="s">
        <v>174</v>
      </c>
      <c r="R1688" s="209" t="s">
        <v>175</v>
      </c>
      <c r="S1688" s="209" t="s">
        <v>176</v>
      </c>
      <c r="T1688" s="209" t="s">
        <v>177</v>
      </c>
      <c r="U1688" s="209" t="s">
        <v>178</v>
      </c>
      <c r="V1688" s="209" t="s">
        <v>179</v>
      </c>
      <c r="W1688" s="209" t="s">
        <v>179</v>
      </c>
      <c r="X1688" s="209" t="s">
        <v>180</v>
      </c>
      <c r="Y1688" s="209" t="s">
        <v>180</v>
      </c>
      <c r="Z1688" s="209" t="s">
        <v>3726</v>
      </c>
      <c r="AA1688" s="209" t="s">
        <v>3727</v>
      </c>
      <c r="AB1688" s="209" t="s">
        <v>180</v>
      </c>
      <c r="AC1688" s="209" t="s">
        <v>182</v>
      </c>
      <c r="AD1688" s="209">
        <v>12</v>
      </c>
      <c r="AE1688" s="209">
        <v>2025</v>
      </c>
      <c r="AF1688" s="227">
        <v>46003</v>
      </c>
      <c r="AG1688" s="227">
        <v>46007</v>
      </c>
      <c r="AH1688" s="227">
        <v>46007</v>
      </c>
      <c r="AI1688" s="228">
        <v>426816</v>
      </c>
      <c r="AJ1688" s="228">
        <v>52</v>
      </c>
      <c r="AK1688" s="228">
        <v>426816</v>
      </c>
      <c r="AL1688" s="228">
        <v>52</v>
      </c>
      <c r="AM1688" s="228">
        <v>0</v>
      </c>
      <c r="AN1688" s="228">
        <v>0</v>
      </c>
      <c r="AO1688" s="229">
        <v>51</v>
      </c>
      <c r="AP1688" s="231">
        <v>12</v>
      </c>
      <c r="AQ1688" s="231">
        <v>2025</v>
      </c>
      <c r="AR1688" s="231" t="str">
        <f t="shared" si="244"/>
        <v>12/2025</v>
      </c>
      <c r="AS1688" s="231">
        <f t="shared" si="245"/>
        <v>46.6</v>
      </c>
      <c r="AT1688" s="239">
        <f>IF(G1688="CERVECERIA Y MALTERIA",(AS1688*AK1688/1000000)*(1-VLOOKUP(N1688,FCST!D:I,6,FALSE)),0)</f>
        <v>19.889625600000002</v>
      </c>
      <c r="AU1688" s="232">
        <v>5.0000000000000001E-3</v>
      </c>
      <c r="AV1688" s="239">
        <f t="shared" si="246"/>
        <v>19.989073728000001</v>
      </c>
      <c r="AW1688" s="239">
        <f>(AS1688*AK1688/1000000)*(VLOOKUP(N1688,FCST!D:I,6,FALSE))</f>
        <v>0</v>
      </c>
      <c r="AX1688" s="239">
        <f t="shared" si="247"/>
        <v>0</v>
      </c>
      <c r="AY1688" s="239">
        <f>IF($G1688="CERVECERIA Y MALTERIA.",($AS1688*$AK1688/1000000)*(1-VLOOKUP($N1688,FCST!D:I,6,FALSE)),0)</f>
        <v>0</v>
      </c>
      <c r="AZ1688" s="239">
        <f t="shared" si="248"/>
        <v>0</v>
      </c>
    </row>
    <row r="1689" spans="1:52" x14ac:dyDescent="0.25">
      <c r="A1689" s="209">
        <v>1156328</v>
      </c>
      <c r="B1689" s="209">
        <v>30</v>
      </c>
      <c r="C1689" s="209" t="s">
        <v>3819</v>
      </c>
      <c r="D1689" s="209">
        <v>10</v>
      </c>
      <c r="E1689" s="209">
        <v>10000002</v>
      </c>
      <c r="F1689" s="209">
        <v>20000336</v>
      </c>
      <c r="G1689" s="209" t="s">
        <v>105</v>
      </c>
      <c r="H1689" s="209">
        <v>20000336</v>
      </c>
      <c r="I1689" s="209">
        <v>2</v>
      </c>
      <c r="J1689" s="209" t="s">
        <v>169</v>
      </c>
      <c r="K1689" s="209" t="s">
        <v>3820</v>
      </c>
      <c r="L1689" s="209" t="s">
        <v>2610</v>
      </c>
      <c r="M1689" s="209" t="s">
        <v>184</v>
      </c>
      <c r="N1689" s="209">
        <v>50030381</v>
      </c>
      <c r="O1689" s="209" t="s">
        <v>1791</v>
      </c>
      <c r="P1689" s="209">
        <v>5121</v>
      </c>
      <c r="Q1689" s="209" t="s">
        <v>174</v>
      </c>
      <c r="R1689" s="209" t="s">
        <v>175</v>
      </c>
      <c r="S1689" s="209" t="s">
        <v>176</v>
      </c>
      <c r="T1689" s="209" t="s">
        <v>177</v>
      </c>
      <c r="U1689" s="209" t="s">
        <v>178</v>
      </c>
      <c r="V1689" s="209" t="s">
        <v>179</v>
      </c>
      <c r="W1689" s="209" t="s">
        <v>179</v>
      </c>
      <c r="X1689" s="209" t="s">
        <v>180</v>
      </c>
      <c r="Y1689" s="209" t="s">
        <v>180</v>
      </c>
      <c r="Z1689" s="209" t="s">
        <v>3821</v>
      </c>
      <c r="AA1689" s="209" t="s">
        <v>3822</v>
      </c>
      <c r="AB1689" s="209" t="s">
        <v>180</v>
      </c>
      <c r="AC1689" s="209" t="s">
        <v>182</v>
      </c>
      <c r="AD1689" s="209">
        <v>12</v>
      </c>
      <c r="AE1689" s="209">
        <v>2025</v>
      </c>
      <c r="AF1689" s="227">
        <v>46003</v>
      </c>
      <c r="AG1689" s="227">
        <v>46007</v>
      </c>
      <c r="AH1689" s="227">
        <v>46007</v>
      </c>
      <c r="AI1689" s="228">
        <v>265472</v>
      </c>
      <c r="AJ1689" s="228">
        <v>34</v>
      </c>
      <c r="AK1689" s="228">
        <v>265472</v>
      </c>
      <c r="AL1689" s="228">
        <v>34</v>
      </c>
      <c r="AM1689" s="228">
        <v>0</v>
      </c>
      <c r="AN1689" s="228">
        <v>0</v>
      </c>
      <c r="AO1689" s="229">
        <v>51</v>
      </c>
      <c r="AP1689" s="231">
        <v>12</v>
      </c>
      <c r="AQ1689" s="231">
        <v>2025</v>
      </c>
      <c r="AR1689" s="231" t="str">
        <f t="shared" si="244"/>
        <v>12/2025</v>
      </c>
      <c r="AS1689" s="231">
        <f t="shared" si="245"/>
        <v>46.6</v>
      </c>
      <c r="AT1689" s="239">
        <f>IF(G1689="CERVECERIA Y MALTERIA",(AS1689*AK1689/1000000)*(1-VLOOKUP(N1689,FCST!D:I,6,FALSE)),0)</f>
        <v>12.370995200000001</v>
      </c>
      <c r="AU1689" s="232">
        <v>5.0000000000000001E-3</v>
      </c>
      <c r="AV1689" s="239">
        <f t="shared" si="246"/>
        <v>12.432850176000001</v>
      </c>
      <c r="AW1689" s="239">
        <f>(AS1689*AK1689/1000000)*(VLOOKUP(N1689,FCST!D:I,6,FALSE))</f>
        <v>0</v>
      </c>
      <c r="AX1689" s="239">
        <f t="shared" si="247"/>
        <v>0</v>
      </c>
      <c r="AY1689" s="239">
        <f>IF($G1689="CERVECERIA Y MALTERIA.",($AS1689*$AK1689/1000000)*(1-VLOOKUP($N1689,FCST!D:I,6,FALSE)),0)</f>
        <v>0</v>
      </c>
      <c r="AZ1689" s="239">
        <f t="shared" si="248"/>
        <v>0</v>
      </c>
    </row>
    <row r="1690" spans="1:52" x14ac:dyDescent="0.25">
      <c r="A1690" s="209">
        <v>1156312</v>
      </c>
      <c r="B1690" s="209">
        <v>30</v>
      </c>
      <c r="C1690" s="209" t="s">
        <v>3823</v>
      </c>
      <c r="D1690" s="209">
        <v>10</v>
      </c>
      <c r="E1690" s="209">
        <v>10000002</v>
      </c>
      <c r="F1690" s="209">
        <v>20000340</v>
      </c>
      <c r="G1690" s="209" t="s">
        <v>117</v>
      </c>
      <c r="H1690" s="209">
        <v>20000340</v>
      </c>
      <c r="I1690" s="209">
        <v>2</v>
      </c>
      <c r="J1690" s="209" t="s">
        <v>169</v>
      </c>
      <c r="K1690" s="209" t="s">
        <v>3824</v>
      </c>
      <c r="L1690" s="209" t="s">
        <v>2610</v>
      </c>
      <c r="M1690" s="209" t="s">
        <v>2718</v>
      </c>
      <c r="N1690" s="209">
        <v>50038523</v>
      </c>
      <c r="O1690" s="209" t="s">
        <v>249</v>
      </c>
      <c r="P1690" s="209">
        <v>5101</v>
      </c>
      <c r="Q1690" s="209" t="s">
        <v>186</v>
      </c>
      <c r="R1690" s="209" t="s">
        <v>175</v>
      </c>
      <c r="S1690" s="209" t="s">
        <v>176</v>
      </c>
      <c r="T1690" s="209" t="s">
        <v>187</v>
      </c>
      <c r="U1690" s="209" t="s">
        <v>188</v>
      </c>
      <c r="V1690" s="209" t="s">
        <v>179</v>
      </c>
      <c r="W1690" s="209" t="s">
        <v>179</v>
      </c>
      <c r="X1690" s="209" t="s">
        <v>180</v>
      </c>
      <c r="Y1690" s="209" t="s">
        <v>180</v>
      </c>
      <c r="Z1690" s="209" t="s">
        <v>3718</v>
      </c>
      <c r="AA1690" s="209" t="s">
        <v>3719</v>
      </c>
      <c r="AB1690" s="209" t="s">
        <v>180</v>
      </c>
      <c r="AC1690" s="209" t="s">
        <v>182</v>
      </c>
      <c r="AD1690" s="209">
        <v>12</v>
      </c>
      <c r="AE1690" s="209">
        <v>2025</v>
      </c>
      <c r="AF1690" s="227">
        <v>46003</v>
      </c>
      <c r="AG1690" s="227">
        <v>46008</v>
      </c>
      <c r="AH1690" s="227">
        <v>46007</v>
      </c>
      <c r="AI1690" s="228">
        <v>606528</v>
      </c>
      <c r="AJ1690" s="228">
        <v>52</v>
      </c>
      <c r="AK1690" s="228">
        <v>606528</v>
      </c>
      <c r="AL1690" s="228">
        <v>52</v>
      </c>
      <c r="AM1690" s="228">
        <v>0</v>
      </c>
      <c r="AN1690" s="228">
        <v>0</v>
      </c>
      <c r="AO1690" s="229">
        <v>51</v>
      </c>
      <c r="AP1690" s="231">
        <v>12</v>
      </c>
      <c r="AQ1690" s="231">
        <v>2025</v>
      </c>
      <c r="AR1690" s="231" t="str">
        <f t="shared" si="244"/>
        <v>12/2025</v>
      </c>
      <c r="AS1690" s="231">
        <f t="shared" si="245"/>
        <v>30</v>
      </c>
      <c r="AT1690" s="239">
        <f>IF(G1690="CERVECERIA Y MALTERIA",(AS1690*AK1690/1000000)*(1-VLOOKUP(N1690,FCST!D:I,6,FALSE)),0)</f>
        <v>0</v>
      </c>
      <c r="AU1690" s="232">
        <v>5.0000000000000001E-3</v>
      </c>
      <c r="AV1690" s="239">
        <f t="shared" si="246"/>
        <v>0</v>
      </c>
      <c r="AW1690" s="239">
        <f>(AS1690*AK1690/1000000)*(VLOOKUP(N1690,FCST!D:I,6,FALSE))</f>
        <v>0</v>
      </c>
      <c r="AX1690" s="239">
        <f t="shared" si="247"/>
        <v>0</v>
      </c>
      <c r="AY1690" s="239">
        <f>IF($G1690="CERVECERIA Y MALTERIA.",($AS1690*$AK1690/1000000)*(1-VLOOKUP($N1690,FCST!D:I,6,FALSE)),0)</f>
        <v>18.19584</v>
      </c>
      <c r="AZ1690" s="239">
        <f t="shared" si="248"/>
        <v>18.2868192</v>
      </c>
    </row>
    <row r="1691" spans="1:52" x14ac:dyDescent="0.25">
      <c r="A1691" s="209">
        <v>1154964</v>
      </c>
      <c r="B1691" s="209">
        <v>20</v>
      </c>
      <c r="C1691" s="209" t="s">
        <v>3825</v>
      </c>
      <c r="D1691" s="209">
        <v>10</v>
      </c>
      <c r="E1691" s="209">
        <v>10000002</v>
      </c>
      <c r="F1691" s="209">
        <v>20000340</v>
      </c>
      <c r="G1691" s="209" t="s">
        <v>117</v>
      </c>
      <c r="H1691" s="209">
        <v>20000340</v>
      </c>
      <c r="I1691" s="209">
        <v>2</v>
      </c>
      <c r="J1691" s="209" t="s">
        <v>169</v>
      </c>
      <c r="K1691" s="209" t="s">
        <v>3826</v>
      </c>
      <c r="L1691" s="209" t="s">
        <v>2610</v>
      </c>
      <c r="M1691" s="209" t="s">
        <v>172</v>
      </c>
      <c r="N1691" s="209">
        <v>50038523</v>
      </c>
      <c r="O1691" s="209" t="s">
        <v>249</v>
      </c>
      <c r="P1691" s="209">
        <v>5101</v>
      </c>
      <c r="Q1691" s="209" t="s">
        <v>186</v>
      </c>
      <c r="R1691" s="209" t="s">
        <v>175</v>
      </c>
      <c r="S1691" s="209" t="s">
        <v>176</v>
      </c>
      <c r="T1691" s="209" t="s">
        <v>187</v>
      </c>
      <c r="U1691" s="209" t="s">
        <v>188</v>
      </c>
      <c r="V1691" s="209" t="s">
        <v>179</v>
      </c>
      <c r="W1691" s="209" t="s">
        <v>179</v>
      </c>
      <c r="X1691" s="209" t="s">
        <v>180</v>
      </c>
      <c r="Y1691" s="209" t="s">
        <v>180</v>
      </c>
      <c r="Z1691" s="209" t="s">
        <v>3718</v>
      </c>
      <c r="AA1691" s="209" t="s">
        <v>3719</v>
      </c>
      <c r="AB1691" s="209" t="s">
        <v>180</v>
      </c>
      <c r="AC1691" s="209" t="s">
        <v>182</v>
      </c>
      <c r="AD1691" s="209">
        <v>12</v>
      </c>
      <c r="AE1691" s="209">
        <v>2025</v>
      </c>
      <c r="AF1691" s="227">
        <v>45996</v>
      </c>
      <c r="AG1691" s="227">
        <v>46001</v>
      </c>
      <c r="AH1691" s="227">
        <v>46001</v>
      </c>
      <c r="AI1691" s="228">
        <v>606528</v>
      </c>
      <c r="AJ1691" s="228">
        <v>52</v>
      </c>
      <c r="AK1691" s="228">
        <v>606528</v>
      </c>
      <c r="AL1691" s="228">
        <v>52</v>
      </c>
      <c r="AM1691" s="228">
        <v>0</v>
      </c>
      <c r="AN1691" s="228">
        <v>0</v>
      </c>
      <c r="AO1691" s="229">
        <v>50</v>
      </c>
      <c r="AP1691" s="231">
        <v>12</v>
      </c>
      <c r="AQ1691" s="231">
        <v>2025</v>
      </c>
      <c r="AR1691" s="231" t="str">
        <f t="shared" si="244"/>
        <v>12/2025</v>
      </c>
      <c r="AS1691" s="231">
        <f t="shared" si="245"/>
        <v>30</v>
      </c>
      <c r="AT1691" s="239">
        <f>IF(G1691="CERVECERIA Y MALTERIA",(AS1691*AK1691/1000000)*(1-VLOOKUP(N1691,FCST!D:I,6,FALSE)),0)</f>
        <v>0</v>
      </c>
      <c r="AU1691" s="232">
        <v>5.0000000000000001E-3</v>
      </c>
      <c r="AV1691" s="239">
        <f t="shared" si="246"/>
        <v>0</v>
      </c>
      <c r="AW1691" s="239">
        <f>(AS1691*AK1691/1000000)*(VLOOKUP(N1691,FCST!D:I,6,FALSE))</f>
        <v>0</v>
      </c>
      <c r="AX1691" s="239">
        <f t="shared" si="247"/>
        <v>0</v>
      </c>
      <c r="AY1691" s="239">
        <f>IF($G1691="CERVECERIA Y MALTERIA.",($AS1691*$AK1691/1000000)*(1-VLOOKUP($N1691,FCST!D:I,6,FALSE)),0)</f>
        <v>18.19584</v>
      </c>
      <c r="AZ1691" s="239">
        <f t="shared" si="248"/>
        <v>18.2868192</v>
      </c>
    </row>
    <row r="1692" spans="1:52" x14ac:dyDescent="0.25">
      <c r="A1692" s="209">
        <v>1155013</v>
      </c>
      <c r="B1692" s="209">
        <v>30</v>
      </c>
      <c r="C1692" s="209" t="s">
        <v>3827</v>
      </c>
      <c r="D1692" s="209">
        <v>10</v>
      </c>
      <c r="E1692" s="209">
        <v>10000002</v>
      </c>
      <c r="F1692" s="209">
        <v>20000336</v>
      </c>
      <c r="G1692" s="209" t="s">
        <v>105</v>
      </c>
      <c r="H1692" s="209">
        <v>20000336</v>
      </c>
      <c r="I1692" s="209">
        <v>2</v>
      </c>
      <c r="J1692" s="209" t="s">
        <v>169</v>
      </c>
      <c r="K1692" s="209" t="s">
        <v>3828</v>
      </c>
      <c r="L1692" s="209" t="s">
        <v>2610</v>
      </c>
      <c r="M1692" s="209" t="s">
        <v>172</v>
      </c>
      <c r="N1692" s="209">
        <v>50037887</v>
      </c>
      <c r="O1692" s="209" t="s">
        <v>679</v>
      </c>
      <c r="P1692" s="209">
        <v>5121</v>
      </c>
      <c r="Q1692" s="209" t="s">
        <v>174</v>
      </c>
      <c r="R1692" s="209" t="s">
        <v>175</v>
      </c>
      <c r="S1692" s="209" t="s">
        <v>176</v>
      </c>
      <c r="T1692" s="209" t="s">
        <v>177</v>
      </c>
      <c r="U1692" s="209" t="s">
        <v>178</v>
      </c>
      <c r="V1692" s="209" t="s">
        <v>179</v>
      </c>
      <c r="W1692" s="209" t="s">
        <v>179</v>
      </c>
      <c r="X1692" s="209" t="s">
        <v>180</v>
      </c>
      <c r="Y1692" s="209" t="s">
        <v>180</v>
      </c>
      <c r="Z1692" s="209" t="s">
        <v>3829</v>
      </c>
      <c r="AA1692" s="209" t="s">
        <v>3830</v>
      </c>
      <c r="AB1692" s="209" t="s">
        <v>180</v>
      </c>
      <c r="AC1692" s="209" t="s">
        <v>182</v>
      </c>
      <c r="AD1692" s="209">
        <v>12</v>
      </c>
      <c r="AE1692" s="209">
        <v>2025</v>
      </c>
      <c r="AF1692" s="227">
        <v>45996</v>
      </c>
      <c r="AG1692" s="227">
        <v>46001</v>
      </c>
      <c r="AH1692" s="227">
        <v>46001</v>
      </c>
      <c r="AI1692" s="228">
        <v>531648</v>
      </c>
      <c r="AJ1692" s="228">
        <v>52</v>
      </c>
      <c r="AK1692" s="228">
        <v>531648</v>
      </c>
      <c r="AL1692" s="228">
        <v>52</v>
      </c>
      <c r="AM1692" s="228">
        <v>0</v>
      </c>
      <c r="AN1692" s="228">
        <v>0</v>
      </c>
      <c r="AO1692" s="229">
        <v>50</v>
      </c>
      <c r="AP1692" s="231">
        <v>12</v>
      </c>
      <c r="AQ1692" s="231">
        <v>2025</v>
      </c>
      <c r="AR1692" s="231" t="str">
        <f t="shared" si="244"/>
        <v>12/2025</v>
      </c>
      <c r="AS1692" s="231">
        <f t="shared" si="245"/>
        <v>37.200000000000003</v>
      </c>
      <c r="AT1692" s="239">
        <f>IF(G1692="CERVECERIA Y MALTERIA",(AS1692*AK1692/1000000)*(1-VLOOKUP(N1692,FCST!D:I,6,FALSE)),0)</f>
        <v>19.777305600000002</v>
      </c>
      <c r="AU1692" s="232">
        <v>5.0000000000000001E-3</v>
      </c>
      <c r="AV1692" s="239">
        <f t="shared" si="246"/>
        <v>19.876192128</v>
      </c>
      <c r="AW1692" s="239">
        <f>(AS1692*AK1692/1000000)*(VLOOKUP(N1692,FCST!D:I,6,FALSE))</f>
        <v>0</v>
      </c>
      <c r="AX1692" s="239">
        <f t="shared" si="247"/>
        <v>0</v>
      </c>
      <c r="AY1692" s="239">
        <f>IF($G1692="CERVECERIA Y MALTERIA.",($AS1692*$AK1692/1000000)*(1-VLOOKUP($N1692,FCST!D:I,6,FALSE)),0)</f>
        <v>0</v>
      </c>
      <c r="AZ1692" s="239">
        <f t="shared" si="248"/>
        <v>0</v>
      </c>
    </row>
    <row r="1693" spans="1:52" x14ac:dyDescent="0.25">
      <c r="A1693" s="209">
        <v>1154964</v>
      </c>
      <c r="B1693" s="209">
        <v>10</v>
      </c>
      <c r="C1693" s="209" t="s">
        <v>3831</v>
      </c>
      <c r="D1693" s="209">
        <v>10</v>
      </c>
      <c r="E1693" s="209">
        <v>10000002</v>
      </c>
      <c r="F1693" s="209">
        <v>20000340</v>
      </c>
      <c r="G1693" s="209" t="s">
        <v>117</v>
      </c>
      <c r="H1693" s="209">
        <v>20000340</v>
      </c>
      <c r="I1693" s="209">
        <v>2</v>
      </c>
      <c r="J1693" s="209" t="s">
        <v>169</v>
      </c>
      <c r="K1693" s="209" t="s">
        <v>3832</v>
      </c>
      <c r="L1693" s="209" t="s">
        <v>2610</v>
      </c>
      <c r="M1693" s="209" t="s">
        <v>172</v>
      </c>
      <c r="N1693" s="209">
        <v>50038523</v>
      </c>
      <c r="O1693" s="209" t="s">
        <v>249</v>
      </c>
      <c r="P1693" s="209">
        <v>5101</v>
      </c>
      <c r="Q1693" s="209" t="s">
        <v>186</v>
      </c>
      <c r="R1693" s="209" t="s">
        <v>175</v>
      </c>
      <c r="S1693" s="209" t="s">
        <v>176</v>
      </c>
      <c r="T1693" s="209" t="s">
        <v>187</v>
      </c>
      <c r="U1693" s="209" t="s">
        <v>188</v>
      </c>
      <c r="V1693" s="209" t="s">
        <v>179</v>
      </c>
      <c r="W1693" s="209" t="s">
        <v>179</v>
      </c>
      <c r="X1693" s="209" t="s">
        <v>180</v>
      </c>
      <c r="Y1693" s="209" t="s">
        <v>180</v>
      </c>
      <c r="Z1693" s="209" t="s">
        <v>3718</v>
      </c>
      <c r="AA1693" s="209" t="s">
        <v>3719</v>
      </c>
      <c r="AB1693" s="209" t="s">
        <v>180</v>
      </c>
      <c r="AC1693" s="209" t="s">
        <v>182</v>
      </c>
      <c r="AD1693" s="209">
        <v>12</v>
      </c>
      <c r="AE1693" s="209">
        <v>2025</v>
      </c>
      <c r="AF1693" s="227">
        <v>45996</v>
      </c>
      <c r="AG1693" s="227">
        <v>46000</v>
      </c>
      <c r="AH1693" s="227">
        <v>46000</v>
      </c>
      <c r="AI1693" s="228">
        <v>606528</v>
      </c>
      <c r="AJ1693" s="228">
        <v>52</v>
      </c>
      <c r="AK1693" s="228">
        <v>606528</v>
      </c>
      <c r="AL1693" s="228">
        <v>52</v>
      </c>
      <c r="AM1693" s="228">
        <v>0</v>
      </c>
      <c r="AN1693" s="228">
        <v>0</v>
      </c>
      <c r="AO1693" s="229">
        <v>50</v>
      </c>
      <c r="AP1693" s="231">
        <v>12</v>
      </c>
      <c r="AQ1693" s="231">
        <v>2025</v>
      </c>
      <c r="AR1693" s="231" t="str">
        <f t="shared" si="244"/>
        <v>12/2025</v>
      </c>
      <c r="AS1693" s="231">
        <f t="shared" si="245"/>
        <v>30</v>
      </c>
      <c r="AT1693" s="239">
        <f>IF(G1693="CERVECERIA Y MALTERIA",(AS1693*AK1693/1000000)*(1-VLOOKUP(N1693,FCST!D:I,6,FALSE)),0)</f>
        <v>0</v>
      </c>
      <c r="AU1693" s="232">
        <v>5.0000000000000001E-3</v>
      </c>
      <c r="AV1693" s="239">
        <f t="shared" si="246"/>
        <v>0</v>
      </c>
      <c r="AW1693" s="239">
        <f>(AS1693*AK1693/1000000)*(VLOOKUP(N1693,FCST!D:I,6,FALSE))</f>
        <v>0</v>
      </c>
      <c r="AX1693" s="239">
        <f t="shared" si="247"/>
        <v>0</v>
      </c>
      <c r="AY1693" s="239">
        <f>IF($G1693="CERVECERIA Y MALTERIA.",($AS1693*$AK1693/1000000)*(1-VLOOKUP($N1693,FCST!D:I,6,FALSE)),0)</f>
        <v>18.19584</v>
      </c>
      <c r="AZ1693" s="239">
        <f t="shared" si="248"/>
        <v>18.2868192</v>
      </c>
    </row>
    <row r="1694" spans="1:52" x14ac:dyDescent="0.25">
      <c r="A1694" s="209">
        <v>1154963</v>
      </c>
      <c r="B1694" s="209">
        <v>20</v>
      </c>
      <c r="C1694" s="209" t="s">
        <v>3833</v>
      </c>
      <c r="D1694" s="209">
        <v>10</v>
      </c>
      <c r="E1694" s="209">
        <v>10000002</v>
      </c>
      <c r="F1694" s="209">
        <v>20000335</v>
      </c>
      <c r="G1694" s="209" t="s">
        <v>105</v>
      </c>
      <c r="H1694" s="209">
        <v>20000335</v>
      </c>
      <c r="I1694" s="209">
        <v>2</v>
      </c>
      <c r="J1694" s="209" t="s">
        <v>169</v>
      </c>
      <c r="K1694" s="209" t="s">
        <v>3834</v>
      </c>
      <c r="L1694" s="209" t="s">
        <v>2610</v>
      </c>
      <c r="M1694" s="209" t="s">
        <v>2718</v>
      </c>
      <c r="N1694" s="209">
        <v>50035184</v>
      </c>
      <c r="O1694" s="209" t="s">
        <v>672</v>
      </c>
      <c r="P1694" s="209">
        <v>5121</v>
      </c>
      <c r="Q1694" s="209" t="s">
        <v>174</v>
      </c>
      <c r="R1694" s="209" t="s">
        <v>175</v>
      </c>
      <c r="S1694" s="209" t="s">
        <v>176</v>
      </c>
      <c r="T1694" s="209" t="s">
        <v>177</v>
      </c>
      <c r="U1694" s="209" t="s">
        <v>178</v>
      </c>
      <c r="V1694" s="209" t="s">
        <v>179</v>
      </c>
      <c r="W1694" s="209" t="s">
        <v>179</v>
      </c>
      <c r="X1694" s="209" t="s">
        <v>180</v>
      </c>
      <c r="Y1694" s="209" t="s">
        <v>180</v>
      </c>
      <c r="Z1694" s="209" t="s">
        <v>3730</v>
      </c>
      <c r="AA1694" s="209" t="s">
        <v>3731</v>
      </c>
      <c r="AB1694" s="209" t="s">
        <v>180</v>
      </c>
      <c r="AC1694" s="209" t="s">
        <v>182</v>
      </c>
      <c r="AD1694" s="209">
        <v>12</v>
      </c>
      <c r="AE1694" s="209">
        <v>2025</v>
      </c>
      <c r="AF1694" s="227">
        <v>45996</v>
      </c>
      <c r="AG1694" s="227">
        <v>46001</v>
      </c>
      <c r="AH1694" s="227">
        <v>46001</v>
      </c>
      <c r="AI1694" s="228">
        <v>977184</v>
      </c>
      <c r="AJ1694" s="228">
        <v>52</v>
      </c>
      <c r="AK1694" s="228">
        <v>977184</v>
      </c>
      <c r="AL1694" s="228">
        <v>52</v>
      </c>
      <c r="AM1694" s="228">
        <v>0</v>
      </c>
      <c r="AN1694" s="228">
        <v>0</v>
      </c>
      <c r="AO1694" s="229">
        <v>50</v>
      </c>
      <c r="AP1694" s="231">
        <v>12</v>
      </c>
      <c r="AQ1694" s="231">
        <v>2025</v>
      </c>
      <c r="AR1694" s="231" t="str">
        <f t="shared" si="244"/>
        <v>12/2025</v>
      </c>
      <c r="AS1694" s="231">
        <f t="shared" si="245"/>
        <v>19.5</v>
      </c>
      <c r="AT1694" s="239">
        <f>IF(G1694="CERVECERIA Y MALTERIA",(AS1694*AK1694/1000000)*(1-VLOOKUP(N1694,FCST!D:I,6,FALSE)),0)</f>
        <v>19.055088000000001</v>
      </c>
      <c r="AU1694" s="232">
        <v>5.0000000000000001E-3</v>
      </c>
      <c r="AV1694" s="239">
        <f t="shared" si="246"/>
        <v>19.15036344</v>
      </c>
      <c r="AW1694" s="239">
        <f>(AS1694*AK1694/1000000)*(VLOOKUP(N1694,FCST!D:I,6,FALSE))</f>
        <v>0</v>
      </c>
      <c r="AX1694" s="239">
        <f t="shared" si="247"/>
        <v>0</v>
      </c>
      <c r="AY1694" s="239">
        <f>IF($G1694="CERVECERIA Y MALTERIA.",($AS1694*$AK1694/1000000)*(1-VLOOKUP($N1694,FCST!D:I,6,FALSE)),0)</f>
        <v>0</v>
      </c>
      <c r="AZ1694" s="239">
        <f t="shared" si="248"/>
        <v>0</v>
      </c>
    </row>
    <row r="1695" spans="1:52" x14ac:dyDescent="0.25">
      <c r="A1695" s="209">
        <v>1154963</v>
      </c>
      <c r="B1695" s="209">
        <v>50</v>
      </c>
      <c r="C1695" s="209" t="s">
        <v>3835</v>
      </c>
      <c r="D1695" s="209">
        <v>10</v>
      </c>
      <c r="E1695" s="209">
        <v>10000002</v>
      </c>
      <c r="F1695" s="209">
        <v>20000335</v>
      </c>
      <c r="G1695" s="209" t="s">
        <v>105</v>
      </c>
      <c r="H1695" s="209">
        <v>20000335</v>
      </c>
      <c r="I1695" s="209">
        <v>2</v>
      </c>
      <c r="J1695" s="209" t="s">
        <v>169</v>
      </c>
      <c r="K1695" s="209" t="s">
        <v>3836</v>
      </c>
      <c r="L1695" s="209" t="s">
        <v>2610</v>
      </c>
      <c r="M1695" s="209" t="s">
        <v>184</v>
      </c>
      <c r="N1695" s="209">
        <v>50025345</v>
      </c>
      <c r="O1695" s="209" t="s">
        <v>1998</v>
      </c>
      <c r="P1695" s="209">
        <v>5121</v>
      </c>
      <c r="Q1695" s="209" t="s">
        <v>174</v>
      </c>
      <c r="R1695" s="209" t="s">
        <v>175</v>
      </c>
      <c r="S1695" s="209" t="s">
        <v>176</v>
      </c>
      <c r="T1695" s="209" t="s">
        <v>177</v>
      </c>
      <c r="U1695" s="209" t="s">
        <v>178</v>
      </c>
      <c r="V1695" s="209" t="s">
        <v>179</v>
      </c>
      <c r="W1695" s="209" t="s">
        <v>179</v>
      </c>
      <c r="X1695" s="209" t="s">
        <v>180</v>
      </c>
      <c r="Y1695" s="209" t="s">
        <v>180</v>
      </c>
      <c r="Z1695" s="209" t="s">
        <v>3726</v>
      </c>
      <c r="AA1695" s="209" t="s">
        <v>3727</v>
      </c>
      <c r="AB1695" s="209" t="s">
        <v>180</v>
      </c>
      <c r="AC1695" s="209" t="s">
        <v>182</v>
      </c>
      <c r="AD1695" s="209">
        <v>12</v>
      </c>
      <c r="AE1695" s="209">
        <v>2025</v>
      </c>
      <c r="AF1695" s="227">
        <v>45996</v>
      </c>
      <c r="AG1695" s="227">
        <v>46003</v>
      </c>
      <c r="AH1695" s="227">
        <v>46003</v>
      </c>
      <c r="AI1695" s="228">
        <v>426816</v>
      </c>
      <c r="AJ1695" s="228">
        <v>52</v>
      </c>
      <c r="AK1695" s="228">
        <v>426816</v>
      </c>
      <c r="AL1695" s="228">
        <v>52</v>
      </c>
      <c r="AM1695" s="228">
        <v>0</v>
      </c>
      <c r="AN1695" s="228">
        <v>0</v>
      </c>
      <c r="AO1695" s="229">
        <v>50</v>
      </c>
      <c r="AP1695" s="231">
        <v>12</v>
      </c>
      <c r="AQ1695" s="231">
        <v>2025</v>
      </c>
      <c r="AR1695" s="231" t="str">
        <f t="shared" si="244"/>
        <v>12/2025</v>
      </c>
      <c r="AS1695" s="231">
        <f t="shared" si="245"/>
        <v>46.6</v>
      </c>
      <c r="AT1695" s="239">
        <f>IF(G1695="CERVECERIA Y MALTERIA",(AS1695*AK1695/1000000)*(1-VLOOKUP(N1695,FCST!D:I,6,FALSE)),0)</f>
        <v>19.889625600000002</v>
      </c>
      <c r="AU1695" s="232">
        <v>5.0000000000000001E-3</v>
      </c>
      <c r="AV1695" s="239">
        <f t="shared" si="246"/>
        <v>19.989073728000001</v>
      </c>
      <c r="AW1695" s="239">
        <f>(AS1695*AK1695/1000000)*(VLOOKUP(N1695,FCST!D:I,6,FALSE))</f>
        <v>0</v>
      </c>
      <c r="AX1695" s="239">
        <f t="shared" si="247"/>
        <v>0</v>
      </c>
      <c r="AY1695" s="239">
        <f>IF($G1695="CERVECERIA Y MALTERIA.",($AS1695*$AK1695/1000000)*(1-VLOOKUP($N1695,FCST!D:I,6,FALSE)),0)</f>
        <v>0</v>
      </c>
      <c r="AZ1695" s="239">
        <f t="shared" si="248"/>
        <v>0</v>
      </c>
    </row>
    <row r="1696" spans="1:52" x14ac:dyDescent="0.25">
      <c r="A1696" s="209">
        <v>1156084</v>
      </c>
      <c r="B1696" s="209">
        <v>10</v>
      </c>
      <c r="C1696" s="209" t="s">
        <v>3837</v>
      </c>
      <c r="D1696" s="209">
        <v>10</v>
      </c>
      <c r="E1696" s="209">
        <v>10000002</v>
      </c>
      <c r="F1696" s="209">
        <v>20001057</v>
      </c>
      <c r="G1696" s="209" t="s">
        <v>105</v>
      </c>
      <c r="H1696" s="209">
        <v>20001057</v>
      </c>
      <c r="I1696" s="209">
        <v>2</v>
      </c>
      <c r="J1696" s="209" t="s">
        <v>169</v>
      </c>
      <c r="K1696" s="209" t="s">
        <v>3838</v>
      </c>
      <c r="L1696" s="209" t="s">
        <v>2610</v>
      </c>
      <c r="M1696" s="209" t="s">
        <v>184</v>
      </c>
      <c r="N1696" s="209">
        <v>50030381</v>
      </c>
      <c r="O1696" s="209" t="s">
        <v>1791</v>
      </c>
      <c r="P1696" s="209">
        <v>5121</v>
      </c>
      <c r="Q1696" s="209" t="s">
        <v>174</v>
      </c>
      <c r="R1696" s="209" t="s">
        <v>175</v>
      </c>
      <c r="S1696" s="209" t="s">
        <v>176</v>
      </c>
      <c r="T1696" s="209" t="s">
        <v>177</v>
      </c>
      <c r="U1696" s="209" t="s">
        <v>178</v>
      </c>
      <c r="V1696" s="209" t="s">
        <v>179</v>
      </c>
      <c r="W1696" s="209" t="s">
        <v>179</v>
      </c>
      <c r="X1696" s="209" t="s">
        <v>180</v>
      </c>
      <c r="Y1696" s="209" t="s">
        <v>180</v>
      </c>
      <c r="Z1696" s="209" t="s">
        <v>3795</v>
      </c>
      <c r="AA1696" s="209" t="s">
        <v>3796</v>
      </c>
      <c r="AB1696" s="209" t="s">
        <v>180</v>
      </c>
      <c r="AC1696" s="209" t="s">
        <v>182</v>
      </c>
      <c r="AD1696" s="209">
        <v>12</v>
      </c>
      <c r="AE1696" s="209">
        <v>2025</v>
      </c>
      <c r="AF1696" s="227">
        <v>46002</v>
      </c>
      <c r="AG1696" s="227">
        <v>46003</v>
      </c>
      <c r="AH1696" s="227">
        <v>46004</v>
      </c>
      <c r="AI1696" s="228">
        <v>406016</v>
      </c>
      <c r="AJ1696" s="228">
        <v>52</v>
      </c>
      <c r="AK1696" s="228">
        <v>406016</v>
      </c>
      <c r="AL1696" s="228">
        <v>52</v>
      </c>
      <c r="AM1696" s="228">
        <v>0</v>
      </c>
      <c r="AN1696" s="228">
        <v>0</v>
      </c>
      <c r="AO1696" s="229">
        <v>50</v>
      </c>
      <c r="AP1696" s="231">
        <v>12</v>
      </c>
      <c r="AQ1696" s="231">
        <v>2025</v>
      </c>
      <c r="AR1696" s="231" t="str">
        <f t="shared" si="244"/>
        <v>12/2025</v>
      </c>
      <c r="AS1696" s="231">
        <f t="shared" si="245"/>
        <v>46.6</v>
      </c>
      <c r="AT1696" s="239">
        <f>IF(G1696="CERVECERIA Y MALTERIA",(AS1696*AK1696/1000000)*(1-VLOOKUP(N1696,FCST!D:I,6,FALSE)),0)</f>
        <v>18.920345600000001</v>
      </c>
      <c r="AU1696" s="232">
        <v>5.0000000000000001E-3</v>
      </c>
      <c r="AV1696" s="239">
        <f t="shared" si="246"/>
        <v>19.014947327999998</v>
      </c>
      <c r="AW1696" s="239">
        <f>(AS1696*AK1696/1000000)*(VLOOKUP(N1696,FCST!D:I,6,FALSE))</f>
        <v>0</v>
      </c>
      <c r="AX1696" s="239">
        <f t="shared" si="247"/>
        <v>0</v>
      </c>
      <c r="AY1696" s="239">
        <f>IF($G1696="CERVECERIA Y MALTERIA.",($AS1696*$AK1696/1000000)*(1-VLOOKUP($N1696,FCST!D:I,6,FALSE)),0)</f>
        <v>0</v>
      </c>
      <c r="AZ1696" s="239">
        <f t="shared" si="248"/>
        <v>0</v>
      </c>
    </row>
    <row r="1697" spans="1:52" x14ac:dyDescent="0.25">
      <c r="A1697" s="209">
        <v>1156084</v>
      </c>
      <c r="B1697" s="209">
        <v>20</v>
      </c>
      <c r="C1697" s="209" t="s">
        <v>3839</v>
      </c>
      <c r="D1697" s="209">
        <v>10</v>
      </c>
      <c r="E1697" s="209">
        <v>10000002</v>
      </c>
      <c r="F1697" s="209">
        <v>20001057</v>
      </c>
      <c r="G1697" s="209" t="s">
        <v>105</v>
      </c>
      <c r="H1697" s="209">
        <v>20001057</v>
      </c>
      <c r="I1697" s="209">
        <v>2</v>
      </c>
      <c r="J1697" s="209" t="s">
        <v>169</v>
      </c>
      <c r="K1697" s="209" t="s">
        <v>3840</v>
      </c>
      <c r="L1697" s="209" t="s">
        <v>2610</v>
      </c>
      <c r="M1697" s="209" t="s">
        <v>184</v>
      </c>
      <c r="N1697" s="209">
        <v>50037887</v>
      </c>
      <c r="O1697" s="209" t="s">
        <v>679</v>
      </c>
      <c r="P1697" s="209">
        <v>5121</v>
      </c>
      <c r="Q1697" s="209" t="s">
        <v>174</v>
      </c>
      <c r="R1697" s="209" t="s">
        <v>175</v>
      </c>
      <c r="S1697" s="209" t="s">
        <v>176</v>
      </c>
      <c r="T1697" s="209" t="s">
        <v>177</v>
      </c>
      <c r="U1697" s="209" t="s">
        <v>178</v>
      </c>
      <c r="V1697" s="209" t="s">
        <v>179</v>
      </c>
      <c r="W1697" s="209" t="s">
        <v>179</v>
      </c>
      <c r="X1697" s="209" t="s">
        <v>180</v>
      </c>
      <c r="Y1697" s="209" t="s">
        <v>180</v>
      </c>
      <c r="Z1697" s="209" t="s">
        <v>3777</v>
      </c>
      <c r="AA1697" s="209" t="s">
        <v>3778</v>
      </c>
      <c r="AB1697" s="209" t="s">
        <v>180</v>
      </c>
      <c r="AC1697" s="209" t="s">
        <v>182</v>
      </c>
      <c r="AD1697" s="209">
        <v>12</v>
      </c>
      <c r="AE1697" s="209">
        <v>2025</v>
      </c>
      <c r="AF1697" s="227">
        <v>46002</v>
      </c>
      <c r="AG1697" s="227">
        <v>46003</v>
      </c>
      <c r="AH1697" s="227">
        <v>46004</v>
      </c>
      <c r="AI1697" s="228">
        <v>531648</v>
      </c>
      <c r="AJ1697" s="228">
        <v>52</v>
      </c>
      <c r="AK1697" s="228">
        <v>531648</v>
      </c>
      <c r="AL1697" s="228">
        <v>52</v>
      </c>
      <c r="AM1697" s="228">
        <v>0</v>
      </c>
      <c r="AN1697" s="228">
        <v>0</v>
      </c>
      <c r="AO1697" s="229">
        <v>50</v>
      </c>
      <c r="AP1697" s="231">
        <v>12</v>
      </c>
      <c r="AQ1697" s="231">
        <v>2025</v>
      </c>
      <c r="AR1697" s="231" t="str">
        <f t="shared" si="244"/>
        <v>12/2025</v>
      </c>
      <c r="AS1697" s="231">
        <f t="shared" si="245"/>
        <v>37.200000000000003</v>
      </c>
      <c r="AT1697" s="239">
        <f>IF(G1697="CERVECERIA Y MALTERIA",(AS1697*AK1697/1000000)*(1-VLOOKUP(N1697,FCST!D:I,6,FALSE)),0)</f>
        <v>19.777305600000002</v>
      </c>
      <c r="AU1697" s="232">
        <v>5.0000000000000001E-3</v>
      </c>
      <c r="AV1697" s="239">
        <f t="shared" si="246"/>
        <v>19.876192128</v>
      </c>
      <c r="AW1697" s="239">
        <f>(AS1697*AK1697/1000000)*(VLOOKUP(N1697,FCST!D:I,6,FALSE))</f>
        <v>0</v>
      </c>
      <c r="AX1697" s="239">
        <f t="shared" si="247"/>
        <v>0</v>
      </c>
      <c r="AY1697" s="239">
        <f>IF($G1697="CERVECERIA Y MALTERIA.",($AS1697*$AK1697/1000000)*(1-VLOOKUP($N1697,FCST!D:I,6,FALSE)),0)</f>
        <v>0</v>
      </c>
      <c r="AZ1697" s="239">
        <f t="shared" si="248"/>
        <v>0</v>
      </c>
    </row>
    <row r="1698" spans="1:52" x14ac:dyDescent="0.25">
      <c r="A1698" s="209">
        <v>1154963</v>
      </c>
      <c r="B1698" s="209">
        <v>40</v>
      </c>
      <c r="C1698" s="209" t="s">
        <v>3841</v>
      </c>
      <c r="D1698" s="209">
        <v>10</v>
      </c>
      <c r="E1698" s="209">
        <v>10000002</v>
      </c>
      <c r="F1698" s="209">
        <v>20000335</v>
      </c>
      <c r="G1698" s="209" t="s">
        <v>105</v>
      </c>
      <c r="H1698" s="209">
        <v>20000335</v>
      </c>
      <c r="I1698" s="209">
        <v>2</v>
      </c>
      <c r="J1698" s="209" t="s">
        <v>169</v>
      </c>
      <c r="K1698" s="209" t="s">
        <v>3842</v>
      </c>
      <c r="L1698" s="209" t="s">
        <v>2610</v>
      </c>
      <c r="M1698" s="209" t="s">
        <v>184</v>
      </c>
      <c r="N1698" s="209">
        <v>50021818</v>
      </c>
      <c r="O1698" s="209" t="s">
        <v>2170</v>
      </c>
      <c r="P1698" s="209">
        <v>5121</v>
      </c>
      <c r="Q1698" s="209" t="s">
        <v>174</v>
      </c>
      <c r="R1698" s="209" t="s">
        <v>175</v>
      </c>
      <c r="S1698" s="209" t="s">
        <v>176</v>
      </c>
      <c r="T1698" s="209" t="s">
        <v>177</v>
      </c>
      <c r="U1698" s="209" t="s">
        <v>178</v>
      </c>
      <c r="V1698" s="209" t="s">
        <v>179</v>
      </c>
      <c r="W1698" s="209" t="s">
        <v>179</v>
      </c>
      <c r="X1698" s="209" t="s">
        <v>180</v>
      </c>
      <c r="Y1698" s="209" t="s">
        <v>180</v>
      </c>
      <c r="Z1698" s="209" t="s">
        <v>3726</v>
      </c>
      <c r="AA1698" s="209" t="s">
        <v>3727</v>
      </c>
      <c r="AB1698" s="209" t="s">
        <v>180</v>
      </c>
      <c r="AC1698" s="209" t="s">
        <v>182</v>
      </c>
      <c r="AD1698" s="209">
        <v>12</v>
      </c>
      <c r="AE1698" s="209">
        <v>2025</v>
      </c>
      <c r="AF1698" s="227">
        <v>45996</v>
      </c>
      <c r="AG1698" s="227">
        <v>46002</v>
      </c>
      <c r="AH1698" s="227">
        <v>46003</v>
      </c>
      <c r="AI1698" s="228">
        <v>426816</v>
      </c>
      <c r="AJ1698" s="228">
        <v>52</v>
      </c>
      <c r="AK1698" s="228">
        <v>426816</v>
      </c>
      <c r="AL1698" s="228">
        <v>52</v>
      </c>
      <c r="AM1698" s="228">
        <v>0</v>
      </c>
      <c r="AN1698" s="228">
        <v>0</v>
      </c>
      <c r="AO1698" s="229">
        <v>50</v>
      </c>
      <c r="AP1698" s="231">
        <v>12</v>
      </c>
      <c r="AQ1698" s="231">
        <v>2025</v>
      </c>
      <c r="AR1698" s="231" t="str">
        <f t="shared" si="244"/>
        <v>12/2025</v>
      </c>
      <c r="AS1698" s="231">
        <f t="shared" si="245"/>
        <v>46.6</v>
      </c>
      <c r="AT1698" s="239">
        <f>IF(G1698="CERVECERIA Y MALTERIA",(AS1698*AK1698/1000000)*(1-VLOOKUP(N1698,FCST!D:I,6,FALSE)),0)</f>
        <v>19.889625600000002</v>
      </c>
      <c r="AU1698" s="232">
        <v>5.0000000000000001E-3</v>
      </c>
      <c r="AV1698" s="239">
        <f t="shared" si="246"/>
        <v>19.989073728000001</v>
      </c>
      <c r="AW1698" s="239">
        <f>(AS1698*AK1698/1000000)*(VLOOKUP(N1698,FCST!D:I,6,FALSE))</f>
        <v>0</v>
      </c>
      <c r="AX1698" s="239">
        <f t="shared" si="247"/>
        <v>0</v>
      </c>
      <c r="AY1698" s="239">
        <f>IF($G1698="CERVECERIA Y MALTERIA.",($AS1698*$AK1698/1000000)*(1-VLOOKUP($N1698,FCST!D:I,6,FALSE)),0)</f>
        <v>0</v>
      </c>
      <c r="AZ1698" s="239">
        <f t="shared" si="248"/>
        <v>0</v>
      </c>
    </row>
    <row r="1699" spans="1:52" x14ac:dyDescent="0.25">
      <c r="A1699" s="209">
        <v>1154964</v>
      </c>
      <c r="B1699" s="209">
        <v>30</v>
      </c>
      <c r="C1699" s="209" t="s">
        <v>3843</v>
      </c>
      <c r="D1699" s="209">
        <v>10</v>
      </c>
      <c r="E1699" s="209">
        <v>10000002</v>
      </c>
      <c r="F1699" s="209">
        <v>20000340</v>
      </c>
      <c r="G1699" s="209" t="s">
        <v>117</v>
      </c>
      <c r="H1699" s="209">
        <v>20000340</v>
      </c>
      <c r="I1699" s="209">
        <v>2</v>
      </c>
      <c r="J1699" s="209" t="s">
        <v>169</v>
      </c>
      <c r="K1699" s="209" t="s">
        <v>3844</v>
      </c>
      <c r="L1699" s="209" t="s">
        <v>2610</v>
      </c>
      <c r="M1699" s="209" t="s">
        <v>184</v>
      </c>
      <c r="N1699" s="209">
        <v>50038523</v>
      </c>
      <c r="O1699" s="209" t="s">
        <v>249</v>
      </c>
      <c r="P1699" s="209">
        <v>5101</v>
      </c>
      <c r="Q1699" s="209" t="s">
        <v>186</v>
      </c>
      <c r="R1699" s="209" t="s">
        <v>175</v>
      </c>
      <c r="S1699" s="209" t="s">
        <v>176</v>
      </c>
      <c r="T1699" s="209" t="s">
        <v>187</v>
      </c>
      <c r="U1699" s="209" t="s">
        <v>188</v>
      </c>
      <c r="V1699" s="209" t="s">
        <v>179</v>
      </c>
      <c r="W1699" s="209" t="s">
        <v>179</v>
      </c>
      <c r="X1699" s="209" t="s">
        <v>180</v>
      </c>
      <c r="Y1699" s="209" t="s">
        <v>180</v>
      </c>
      <c r="Z1699" s="209" t="s">
        <v>3718</v>
      </c>
      <c r="AA1699" s="209" t="s">
        <v>3719</v>
      </c>
      <c r="AB1699" s="209" t="s">
        <v>180</v>
      </c>
      <c r="AC1699" s="209" t="s">
        <v>182</v>
      </c>
      <c r="AD1699" s="209">
        <v>12</v>
      </c>
      <c r="AE1699" s="209">
        <v>2025</v>
      </c>
      <c r="AF1699" s="227">
        <v>45996</v>
      </c>
      <c r="AG1699" s="227">
        <v>46002</v>
      </c>
      <c r="AH1699" s="227">
        <v>46003</v>
      </c>
      <c r="AI1699" s="228">
        <v>606528</v>
      </c>
      <c r="AJ1699" s="228">
        <v>52</v>
      </c>
      <c r="AK1699" s="228">
        <v>606528</v>
      </c>
      <c r="AL1699" s="228">
        <v>52</v>
      </c>
      <c r="AM1699" s="228">
        <v>0</v>
      </c>
      <c r="AN1699" s="228">
        <v>0</v>
      </c>
      <c r="AO1699" s="229">
        <v>50</v>
      </c>
      <c r="AP1699" s="231">
        <v>12</v>
      </c>
      <c r="AQ1699" s="231">
        <v>2025</v>
      </c>
      <c r="AR1699" s="231" t="str">
        <f t="shared" si="244"/>
        <v>12/2025</v>
      </c>
      <c r="AS1699" s="231">
        <f t="shared" si="245"/>
        <v>30</v>
      </c>
      <c r="AT1699" s="239">
        <f>IF(G1699="CERVECERIA Y MALTERIA",(AS1699*AK1699/1000000)*(1-VLOOKUP(N1699,FCST!D:I,6,FALSE)),0)</f>
        <v>0</v>
      </c>
      <c r="AU1699" s="232">
        <v>5.0000000000000001E-3</v>
      </c>
      <c r="AV1699" s="239">
        <f t="shared" si="246"/>
        <v>0</v>
      </c>
      <c r="AW1699" s="239">
        <f>(AS1699*AK1699/1000000)*(VLOOKUP(N1699,FCST!D:I,6,FALSE))</f>
        <v>0</v>
      </c>
      <c r="AX1699" s="239">
        <f t="shared" si="247"/>
        <v>0</v>
      </c>
      <c r="AY1699" s="239">
        <f>IF($G1699="CERVECERIA Y MALTERIA.",($AS1699*$AK1699/1000000)*(1-VLOOKUP($N1699,FCST!D:I,6,FALSE)),0)</f>
        <v>18.19584</v>
      </c>
      <c r="AZ1699" s="239">
        <f t="shared" si="248"/>
        <v>18.2868192</v>
      </c>
    </row>
    <row r="1700" spans="1:52" x14ac:dyDescent="0.25">
      <c r="A1700" s="209">
        <v>1153225</v>
      </c>
      <c r="B1700" s="209">
        <v>20</v>
      </c>
      <c r="C1700" s="209" t="s">
        <v>3845</v>
      </c>
      <c r="D1700" s="209">
        <v>10</v>
      </c>
      <c r="E1700" s="209">
        <v>10000002</v>
      </c>
      <c r="F1700" s="209">
        <v>20001057</v>
      </c>
      <c r="G1700" s="209" t="s">
        <v>105</v>
      </c>
      <c r="H1700" s="209">
        <v>20001057</v>
      </c>
      <c r="I1700" s="209">
        <v>2</v>
      </c>
      <c r="J1700" s="209" t="s">
        <v>169</v>
      </c>
      <c r="K1700" s="209" t="s">
        <v>3846</v>
      </c>
      <c r="L1700" s="209" t="s">
        <v>2610</v>
      </c>
      <c r="M1700" s="209" t="s">
        <v>172</v>
      </c>
      <c r="N1700" s="209">
        <v>50035184</v>
      </c>
      <c r="O1700" s="209" t="s">
        <v>672</v>
      </c>
      <c r="P1700" s="209">
        <v>5121</v>
      </c>
      <c r="Q1700" s="209" t="s">
        <v>174</v>
      </c>
      <c r="R1700" s="209" t="s">
        <v>175</v>
      </c>
      <c r="S1700" s="209" t="s">
        <v>176</v>
      </c>
      <c r="T1700" s="209" t="s">
        <v>177</v>
      </c>
      <c r="U1700" s="209" t="s">
        <v>178</v>
      </c>
      <c r="V1700" s="209" t="s">
        <v>179</v>
      </c>
      <c r="W1700" s="209" t="s">
        <v>179</v>
      </c>
      <c r="X1700" s="209" t="s">
        <v>180</v>
      </c>
      <c r="Y1700" s="209" t="s">
        <v>180</v>
      </c>
      <c r="Z1700" s="209" t="s">
        <v>3847</v>
      </c>
      <c r="AA1700" s="209" t="s">
        <v>3848</v>
      </c>
      <c r="AB1700" s="209" t="s">
        <v>180</v>
      </c>
      <c r="AC1700" s="209" t="s">
        <v>182</v>
      </c>
      <c r="AD1700" s="209">
        <v>11</v>
      </c>
      <c r="AE1700" s="209">
        <v>2025</v>
      </c>
      <c r="AF1700" s="227">
        <v>45987</v>
      </c>
      <c r="AG1700" s="227">
        <v>45989</v>
      </c>
      <c r="AH1700" s="227">
        <v>45992</v>
      </c>
      <c r="AI1700" s="228">
        <v>977184</v>
      </c>
      <c r="AJ1700" s="228">
        <v>52</v>
      </c>
      <c r="AK1700" s="228">
        <v>977184</v>
      </c>
      <c r="AL1700" s="228">
        <v>52</v>
      </c>
      <c r="AM1700" s="228">
        <v>0</v>
      </c>
      <c r="AN1700" s="228">
        <v>0</v>
      </c>
      <c r="AO1700" s="229">
        <v>48</v>
      </c>
      <c r="AP1700" s="231">
        <v>12</v>
      </c>
      <c r="AQ1700" s="231">
        <v>2025</v>
      </c>
      <c r="AR1700" s="231" t="str">
        <f t="shared" si="244"/>
        <v>12/2025</v>
      </c>
      <c r="AS1700" s="231">
        <f t="shared" si="245"/>
        <v>19.5</v>
      </c>
      <c r="AT1700" s="239">
        <f>IF(G1700="CERVECERIA Y MALTERIA",(AS1700*AK1700/1000000)*(1-VLOOKUP(N1700,FCST!D:I,6,FALSE)),0)</f>
        <v>19.055088000000001</v>
      </c>
      <c r="AU1700" s="232">
        <v>5.0000000000000001E-3</v>
      </c>
      <c r="AV1700" s="239">
        <f t="shared" si="246"/>
        <v>19.15036344</v>
      </c>
      <c r="AW1700" s="239">
        <f>(AS1700*AK1700/1000000)*(VLOOKUP(N1700,FCST!D:I,6,FALSE))</f>
        <v>0</v>
      </c>
      <c r="AX1700" s="239">
        <f t="shared" si="247"/>
        <v>0</v>
      </c>
      <c r="AY1700" s="239">
        <f>IF($G1700="CERVECERIA Y MALTERIA.",($AS1700*$AK1700/1000000)*(1-VLOOKUP($N1700,FCST!D:I,6,FALSE)),0)</f>
        <v>0</v>
      </c>
      <c r="AZ1700" s="239">
        <f t="shared" si="248"/>
        <v>0</v>
      </c>
    </row>
    <row r="1701" spans="1:52" x14ac:dyDescent="0.25">
      <c r="A1701" s="209">
        <v>1157515</v>
      </c>
      <c r="B1701" s="209">
        <v>20</v>
      </c>
      <c r="C1701" s="209" t="s">
        <v>3849</v>
      </c>
      <c r="D1701" s="209">
        <v>10</v>
      </c>
      <c r="E1701" s="209">
        <v>10000002</v>
      </c>
      <c r="F1701" s="209">
        <v>20000337</v>
      </c>
      <c r="G1701" s="209" t="s">
        <v>105</v>
      </c>
      <c r="H1701" s="209">
        <v>20000337</v>
      </c>
      <c r="I1701" s="209">
        <v>2</v>
      </c>
      <c r="J1701" s="209" t="s">
        <v>169</v>
      </c>
      <c r="K1701" s="209" t="s">
        <v>3850</v>
      </c>
      <c r="L1701" s="209" t="s">
        <v>2610</v>
      </c>
      <c r="M1701" s="209" t="s">
        <v>199</v>
      </c>
      <c r="N1701" s="209">
        <v>50036915</v>
      </c>
      <c r="O1701" s="209" t="s">
        <v>541</v>
      </c>
      <c r="P1701" s="209">
        <v>5121</v>
      </c>
      <c r="Q1701" s="209" t="s">
        <v>200</v>
      </c>
      <c r="R1701" s="209" t="s">
        <v>201</v>
      </c>
      <c r="S1701" s="209" t="s">
        <v>202</v>
      </c>
      <c r="T1701" s="209" t="s">
        <v>203</v>
      </c>
      <c r="U1701" s="209" t="s">
        <v>201</v>
      </c>
      <c r="V1701" s="209" t="s">
        <v>179</v>
      </c>
      <c r="W1701" s="209" t="s">
        <v>179</v>
      </c>
      <c r="X1701" s="209" t="s">
        <v>180</v>
      </c>
      <c r="Y1701" s="209" t="s">
        <v>180</v>
      </c>
      <c r="Z1701" s="209" t="s">
        <v>3851</v>
      </c>
      <c r="AA1701" s="209" t="s">
        <v>3852</v>
      </c>
      <c r="AB1701" s="209" t="s">
        <v>180</v>
      </c>
      <c r="AC1701" s="209" t="s">
        <v>182</v>
      </c>
      <c r="AD1701" s="209">
        <v>12</v>
      </c>
      <c r="AE1701" s="209">
        <v>2025</v>
      </c>
      <c r="AF1701" s="227">
        <v>46010</v>
      </c>
      <c r="AG1701" s="227">
        <v>46013</v>
      </c>
      <c r="AH1701" s="227">
        <v>46013</v>
      </c>
      <c r="AI1701" s="228">
        <v>393984</v>
      </c>
      <c r="AJ1701" s="228">
        <v>48</v>
      </c>
      <c r="AK1701" s="228">
        <v>393984</v>
      </c>
      <c r="AL1701" s="228">
        <v>48</v>
      </c>
      <c r="AM1701" s="228">
        <v>0</v>
      </c>
      <c r="AN1701" s="228">
        <v>0</v>
      </c>
      <c r="AO1701" s="229">
        <v>52</v>
      </c>
      <c r="AP1701" s="231">
        <v>12</v>
      </c>
      <c r="AQ1701" s="231">
        <v>2025</v>
      </c>
      <c r="AR1701" s="231" t="str">
        <f t="shared" si="244"/>
        <v>12/2025</v>
      </c>
      <c r="AS1701" s="231">
        <f t="shared" si="245"/>
        <v>46.6</v>
      </c>
      <c r="AT1701" s="239">
        <f>IF(G1701="CERVECERIA Y MALTERIA",(AS1701*AK1701/1000000)*(1-VLOOKUP(N1701,FCST!D:I,6,FALSE)),0)</f>
        <v>14.687723520000004</v>
      </c>
      <c r="AU1701" s="232">
        <v>5.0000000000000001E-3</v>
      </c>
      <c r="AV1701" s="239">
        <f t="shared" si="246"/>
        <v>14.761162137600003</v>
      </c>
      <c r="AW1701" s="239">
        <f>(AS1701*AK1701/1000000)*(VLOOKUP(N1701,FCST!D:I,6,FALSE))</f>
        <v>3.671930880000001</v>
      </c>
      <c r="AX1701" s="239">
        <f t="shared" si="247"/>
        <v>3.6902905344000008</v>
      </c>
      <c r="AY1701" s="239">
        <f>IF($G1701="CERVECERIA Y MALTERIA.",($AS1701*$AK1701/1000000)*(1-VLOOKUP($N1701,FCST!D:I,6,FALSE)),0)</f>
        <v>0</v>
      </c>
      <c r="AZ1701" s="239">
        <f t="shared" si="248"/>
        <v>0</v>
      </c>
    </row>
    <row r="1702" spans="1:52" x14ac:dyDescent="0.25">
      <c r="A1702" s="209">
        <v>1157515</v>
      </c>
      <c r="B1702" s="209">
        <v>10</v>
      </c>
      <c r="C1702" s="209" t="s">
        <v>3853</v>
      </c>
      <c r="D1702" s="209">
        <v>10</v>
      </c>
      <c r="E1702" s="209">
        <v>10000002</v>
      </c>
      <c r="F1702" s="209">
        <v>20000337</v>
      </c>
      <c r="G1702" s="209" t="s">
        <v>105</v>
      </c>
      <c r="H1702" s="209">
        <v>20000337</v>
      </c>
      <c r="I1702" s="209">
        <v>2</v>
      </c>
      <c r="J1702" s="209" t="s">
        <v>169</v>
      </c>
      <c r="K1702" s="209" t="s">
        <v>3854</v>
      </c>
      <c r="L1702" s="209" t="s">
        <v>2610</v>
      </c>
      <c r="M1702" s="209" t="s">
        <v>199</v>
      </c>
      <c r="N1702" s="209">
        <v>50039815</v>
      </c>
      <c r="O1702" s="209" t="s">
        <v>2454</v>
      </c>
      <c r="P1702" s="209">
        <v>5121</v>
      </c>
      <c r="Q1702" s="209" t="s">
        <v>200</v>
      </c>
      <c r="R1702" s="209" t="s">
        <v>201</v>
      </c>
      <c r="S1702" s="209" t="s">
        <v>202</v>
      </c>
      <c r="T1702" s="209" t="s">
        <v>203</v>
      </c>
      <c r="U1702" s="209" t="s">
        <v>201</v>
      </c>
      <c r="V1702" s="209" t="s">
        <v>179</v>
      </c>
      <c r="W1702" s="209" t="s">
        <v>179</v>
      </c>
      <c r="X1702" s="209" t="s">
        <v>180</v>
      </c>
      <c r="Y1702" s="209" t="s">
        <v>180</v>
      </c>
      <c r="Z1702" s="209" t="s">
        <v>3851</v>
      </c>
      <c r="AA1702" s="209" t="s">
        <v>3852</v>
      </c>
      <c r="AB1702" s="209" t="s">
        <v>180</v>
      </c>
      <c r="AC1702" s="209" t="s">
        <v>182</v>
      </c>
      <c r="AD1702" s="209">
        <v>12</v>
      </c>
      <c r="AE1702" s="209">
        <v>2025</v>
      </c>
      <c r="AF1702" s="227">
        <v>46010</v>
      </c>
      <c r="AG1702" s="227">
        <v>46013</v>
      </c>
      <c r="AH1702" s="227">
        <v>46013</v>
      </c>
      <c r="AI1702" s="228">
        <v>426816</v>
      </c>
      <c r="AJ1702" s="228">
        <v>52</v>
      </c>
      <c r="AK1702" s="228">
        <v>426816</v>
      </c>
      <c r="AL1702" s="228">
        <v>52</v>
      </c>
      <c r="AM1702" s="228">
        <v>0</v>
      </c>
      <c r="AN1702" s="228">
        <v>0</v>
      </c>
      <c r="AO1702" s="229">
        <v>52</v>
      </c>
      <c r="AP1702" s="231">
        <v>12</v>
      </c>
      <c r="AQ1702" s="231">
        <v>2025</v>
      </c>
      <c r="AR1702" s="231" t="str">
        <f t="shared" si="244"/>
        <v>12/2025</v>
      </c>
      <c r="AS1702" s="231">
        <f t="shared" si="245"/>
        <v>46.6</v>
      </c>
      <c r="AT1702" s="239">
        <f>IF(G1702="CERVECERIA Y MALTERIA",(AS1702*AK1702/1000000)*(1-VLOOKUP(N1702,FCST!D:I,6,FALSE)),0)</f>
        <v>15.911700480000002</v>
      </c>
      <c r="AU1702" s="232">
        <v>5.0000000000000001E-3</v>
      </c>
      <c r="AV1702" s="239">
        <f t="shared" si="246"/>
        <v>15.9912589824</v>
      </c>
      <c r="AW1702" s="239">
        <f>(AS1702*AK1702/1000000)*(VLOOKUP(N1702,FCST!D:I,6,FALSE))</f>
        <v>3.9779251200000005</v>
      </c>
      <c r="AX1702" s="239">
        <f t="shared" si="247"/>
        <v>3.9978147455999999</v>
      </c>
      <c r="AY1702" s="239">
        <f>IF($G1702="CERVECERIA Y MALTERIA.",($AS1702*$AK1702/1000000)*(1-VLOOKUP($N1702,FCST!D:I,6,FALSE)),0)</f>
        <v>0</v>
      </c>
      <c r="AZ1702" s="239">
        <f t="shared" si="248"/>
        <v>0</v>
      </c>
    </row>
    <row r="1703" spans="1:52" x14ac:dyDescent="0.25">
      <c r="A1703" s="209">
        <v>1157496</v>
      </c>
      <c r="B1703" s="209">
        <v>90</v>
      </c>
      <c r="C1703" s="209" t="s">
        <v>3855</v>
      </c>
      <c r="D1703" s="209">
        <v>10</v>
      </c>
      <c r="E1703" s="209">
        <v>10000002</v>
      </c>
      <c r="F1703" s="209">
        <v>20000335</v>
      </c>
      <c r="G1703" s="209" t="s">
        <v>105</v>
      </c>
      <c r="H1703" s="209">
        <v>20000335</v>
      </c>
      <c r="I1703" s="209">
        <v>2</v>
      </c>
      <c r="J1703" s="209" t="s">
        <v>169</v>
      </c>
      <c r="K1703" s="209" t="s">
        <v>3856</v>
      </c>
      <c r="L1703" s="209" t="s">
        <v>2610</v>
      </c>
      <c r="M1703" s="209" t="s">
        <v>199</v>
      </c>
      <c r="N1703" s="209">
        <v>50021818</v>
      </c>
      <c r="O1703" s="209" t="s">
        <v>2170</v>
      </c>
      <c r="P1703" s="209">
        <v>5121</v>
      </c>
      <c r="Q1703" s="209" t="s">
        <v>200</v>
      </c>
      <c r="R1703" s="209" t="s">
        <v>201</v>
      </c>
      <c r="S1703" s="209" t="s">
        <v>202</v>
      </c>
      <c r="T1703" s="209" t="s">
        <v>203</v>
      </c>
      <c r="U1703" s="209" t="s">
        <v>201</v>
      </c>
      <c r="V1703" s="209" t="s">
        <v>179</v>
      </c>
      <c r="W1703" s="209" t="s">
        <v>179</v>
      </c>
      <c r="X1703" s="209" t="s">
        <v>180</v>
      </c>
      <c r="Y1703" s="209" t="s">
        <v>180</v>
      </c>
      <c r="Z1703" s="209" t="s">
        <v>3857</v>
      </c>
      <c r="AA1703" s="209" t="s">
        <v>3858</v>
      </c>
      <c r="AB1703" s="209" t="s">
        <v>180</v>
      </c>
      <c r="AC1703" s="209" t="s">
        <v>182</v>
      </c>
      <c r="AD1703" s="209">
        <v>12</v>
      </c>
      <c r="AE1703" s="209">
        <v>2025</v>
      </c>
      <c r="AF1703" s="227">
        <v>46010</v>
      </c>
      <c r="AG1703" s="227">
        <v>46013</v>
      </c>
      <c r="AH1703" s="227">
        <v>46013</v>
      </c>
      <c r="AI1703" s="228">
        <v>426816</v>
      </c>
      <c r="AJ1703" s="228">
        <v>52</v>
      </c>
      <c r="AK1703" s="228">
        <v>426816</v>
      </c>
      <c r="AL1703" s="228">
        <v>52</v>
      </c>
      <c r="AM1703" s="228">
        <v>0</v>
      </c>
      <c r="AN1703" s="228">
        <v>0</v>
      </c>
      <c r="AO1703" s="229">
        <v>52</v>
      </c>
      <c r="AP1703" s="231">
        <v>12</v>
      </c>
      <c r="AQ1703" s="231">
        <v>2025</v>
      </c>
      <c r="AR1703" s="231" t="str">
        <f t="shared" si="244"/>
        <v>12/2025</v>
      </c>
      <c r="AS1703" s="231">
        <f t="shared" si="245"/>
        <v>46.6</v>
      </c>
      <c r="AT1703" s="239">
        <f>IF(G1703="CERVECERIA Y MALTERIA",(AS1703*AK1703/1000000)*(1-VLOOKUP(N1703,FCST!D:I,6,FALSE)),0)</f>
        <v>19.889625600000002</v>
      </c>
      <c r="AU1703" s="232">
        <v>5.0000000000000001E-3</v>
      </c>
      <c r="AV1703" s="239">
        <f t="shared" si="246"/>
        <v>19.989073728000001</v>
      </c>
      <c r="AW1703" s="239">
        <f>(AS1703*AK1703/1000000)*(VLOOKUP(N1703,FCST!D:I,6,FALSE))</f>
        <v>0</v>
      </c>
      <c r="AX1703" s="239">
        <f t="shared" si="247"/>
        <v>0</v>
      </c>
      <c r="AY1703" s="239">
        <f>IF($G1703="CERVECERIA Y MALTERIA.",($AS1703*$AK1703/1000000)*(1-VLOOKUP($N1703,FCST!D:I,6,FALSE)),0)</f>
        <v>0</v>
      </c>
      <c r="AZ1703" s="239">
        <f t="shared" si="248"/>
        <v>0</v>
      </c>
    </row>
    <row r="1704" spans="1:52" x14ac:dyDescent="0.25">
      <c r="A1704" s="209">
        <v>1157496</v>
      </c>
      <c r="B1704" s="209">
        <v>20</v>
      </c>
      <c r="C1704" s="209" t="s">
        <v>3859</v>
      </c>
      <c r="D1704" s="209">
        <v>10</v>
      </c>
      <c r="E1704" s="209">
        <v>10000002</v>
      </c>
      <c r="F1704" s="209">
        <v>20000335</v>
      </c>
      <c r="G1704" s="209" t="s">
        <v>105</v>
      </c>
      <c r="H1704" s="209">
        <v>20000335</v>
      </c>
      <c r="I1704" s="209">
        <v>2</v>
      </c>
      <c r="J1704" s="209" t="s">
        <v>169</v>
      </c>
      <c r="K1704" s="209" t="s">
        <v>3860</v>
      </c>
      <c r="L1704" s="209" t="s">
        <v>2610</v>
      </c>
      <c r="M1704" s="209" t="s">
        <v>199</v>
      </c>
      <c r="N1704" s="209">
        <v>50037887</v>
      </c>
      <c r="O1704" s="209" t="s">
        <v>679</v>
      </c>
      <c r="P1704" s="209">
        <v>5121</v>
      </c>
      <c r="Q1704" s="209" t="s">
        <v>200</v>
      </c>
      <c r="R1704" s="209" t="s">
        <v>201</v>
      </c>
      <c r="S1704" s="209" t="s">
        <v>202</v>
      </c>
      <c r="T1704" s="209" t="s">
        <v>203</v>
      </c>
      <c r="U1704" s="209" t="s">
        <v>201</v>
      </c>
      <c r="V1704" s="209" t="s">
        <v>179</v>
      </c>
      <c r="W1704" s="209" t="s">
        <v>179</v>
      </c>
      <c r="X1704" s="209" t="s">
        <v>180</v>
      </c>
      <c r="Y1704" s="209" t="s">
        <v>180</v>
      </c>
      <c r="Z1704" s="209" t="s">
        <v>3861</v>
      </c>
      <c r="AA1704" s="209" t="s">
        <v>3862</v>
      </c>
      <c r="AB1704" s="209" t="s">
        <v>180</v>
      </c>
      <c r="AC1704" s="209" t="s">
        <v>182</v>
      </c>
      <c r="AD1704" s="209">
        <v>12</v>
      </c>
      <c r="AE1704" s="209">
        <v>2025</v>
      </c>
      <c r="AF1704" s="227">
        <v>46010</v>
      </c>
      <c r="AG1704" s="227">
        <v>46014</v>
      </c>
      <c r="AH1704" s="227">
        <v>46014</v>
      </c>
      <c r="AI1704" s="228">
        <v>531648</v>
      </c>
      <c r="AJ1704" s="228">
        <v>52</v>
      </c>
      <c r="AK1704" s="228">
        <v>531648</v>
      </c>
      <c r="AL1704" s="228">
        <v>52</v>
      </c>
      <c r="AM1704" s="228">
        <v>0</v>
      </c>
      <c r="AN1704" s="228">
        <v>0</v>
      </c>
      <c r="AO1704" s="229">
        <v>52</v>
      </c>
      <c r="AP1704" s="231">
        <v>12</v>
      </c>
      <c r="AQ1704" s="231">
        <v>2025</v>
      </c>
      <c r="AR1704" s="231" t="str">
        <f t="shared" si="244"/>
        <v>12/2025</v>
      </c>
      <c r="AS1704" s="231">
        <f t="shared" si="245"/>
        <v>37.200000000000003</v>
      </c>
      <c r="AT1704" s="239">
        <f>IF(G1704="CERVECERIA Y MALTERIA",(AS1704*AK1704/1000000)*(1-VLOOKUP(N1704,FCST!D:I,6,FALSE)),0)</f>
        <v>19.777305600000002</v>
      </c>
      <c r="AU1704" s="232">
        <v>5.0000000000000001E-3</v>
      </c>
      <c r="AV1704" s="239">
        <f t="shared" si="246"/>
        <v>19.876192128</v>
      </c>
      <c r="AW1704" s="239">
        <f>(AS1704*AK1704/1000000)*(VLOOKUP(N1704,FCST!D:I,6,FALSE))</f>
        <v>0</v>
      </c>
      <c r="AX1704" s="239">
        <f t="shared" si="247"/>
        <v>0</v>
      </c>
      <c r="AY1704" s="239">
        <f>IF($G1704="CERVECERIA Y MALTERIA.",($AS1704*$AK1704/1000000)*(1-VLOOKUP($N1704,FCST!D:I,6,FALSE)),0)</f>
        <v>0</v>
      </c>
      <c r="AZ1704" s="239">
        <f t="shared" si="248"/>
        <v>0</v>
      </c>
    </row>
    <row r="1705" spans="1:52" x14ac:dyDescent="0.25">
      <c r="A1705" s="209">
        <v>1157595</v>
      </c>
      <c r="B1705" s="209">
        <v>10</v>
      </c>
      <c r="C1705" s="209" t="s">
        <v>3863</v>
      </c>
      <c r="D1705" s="209">
        <v>10</v>
      </c>
      <c r="E1705" s="209">
        <v>10000002</v>
      </c>
      <c r="F1705" s="209">
        <v>20001057</v>
      </c>
      <c r="G1705" s="209" t="s">
        <v>105</v>
      </c>
      <c r="H1705" s="209">
        <v>20001057</v>
      </c>
      <c r="I1705" s="209">
        <v>2</v>
      </c>
      <c r="J1705" s="209" t="s">
        <v>169</v>
      </c>
      <c r="K1705" s="209" t="s">
        <v>3864</v>
      </c>
      <c r="L1705" s="209" t="s">
        <v>2610</v>
      </c>
      <c r="M1705" s="209" t="s">
        <v>199</v>
      </c>
      <c r="N1705" s="209">
        <v>50030381</v>
      </c>
      <c r="O1705" s="209" t="s">
        <v>1791</v>
      </c>
      <c r="P1705" s="209">
        <v>5121</v>
      </c>
      <c r="Q1705" s="209" t="s">
        <v>200</v>
      </c>
      <c r="R1705" s="209" t="s">
        <v>201</v>
      </c>
      <c r="S1705" s="209" t="s">
        <v>202</v>
      </c>
      <c r="T1705" s="209" t="s">
        <v>203</v>
      </c>
      <c r="U1705" s="209" t="s">
        <v>201</v>
      </c>
      <c r="V1705" s="209" t="s">
        <v>179</v>
      </c>
      <c r="W1705" s="209" t="s">
        <v>179</v>
      </c>
      <c r="X1705" s="209" t="s">
        <v>180</v>
      </c>
      <c r="Y1705" s="209" t="s">
        <v>180</v>
      </c>
      <c r="Z1705" s="209" t="s">
        <v>3865</v>
      </c>
      <c r="AA1705" s="209" t="s">
        <v>3866</v>
      </c>
      <c r="AB1705" s="209" t="s">
        <v>180</v>
      </c>
      <c r="AC1705" s="209" t="s">
        <v>182</v>
      </c>
      <c r="AD1705" s="209">
        <v>12</v>
      </c>
      <c r="AE1705" s="209">
        <v>2025</v>
      </c>
      <c r="AF1705" s="227">
        <v>46010</v>
      </c>
      <c r="AG1705" s="227">
        <v>46014</v>
      </c>
      <c r="AH1705" s="227">
        <v>46014</v>
      </c>
      <c r="AI1705" s="228">
        <v>406016</v>
      </c>
      <c r="AJ1705" s="228">
        <v>52</v>
      </c>
      <c r="AK1705" s="228">
        <v>406016</v>
      </c>
      <c r="AL1705" s="228">
        <v>52</v>
      </c>
      <c r="AM1705" s="228">
        <v>0</v>
      </c>
      <c r="AN1705" s="228">
        <v>0</v>
      </c>
      <c r="AO1705" s="229">
        <v>52</v>
      </c>
      <c r="AP1705" s="231">
        <v>12</v>
      </c>
      <c r="AQ1705" s="231">
        <v>2025</v>
      </c>
      <c r="AR1705" s="231" t="str">
        <f t="shared" si="244"/>
        <v>12/2025</v>
      </c>
      <c r="AS1705" s="231">
        <f t="shared" si="245"/>
        <v>46.6</v>
      </c>
      <c r="AT1705" s="239">
        <f>IF(G1705="CERVECERIA Y MALTERIA",(AS1705*AK1705/1000000)*(1-VLOOKUP(N1705,FCST!D:I,6,FALSE)),0)</f>
        <v>18.920345600000001</v>
      </c>
      <c r="AU1705" s="232">
        <v>5.0000000000000001E-3</v>
      </c>
      <c r="AV1705" s="239">
        <f t="shared" si="246"/>
        <v>19.014947327999998</v>
      </c>
      <c r="AW1705" s="239">
        <f>(AS1705*AK1705/1000000)*(VLOOKUP(N1705,FCST!D:I,6,FALSE))</f>
        <v>0</v>
      </c>
      <c r="AX1705" s="239">
        <f t="shared" si="247"/>
        <v>0</v>
      </c>
      <c r="AY1705" s="239">
        <f>IF($G1705="CERVECERIA Y MALTERIA.",($AS1705*$AK1705/1000000)*(1-VLOOKUP($N1705,FCST!D:I,6,FALSE)),0)</f>
        <v>0</v>
      </c>
      <c r="AZ1705" s="239">
        <f t="shared" si="248"/>
        <v>0</v>
      </c>
    </row>
    <row r="1706" spans="1:52" x14ac:dyDescent="0.25">
      <c r="A1706" s="209">
        <v>1157515</v>
      </c>
      <c r="B1706" s="209">
        <v>30</v>
      </c>
      <c r="C1706" s="209" t="s">
        <v>3867</v>
      </c>
      <c r="D1706" s="209">
        <v>10</v>
      </c>
      <c r="E1706" s="209">
        <v>10000002</v>
      </c>
      <c r="F1706" s="209">
        <v>20000337</v>
      </c>
      <c r="G1706" s="209" t="s">
        <v>105</v>
      </c>
      <c r="H1706" s="209">
        <v>20000337</v>
      </c>
      <c r="I1706" s="209">
        <v>2</v>
      </c>
      <c r="J1706" s="209" t="s">
        <v>169</v>
      </c>
      <c r="K1706" s="209" t="s">
        <v>3868</v>
      </c>
      <c r="L1706" s="209" t="s">
        <v>2610</v>
      </c>
      <c r="M1706" s="209" t="s">
        <v>199</v>
      </c>
      <c r="N1706" s="209">
        <v>50036915</v>
      </c>
      <c r="O1706" s="209" t="s">
        <v>541</v>
      </c>
      <c r="P1706" s="209">
        <v>5121</v>
      </c>
      <c r="Q1706" s="209" t="s">
        <v>200</v>
      </c>
      <c r="R1706" s="209" t="s">
        <v>201</v>
      </c>
      <c r="S1706" s="209" t="s">
        <v>202</v>
      </c>
      <c r="T1706" s="209" t="s">
        <v>203</v>
      </c>
      <c r="U1706" s="209" t="s">
        <v>201</v>
      </c>
      <c r="V1706" s="209" t="s">
        <v>179</v>
      </c>
      <c r="W1706" s="209" t="s">
        <v>179</v>
      </c>
      <c r="X1706" s="209" t="s">
        <v>180</v>
      </c>
      <c r="Y1706" s="209" t="s">
        <v>180</v>
      </c>
      <c r="Z1706" s="209" t="s">
        <v>3851</v>
      </c>
      <c r="AA1706" s="209" t="s">
        <v>3852</v>
      </c>
      <c r="AB1706" s="209" t="s">
        <v>180</v>
      </c>
      <c r="AC1706" s="209" t="s">
        <v>182</v>
      </c>
      <c r="AD1706" s="209">
        <v>12</v>
      </c>
      <c r="AE1706" s="209">
        <v>2025</v>
      </c>
      <c r="AF1706" s="227">
        <v>46010</v>
      </c>
      <c r="AG1706" s="227">
        <v>46014</v>
      </c>
      <c r="AH1706" s="227">
        <v>46014</v>
      </c>
      <c r="AI1706" s="228">
        <v>426816</v>
      </c>
      <c r="AJ1706" s="228">
        <v>52</v>
      </c>
      <c r="AK1706" s="228">
        <v>426816</v>
      </c>
      <c r="AL1706" s="228">
        <v>52</v>
      </c>
      <c r="AM1706" s="228">
        <v>0</v>
      </c>
      <c r="AN1706" s="228">
        <v>0</v>
      </c>
      <c r="AO1706" s="229">
        <v>52</v>
      </c>
      <c r="AP1706" s="231">
        <v>12</v>
      </c>
      <c r="AQ1706" s="231">
        <v>2025</v>
      </c>
      <c r="AR1706" s="231" t="str">
        <f t="shared" si="244"/>
        <v>12/2025</v>
      </c>
      <c r="AS1706" s="231">
        <f t="shared" si="245"/>
        <v>46.6</v>
      </c>
      <c r="AT1706" s="239">
        <f>IF(G1706="CERVECERIA Y MALTERIA",(AS1706*AK1706/1000000)*(1-VLOOKUP(N1706,FCST!D:I,6,FALSE)),0)</f>
        <v>15.911700480000002</v>
      </c>
      <c r="AU1706" s="232">
        <v>5.0000000000000001E-3</v>
      </c>
      <c r="AV1706" s="239">
        <f t="shared" si="246"/>
        <v>15.9912589824</v>
      </c>
      <c r="AW1706" s="239">
        <f>(AS1706*AK1706/1000000)*(VLOOKUP(N1706,FCST!D:I,6,FALSE))</f>
        <v>3.9779251200000005</v>
      </c>
      <c r="AX1706" s="239">
        <f t="shared" si="247"/>
        <v>3.9978147455999999</v>
      </c>
      <c r="AY1706" s="239">
        <f>IF($G1706="CERVECERIA Y MALTERIA.",($AS1706*$AK1706/1000000)*(1-VLOOKUP($N1706,FCST!D:I,6,FALSE)),0)</f>
        <v>0</v>
      </c>
      <c r="AZ1706" s="239">
        <f t="shared" si="248"/>
        <v>0</v>
      </c>
    </row>
    <row r="1707" spans="1:52" x14ac:dyDescent="0.25">
      <c r="A1707" s="209">
        <v>1157496</v>
      </c>
      <c r="B1707" s="209">
        <v>100</v>
      </c>
      <c r="C1707" s="209" t="s">
        <v>3869</v>
      </c>
      <c r="D1707" s="209">
        <v>10</v>
      </c>
      <c r="E1707" s="209">
        <v>10000002</v>
      </c>
      <c r="F1707" s="209">
        <v>20000335</v>
      </c>
      <c r="G1707" s="209" t="s">
        <v>105</v>
      </c>
      <c r="H1707" s="209">
        <v>20000335</v>
      </c>
      <c r="I1707" s="209">
        <v>2</v>
      </c>
      <c r="J1707" s="209" t="s">
        <v>169</v>
      </c>
      <c r="K1707" s="209" t="s">
        <v>3870</v>
      </c>
      <c r="L1707" s="209" t="s">
        <v>2610</v>
      </c>
      <c r="M1707" s="209" t="s">
        <v>199</v>
      </c>
      <c r="N1707" s="209">
        <v>50021818</v>
      </c>
      <c r="O1707" s="209" t="s">
        <v>2170</v>
      </c>
      <c r="P1707" s="209">
        <v>5121</v>
      </c>
      <c r="Q1707" s="209" t="s">
        <v>200</v>
      </c>
      <c r="R1707" s="209" t="s">
        <v>201</v>
      </c>
      <c r="S1707" s="209" t="s">
        <v>202</v>
      </c>
      <c r="T1707" s="209" t="s">
        <v>203</v>
      </c>
      <c r="U1707" s="209" t="s">
        <v>201</v>
      </c>
      <c r="V1707" s="209" t="s">
        <v>179</v>
      </c>
      <c r="W1707" s="209" t="s">
        <v>179</v>
      </c>
      <c r="X1707" s="209" t="s">
        <v>180</v>
      </c>
      <c r="Y1707" s="209" t="s">
        <v>180</v>
      </c>
      <c r="Z1707" s="209" t="s">
        <v>3857</v>
      </c>
      <c r="AA1707" s="209" t="s">
        <v>3858</v>
      </c>
      <c r="AB1707" s="209" t="s">
        <v>180</v>
      </c>
      <c r="AC1707" s="209" t="s">
        <v>182</v>
      </c>
      <c r="AD1707" s="209">
        <v>12</v>
      </c>
      <c r="AE1707" s="209">
        <v>2025</v>
      </c>
      <c r="AF1707" s="227">
        <v>46010</v>
      </c>
      <c r="AG1707" s="227">
        <v>46014</v>
      </c>
      <c r="AH1707" s="227">
        <v>46014</v>
      </c>
      <c r="AI1707" s="228">
        <v>426816</v>
      </c>
      <c r="AJ1707" s="228">
        <v>52</v>
      </c>
      <c r="AK1707" s="228">
        <v>426816</v>
      </c>
      <c r="AL1707" s="228">
        <v>52</v>
      </c>
      <c r="AM1707" s="228">
        <v>0</v>
      </c>
      <c r="AN1707" s="228">
        <v>0</v>
      </c>
      <c r="AO1707" s="229">
        <v>52</v>
      </c>
      <c r="AP1707" s="231">
        <v>12</v>
      </c>
      <c r="AQ1707" s="231">
        <v>2025</v>
      </c>
      <c r="AR1707" s="231" t="str">
        <f t="shared" si="244"/>
        <v>12/2025</v>
      </c>
      <c r="AS1707" s="231">
        <f t="shared" si="245"/>
        <v>46.6</v>
      </c>
      <c r="AT1707" s="239">
        <f>IF(G1707="CERVECERIA Y MALTERIA",(AS1707*AK1707/1000000)*(1-VLOOKUP(N1707,FCST!D:I,6,FALSE)),0)</f>
        <v>19.889625600000002</v>
      </c>
      <c r="AU1707" s="232">
        <v>5.0000000000000001E-3</v>
      </c>
      <c r="AV1707" s="239">
        <f t="shared" si="246"/>
        <v>19.989073728000001</v>
      </c>
      <c r="AW1707" s="239">
        <f>(AS1707*AK1707/1000000)*(VLOOKUP(N1707,FCST!D:I,6,FALSE))</f>
        <v>0</v>
      </c>
      <c r="AX1707" s="239">
        <f t="shared" si="247"/>
        <v>0</v>
      </c>
      <c r="AY1707" s="239">
        <f>IF($G1707="CERVECERIA Y MALTERIA.",($AS1707*$AK1707/1000000)*(1-VLOOKUP($N1707,FCST!D:I,6,FALSE)),0)</f>
        <v>0</v>
      </c>
      <c r="AZ1707" s="239">
        <f t="shared" si="248"/>
        <v>0</v>
      </c>
    </row>
    <row r="1708" spans="1:52" x14ac:dyDescent="0.25">
      <c r="A1708" s="209">
        <v>1157041</v>
      </c>
      <c r="B1708" s="209">
        <v>20</v>
      </c>
      <c r="C1708" s="209" t="s">
        <v>3871</v>
      </c>
      <c r="D1708" s="209">
        <v>10</v>
      </c>
      <c r="E1708" s="209">
        <v>10000002</v>
      </c>
      <c r="F1708" s="209">
        <v>20000335</v>
      </c>
      <c r="G1708" s="209" t="s">
        <v>105</v>
      </c>
      <c r="H1708" s="209">
        <v>20000335</v>
      </c>
      <c r="I1708" s="209">
        <v>2</v>
      </c>
      <c r="J1708" s="209" t="s">
        <v>169</v>
      </c>
      <c r="K1708" s="209" t="s">
        <v>3872</v>
      </c>
      <c r="L1708" s="209" t="s">
        <v>3744</v>
      </c>
      <c r="M1708" s="209" t="s">
        <v>199</v>
      </c>
      <c r="N1708" s="209">
        <v>50021818</v>
      </c>
      <c r="O1708" s="209" t="s">
        <v>2170</v>
      </c>
      <c r="P1708" s="209">
        <v>5121</v>
      </c>
      <c r="Q1708" s="209" t="s">
        <v>200</v>
      </c>
      <c r="R1708" s="209" t="s">
        <v>201</v>
      </c>
      <c r="S1708" s="209" t="s">
        <v>202</v>
      </c>
      <c r="T1708" s="209" t="s">
        <v>203</v>
      </c>
      <c r="U1708" s="209" t="s">
        <v>201</v>
      </c>
      <c r="V1708" s="209" t="s">
        <v>179</v>
      </c>
      <c r="W1708" s="209" t="s">
        <v>179</v>
      </c>
      <c r="X1708" s="209" t="s">
        <v>180</v>
      </c>
      <c r="Y1708" s="209" t="s">
        <v>180</v>
      </c>
      <c r="Z1708" s="209" t="s">
        <v>3873</v>
      </c>
      <c r="AA1708" s="209" t="s">
        <v>3874</v>
      </c>
      <c r="AB1708" s="209" t="s">
        <v>180</v>
      </c>
      <c r="AC1708" s="209" t="s">
        <v>182</v>
      </c>
      <c r="AD1708" s="209">
        <v>12</v>
      </c>
      <c r="AE1708" s="209">
        <v>2025</v>
      </c>
      <c r="AF1708" s="227">
        <v>46008</v>
      </c>
      <c r="AG1708" s="227">
        <v>46009</v>
      </c>
      <c r="AH1708" s="227">
        <v>46009</v>
      </c>
      <c r="AI1708" s="228">
        <v>426816</v>
      </c>
      <c r="AJ1708" s="228">
        <v>52</v>
      </c>
      <c r="AK1708" s="228">
        <v>426816</v>
      </c>
      <c r="AL1708" s="228">
        <v>52</v>
      </c>
      <c r="AM1708" s="228">
        <v>0</v>
      </c>
      <c r="AN1708" s="228">
        <v>0</v>
      </c>
      <c r="AO1708" s="229">
        <v>51</v>
      </c>
      <c r="AP1708" s="231">
        <v>12</v>
      </c>
      <c r="AQ1708" s="231">
        <v>2025</v>
      </c>
      <c r="AR1708" s="231" t="str">
        <f t="shared" ref="AR1708:AR1745" si="249">+IF(AP1708&lt;10,"0"&amp;AP1708&amp; "/"&amp;AQ1708,AP1708&amp; "/"&amp;AQ1708)</f>
        <v>12/2025</v>
      </c>
      <c r="AS1708" s="231">
        <f t="shared" ref="AS1708:AS1745" si="250">VALUE(MID(INDEX(_xlfn.TEXTSPLIT(O1708, ","), 1, 3), 1,FIND("G", INDEX(_xlfn.TEXTSPLIT(O1708, ","), 1, 3))-1))</f>
        <v>46.6</v>
      </c>
      <c r="AT1708" s="239">
        <f>IF(G1708="CERVECERIA Y MALTERIA",(AS1708*AK1708/1000000)*(1-VLOOKUP(N1708,FCST!D:I,6,FALSE)),0)</f>
        <v>19.889625600000002</v>
      </c>
      <c r="AU1708" s="232">
        <v>5.0000000000000001E-3</v>
      </c>
      <c r="AV1708" s="239">
        <f t="shared" ref="AV1708:AV1745" si="251">+AT1708*(1+AU1708)</f>
        <v>19.989073728000001</v>
      </c>
      <c r="AW1708" s="239">
        <f>(AS1708*AK1708/1000000)*(VLOOKUP(N1708,FCST!D:I,6,FALSE))</f>
        <v>0</v>
      </c>
      <c r="AX1708" s="239">
        <f t="shared" ref="AX1708:AX1745" si="252">+AW1708*(1+AU1708)</f>
        <v>0</v>
      </c>
      <c r="AY1708" s="239">
        <f>IF($G1708="CERVECERIA Y MALTERIA.",($AS1708*$AK1708/1000000)*(1-VLOOKUP($N1708,FCST!D:I,6,FALSE)),0)</f>
        <v>0</v>
      </c>
      <c r="AZ1708" s="239">
        <f t="shared" ref="AZ1708:AZ1745" si="253">+AY1708*(1+AU1708)</f>
        <v>0</v>
      </c>
    </row>
    <row r="1709" spans="1:52" x14ac:dyDescent="0.25">
      <c r="A1709" s="209">
        <v>1157041</v>
      </c>
      <c r="B1709" s="209">
        <v>10</v>
      </c>
      <c r="C1709" s="209" t="s">
        <v>3875</v>
      </c>
      <c r="D1709" s="209">
        <v>10</v>
      </c>
      <c r="E1709" s="209">
        <v>10000002</v>
      </c>
      <c r="F1709" s="209">
        <v>20000335</v>
      </c>
      <c r="G1709" s="209" t="s">
        <v>105</v>
      </c>
      <c r="H1709" s="209">
        <v>20000335</v>
      </c>
      <c r="I1709" s="209">
        <v>2</v>
      </c>
      <c r="J1709" s="209" t="s">
        <v>169</v>
      </c>
      <c r="K1709" s="209" t="s">
        <v>3876</v>
      </c>
      <c r="L1709" s="209" t="s">
        <v>3744</v>
      </c>
      <c r="M1709" s="209" t="s">
        <v>199</v>
      </c>
      <c r="N1709" s="209">
        <v>50025345</v>
      </c>
      <c r="O1709" s="209" t="s">
        <v>1998</v>
      </c>
      <c r="P1709" s="209">
        <v>5121</v>
      </c>
      <c r="Q1709" s="209" t="s">
        <v>200</v>
      </c>
      <c r="R1709" s="209" t="s">
        <v>201</v>
      </c>
      <c r="S1709" s="209" t="s">
        <v>202</v>
      </c>
      <c r="T1709" s="209" t="s">
        <v>203</v>
      </c>
      <c r="U1709" s="209" t="s">
        <v>201</v>
      </c>
      <c r="V1709" s="209" t="s">
        <v>179</v>
      </c>
      <c r="W1709" s="209" t="s">
        <v>179</v>
      </c>
      <c r="X1709" s="209" t="s">
        <v>180</v>
      </c>
      <c r="Y1709" s="209" t="s">
        <v>180</v>
      </c>
      <c r="Z1709" s="209" t="s">
        <v>3873</v>
      </c>
      <c r="AA1709" s="209" t="s">
        <v>3874</v>
      </c>
      <c r="AB1709" s="209" t="s">
        <v>180</v>
      </c>
      <c r="AC1709" s="209" t="s">
        <v>182</v>
      </c>
      <c r="AD1709" s="209">
        <v>12</v>
      </c>
      <c r="AE1709" s="209">
        <v>2025</v>
      </c>
      <c r="AF1709" s="227">
        <v>46008</v>
      </c>
      <c r="AG1709" s="227">
        <v>46009</v>
      </c>
      <c r="AH1709" s="227">
        <v>46009</v>
      </c>
      <c r="AI1709" s="228">
        <v>426816</v>
      </c>
      <c r="AJ1709" s="228">
        <v>52</v>
      </c>
      <c r="AK1709" s="228">
        <v>426816</v>
      </c>
      <c r="AL1709" s="228">
        <v>52</v>
      </c>
      <c r="AM1709" s="228">
        <v>0</v>
      </c>
      <c r="AN1709" s="228">
        <v>0</v>
      </c>
      <c r="AO1709" s="229">
        <v>51</v>
      </c>
      <c r="AP1709" s="231">
        <v>12</v>
      </c>
      <c r="AQ1709" s="231">
        <v>2025</v>
      </c>
      <c r="AR1709" s="231" t="str">
        <f t="shared" si="249"/>
        <v>12/2025</v>
      </c>
      <c r="AS1709" s="231">
        <f t="shared" si="250"/>
        <v>46.6</v>
      </c>
      <c r="AT1709" s="239">
        <f>IF(G1709="CERVECERIA Y MALTERIA",(AS1709*AK1709/1000000)*(1-VLOOKUP(N1709,FCST!D:I,6,FALSE)),0)</f>
        <v>19.889625600000002</v>
      </c>
      <c r="AU1709" s="232">
        <v>5.0000000000000001E-3</v>
      </c>
      <c r="AV1709" s="239">
        <f t="shared" si="251"/>
        <v>19.989073728000001</v>
      </c>
      <c r="AW1709" s="239">
        <f>(AS1709*AK1709/1000000)*(VLOOKUP(N1709,FCST!D:I,6,FALSE))</f>
        <v>0</v>
      </c>
      <c r="AX1709" s="239">
        <f t="shared" si="252"/>
        <v>0</v>
      </c>
      <c r="AY1709" s="239">
        <f>IF($G1709="CERVECERIA Y MALTERIA.",($AS1709*$AK1709/1000000)*(1-VLOOKUP($N1709,FCST!D:I,6,FALSE)),0)</f>
        <v>0</v>
      </c>
      <c r="AZ1709" s="239">
        <f t="shared" si="253"/>
        <v>0</v>
      </c>
    </row>
    <row r="1710" spans="1:52" x14ac:dyDescent="0.25">
      <c r="A1710" s="209">
        <v>1156323</v>
      </c>
      <c r="B1710" s="209">
        <v>60</v>
      </c>
      <c r="C1710" s="209" t="s">
        <v>3877</v>
      </c>
      <c r="D1710" s="209">
        <v>10</v>
      </c>
      <c r="E1710" s="209">
        <v>10000002</v>
      </c>
      <c r="F1710" s="209">
        <v>20000335</v>
      </c>
      <c r="G1710" s="209" t="s">
        <v>105</v>
      </c>
      <c r="H1710" s="209">
        <v>20000335</v>
      </c>
      <c r="I1710" s="209">
        <v>2</v>
      </c>
      <c r="J1710" s="209" t="s">
        <v>169</v>
      </c>
      <c r="K1710" s="209" t="s">
        <v>3878</v>
      </c>
      <c r="L1710" s="209" t="s">
        <v>2610</v>
      </c>
      <c r="M1710" s="209" t="s">
        <v>199</v>
      </c>
      <c r="N1710" s="209">
        <v>50021818</v>
      </c>
      <c r="O1710" s="209" t="s">
        <v>2170</v>
      </c>
      <c r="P1710" s="209">
        <v>5121</v>
      </c>
      <c r="Q1710" s="209" t="s">
        <v>200</v>
      </c>
      <c r="R1710" s="209" t="s">
        <v>201</v>
      </c>
      <c r="S1710" s="209" t="s">
        <v>202</v>
      </c>
      <c r="T1710" s="209" t="s">
        <v>203</v>
      </c>
      <c r="U1710" s="209" t="s">
        <v>201</v>
      </c>
      <c r="V1710" s="209" t="s">
        <v>179</v>
      </c>
      <c r="W1710" s="209" t="s">
        <v>179</v>
      </c>
      <c r="X1710" s="209" t="s">
        <v>180</v>
      </c>
      <c r="Y1710" s="209" t="s">
        <v>180</v>
      </c>
      <c r="Z1710" s="209" t="s">
        <v>3873</v>
      </c>
      <c r="AA1710" s="209" t="s">
        <v>3874</v>
      </c>
      <c r="AB1710" s="209" t="s">
        <v>180</v>
      </c>
      <c r="AC1710" s="209" t="s">
        <v>182</v>
      </c>
      <c r="AD1710" s="209">
        <v>12</v>
      </c>
      <c r="AE1710" s="209">
        <v>2025</v>
      </c>
      <c r="AF1710" s="227">
        <v>46003</v>
      </c>
      <c r="AG1710" s="227">
        <v>46008</v>
      </c>
      <c r="AH1710" s="227">
        <v>46008</v>
      </c>
      <c r="AI1710" s="228">
        <v>426816</v>
      </c>
      <c r="AJ1710" s="228">
        <v>52</v>
      </c>
      <c r="AK1710" s="228">
        <v>426816</v>
      </c>
      <c r="AL1710" s="228">
        <v>52</v>
      </c>
      <c r="AM1710" s="228">
        <v>0</v>
      </c>
      <c r="AN1710" s="228">
        <v>0</v>
      </c>
      <c r="AO1710" s="229">
        <v>51</v>
      </c>
      <c r="AP1710" s="231">
        <v>12</v>
      </c>
      <c r="AQ1710" s="231">
        <v>2025</v>
      </c>
      <c r="AR1710" s="231" t="str">
        <f t="shared" si="249"/>
        <v>12/2025</v>
      </c>
      <c r="AS1710" s="231">
        <f t="shared" si="250"/>
        <v>46.6</v>
      </c>
      <c r="AT1710" s="239">
        <f>IF(G1710="CERVECERIA Y MALTERIA",(AS1710*AK1710/1000000)*(1-VLOOKUP(N1710,FCST!D:I,6,FALSE)),0)</f>
        <v>19.889625600000002</v>
      </c>
      <c r="AU1710" s="232">
        <v>5.0000000000000001E-3</v>
      </c>
      <c r="AV1710" s="239">
        <f t="shared" si="251"/>
        <v>19.989073728000001</v>
      </c>
      <c r="AW1710" s="239">
        <f>(AS1710*AK1710/1000000)*(VLOOKUP(N1710,FCST!D:I,6,FALSE))</f>
        <v>0</v>
      </c>
      <c r="AX1710" s="239">
        <f t="shared" si="252"/>
        <v>0</v>
      </c>
      <c r="AY1710" s="239">
        <f>IF($G1710="CERVECERIA Y MALTERIA.",($AS1710*$AK1710/1000000)*(1-VLOOKUP($N1710,FCST!D:I,6,FALSE)),0)</f>
        <v>0</v>
      </c>
      <c r="AZ1710" s="239">
        <f t="shared" si="253"/>
        <v>0</v>
      </c>
    </row>
    <row r="1711" spans="1:52" x14ac:dyDescent="0.25">
      <c r="A1711" s="209">
        <v>1155887</v>
      </c>
      <c r="B1711" s="209">
        <v>30</v>
      </c>
      <c r="C1711" s="209" t="s">
        <v>3879</v>
      </c>
      <c r="D1711" s="209">
        <v>10</v>
      </c>
      <c r="E1711" s="209">
        <v>10000002</v>
      </c>
      <c r="F1711" s="209">
        <v>20000339</v>
      </c>
      <c r="G1711" s="209" t="s">
        <v>105</v>
      </c>
      <c r="H1711" s="209">
        <v>20000339</v>
      </c>
      <c r="I1711" s="209">
        <v>2</v>
      </c>
      <c r="J1711" s="209" t="s">
        <v>169</v>
      </c>
      <c r="K1711" s="209" t="s">
        <v>3880</v>
      </c>
      <c r="L1711" s="209" t="s">
        <v>2610</v>
      </c>
      <c r="M1711" s="209" t="s">
        <v>227</v>
      </c>
      <c r="N1711" s="209">
        <v>50036287</v>
      </c>
      <c r="O1711" s="209" t="s">
        <v>2191</v>
      </c>
      <c r="P1711" s="209">
        <v>5121</v>
      </c>
      <c r="Q1711" s="209" t="s">
        <v>228</v>
      </c>
      <c r="R1711" s="209" t="s">
        <v>229</v>
      </c>
      <c r="S1711" s="209" t="s">
        <v>230</v>
      </c>
      <c r="T1711" s="209" t="s">
        <v>231</v>
      </c>
      <c r="U1711" s="209" t="s">
        <v>232</v>
      </c>
      <c r="V1711" s="209" t="s">
        <v>179</v>
      </c>
      <c r="W1711" s="209" t="s">
        <v>179</v>
      </c>
      <c r="X1711" s="209" t="s">
        <v>180</v>
      </c>
      <c r="Y1711" s="209" t="s">
        <v>180</v>
      </c>
      <c r="Z1711" s="209" t="s">
        <v>3881</v>
      </c>
      <c r="AA1711" s="209" t="s">
        <v>3882</v>
      </c>
      <c r="AB1711" s="209" t="s">
        <v>180</v>
      </c>
      <c r="AC1711" s="209" t="s">
        <v>182</v>
      </c>
      <c r="AD1711" s="209">
        <v>12</v>
      </c>
      <c r="AE1711" s="209">
        <v>2025</v>
      </c>
      <c r="AF1711" s="227">
        <v>46001</v>
      </c>
      <c r="AG1711" s="227">
        <v>46008</v>
      </c>
      <c r="AH1711" s="227">
        <v>46008</v>
      </c>
      <c r="AI1711" s="228">
        <v>363168</v>
      </c>
      <c r="AJ1711" s="228">
        <v>52</v>
      </c>
      <c r="AK1711" s="228">
        <v>363168</v>
      </c>
      <c r="AL1711" s="228">
        <v>52</v>
      </c>
      <c r="AM1711" s="228">
        <v>0</v>
      </c>
      <c r="AN1711" s="228">
        <v>0</v>
      </c>
      <c r="AO1711" s="229">
        <v>50</v>
      </c>
      <c r="AP1711" s="231">
        <v>12</v>
      </c>
      <c r="AQ1711" s="231">
        <v>2025</v>
      </c>
      <c r="AR1711" s="231" t="str">
        <f t="shared" si="249"/>
        <v>12/2025</v>
      </c>
      <c r="AS1711" s="231">
        <f t="shared" si="250"/>
        <v>52</v>
      </c>
      <c r="AT1711" s="239">
        <f>IF(G1711="CERVECERIA Y MALTERIA",(AS1711*AK1711/1000000)*(1-VLOOKUP(N1711,FCST!D:I,6,FALSE)),0)</f>
        <v>18.884736</v>
      </c>
      <c r="AU1711" s="232">
        <v>5.0000000000000001E-3</v>
      </c>
      <c r="AV1711" s="239">
        <f t="shared" si="251"/>
        <v>18.979159679999999</v>
      </c>
      <c r="AW1711" s="239">
        <f>(AS1711*AK1711/1000000)*(VLOOKUP(N1711,FCST!D:I,6,FALSE))</f>
        <v>0</v>
      </c>
      <c r="AX1711" s="239">
        <f t="shared" si="252"/>
        <v>0</v>
      </c>
      <c r="AY1711" s="239">
        <f>IF($G1711="CERVECERIA Y MALTERIA.",($AS1711*$AK1711/1000000)*(1-VLOOKUP($N1711,FCST!D:I,6,FALSE)),0)</f>
        <v>0</v>
      </c>
      <c r="AZ1711" s="239">
        <f t="shared" si="253"/>
        <v>0</v>
      </c>
    </row>
    <row r="1712" spans="1:52" x14ac:dyDescent="0.25">
      <c r="A1712" s="209">
        <v>1156326</v>
      </c>
      <c r="B1712" s="209">
        <v>20</v>
      </c>
      <c r="C1712" s="209" t="s">
        <v>3883</v>
      </c>
      <c r="D1712" s="209">
        <v>10</v>
      </c>
      <c r="E1712" s="209">
        <v>10000002</v>
      </c>
      <c r="F1712" s="209">
        <v>20000337</v>
      </c>
      <c r="G1712" s="209" t="s">
        <v>105</v>
      </c>
      <c r="H1712" s="209">
        <v>20000337</v>
      </c>
      <c r="I1712" s="209">
        <v>2</v>
      </c>
      <c r="J1712" s="209" t="s">
        <v>169</v>
      </c>
      <c r="K1712" s="209" t="s">
        <v>3884</v>
      </c>
      <c r="L1712" s="209" t="s">
        <v>2610</v>
      </c>
      <c r="M1712" s="209" t="s">
        <v>199</v>
      </c>
      <c r="N1712" s="209">
        <v>50039815</v>
      </c>
      <c r="O1712" s="209" t="s">
        <v>2454</v>
      </c>
      <c r="P1712" s="209">
        <v>5121</v>
      </c>
      <c r="Q1712" s="209" t="s">
        <v>200</v>
      </c>
      <c r="R1712" s="209" t="s">
        <v>201</v>
      </c>
      <c r="S1712" s="209" t="s">
        <v>202</v>
      </c>
      <c r="T1712" s="209" t="s">
        <v>203</v>
      </c>
      <c r="U1712" s="209" t="s">
        <v>201</v>
      </c>
      <c r="V1712" s="209" t="s">
        <v>179</v>
      </c>
      <c r="W1712" s="209" t="s">
        <v>179</v>
      </c>
      <c r="X1712" s="209" t="s">
        <v>180</v>
      </c>
      <c r="Y1712" s="209" t="s">
        <v>180</v>
      </c>
      <c r="Z1712" s="209" t="s">
        <v>3885</v>
      </c>
      <c r="AA1712" s="209" t="s">
        <v>3886</v>
      </c>
      <c r="AB1712" s="209" t="s">
        <v>180</v>
      </c>
      <c r="AC1712" s="209" t="s">
        <v>182</v>
      </c>
      <c r="AD1712" s="209">
        <v>12</v>
      </c>
      <c r="AE1712" s="209">
        <v>2025</v>
      </c>
      <c r="AF1712" s="227">
        <v>46003</v>
      </c>
      <c r="AG1712" s="227">
        <v>46008</v>
      </c>
      <c r="AH1712" s="227">
        <v>46008</v>
      </c>
      <c r="AI1712" s="228">
        <v>426816</v>
      </c>
      <c r="AJ1712" s="228">
        <v>52</v>
      </c>
      <c r="AK1712" s="228">
        <v>426816</v>
      </c>
      <c r="AL1712" s="228">
        <v>52</v>
      </c>
      <c r="AM1712" s="228">
        <v>0</v>
      </c>
      <c r="AN1712" s="228">
        <v>0</v>
      </c>
      <c r="AO1712" s="229">
        <v>51</v>
      </c>
      <c r="AP1712" s="231">
        <v>12</v>
      </c>
      <c r="AQ1712" s="231">
        <v>2025</v>
      </c>
      <c r="AR1712" s="231" t="str">
        <f t="shared" si="249"/>
        <v>12/2025</v>
      </c>
      <c r="AS1712" s="231">
        <f t="shared" si="250"/>
        <v>46.6</v>
      </c>
      <c r="AT1712" s="239">
        <f>IF(G1712="CERVECERIA Y MALTERIA",(AS1712*AK1712/1000000)*(1-VLOOKUP(N1712,FCST!D:I,6,FALSE)),0)</f>
        <v>15.911700480000002</v>
      </c>
      <c r="AU1712" s="232">
        <v>5.0000000000000001E-3</v>
      </c>
      <c r="AV1712" s="239">
        <f t="shared" si="251"/>
        <v>15.9912589824</v>
      </c>
      <c r="AW1712" s="239">
        <f>(AS1712*AK1712/1000000)*(VLOOKUP(N1712,FCST!D:I,6,FALSE))</f>
        <v>3.9779251200000005</v>
      </c>
      <c r="AX1712" s="239">
        <f t="shared" si="252"/>
        <v>3.9978147455999999</v>
      </c>
      <c r="AY1712" s="239">
        <f>IF($G1712="CERVECERIA Y MALTERIA.",($AS1712*$AK1712/1000000)*(1-VLOOKUP($N1712,FCST!D:I,6,FALSE)),0)</f>
        <v>0</v>
      </c>
      <c r="AZ1712" s="239">
        <f t="shared" si="253"/>
        <v>0</v>
      </c>
    </row>
    <row r="1713" spans="1:52" x14ac:dyDescent="0.25">
      <c r="A1713" s="209">
        <v>1156323</v>
      </c>
      <c r="B1713" s="209">
        <v>80</v>
      </c>
      <c r="C1713" s="209" t="s">
        <v>3887</v>
      </c>
      <c r="D1713" s="209">
        <v>10</v>
      </c>
      <c r="E1713" s="209">
        <v>10000002</v>
      </c>
      <c r="F1713" s="209">
        <v>20000335</v>
      </c>
      <c r="G1713" s="209" t="s">
        <v>105</v>
      </c>
      <c r="H1713" s="209">
        <v>20000335</v>
      </c>
      <c r="I1713" s="209">
        <v>2</v>
      </c>
      <c r="J1713" s="209" t="s">
        <v>169</v>
      </c>
      <c r="K1713" s="209" t="s">
        <v>3888</v>
      </c>
      <c r="L1713" s="209" t="s">
        <v>2610</v>
      </c>
      <c r="M1713" s="209" t="s">
        <v>199</v>
      </c>
      <c r="N1713" s="209">
        <v>50025345</v>
      </c>
      <c r="O1713" s="209" t="s">
        <v>1998</v>
      </c>
      <c r="P1713" s="209">
        <v>5121</v>
      </c>
      <c r="Q1713" s="209" t="s">
        <v>200</v>
      </c>
      <c r="R1713" s="209" t="s">
        <v>201</v>
      </c>
      <c r="S1713" s="209" t="s">
        <v>202</v>
      </c>
      <c r="T1713" s="209" t="s">
        <v>203</v>
      </c>
      <c r="U1713" s="209" t="s">
        <v>201</v>
      </c>
      <c r="V1713" s="209" t="s">
        <v>179</v>
      </c>
      <c r="W1713" s="209" t="s">
        <v>179</v>
      </c>
      <c r="X1713" s="209" t="s">
        <v>180</v>
      </c>
      <c r="Y1713" s="209" t="s">
        <v>180</v>
      </c>
      <c r="Z1713" s="209" t="s">
        <v>3873</v>
      </c>
      <c r="AA1713" s="209" t="s">
        <v>3874</v>
      </c>
      <c r="AB1713" s="209" t="s">
        <v>180</v>
      </c>
      <c r="AC1713" s="209" t="s">
        <v>182</v>
      </c>
      <c r="AD1713" s="209">
        <v>12</v>
      </c>
      <c r="AE1713" s="209">
        <v>2025</v>
      </c>
      <c r="AF1713" s="227">
        <v>46003</v>
      </c>
      <c r="AG1713" s="227">
        <v>46010</v>
      </c>
      <c r="AH1713" s="227">
        <v>46010</v>
      </c>
      <c r="AI1713" s="228">
        <v>426816</v>
      </c>
      <c r="AJ1713" s="228">
        <v>52</v>
      </c>
      <c r="AK1713" s="228">
        <v>426816</v>
      </c>
      <c r="AL1713" s="228">
        <v>52</v>
      </c>
      <c r="AM1713" s="228">
        <v>0</v>
      </c>
      <c r="AN1713" s="228">
        <v>0</v>
      </c>
      <c r="AO1713" s="229">
        <v>51</v>
      </c>
      <c r="AP1713" s="231">
        <v>12</v>
      </c>
      <c r="AQ1713" s="231">
        <v>2025</v>
      </c>
      <c r="AR1713" s="231" t="str">
        <f t="shared" si="249"/>
        <v>12/2025</v>
      </c>
      <c r="AS1713" s="231">
        <f t="shared" si="250"/>
        <v>46.6</v>
      </c>
      <c r="AT1713" s="239">
        <f>IF(G1713="CERVECERIA Y MALTERIA",(AS1713*AK1713/1000000)*(1-VLOOKUP(N1713,FCST!D:I,6,FALSE)),0)</f>
        <v>19.889625600000002</v>
      </c>
      <c r="AU1713" s="232">
        <v>5.0000000000000001E-3</v>
      </c>
      <c r="AV1713" s="239">
        <f t="shared" si="251"/>
        <v>19.989073728000001</v>
      </c>
      <c r="AW1713" s="239">
        <f>(AS1713*AK1713/1000000)*(VLOOKUP(N1713,FCST!D:I,6,FALSE))</f>
        <v>0</v>
      </c>
      <c r="AX1713" s="239">
        <f t="shared" si="252"/>
        <v>0</v>
      </c>
      <c r="AY1713" s="239">
        <f>IF($G1713="CERVECERIA Y MALTERIA.",($AS1713*$AK1713/1000000)*(1-VLOOKUP($N1713,FCST!D:I,6,FALSE)),0)</f>
        <v>0</v>
      </c>
      <c r="AZ1713" s="239">
        <f t="shared" si="253"/>
        <v>0</v>
      </c>
    </row>
    <row r="1714" spans="1:52" x14ac:dyDescent="0.25">
      <c r="A1714" s="209">
        <v>1157333</v>
      </c>
      <c r="B1714" s="209">
        <v>10</v>
      </c>
      <c r="C1714" s="209" t="s">
        <v>3889</v>
      </c>
      <c r="D1714" s="209">
        <v>10</v>
      </c>
      <c r="E1714" s="209">
        <v>10000002</v>
      </c>
      <c r="F1714" s="209">
        <v>20000339</v>
      </c>
      <c r="G1714" s="209" t="s">
        <v>105</v>
      </c>
      <c r="H1714" s="209">
        <v>20000339</v>
      </c>
      <c r="I1714" s="209">
        <v>2</v>
      </c>
      <c r="J1714" s="209" t="s">
        <v>169</v>
      </c>
      <c r="K1714" s="209" t="s">
        <v>3890</v>
      </c>
      <c r="L1714" s="209" t="s">
        <v>2610</v>
      </c>
      <c r="M1714" s="209" t="s">
        <v>227</v>
      </c>
      <c r="N1714" s="209">
        <v>50036287</v>
      </c>
      <c r="O1714" s="209" t="s">
        <v>2191</v>
      </c>
      <c r="P1714" s="209">
        <v>5121</v>
      </c>
      <c r="Q1714" s="209" t="s">
        <v>228</v>
      </c>
      <c r="R1714" s="209" t="s">
        <v>229</v>
      </c>
      <c r="S1714" s="209" t="s">
        <v>230</v>
      </c>
      <c r="T1714" s="209" t="s">
        <v>231</v>
      </c>
      <c r="U1714" s="209" t="s">
        <v>232</v>
      </c>
      <c r="V1714" s="209" t="s">
        <v>179</v>
      </c>
      <c r="W1714" s="209" t="s">
        <v>179</v>
      </c>
      <c r="X1714" s="209" t="s">
        <v>180</v>
      </c>
      <c r="Y1714" s="209" t="s">
        <v>180</v>
      </c>
      <c r="Z1714" s="209" t="s">
        <v>3891</v>
      </c>
      <c r="AA1714" s="209" t="s">
        <v>3892</v>
      </c>
      <c r="AB1714" s="209" t="s">
        <v>180</v>
      </c>
      <c r="AC1714" s="209" t="s">
        <v>182</v>
      </c>
      <c r="AD1714" s="209">
        <v>12</v>
      </c>
      <c r="AE1714" s="209">
        <v>2025</v>
      </c>
      <c r="AF1714" s="227">
        <v>46009</v>
      </c>
      <c r="AG1714" s="227">
        <v>46010</v>
      </c>
      <c r="AH1714" s="227">
        <v>46010</v>
      </c>
      <c r="AI1714" s="228">
        <v>181584</v>
      </c>
      <c r="AJ1714" s="228">
        <v>26</v>
      </c>
      <c r="AK1714" s="228">
        <v>181584</v>
      </c>
      <c r="AL1714" s="228">
        <v>26</v>
      </c>
      <c r="AM1714" s="228">
        <v>0</v>
      </c>
      <c r="AN1714" s="228">
        <v>0</v>
      </c>
      <c r="AO1714" s="229">
        <v>51</v>
      </c>
      <c r="AP1714" s="231">
        <v>12</v>
      </c>
      <c r="AQ1714" s="231">
        <v>2025</v>
      </c>
      <c r="AR1714" s="231" t="str">
        <f t="shared" si="249"/>
        <v>12/2025</v>
      </c>
      <c r="AS1714" s="231">
        <f t="shared" si="250"/>
        <v>52</v>
      </c>
      <c r="AT1714" s="239">
        <f>IF(G1714="CERVECERIA Y MALTERIA",(AS1714*AK1714/1000000)*(1-VLOOKUP(N1714,FCST!D:I,6,FALSE)),0)</f>
        <v>9.4423680000000001</v>
      </c>
      <c r="AU1714" s="232">
        <v>5.0000000000000001E-3</v>
      </c>
      <c r="AV1714" s="239">
        <f t="shared" si="251"/>
        <v>9.4895798399999993</v>
      </c>
      <c r="AW1714" s="239">
        <f>(AS1714*AK1714/1000000)*(VLOOKUP(N1714,FCST!D:I,6,FALSE))</f>
        <v>0</v>
      </c>
      <c r="AX1714" s="239">
        <f t="shared" si="252"/>
        <v>0</v>
      </c>
      <c r="AY1714" s="239">
        <f>IF($G1714="CERVECERIA Y MALTERIA.",($AS1714*$AK1714/1000000)*(1-VLOOKUP($N1714,FCST!D:I,6,FALSE)),0)</f>
        <v>0</v>
      </c>
      <c r="AZ1714" s="239">
        <f t="shared" si="253"/>
        <v>0</v>
      </c>
    </row>
    <row r="1715" spans="1:52" x14ac:dyDescent="0.25">
      <c r="A1715" s="209">
        <v>1158275</v>
      </c>
      <c r="B1715" s="209">
        <v>30</v>
      </c>
      <c r="C1715" s="209" t="s">
        <v>3893</v>
      </c>
      <c r="D1715" s="209">
        <v>10</v>
      </c>
      <c r="E1715" s="209">
        <v>10000002</v>
      </c>
      <c r="F1715" s="209">
        <v>20000336</v>
      </c>
      <c r="G1715" s="209" t="s">
        <v>105</v>
      </c>
      <c r="H1715" s="209">
        <v>20000336</v>
      </c>
      <c r="I1715" s="209">
        <v>2</v>
      </c>
      <c r="J1715" s="209" t="s">
        <v>169</v>
      </c>
      <c r="K1715" s="209" t="s">
        <v>3894</v>
      </c>
      <c r="L1715" s="209" t="s">
        <v>2610</v>
      </c>
      <c r="M1715" s="209" t="s">
        <v>199</v>
      </c>
      <c r="N1715" s="209">
        <v>50024497</v>
      </c>
      <c r="O1715" s="209" t="s">
        <v>1352</v>
      </c>
      <c r="P1715" s="209">
        <v>5121</v>
      </c>
      <c r="Q1715" s="209" t="s">
        <v>200</v>
      </c>
      <c r="R1715" s="209" t="s">
        <v>201</v>
      </c>
      <c r="S1715" s="209" t="s">
        <v>202</v>
      </c>
      <c r="T1715" s="209" t="s">
        <v>203</v>
      </c>
      <c r="U1715" s="209" t="s">
        <v>201</v>
      </c>
      <c r="V1715" s="209" t="s">
        <v>179</v>
      </c>
      <c r="W1715" s="209" t="s">
        <v>179</v>
      </c>
      <c r="X1715" s="209" t="s">
        <v>180</v>
      </c>
      <c r="Y1715" s="209" t="s">
        <v>180</v>
      </c>
      <c r="Z1715" s="209" t="s">
        <v>3895</v>
      </c>
      <c r="AA1715" s="209" t="s">
        <v>3896</v>
      </c>
      <c r="AB1715" s="209" t="s">
        <v>180</v>
      </c>
      <c r="AC1715" s="209" t="s">
        <v>182</v>
      </c>
      <c r="AD1715" s="209">
        <v>12</v>
      </c>
      <c r="AE1715" s="209">
        <v>2025</v>
      </c>
      <c r="AF1715" s="227">
        <v>46017</v>
      </c>
      <c r="AG1715" s="227">
        <v>46022</v>
      </c>
      <c r="AH1715" s="227">
        <v>46022</v>
      </c>
      <c r="AI1715" s="228">
        <v>351936</v>
      </c>
      <c r="AJ1715" s="228">
        <v>52</v>
      </c>
      <c r="AK1715" s="228">
        <v>351936</v>
      </c>
      <c r="AL1715" s="228">
        <v>52</v>
      </c>
      <c r="AM1715" s="228">
        <v>0</v>
      </c>
      <c r="AN1715" s="228">
        <v>0</v>
      </c>
      <c r="AO1715" s="229">
        <v>1</v>
      </c>
      <c r="AP1715" s="231">
        <v>12</v>
      </c>
      <c r="AQ1715" s="231">
        <v>2025</v>
      </c>
      <c r="AR1715" s="231" t="str">
        <f t="shared" si="249"/>
        <v>12/2025</v>
      </c>
      <c r="AS1715" s="231">
        <f t="shared" si="250"/>
        <v>54.7</v>
      </c>
      <c r="AT1715" s="239">
        <f>IF(G1715="CERVECERIA Y MALTERIA",(AS1715*AK1715/1000000)*(1-VLOOKUP(N1715,FCST!D:I,6,FALSE)),0)</f>
        <v>19.250899199999999</v>
      </c>
      <c r="AU1715" s="232">
        <v>5.0000000000000001E-3</v>
      </c>
      <c r="AV1715" s="239">
        <f t="shared" si="251"/>
        <v>19.347153695999996</v>
      </c>
      <c r="AW1715" s="239">
        <f>(AS1715*AK1715/1000000)*(VLOOKUP(N1715,FCST!D:I,6,FALSE))</f>
        <v>0</v>
      </c>
      <c r="AX1715" s="239">
        <f t="shared" si="252"/>
        <v>0</v>
      </c>
      <c r="AY1715" s="239">
        <f>IF($G1715="CERVECERIA Y MALTERIA.",($AS1715*$AK1715/1000000)*(1-VLOOKUP($N1715,FCST!D:I,6,FALSE)),0)</f>
        <v>0</v>
      </c>
      <c r="AZ1715" s="239">
        <f t="shared" si="253"/>
        <v>0</v>
      </c>
    </row>
    <row r="1716" spans="1:52" x14ac:dyDescent="0.25">
      <c r="A1716" s="209">
        <v>1157496</v>
      </c>
      <c r="B1716" s="209">
        <v>110</v>
      </c>
      <c r="C1716" s="209" t="s">
        <v>3897</v>
      </c>
      <c r="D1716" s="209">
        <v>10</v>
      </c>
      <c r="E1716" s="209">
        <v>10000002</v>
      </c>
      <c r="F1716" s="209">
        <v>20000335</v>
      </c>
      <c r="G1716" s="209" t="s">
        <v>105</v>
      </c>
      <c r="H1716" s="209">
        <v>20000335</v>
      </c>
      <c r="I1716" s="209">
        <v>2</v>
      </c>
      <c r="J1716" s="209" t="s">
        <v>169</v>
      </c>
      <c r="K1716" s="209" t="s">
        <v>3898</v>
      </c>
      <c r="L1716" s="209" t="s">
        <v>2610</v>
      </c>
      <c r="M1716" s="209" t="s">
        <v>199</v>
      </c>
      <c r="N1716" s="209">
        <v>50025345</v>
      </c>
      <c r="O1716" s="209" t="s">
        <v>1998</v>
      </c>
      <c r="P1716" s="209">
        <v>5121</v>
      </c>
      <c r="Q1716" s="209" t="s">
        <v>200</v>
      </c>
      <c r="R1716" s="209" t="s">
        <v>201</v>
      </c>
      <c r="S1716" s="209" t="s">
        <v>202</v>
      </c>
      <c r="T1716" s="209" t="s">
        <v>203</v>
      </c>
      <c r="U1716" s="209" t="s">
        <v>201</v>
      </c>
      <c r="V1716" s="209" t="s">
        <v>179</v>
      </c>
      <c r="W1716" s="209" t="s">
        <v>179</v>
      </c>
      <c r="X1716" s="209" t="s">
        <v>180</v>
      </c>
      <c r="Y1716" s="209" t="s">
        <v>180</v>
      </c>
      <c r="Z1716" s="209" t="s">
        <v>3857</v>
      </c>
      <c r="AA1716" s="209" t="s">
        <v>3858</v>
      </c>
      <c r="AB1716" s="209" t="s">
        <v>180</v>
      </c>
      <c r="AC1716" s="209" t="s">
        <v>182</v>
      </c>
      <c r="AD1716" s="209">
        <v>12</v>
      </c>
      <c r="AE1716" s="209">
        <v>2025</v>
      </c>
      <c r="AF1716" s="227">
        <v>46010</v>
      </c>
      <c r="AG1716" s="227">
        <v>46017</v>
      </c>
      <c r="AH1716" s="227">
        <v>46017</v>
      </c>
      <c r="AI1716" s="228">
        <v>426816</v>
      </c>
      <c r="AJ1716" s="228">
        <v>52</v>
      </c>
      <c r="AK1716" s="228">
        <v>426816</v>
      </c>
      <c r="AL1716" s="228">
        <v>52</v>
      </c>
      <c r="AM1716" s="228">
        <v>0</v>
      </c>
      <c r="AN1716" s="228">
        <v>0</v>
      </c>
      <c r="AO1716" s="229">
        <v>52</v>
      </c>
      <c r="AP1716" s="231">
        <v>12</v>
      </c>
      <c r="AQ1716" s="231">
        <v>2025</v>
      </c>
      <c r="AR1716" s="231" t="str">
        <f t="shared" si="249"/>
        <v>12/2025</v>
      </c>
      <c r="AS1716" s="231">
        <f t="shared" si="250"/>
        <v>46.6</v>
      </c>
      <c r="AT1716" s="239">
        <f>IF(G1716="CERVECERIA Y MALTERIA",(AS1716*AK1716/1000000)*(1-VLOOKUP(N1716,FCST!D:I,6,FALSE)),0)</f>
        <v>19.889625600000002</v>
      </c>
      <c r="AU1716" s="232">
        <v>5.0000000000000001E-3</v>
      </c>
      <c r="AV1716" s="239">
        <f t="shared" si="251"/>
        <v>19.989073728000001</v>
      </c>
      <c r="AW1716" s="239">
        <f>(AS1716*AK1716/1000000)*(VLOOKUP(N1716,FCST!D:I,6,FALSE))</f>
        <v>0</v>
      </c>
      <c r="AX1716" s="239">
        <f t="shared" si="252"/>
        <v>0</v>
      </c>
      <c r="AY1716" s="239">
        <f>IF($G1716="CERVECERIA Y MALTERIA.",($AS1716*$AK1716/1000000)*(1-VLOOKUP($N1716,FCST!D:I,6,FALSE)),0)</f>
        <v>0</v>
      </c>
      <c r="AZ1716" s="239">
        <f t="shared" si="253"/>
        <v>0</v>
      </c>
    </row>
    <row r="1717" spans="1:52" x14ac:dyDescent="0.25">
      <c r="A1717" s="209">
        <v>1157496</v>
      </c>
      <c r="B1717" s="209">
        <v>120</v>
      </c>
      <c r="C1717" s="209" t="s">
        <v>3899</v>
      </c>
      <c r="D1717" s="209">
        <v>10</v>
      </c>
      <c r="E1717" s="209">
        <v>10000002</v>
      </c>
      <c r="F1717" s="209">
        <v>20000335</v>
      </c>
      <c r="G1717" s="209" t="s">
        <v>105</v>
      </c>
      <c r="H1717" s="209">
        <v>20000335</v>
      </c>
      <c r="I1717" s="209">
        <v>2</v>
      </c>
      <c r="J1717" s="209" t="s">
        <v>169</v>
      </c>
      <c r="K1717" s="209" t="s">
        <v>3900</v>
      </c>
      <c r="L1717" s="209" t="s">
        <v>2610</v>
      </c>
      <c r="M1717" s="209" t="s">
        <v>199</v>
      </c>
      <c r="N1717" s="209">
        <v>50025345</v>
      </c>
      <c r="O1717" s="209" t="s">
        <v>1998</v>
      </c>
      <c r="P1717" s="209">
        <v>5121</v>
      </c>
      <c r="Q1717" s="209" t="s">
        <v>200</v>
      </c>
      <c r="R1717" s="209" t="s">
        <v>201</v>
      </c>
      <c r="S1717" s="209" t="s">
        <v>202</v>
      </c>
      <c r="T1717" s="209" t="s">
        <v>203</v>
      </c>
      <c r="U1717" s="209" t="s">
        <v>201</v>
      </c>
      <c r="V1717" s="209" t="s">
        <v>179</v>
      </c>
      <c r="W1717" s="209" t="s">
        <v>179</v>
      </c>
      <c r="X1717" s="209" t="s">
        <v>180</v>
      </c>
      <c r="Y1717" s="209" t="s">
        <v>180</v>
      </c>
      <c r="Z1717" s="209" t="s">
        <v>3857</v>
      </c>
      <c r="AA1717" s="209" t="s">
        <v>3858</v>
      </c>
      <c r="AB1717" s="209" t="s">
        <v>180</v>
      </c>
      <c r="AC1717" s="209" t="s">
        <v>182</v>
      </c>
      <c r="AD1717" s="209">
        <v>12</v>
      </c>
      <c r="AE1717" s="209">
        <v>2025</v>
      </c>
      <c r="AF1717" s="227">
        <v>46010</v>
      </c>
      <c r="AG1717" s="227">
        <v>46017</v>
      </c>
      <c r="AH1717" s="227">
        <v>46017</v>
      </c>
      <c r="AI1717" s="228">
        <v>426816</v>
      </c>
      <c r="AJ1717" s="228">
        <v>52</v>
      </c>
      <c r="AK1717" s="228">
        <v>426816</v>
      </c>
      <c r="AL1717" s="228">
        <v>52</v>
      </c>
      <c r="AM1717" s="228">
        <v>0</v>
      </c>
      <c r="AN1717" s="228">
        <v>0</v>
      </c>
      <c r="AO1717" s="229">
        <v>52</v>
      </c>
      <c r="AP1717" s="231">
        <v>12</v>
      </c>
      <c r="AQ1717" s="231">
        <v>2025</v>
      </c>
      <c r="AR1717" s="231" t="str">
        <f t="shared" si="249"/>
        <v>12/2025</v>
      </c>
      <c r="AS1717" s="231">
        <f t="shared" si="250"/>
        <v>46.6</v>
      </c>
      <c r="AT1717" s="239">
        <f>IF(G1717="CERVECERIA Y MALTERIA",(AS1717*AK1717/1000000)*(1-VLOOKUP(N1717,FCST!D:I,6,FALSE)),0)</f>
        <v>19.889625600000002</v>
      </c>
      <c r="AU1717" s="232">
        <v>5.0000000000000001E-3</v>
      </c>
      <c r="AV1717" s="239">
        <f t="shared" si="251"/>
        <v>19.989073728000001</v>
      </c>
      <c r="AW1717" s="239">
        <f>(AS1717*AK1717/1000000)*(VLOOKUP(N1717,FCST!D:I,6,FALSE))</f>
        <v>0</v>
      </c>
      <c r="AX1717" s="239">
        <f t="shared" si="252"/>
        <v>0</v>
      </c>
      <c r="AY1717" s="239">
        <f>IF($G1717="CERVECERIA Y MALTERIA.",($AS1717*$AK1717/1000000)*(1-VLOOKUP($N1717,FCST!D:I,6,FALSE)),0)</f>
        <v>0</v>
      </c>
      <c r="AZ1717" s="239">
        <f t="shared" si="253"/>
        <v>0</v>
      </c>
    </row>
    <row r="1718" spans="1:52" x14ac:dyDescent="0.25">
      <c r="A1718" s="209">
        <v>1158274</v>
      </c>
      <c r="B1718" s="209">
        <v>10</v>
      </c>
      <c r="C1718" s="209" t="s">
        <v>3901</v>
      </c>
      <c r="D1718" s="209">
        <v>10</v>
      </c>
      <c r="E1718" s="209">
        <v>10000002</v>
      </c>
      <c r="F1718" s="209">
        <v>20000339</v>
      </c>
      <c r="G1718" s="209" t="s">
        <v>105</v>
      </c>
      <c r="H1718" s="209">
        <v>20000339</v>
      </c>
      <c r="I1718" s="209">
        <v>2</v>
      </c>
      <c r="J1718" s="209" t="s">
        <v>169</v>
      </c>
      <c r="K1718" s="209" t="s">
        <v>3902</v>
      </c>
      <c r="L1718" s="209" t="s">
        <v>2610</v>
      </c>
      <c r="M1718" s="209" t="s">
        <v>227</v>
      </c>
      <c r="N1718" s="209">
        <v>50036287</v>
      </c>
      <c r="O1718" s="209" t="s">
        <v>2191</v>
      </c>
      <c r="P1718" s="209">
        <v>5121</v>
      </c>
      <c r="Q1718" s="209" t="s">
        <v>228</v>
      </c>
      <c r="R1718" s="209" t="s">
        <v>229</v>
      </c>
      <c r="S1718" s="209" t="s">
        <v>230</v>
      </c>
      <c r="T1718" s="209" t="s">
        <v>231</v>
      </c>
      <c r="U1718" s="209" t="s">
        <v>232</v>
      </c>
      <c r="V1718" s="209" t="s">
        <v>179</v>
      </c>
      <c r="W1718" s="209" t="s">
        <v>179</v>
      </c>
      <c r="X1718" s="209" t="s">
        <v>180</v>
      </c>
      <c r="Y1718" s="209" t="s">
        <v>180</v>
      </c>
      <c r="Z1718" s="209" t="s">
        <v>3903</v>
      </c>
      <c r="AA1718" s="209" t="s">
        <v>3904</v>
      </c>
      <c r="AB1718" s="209" t="s">
        <v>180</v>
      </c>
      <c r="AC1718" s="209" t="s">
        <v>182</v>
      </c>
      <c r="AD1718" s="209">
        <v>12</v>
      </c>
      <c r="AE1718" s="209">
        <v>2025</v>
      </c>
      <c r="AF1718" s="227">
        <v>46017</v>
      </c>
      <c r="AG1718" s="227">
        <v>46020</v>
      </c>
      <c r="AH1718" s="227">
        <v>46020</v>
      </c>
      <c r="AI1718" s="228">
        <v>181584</v>
      </c>
      <c r="AJ1718" s="228">
        <v>26</v>
      </c>
      <c r="AK1718" s="228">
        <v>181584</v>
      </c>
      <c r="AL1718" s="228">
        <v>26</v>
      </c>
      <c r="AM1718" s="228">
        <v>0</v>
      </c>
      <c r="AN1718" s="228">
        <v>0</v>
      </c>
      <c r="AO1718" s="229">
        <v>1</v>
      </c>
      <c r="AP1718" s="231">
        <v>12</v>
      </c>
      <c r="AQ1718" s="231">
        <v>2025</v>
      </c>
      <c r="AR1718" s="231" t="str">
        <f t="shared" si="249"/>
        <v>12/2025</v>
      </c>
      <c r="AS1718" s="231">
        <f t="shared" si="250"/>
        <v>52</v>
      </c>
      <c r="AT1718" s="239">
        <f>IF(G1718="CERVECERIA Y MALTERIA",(AS1718*AK1718/1000000)*(1-VLOOKUP(N1718,FCST!D:I,6,FALSE)),0)</f>
        <v>9.4423680000000001</v>
      </c>
      <c r="AU1718" s="232">
        <v>5.0000000000000001E-3</v>
      </c>
      <c r="AV1718" s="239">
        <f t="shared" si="251"/>
        <v>9.4895798399999993</v>
      </c>
      <c r="AW1718" s="239">
        <f>(AS1718*AK1718/1000000)*(VLOOKUP(N1718,FCST!D:I,6,FALSE))</f>
        <v>0</v>
      </c>
      <c r="AX1718" s="239">
        <f t="shared" si="252"/>
        <v>0</v>
      </c>
      <c r="AY1718" s="239">
        <f>IF($G1718="CERVECERIA Y MALTERIA.",($AS1718*$AK1718/1000000)*(1-VLOOKUP($N1718,FCST!D:I,6,FALSE)),0)</f>
        <v>0</v>
      </c>
      <c r="AZ1718" s="239">
        <f t="shared" si="253"/>
        <v>0</v>
      </c>
    </row>
    <row r="1719" spans="1:52" x14ac:dyDescent="0.25">
      <c r="A1719" s="209">
        <v>1158260</v>
      </c>
      <c r="B1719" s="209">
        <v>70</v>
      </c>
      <c r="C1719" s="209" t="s">
        <v>3905</v>
      </c>
      <c r="D1719" s="209">
        <v>10</v>
      </c>
      <c r="E1719" s="209">
        <v>10000002</v>
      </c>
      <c r="F1719" s="209">
        <v>20000335</v>
      </c>
      <c r="G1719" s="209" t="s">
        <v>105</v>
      </c>
      <c r="H1719" s="209">
        <v>20000335</v>
      </c>
      <c r="I1719" s="209">
        <v>2</v>
      </c>
      <c r="J1719" s="209" t="s">
        <v>169</v>
      </c>
      <c r="K1719" s="209" t="s">
        <v>3906</v>
      </c>
      <c r="L1719" s="209" t="s">
        <v>2610</v>
      </c>
      <c r="M1719" s="209" t="s">
        <v>199</v>
      </c>
      <c r="N1719" s="209">
        <v>50025345</v>
      </c>
      <c r="O1719" s="209" t="s">
        <v>1998</v>
      </c>
      <c r="P1719" s="209">
        <v>5121</v>
      </c>
      <c r="Q1719" s="209" t="s">
        <v>200</v>
      </c>
      <c r="R1719" s="209" t="s">
        <v>201</v>
      </c>
      <c r="S1719" s="209" t="s">
        <v>202</v>
      </c>
      <c r="T1719" s="209" t="s">
        <v>203</v>
      </c>
      <c r="U1719" s="209" t="s">
        <v>201</v>
      </c>
      <c r="V1719" s="209" t="s">
        <v>179</v>
      </c>
      <c r="W1719" s="209" t="s">
        <v>179</v>
      </c>
      <c r="X1719" s="209" t="s">
        <v>180</v>
      </c>
      <c r="Y1719" s="209" t="s">
        <v>180</v>
      </c>
      <c r="Z1719" s="209" t="s">
        <v>3907</v>
      </c>
      <c r="AA1719" s="209" t="s">
        <v>3908</v>
      </c>
      <c r="AB1719" s="209" t="s">
        <v>180</v>
      </c>
      <c r="AC1719" s="209" t="s">
        <v>182</v>
      </c>
      <c r="AD1719" s="209">
        <v>12</v>
      </c>
      <c r="AE1719" s="209">
        <v>2025</v>
      </c>
      <c r="AF1719" s="227">
        <v>46017</v>
      </c>
      <c r="AG1719" s="227">
        <v>46020</v>
      </c>
      <c r="AH1719" s="227">
        <v>46020</v>
      </c>
      <c r="AI1719" s="228">
        <v>426816</v>
      </c>
      <c r="AJ1719" s="228">
        <v>52</v>
      </c>
      <c r="AK1719" s="228">
        <v>426816</v>
      </c>
      <c r="AL1719" s="228">
        <v>52</v>
      </c>
      <c r="AM1719" s="228">
        <v>0</v>
      </c>
      <c r="AN1719" s="228">
        <v>0</v>
      </c>
      <c r="AO1719" s="229">
        <v>1</v>
      </c>
      <c r="AP1719" s="231">
        <v>12</v>
      </c>
      <c r="AQ1719" s="231">
        <v>2025</v>
      </c>
      <c r="AR1719" s="231" t="str">
        <f t="shared" si="249"/>
        <v>12/2025</v>
      </c>
      <c r="AS1719" s="231">
        <f t="shared" si="250"/>
        <v>46.6</v>
      </c>
      <c r="AT1719" s="239">
        <f>IF(G1719="CERVECERIA Y MALTERIA",(AS1719*AK1719/1000000)*(1-VLOOKUP(N1719,FCST!D:I,6,FALSE)),0)</f>
        <v>19.889625600000002</v>
      </c>
      <c r="AU1719" s="232">
        <v>5.0000000000000001E-3</v>
      </c>
      <c r="AV1719" s="239">
        <f t="shared" si="251"/>
        <v>19.989073728000001</v>
      </c>
      <c r="AW1719" s="239">
        <f>(AS1719*AK1719/1000000)*(VLOOKUP(N1719,FCST!D:I,6,FALSE))</f>
        <v>0</v>
      </c>
      <c r="AX1719" s="239">
        <f t="shared" si="252"/>
        <v>0</v>
      </c>
      <c r="AY1719" s="239">
        <f>IF($G1719="CERVECERIA Y MALTERIA.",($AS1719*$AK1719/1000000)*(1-VLOOKUP($N1719,FCST!D:I,6,FALSE)),0)</f>
        <v>0</v>
      </c>
      <c r="AZ1719" s="239">
        <f t="shared" si="253"/>
        <v>0</v>
      </c>
    </row>
    <row r="1720" spans="1:52" x14ac:dyDescent="0.25">
      <c r="A1720" s="209">
        <v>1158275</v>
      </c>
      <c r="B1720" s="209">
        <v>10</v>
      </c>
      <c r="C1720" s="209" t="s">
        <v>3909</v>
      </c>
      <c r="D1720" s="209">
        <v>10</v>
      </c>
      <c r="E1720" s="209">
        <v>10000002</v>
      </c>
      <c r="F1720" s="209">
        <v>20000336</v>
      </c>
      <c r="G1720" s="209" t="s">
        <v>105</v>
      </c>
      <c r="H1720" s="209">
        <v>20000336</v>
      </c>
      <c r="I1720" s="209">
        <v>2</v>
      </c>
      <c r="J1720" s="209" t="s">
        <v>169</v>
      </c>
      <c r="K1720" s="209" t="s">
        <v>3910</v>
      </c>
      <c r="L1720" s="209" t="s">
        <v>2610</v>
      </c>
      <c r="M1720" s="209" t="s">
        <v>199</v>
      </c>
      <c r="N1720" s="209">
        <v>50030381</v>
      </c>
      <c r="O1720" s="209" t="s">
        <v>1791</v>
      </c>
      <c r="P1720" s="209">
        <v>5121</v>
      </c>
      <c r="Q1720" s="209" t="s">
        <v>200</v>
      </c>
      <c r="R1720" s="209" t="s">
        <v>201</v>
      </c>
      <c r="S1720" s="209" t="s">
        <v>202</v>
      </c>
      <c r="T1720" s="209" t="s">
        <v>203</v>
      </c>
      <c r="U1720" s="209" t="s">
        <v>201</v>
      </c>
      <c r="V1720" s="209" t="s">
        <v>179</v>
      </c>
      <c r="W1720" s="209" t="s">
        <v>179</v>
      </c>
      <c r="X1720" s="209" t="s">
        <v>180</v>
      </c>
      <c r="Y1720" s="209" t="s">
        <v>180</v>
      </c>
      <c r="Z1720" s="209" t="s">
        <v>3911</v>
      </c>
      <c r="AA1720" s="209" t="s">
        <v>3912</v>
      </c>
      <c r="AB1720" s="209" t="s">
        <v>180</v>
      </c>
      <c r="AC1720" s="209" t="s">
        <v>182</v>
      </c>
      <c r="AD1720" s="209">
        <v>12</v>
      </c>
      <c r="AE1720" s="209">
        <v>2025</v>
      </c>
      <c r="AF1720" s="227">
        <v>46017</v>
      </c>
      <c r="AG1720" s="227">
        <v>46020</v>
      </c>
      <c r="AH1720" s="227">
        <v>46020</v>
      </c>
      <c r="AI1720" s="228">
        <v>249856</v>
      </c>
      <c r="AJ1720" s="228">
        <v>32</v>
      </c>
      <c r="AK1720" s="228">
        <v>249856</v>
      </c>
      <c r="AL1720" s="228">
        <v>32</v>
      </c>
      <c r="AM1720" s="228">
        <v>0</v>
      </c>
      <c r="AN1720" s="228">
        <v>0</v>
      </c>
      <c r="AO1720" s="229">
        <v>1</v>
      </c>
      <c r="AP1720" s="231">
        <v>12</v>
      </c>
      <c r="AQ1720" s="231">
        <v>2025</v>
      </c>
      <c r="AR1720" s="231" t="str">
        <f t="shared" si="249"/>
        <v>12/2025</v>
      </c>
      <c r="AS1720" s="231">
        <f t="shared" si="250"/>
        <v>46.6</v>
      </c>
      <c r="AT1720" s="239">
        <f>IF(G1720="CERVECERIA Y MALTERIA",(AS1720*AK1720/1000000)*(1-VLOOKUP(N1720,FCST!D:I,6,FALSE)),0)</f>
        <v>11.643289599999999</v>
      </c>
      <c r="AU1720" s="232">
        <v>5.0000000000000001E-3</v>
      </c>
      <c r="AV1720" s="239">
        <f t="shared" si="251"/>
        <v>11.701506047999999</v>
      </c>
      <c r="AW1720" s="239">
        <f>(AS1720*AK1720/1000000)*(VLOOKUP(N1720,FCST!D:I,6,FALSE))</f>
        <v>0</v>
      </c>
      <c r="AX1720" s="239">
        <f t="shared" si="252"/>
        <v>0</v>
      </c>
      <c r="AY1720" s="239">
        <f>IF($G1720="CERVECERIA Y MALTERIA.",($AS1720*$AK1720/1000000)*(1-VLOOKUP($N1720,FCST!D:I,6,FALSE)),0)</f>
        <v>0</v>
      </c>
      <c r="AZ1720" s="239">
        <f t="shared" si="253"/>
        <v>0</v>
      </c>
    </row>
    <row r="1721" spans="1:52" x14ac:dyDescent="0.25">
      <c r="A1721" s="209">
        <v>1153742</v>
      </c>
      <c r="B1721" s="209">
        <v>70</v>
      </c>
      <c r="C1721" s="209" t="s">
        <v>3913</v>
      </c>
      <c r="D1721" s="209">
        <v>10</v>
      </c>
      <c r="E1721" s="209">
        <v>10000002</v>
      </c>
      <c r="F1721" s="209">
        <v>20000335</v>
      </c>
      <c r="G1721" s="209" t="s">
        <v>105</v>
      </c>
      <c r="H1721" s="209">
        <v>20000335</v>
      </c>
      <c r="I1721" s="209">
        <v>2</v>
      </c>
      <c r="J1721" s="209" t="s">
        <v>169</v>
      </c>
      <c r="K1721" s="209" t="s">
        <v>3914</v>
      </c>
      <c r="L1721" s="209" t="s">
        <v>2610</v>
      </c>
      <c r="M1721" s="209" t="s">
        <v>199</v>
      </c>
      <c r="N1721" s="209">
        <v>50025345</v>
      </c>
      <c r="O1721" s="209" t="s">
        <v>1998</v>
      </c>
      <c r="P1721" s="209">
        <v>5121</v>
      </c>
      <c r="Q1721" s="209" t="s">
        <v>200</v>
      </c>
      <c r="R1721" s="209" t="s">
        <v>201</v>
      </c>
      <c r="S1721" s="209" t="s">
        <v>202</v>
      </c>
      <c r="T1721" s="209" t="s">
        <v>203</v>
      </c>
      <c r="U1721" s="209" t="s">
        <v>201</v>
      </c>
      <c r="V1721" s="209" t="s">
        <v>179</v>
      </c>
      <c r="W1721" s="209" t="s">
        <v>179</v>
      </c>
      <c r="X1721" s="209" t="s">
        <v>180</v>
      </c>
      <c r="Y1721" s="209" t="s">
        <v>180</v>
      </c>
      <c r="Z1721" s="209" t="s">
        <v>3873</v>
      </c>
      <c r="AA1721" s="209" t="s">
        <v>3874</v>
      </c>
      <c r="AB1721" s="209" t="s">
        <v>180</v>
      </c>
      <c r="AC1721" s="209" t="s">
        <v>182</v>
      </c>
      <c r="AD1721" s="209">
        <v>12</v>
      </c>
      <c r="AE1721" s="209">
        <v>2025</v>
      </c>
      <c r="AF1721" s="227">
        <v>45989</v>
      </c>
      <c r="AG1721" s="227">
        <v>45996</v>
      </c>
      <c r="AH1721" s="227">
        <v>45996</v>
      </c>
      <c r="AI1721" s="228">
        <v>426816</v>
      </c>
      <c r="AJ1721" s="228">
        <v>52</v>
      </c>
      <c r="AK1721" s="228">
        <v>426816</v>
      </c>
      <c r="AL1721" s="228">
        <v>52</v>
      </c>
      <c r="AM1721" s="228">
        <v>0</v>
      </c>
      <c r="AN1721" s="228">
        <v>0</v>
      </c>
      <c r="AO1721" s="229">
        <v>49</v>
      </c>
      <c r="AP1721" s="231">
        <v>12</v>
      </c>
      <c r="AQ1721" s="231">
        <v>2025</v>
      </c>
      <c r="AR1721" s="231" t="str">
        <f t="shared" si="249"/>
        <v>12/2025</v>
      </c>
      <c r="AS1721" s="231">
        <f t="shared" si="250"/>
        <v>46.6</v>
      </c>
      <c r="AT1721" s="239">
        <f>IF(G1721="CERVECERIA Y MALTERIA",(AS1721*AK1721/1000000)*(1-VLOOKUP(N1721,FCST!D:I,6,FALSE)),0)</f>
        <v>19.889625600000002</v>
      </c>
      <c r="AU1721" s="232">
        <v>5.0000000000000001E-3</v>
      </c>
      <c r="AV1721" s="239">
        <f t="shared" si="251"/>
        <v>19.989073728000001</v>
      </c>
      <c r="AW1721" s="239">
        <f>(AS1721*AK1721/1000000)*(VLOOKUP(N1721,FCST!D:I,6,FALSE))</f>
        <v>0</v>
      </c>
      <c r="AX1721" s="239">
        <f t="shared" si="252"/>
        <v>0</v>
      </c>
      <c r="AY1721" s="239">
        <f>IF($G1721="CERVECERIA Y MALTERIA.",($AS1721*$AK1721/1000000)*(1-VLOOKUP($N1721,FCST!D:I,6,FALSE)),0)</f>
        <v>0</v>
      </c>
      <c r="AZ1721" s="239">
        <f t="shared" si="253"/>
        <v>0</v>
      </c>
    </row>
    <row r="1722" spans="1:52" x14ac:dyDescent="0.25">
      <c r="A1722" s="209">
        <v>1153742</v>
      </c>
      <c r="B1722" s="209">
        <v>80</v>
      </c>
      <c r="C1722" s="209" t="s">
        <v>3915</v>
      </c>
      <c r="D1722" s="209">
        <v>10</v>
      </c>
      <c r="E1722" s="209">
        <v>10000002</v>
      </c>
      <c r="F1722" s="209">
        <v>20000335</v>
      </c>
      <c r="G1722" s="209" t="s">
        <v>105</v>
      </c>
      <c r="H1722" s="209">
        <v>20000335</v>
      </c>
      <c r="I1722" s="209">
        <v>2</v>
      </c>
      <c r="J1722" s="209" t="s">
        <v>169</v>
      </c>
      <c r="K1722" s="209" t="s">
        <v>3916</v>
      </c>
      <c r="L1722" s="209" t="s">
        <v>2610</v>
      </c>
      <c r="M1722" s="209" t="s">
        <v>199</v>
      </c>
      <c r="N1722" s="209">
        <v>50025345</v>
      </c>
      <c r="O1722" s="209" t="s">
        <v>1998</v>
      </c>
      <c r="P1722" s="209">
        <v>5121</v>
      </c>
      <c r="Q1722" s="209" t="s">
        <v>200</v>
      </c>
      <c r="R1722" s="209" t="s">
        <v>201</v>
      </c>
      <c r="S1722" s="209" t="s">
        <v>202</v>
      </c>
      <c r="T1722" s="209" t="s">
        <v>203</v>
      </c>
      <c r="U1722" s="209" t="s">
        <v>201</v>
      </c>
      <c r="V1722" s="209" t="s">
        <v>179</v>
      </c>
      <c r="W1722" s="209" t="s">
        <v>179</v>
      </c>
      <c r="X1722" s="209" t="s">
        <v>180</v>
      </c>
      <c r="Y1722" s="209" t="s">
        <v>180</v>
      </c>
      <c r="Z1722" s="209" t="s">
        <v>3873</v>
      </c>
      <c r="AA1722" s="209" t="s">
        <v>3874</v>
      </c>
      <c r="AB1722" s="209" t="s">
        <v>180</v>
      </c>
      <c r="AC1722" s="209" t="s">
        <v>182</v>
      </c>
      <c r="AD1722" s="209">
        <v>12</v>
      </c>
      <c r="AE1722" s="209">
        <v>2025</v>
      </c>
      <c r="AF1722" s="227">
        <v>45989</v>
      </c>
      <c r="AG1722" s="227">
        <v>45996</v>
      </c>
      <c r="AH1722" s="227">
        <v>45996</v>
      </c>
      <c r="AI1722" s="228">
        <v>426816</v>
      </c>
      <c r="AJ1722" s="228">
        <v>52</v>
      </c>
      <c r="AK1722" s="228">
        <v>426816</v>
      </c>
      <c r="AL1722" s="228">
        <v>52</v>
      </c>
      <c r="AM1722" s="228">
        <v>0</v>
      </c>
      <c r="AN1722" s="228">
        <v>0</v>
      </c>
      <c r="AO1722" s="229">
        <v>49</v>
      </c>
      <c r="AP1722" s="231">
        <v>12</v>
      </c>
      <c r="AQ1722" s="231">
        <v>2025</v>
      </c>
      <c r="AR1722" s="231" t="str">
        <f t="shared" si="249"/>
        <v>12/2025</v>
      </c>
      <c r="AS1722" s="231">
        <f t="shared" si="250"/>
        <v>46.6</v>
      </c>
      <c r="AT1722" s="239">
        <f>IF(G1722="CERVECERIA Y MALTERIA",(AS1722*AK1722/1000000)*(1-VLOOKUP(N1722,FCST!D:I,6,FALSE)),0)</f>
        <v>19.889625600000002</v>
      </c>
      <c r="AU1722" s="232">
        <v>5.0000000000000001E-3</v>
      </c>
      <c r="AV1722" s="239">
        <f t="shared" si="251"/>
        <v>19.989073728000001</v>
      </c>
      <c r="AW1722" s="239">
        <f>(AS1722*AK1722/1000000)*(VLOOKUP(N1722,FCST!D:I,6,FALSE))</f>
        <v>0</v>
      </c>
      <c r="AX1722" s="239">
        <f t="shared" si="252"/>
        <v>0</v>
      </c>
      <c r="AY1722" s="239">
        <f>IF($G1722="CERVECERIA Y MALTERIA.",($AS1722*$AK1722/1000000)*(1-VLOOKUP($N1722,FCST!D:I,6,FALSE)),0)</f>
        <v>0</v>
      </c>
      <c r="AZ1722" s="239">
        <f t="shared" si="253"/>
        <v>0</v>
      </c>
    </row>
    <row r="1723" spans="1:52" x14ac:dyDescent="0.25">
      <c r="A1723" s="209">
        <v>1153776</v>
      </c>
      <c r="B1723" s="209">
        <v>20</v>
      </c>
      <c r="C1723" s="209" t="s">
        <v>3917</v>
      </c>
      <c r="D1723" s="209">
        <v>10</v>
      </c>
      <c r="E1723" s="209">
        <v>10000002</v>
      </c>
      <c r="F1723" s="209">
        <v>20000337</v>
      </c>
      <c r="G1723" s="209" t="s">
        <v>105</v>
      </c>
      <c r="H1723" s="209">
        <v>20000337</v>
      </c>
      <c r="I1723" s="209">
        <v>2</v>
      </c>
      <c r="J1723" s="209" t="s">
        <v>169</v>
      </c>
      <c r="K1723" s="209" t="s">
        <v>3918</v>
      </c>
      <c r="L1723" s="209" t="s">
        <v>2610</v>
      </c>
      <c r="M1723" s="209" t="s">
        <v>199</v>
      </c>
      <c r="N1723" s="209">
        <v>50036915</v>
      </c>
      <c r="O1723" s="209" t="s">
        <v>541</v>
      </c>
      <c r="P1723" s="209">
        <v>5121</v>
      </c>
      <c r="Q1723" s="209" t="s">
        <v>200</v>
      </c>
      <c r="R1723" s="209" t="s">
        <v>201</v>
      </c>
      <c r="S1723" s="209" t="s">
        <v>202</v>
      </c>
      <c r="T1723" s="209" t="s">
        <v>203</v>
      </c>
      <c r="U1723" s="209" t="s">
        <v>201</v>
      </c>
      <c r="V1723" s="209" t="s">
        <v>179</v>
      </c>
      <c r="W1723" s="209" t="s">
        <v>179</v>
      </c>
      <c r="X1723" s="209" t="s">
        <v>180</v>
      </c>
      <c r="Y1723" s="209" t="s">
        <v>180</v>
      </c>
      <c r="Z1723" s="209" t="s">
        <v>3885</v>
      </c>
      <c r="AA1723" s="209" t="s">
        <v>3886</v>
      </c>
      <c r="AB1723" s="209" t="s">
        <v>180</v>
      </c>
      <c r="AC1723" s="209" t="s">
        <v>182</v>
      </c>
      <c r="AD1723" s="209">
        <v>12</v>
      </c>
      <c r="AE1723" s="209">
        <v>2025</v>
      </c>
      <c r="AF1723" s="227">
        <v>45989</v>
      </c>
      <c r="AG1723" s="227">
        <v>45995</v>
      </c>
      <c r="AH1723" s="227">
        <v>45995</v>
      </c>
      <c r="AI1723" s="228">
        <v>426816</v>
      </c>
      <c r="AJ1723" s="228">
        <v>52</v>
      </c>
      <c r="AK1723" s="228">
        <v>426816</v>
      </c>
      <c r="AL1723" s="228">
        <v>52</v>
      </c>
      <c r="AM1723" s="228">
        <v>0</v>
      </c>
      <c r="AN1723" s="228">
        <v>0</v>
      </c>
      <c r="AO1723" s="229">
        <v>49</v>
      </c>
      <c r="AP1723" s="231">
        <v>12</v>
      </c>
      <c r="AQ1723" s="231">
        <v>2025</v>
      </c>
      <c r="AR1723" s="231" t="str">
        <f t="shared" si="249"/>
        <v>12/2025</v>
      </c>
      <c r="AS1723" s="231">
        <f t="shared" si="250"/>
        <v>46.6</v>
      </c>
      <c r="AT1723" s="239">
        <f>IF(G1723="CERVECERIA Y MALTERIA",(AS1723*AK1723/1000000)*(1-VLOOKUP(N1723,FCST!D:I,6,FALSE)),0)</f>
        <v>15.911700480000002</v>
      </c>
      <c r="AU1723" s="232">
        <v>5.0000000000000001E-3</v>
      </c>
      <c r="AV1723" s="239">
        <f t="shared" si="251"/>
        <v>15.9912589824</v>
      </c>
      <c r="AW1723" s="239">
        <f>(AS1723*AK1723/1000000)*(VLOOKUP(N1723,FCST!D:I,6,FALSE))</f>
        <v>3.9779251200000005</v>
      </c>
      <c r="AX1723" s="239">
        <f t="shared" si="252"/>
        <v>3.9978147455999999</v>
      </c>
      <c r="AY1723" s="239">
        <f>IF($G1723="CERVECERIA Y MALTERIA.",($AS1723*$AK1723/1000000)*(1-VLOOKUP($N1723,FCST!D:I,6,FALSE)),0)</f>
        <v>0</v>
      </c>
      <c r="AZ1723" s="239">
        <f t="shared" si="253"/>
        <v>0</v>
      </c>
    </row>
    <row r="1724" spans="1:52" x14ac:dyDescent="0.25">
      <c r="A1724" s="209">
        <v>1154989</v>
      </c>
      <c r="B1724" s="209">
        <v>10</v>
      </c>
      <c r="C1724" s="209" t="s">
        <v>3919</v>
      </c>
      <c r="D1724" s="209">
        <v>10</v>
      </c>
      <c r="E1724" s="209">
        <v>10000002</v>
      </c>
      <c r="F1724" s="209">
        <v>20000337</v>
      </c>
      <c r="G1724" s="209" t="s">
        <v>105</v>
      </c>
      <c r="H1724" s="209">
        <v>20000337</v>
      </c>
      <c r="I1724" s="209">
        <v>2</v>
      </c>
      <c r="J1724" s="209" t="s">
        <v>169</v>
      </c>
      <c r="K1724" s="209" t="s">
        <v>3920</v>
      </c>
      <c r="L1724" s="209" t="s">
        <v>2610</v>
      </c>
      <c r="M1724" s="209" t="s">
        <v>199</v>
      </c>
      <c r="N1724" s="209">
        <v>50039815</v>
      </c>
      <c r="O1724" s="209" t="s">
        <v>2454</v>
      </c>
      <c r="P1724" s="209">
        <v>5121</v>
      </c>
      <c r="Q1724" s="209" t="s">
        <v>200</v>
      </c>
      <c r="R1724" s="209" t="s">
        <v>201</v>
      </c>
      <c r="S1724" s="209" t="s">
        <v>202</v>
      </c>
      <c r="T1724" s="209" t="s">
        <v>203</v>
      </c>
      <c r="U1724" s="209" t="s">
        <v>201</v>
      </c>
      <c r="V1724" s="209" t="s">
        <v>179</v>
      </c>
      <c r="W1724" s="209" t="s">
        <v>179</v>
      </c>
      <c r="X1724" s="209" t="s">
        <v>180</v>
      </c>
      <c r="Y1724" s="209" t="s">
        <v>180</v>
      </c>
      <c r="Z1724" s="209" t="s">
        <v>3885</v>
      </c>
      <c r="AA1724" s="209" t="s">
        <v>3886</v>
      </c>
      <c r="AB1724" s="209" t="s">
        <v>180</v>
      </c>
      <c r="AC1724" s="209" t="s">
        <v>182</v>
      </c>
      <c r="AD1724" s="209">
        <v>12</v>
      </c>
      <c r="AE1724" s="209">
        <v>2025</v>
      </c>
      <c r="AF1724" s="227">
        <v>45996</v>
      </c>
      <c r="AG1724" s="227">
        <v>46000</v>
      </c>
      <c r="AH1724" s="227">
        <v>46000</v>
      </c>
      <c r="AI1724" s="228">
        <v>426816</v>
      </c>
      <c r="AJ1724" s="228">
        <v>52</v>
      </c>
      <c r="AK1724" s="228">
        <v>426816</v>
      </c>
      <c r="AL1724" s="228">
        <v>52</v>
      </c>
      <c r="AM1724" s="228">
        <v>0</v>
      </c>
      <c r="AN1724" s="228">
        <v>0</v>
      </c>
      <c r="AO1724" s="229">
        <v>50</v>
      </c>
      <c r="AP1724" s="231">
        <v>12</v>
      </c>
      <c r="AQ1724" s="231">
        <v>2025</v>
      </c>
      <c r="AR1724" s="231" t="str">
        <f t="shared" si="249"/>
        <v>12/2025</v>
      </c>
      <c r="AS1724" s="231">
        <f t="shared" si="250"/>
        <v>46.6</v>
      </c>
      <c r="AT1724" s="239">
        <f>IF(G1724="CERVECERIA Y MALTERIA",(AS1724*AK1724/1000000)*(1-VLOOKUP(N1724,FCST!D:I,6,FALSE)),0)</f>
        <v>15.911700480000002</v>
      </c>
      <c r="AU1724" s="232">
        <v>5.0000000000000001E-3</v>
      </c>
      <c r="AV1724" s="239">
        <f t="shared" si="251"/>
        <v>15.9912589824</v>
      </c>
      <c r="AW1724" s="239">
        <f>(AS1724*AK1724/1000000)*(VLOOKUP(N1724,FCST!D:I,6,FALSE))</f>
        <v>3.9779251200000005</v>
      </c>
      <c r="AX1724" s="239">
        <f t="shared" si="252"/>
        <v>3.9978147455999999</v>
      </c>
      <c r="AY1724" s="239">
        <f>IF($G1724="CERVECERIA Y MALTERIA.",($AS1724*$AK1724/1000000)*(1-VLOOKUP($N1724,FCST!D:I,6,FALSE)),0)</f>
        <v>0</v>
      </c>
      <c r="AZ1724" s="239">
        <f t="shared" si="253"/>
        <v>0</v>
      </c>
    </row>
    <row r="1725" spans="1:52" x14ac:dyDescent="0.25">
      <c r="A1725" s="209">
        <v>1154989</v>
      </c>
      <c r="B1725" s="209">
        <v>20</v>
      </c>
      <c r="C1725" s="209" t="s">
        <v>3921</v>
      </c>
      <c r="D1725" s="209">
        <v>10</v>
      </c>
      <c r="E1725" s="209">
        <v>10000002</v>
      </c>
      <c r="F1725" s="209">
        <v>20000337</v>
      </c>
      <c r="G1725" s="209" t="s">
        <v>105</v>
      </c>
      <c r="H1725" s="209">
        <v>20000337</v>
      </c>
      <c r="I1725" s="209">
        <v>2</v>
      </c>
      <c r="J1725" s="209" t="s">
        <v>169</v>
      </c>
      <c r="K1725" s="209" t="s">
        <v>3922</v>
      </c>
      <c r="L1725" s="209" t="s">
        <v>2610</v>
      </c>
      <c r="M1725" s="209" t="s">
        <v>199</v>
      </c>
      <c r="N1725" s="209">
        <v>50039815</v>
      </c>
      <c r="O1725" s="209" t="s">
        <v>2454</v>
      </c>
      <c r="P1725" s="209">
        <v>5121</v>
      </c>
      <c r="Q1725" s="209" t="s">
        <v>200</v>
      </c>
      <c r="R1725" s="209" t="s">
        <v>201</v>
      </c>
      <c r="S1725" s="209" t="s">
        <v>202</v>
      </c>
      <c r="T1725" s="209" t="s">
        <v>203</v>
      </c>
      <c r="U1725" s="209" t="s">
        <v>201</v>
      </c>
      <c r="V1725" s="209" t="s">
        <v>179</v>
      </c>
      <c r="W1725" s="209" t="s">
        <v>179</v>
      </c>
      <c r="X1725" s="209" t="s">
        <v>180</v>
      </c>
      <c r="Y1725" s="209" t="s">
        <v>180</v>
      </c>
      <c r="Z1725" s="209" t="s">
        <v>3885</v>
      </c>
      <c r="AA1725" s="209" t="s">
        <v>3886</v>
      </c>
      <c r="AB1725" s="209" t="s">
        <v>180</v>
      </c>
      <c r="AC1725" s="209" t="s">
        <v>182</v>
      </c>
      <c r="AD1725" s="209">
        <v>12</v>
      </c>
      <c r="AE1725" s="209">
        <v>2025</v>
      </c>
      <c r="AF1725" s="227">
        <v>45996</v>
      </c>
      <c r="AG1725" s="227">
        <v>46000</v>
      </c>
      <c r="AH1725" s="227">
        <v>46000</v>
      </c>
      <c r="AI1725" s="228">
        <v>393984</v>
      </c>
      <c r="AJ1725" s="228">
        <v>48</v>
      </c>
      <c r="AK1725" s="228">
        <v>393984</v>
      </c>
      <c r="AL1725" s="228">
        <v>48</v>
      </c>
      <c r="AM1725" s="228">
        <v>0</v>
      </c>
      <c r="AN1725" s="228">
        <v>0</v>
      </c>
      <c r="AO1725" s="229">
        <v>50</v>
      </c>
      <c r="AP1725" s="231">
        <v>12</v>
      </c>
      <c r="AQ1725" s="231">
        <v>2025</v>
      </c>
      <c r="AR1725" s="231" t="str">
        <f t="shared" si="249"/>
        <v>12/2025</v>
      </c>
      <c r="AS1725" s="231">
        <f t="shared" si="250"/>
        <v>46.6</v>
      </c>
      <c r="AT1725" s="239">
        <f>IF(G1725="CERVECERIA Y MALTERIA",(AS1725*AK1725/1000000)*(1-VLOOKUP(N1725,FCST!D:I,6,FALSE)),0)</f>
        <v>14.687723520000004</v>
      </c>
      <c r="AU1725" s="232">
        <v>5.0000000000000001E-3</v>
      </c>
      <c r="AV1725" s="239">
        <f t="shared" si="251"/>
        <v>14.761162137600003</v>
      </c>
      <c r="AW1725" s="239">
        <f>(AS1725*AK1725/1000000)*(VLOOKUP(N1725,FCST!D:I,6,FALSE))</f>
        <v>3.671930880000001</v>
      </c>
      <c r="AX1725" s="239">
        <f t="shared" si="252"/>
        <v>3.6902905344000008</v>
      </c>
      <c r="AY1725" s="239">
        <f>IF($G1725="CERVECERIA Y MALTERIA.",($AS1725*$AK1725/1000000)*(1-VLOOKUP($N1725,FCST!D:I,6,FALSE)),0)</f>
        <v>0</v>
      </c>
      <c r="AZ1725" s="239">
        <f t="shared" si="253"/>
        <v>0</v>
      </c>
    </row>
    <row r="1726" spans="1:52" x14ac:dyDescent="0.25">
      <c r="A1726" s="209">
        <v>1153830</v>
      </c>
      <c r="B1726" s="209">
        <v>10</v>
      </c>
      <c r="C1726" s="209" t="s">
        <v>3923</v>
      </c>
      <c r="D1726" s="209">
        <v>10</v>
      </c>
      <c r="E1726" s="209">
        <v>10000002</v>
      </c>
      <c r="F1726" s="209">
        <v>20000336</v>
      </c>
      <c r="G1726" s="209" t="s">
        <v>105</v>
      </c>
      <c r="H1726" s="209">
        <v>20000336</v>
      </c>
      <c r="I1726" s="209">
        <v>2</v>
      </c>
      <c r="J1726" s="209" t="s">
        <v>169</v>
      </c>
      <c r="K1726" s="209" t="s">
        <v>3924</v>
      </c>
      <c r="L1726" s="209" t="s">
        <v>2610</v>
      </c>
      <c r="M1726" s="209" t="s">
        <v>199</v>
      </c>
      <c r="N1726" s="209">
        <v>50024497</v>
      </c>
      <c r="O1726" s="209" t="s">
        <v>1352</v>
      </c>
      <c r="P1726" s="209">
        <v>5121</v>
      </c>
      <c r="Q1726" s="209" t="s">
        <v>200</v>
      </c>
      <c r="R1726" s="209" t="s">
        <v>201</v>
      </c>
      <c r="S1726" s="209" t="s">
        <v>202</v>
      </c>
      <c r="T1726" s="209" t="s">
        <v>203</v>
      </c>
      <c r="U1726" s="209" t="s">
        <v>201</v>
      </c>
      <c r="V1726" s="209" t="s">
        <v>179</v>
      </c>
      <c r="W1726" s="209" t="s">
        <v>179</v>
      </c>
      <c r="X1726" s="209" t="s">
        <v>180</v>
      </c>
      <c r="Y1726" s="209" t="s">
        <v>180</v>
      </c>
      <c r="Z1726" s="209" t="s">
        <v>3925</v>
      </c>
      <c r="AA1726" s="209" t="s">
        <v>3926</v>
      </c>
      <c r="AB1726" s="209" t="s">
        <v>180</v>
      </c>
      <c r="AC1726" s="209" t="s">
        <v>182</v>
      </c>
      <c r="AD1726" s="209">
        <v>12</v>
      </c>
      <c r="AE1726" s="209">
        <v>2025</v>
      </c>
      <c r="AF1726" s="227">
        <v>45992</v>
      </c>
      <c r="AG1726" s="227">
        <v>45992</v>
      </c>
      <c r="AH1726" s="227">
        <v>45992</v>
      </c>
      <c r="AI1726" s="228">
        <v>351936</v>
      </c>
      <c r="AJ1726" s="228">
        <v>52</v>
      </c>
      <c r="AK1726" s="228">
        <v>351936</v>
      </c>
      <c r="AL1726" s="228">
        <v>52</v>
      </c>
      <c r="AM1726" s="228">
        <v>0</v>
      </c>
      <c r="AN1726" s="228">
        <v>0</v>
      </c>
      <c r="AO1726" s="229">
        <v>49</v>
      </c>
      <c r="AP1726" s="231">
        <v>12</v>
      </c>
      <c r="AQ1726" s="231">
        <v>2025</v>
      </c>
      <c r="AR1726" s="231" t="str">
        <f t="shared" si="249"/>
        <v>12/2025</v>
      </c>
      <c r="AS1726" s="231">
        <f t="shared" si="250"/>
        <v>54.7</v>
      </c>
      <c r="AT1726" s="239">
        <f>IF(G1726="CERVECERIA Y MALTERIA",(AS1726*AK1726/1000000)*(1-VLOOKUP(N1726,FCST!D:I,6,FALSE)),0)</f>
        <v>19.250899199999999</v>
      </c>
      <c r="AU1726" s="232">
        <v>5.0000000000000001E-3</v>
      </c>
      <c r="AV1726" s="239">
        <f t="shared" si="251"/>
        <v>19.347153695999996</v>
      </c>
      <c r="AW1726" s="239">
        <f>(AS1726*AK1726/1000000)*(VLOOKUP(N1726,FCST!D:I,6,FALSE))</f>
        <v>0</v>
      </c>
      <c r="AX1726" s="239">
        <f t="shared" si="252"/>
        <v>0</v>
      </c>
      <c r="AY1726" s="239">
        <f>IF($G1726="CERVECERIA Y MALTERIA.",($AS1726*$AK1726/1000000)*(1-VLOOKUP($N1726,FCST!D:I,6,FALSE)),0)</f>
        <v>0</v>
      </c>
      <c r="AZ1726" s="239">
        <f t="shared" si="253"/>
        <v>0</v>
      </c>
    </row>
    <row r="1727" spans="1:52" x14ac:dyDescent="0.25">
      <c r="A1727" s="209">
        <v>1153776</v>
      </c>
      <c r="B1727" s="209">
        <v>10</v>
      </c>
      <c r="C1727" s="209" t="s">
        <v>3927</v>
      </c>
      <c r="D1727" s="209">
        <v>10</v>
      </c>
      <c r="E1727" s="209">
        <v>10000002</v>
      </c>
      <c r="F1727" s="209">
        <v>20000337</v>
      </c>
      <c r="G1727" s="209" t="s">
        <v>105</v>
      </c>
      <c r="H1727" s="209">
        <v>20000337</v>
      </c>
      <c r="I1727" s="209">
        <v>2</v>
      </c>
      <c r="J1727" s="209" t="s">
        <v>169</v>
      </c>
      <c r="K1727" s="209" t="s">
        <v>3928</v>
      </c>
      <c r="L1727" s="209" t="s">
        <v>2610</v>
      </c>
      <c r="M1727" s="209" t="s">
        <v>199</v>
      </c>
      <c r="N1727" s="209">
        <v>50036915</v>
      </c>
      <c r="O1727" s="209" t="s">
        <v>541</v>
      </c>
      <c r="P1727" s="209">
        <v>5121</v>
      </c>
      <c r="Q1727" s="209" t="s">
        <v>200</v>
      </c>
      <c r="R1727" s="209" t="s">
        <v>201</v>
      </c>
      <c r="S1727" s="209" t="s">
        <v>202</v>
      </c>
      <c r="T1727" s="209" t="s">
        <v>203</v>
      </c>
      <c r="U1727" s="209" t="s">
        <v>201</v>
      </c>
      <c r="V1727" s="209" t="s">
        <v>179</v>
      </c>
      <c r="W1727" s="209" t="s">
        <v>179</v>
      </c>
      <c r="X1727" s="209" t="s">
        <v>180</v>
      </c>
      <c r="Y1727" s="209" t="s">
        <v>180</v>
      </c>
      <c r="Z1727" s="209" t="s">
        <v>3885</v>
      </c>
      <c r="AA1727" s="209" t="s">
        <v>3886</v>
      </c>
      <c r="AB1727" s="209" t="s">
        <v>180</v>
      </c>
      <c r="AC1727" s="209" t="s">
        <v>182</v>
      </c>
      <c r="AD1727" s="209">
        <v>12</v>
      </c>
      <c r="AE1727" s="209">
        <v>2025</v>
      </c>
      <c r="AF1727" s="227">
        <v>45989</v>
      </c>
      <c r="AG1727" s="227">
        <v>45993</v>
      </c>
      <c r="AH1727" s="227">
        <v>45993</v>
      </c>
      <c r="AI1727" s="228">
        <v>426816</v>
      </c>
      <c r="AJ1727" s="228">
        <v>52</v>
      </c>
      <c r="AK1727" s="228">
        <v>426816</v>
      </c>
      <c r="AL1727" s="228">
        <v>52</v>
      </c>
      <c r="AM1727" s="228">
        <v>0</v>
      </c>
      <c r="AN1727" s="228">
        <v>0</v>
      </c>
      <c r="AO1727" s="229">
        <v>49</v>
      </c>
      <c r="AP1727" s="231">
        <v>12</v>
      </c>
      <c r="AQ1727" s="231">
        <v>2025</v>
      </c>
      <c r="AR1727" s="231" t="str">
        <f t="shared" si="249"/>
        <v>12/2025</v>
      </c>
      <c r="AS1727" s="231">
        <f t="shared" si="250"/>
        <v>46.6</v>
      </c>
      <c r="AT1727" s="239">
        <f>IF(G1727="CERVECERIA Y MALTERIA",(AS1727*AK1727/1000000)*(1-VLOOKUP(N1727,FCST!D:I,6,FALSE)),0)</f>
        <v>15.911700480000002</v>
      </c>
      <c r="AU1727" s="232">
        <v>5.0000000000000001E-3</v>
      </c>
      <c r="AV1727" s="239">
        <f t="shared" si="251"/>
        <v>15.9912589824</v>
      </c>
      <c r="AW1727" s="239">
        <f>(AS1727*AK1727/1000000)*(VLOOKUP(N1727,FCST!D:I,6,FALSE))</f>
        <v>3.9779251200000005</v>
      </c>
      <c r="AX1727" s="239">
        <f t="shared" si="252"/>
        <v>3.9978147455999999</v>
      </c>
      <c r="AY1727" s="239">
        <f>IF($G1727="CERVECERIA Y MALTERIA.",($AS1727*$AK1727/1000000)*(1-VLOOKUP($N1727,FCST!D:I,6,FALSE)),0)</f>
        <v>0</v>
      </c>
      <c r="AZ1727" s="239">
        <f t="shared" si="253"/>
        <v>0</v>
      </c>
    </row>
    <row r="1728" spans="1:52" x14ac:dyDescent="0.25">
      <c r="A1728" s="209">
        <v>1153776</v>
      </c>
      <c r="B1728" s="209">
        <v>30</v>
      </c>
      <c r="C1728" s="209" t="s">
        <v>3929</v>
      </c>
      <c r="D1728" s="209">
        <v>10</v>
      </c>
      <c r="E1728" s="209">
        <v>10000002</v>
      </c>
      <c r="F1728" s="209">
        <v>20000337</v>
      </c>
      <c r="G1728" s="209" t="s">
        <v>105</v>
      </c>
      <c r="H1728" s="209">
        <v>20000337</v>
      </c>
      <c r="I1728" s="209">
        <v>2</v>
      </c>
      <c r="J1728" s="209" t="s">
        <v>169</v>
      </c>
      <c r="K1728" s="209" t="s">
        <v>3930</v>
      </c>
      <c r="L1728" s="209" t="s">
        <v>2610</v>
      </c>
      <c r="M1728" s="209" t="s">
        <v>199</v>
      </c>
      <c r="N1728" s="209">
        <v>50024497</v>
      </c>
      <c r="O1728" s="209" t="s">
        <v>1352</v>
      </c>
      <c r="P1728" s="209">
        <v>5121</v>
      </c>
      <c r="Q1728" s="209" t="s">
        <v>200</v>
      </c>
      <c r="R1728" s="209" t="s">
        <v>201</v>
      </c>
      <c r="S1728" s="209" t="s">
        <v>202</v>
      </c>
      <c r="T1728" s="209" t="s">
        <v>203</v>
      </c>
      <c r="U1728" s="209" t="s">
        <v>201</v>
      </c>
      <c r="V1728" s="209" t="s">
        <v>179</v>
      </c>
      <c r="W1728" s="209" t="s">
        <v>179</v>
      </c>
      <c r="X1728" s="209" t="s">
        <v>180</v>
      </c>
      <c r="Y1728" s="209" t="s">
        <v>180</v>
      </c>
      <c r="Z1728" s="209" t="s">
        <v>3931</v>
      </c>
      <c r="AA1728" s="209" t="s">
        <v>3932</v>
      </c>
      <c r="AB1728" s="209" t="s">
        <v>180</v>
      </c>
      <c r="AC1728" s="209" t="s">
        <v>182</v>
      </c>
      <c r="AD1728" s="209">
        <v>12</v>
      </c>
      <c r="AE1728" s="209">
        <v>2025</v>
      </c>
      <c r="AF1728" s="227">
        <v>45989</v>
      </c>
      <c r="AG1728" s="227">
        <v>45994</v>
      </c>
      <c r="AH1728" s="227">
        <v>45994</v>
      </c>
      <c r="AI1728" s="228">
        <v>351936</v>
      </c>
      <c r="AJ1728" s="228">
        <v>52</v>
      </c>
      <c r="AK1728" s="228">
        <v>351936</v>
      </c>
      <c r="AL1728" s="228">
        <v>52</v>
      </c>
      <c r="AM1728" s="228">
        <v>0</v>
      </c>
      <c r="AN1728" s="228">
        <v>0</v>
      </c>
      <c r="AO1728" s="229">
        <v>49</v>
      </c>
      <c r="AP1728" s="231">
        <v>12</v>
      </c>
      <c r="AQ1728" s="231">
        <v>2025</v>
      </c>
      <c r="AR1728" s="231" t="str">
        <f t="shared" si="249"/>
        <v>12/2025</v>
      </c>
      <c r="AS1728" s="231">
        <f t="shared" si="250"/>
        <v>54.7</v>
      </c>
      <c r="AT1728" s="239">
        <f>IF(G1728="CERVECERIA Y MALTERIA",(AS1728*AK1728/1000000)*(1-VLOOKUP(N1728,FCST!D:I,6,FALSE)),0)</f>
        <v>19.250899199999999</v>
      </c>
      <c r="AU1728" s="232">
        <v>5.0000000000000001E-3</v>
      </c>
      <c r="AV1728" s="239">
        <f t="shared" si="251"/>
        <v>19.347153695999996</v>
      </c>
      <c r="AW1728" s="239">
        <f>(AS1728*AK1728/1000000)*(VLOOKUP(N1728,FCST!D:I,6,FALSE))</f>
        <v>0</v>
      </c>
      <c r="AX1728" s="239">
        <f t="shared" si="252"/>
        <v>0</v>
      </c>
      <c r="AY1728" s="239">
        <f>IF($G1728="CERVECERIA Y MALTERIA.",($AS1728*$AK1728/1000000)*(1-VLOOKUP($N1728,FCST!D:I,6,FALSE)),0)</f>
        <v>0</v>
      </c>
      <c r="AZ1728" s="239">
        <f t="shared" si="253"/>
        <v>0</v>
      </c>
    </row>
    <row r="1729" spans="1:52" x14ac:dyDescent="0.25">
      <c r="A1729" s="209">
        <v>1153842</v>
      </c>
      <c r="B1729" s="209">
        <v>10</v>
      </c>
      <c r="C1729" s="209" t="s">
        <v>3933</v>
      </c>
      <c r="D1729" s="209">
        <v>10</v>
      </c>
      <c r="E1729" s="209">
        <v>10000002</v>
      </c>
      <c r="F1729" s="209">
        <v>20000339</v>
      </c>
      <c r="G1729" s="209" t="s">
        <v>105</v>
      </c>
      <c r="H1729" s="209">
        <v>20000339</v>
      </c>
      <c r="I1729" s="209">
        <v>2</v>
      </c>
      <c r="J1729" s="209" t="s">
        <v>169</v>
      </c>
      <c r="K1729" s="209" t="s">
        <v>3934</v>
      </c>
      <c r="L1729" s="209" t="s">
        <v>2610</v>
      </c>
      <c r="M1729" s="209" t="s">
        <v>227</v>
      </c>
      <c r="N1729" s="209">
        <v>50036287</v>
      </c>
      <c r="O1729" s="209" t="s">
        <v>2191</v>
      </c>
      <c r="P1729" s="209">
        <v>5121</v>
      </c>
      <c r="Q1729" s="209" t="s">
        <v>228</v>
      </c>
      <c r="R1729" s="209" t="s">
        <v>229</v>
      </c>
      <c r="S1729" s="209" t="s">
        <v>230</v>
      </c>
      <c r="T1729" s="209" t="s">
        <v>231</v>
      </c>
      <c r="U1729" s="209" t="s">
        <v>232</v>
      </c>
      <c r="V1729" s="209" t="s">
        <v>179</v>
      </c>
      <c r="W1729" s="209" t="s">
        <v>179</v>
      </c>
      <c r="X1729" s="209" t="s">
        <v>180</v>
      </c>
      <c r="Y1729" s="209" t="s">
        <v>180</v>
      </c>
      <c r="Z1729" s="209" t="s">
        <v>3881</v>
      </c>
      <c r="AA1729" s="209" t="s">
        <v>3882</v>
      </c>
      <c r="AB1729" s="209" t="s">
        <v>180</v>
      </c>
      <c r="AC1729" s="209" t="s">
        <v>182</v>
      </c>
      <c r="AD1729" s="209">
        <v>12</v>
      </c>
      <c r="AE1729" s="209">
        <v>2025</v>
      </c>
      <c r="AF1729" s="227">
        <v>45992</v>
      </c>
      <c r="AG1729" s="227">
        <v>45994</v>
      </c>
      <c r="AH1729" s="227">
        <v>45994</v>
      </c>
      <c r="AI1729" s="228">
        <v>363168</v>
      </c>
      <c r="AJ1729" s="228">
        <v>52</v>
      </c>
      <c r="AK1729" s="228">
        <v>363168</v>
      </c>
      <c r="AL1729" s="228">
        <v>52</v>
      </c>
      <c r="AM1729" s="228">
        <v>0</v>
      </c>
      <c r="AN1729" s="228">
        <v>0</v>
      </c>
      <c r="AO1729" s="229">
        <v>49</v>
      </c>
      <c r="AP1729" s="231">
        <v>12</v>
      </c>
      <c r="AQ1729" s="231">
        <v>2025</v>
      </c>
      <c r="AR1729" s="231" t="str">
        <f t="shared" si="249"/>
        <v>12/2025</v>
      </c>
      <c r="AS1729" s="231">
        <f t="shared" si="250"/>
        <v>52</v>
      </c>
      <c r="AT1729" s="239">
        <f>IF(G1729="CERVECERIA Y MALTERIA",(AS1729*AK1729/1000000)*(1-VLOOKUP(N1729,FCST!D:I,6,FALSE)),0)</f>
        <v>18.884736</v>
      </c>
      <c r="AU1729" s="232">
        <v>5.0000000000000001E-3</v>
      </c>
      <c r="AV1729" s="239">
        <f t="shared" si="251"/>
        <v>18.979159679999999</v>
      </c>
      <c r="AW1729" s="239">
        <f>(AS1729*AK1729/1000000)*(VLOOKUP(N1729,FCST!D:I,6,FALSE))</f>
        <v>0</v>
      </c>
      <c r="AX1729" s="239">
        <f t="shared" si="252"/>
        <v>0</v>
      </c>
      <c r="AY1729" s="239">
        <f>IF($G1729="CERVECERIA Y MALTERIA.",($AS1729*$AK1729/1000000)*(1-VLOOKUP($N1729,FCST!D:I,6,FALSE)),0)</f>
        <v>0</v>
      </c>
      <c r="AZ1729" s="239">
        <f t="shared" si="253"/>
        <v>0</v>
      </c>
    </row>
    <row r="1730" spans="1:52" x14ac:dyDescent="0.25">
      <c r="A1730" s="209">
        <v>1154117</v>
      </c>
      <c r="B1730" s="209">
        <v>20</v>
      </c>
      <c r="C1730" s="209" t="s">
        <v>3935</v>
      </c>
      <c r="D1730" s="209">
        <v>10</v>
      </c>
      <c r="E1730" s="209">
        <v>10000002</v>
      </c>
      <c r="F1730" s="209">
        <v>20001057</v>
      </c>
      <c r="G1730" s="209" t="s">
        <v>105</v>
      </c>
      <c r="H1730" s="209">
        <v>20001057</v>
      </c>
      <c r="I1730" s="209">
        <v>2</v>
      </c>
      <c r="J1730" s="209" t="s">
        <v>169</v>
      </c>
      <c r="K1730" s="209" t="s">
        <v>3936</v>
      </c>
      <c r="L1730" s="209" t="s">
        <v>2610</v>
      </c>
      <c r="M1730" s="209" t="s">
        <v>199</v>
      </c>
      <c r="N1730" s="209">
        <v>50030381</v>
      </c>
      <c r="O1730" s="209" t="s">
        <v>1791</v>
      </c>
      <c r="P1730" s="209">
        <v>5121</v>
      </c>
      <c r="Q1730" s="209" t="s">
        <v>200</v>
      </c>
      <c r="R1730" s="209" t="s">
        <v>201</v>
      </c>
      <c r="S1730" s="209" t="s">
        <v>202</v>
      </c>
      <c r="T1730" s="209" t="s">
        <v>203</v>
      </c>
      <c r="U1730" s="209" t="s">
        <v>201</v>
      </c>
      <c r="V1730" s="209" t="s">
        <v>179</v>
      </c>
      <c r="W1730" s="209" t="s">
        <v>179</v>
      </c>
      <c r="X1730" s="209" t="s">
        <v>180</v>
      </c>
      <c r="Y1730" s="209" t="s">
        <v>180</v>
      </c>
      <c r="Z1730" s="209" t="s">
        <v>3937</v>
      </c>
      <c r="AA1730" s="209" t="s">
        <v>3938</v>
      </c>
      <c r="AB1730" s="209" t="s">
        <v>180</v>
      </c>
      <c r="AC1730" s="209" t="s">
        <v>182</v>
      </c>
      <c r="AD1730" s="209">
        <v>12</v>
      </c>
      <c r="AE1730" s="209">
        <v>2025</v>
      </c>
      <c r="AF1730" s="227">
        <v>45993</v>
      </c>
      <c r="AG1730" s="227">
        <v>45994</v>
      </c>
      <c r="AH1730" s="227">
        <v>45994</v>
      </c>
      <c r="AI1730" s="228">
        <v>406016</v>
      </c>
      <c r="AJ1730" s="228">
        <v>52</v>
      </c>
      <c r="AK1730" s="228">
        <v>406016</v>
      </c>
      <c r="AL1730" s="228">
        <v>52</v>
      </c>
      <c r="AM1730" s="228">
        <v>0</v>
      </c>
      <c r="AN1730" s="228">
        <v>0</v>
      </c>
      <c r="AO1730" s="229">
        <v>49</v>
      </c>
      <c r="AP1730" s="231">
        <v>12</v>
      </c>
      <c r="AQ1730" s="231">
        <v>2025</v>
      </c>
      <c r="AR1730" s="231" t="str">
        <f t="shared" si="249"/>
        <v>12/2025</v>
      </c>
      <c r="AS1730" s="231">
        <f t="shared" si="250"/>
        <v>46.6</v>
      </c>
      <c r="AT1730" s="239">
        <f>IF(G1730="CERVECERIA Y MALTERIA",(AS1730*AK1730/1000000)*(1-VLOOKUP(N1730,FCST!D:I,6,FALSE)),0)</f>
        <v>18.920345600000001</v>
      </c>
      <c r="AU1730" s="232">
        <v>5.0000000000000001E-3</v>
      </c>
      <c r="AV1730" s="239">
        <f t="shared" si="251"/>
        <v>19.014947327999998</v>
      </c>
      <c r="AW1730" s="239">
        <f>(AS1730*AK1730/1000000)*(VLOOKUP(N1730,FCST!D:I,6,FALSE))</f>
        <v>0</v>
      </c>
      <c r="AX1730" s="239">
        <f t="shared" si="252"/>
        <v>0</v>
      </c>
      <c r="AY1730" s="239">
        <f>IF($G1730="CERVECERIA Y MALTERIA.",($AS1730*$AK1730/1000000)*(1-VLOOKUP($N1730,FCST!D:I,6,FALSE)),0)</f>
        <v>0</v>
      </c>
      <c r="AZ1730" s="239">
        <f t="shared" si="253"/>
        <v>0</v>
      </c>
    </row>
    <row r="1731" spans="1:52" x14ac:dyDescent="0.25">
      <c r="A1731" s="209">
        <v>1153830</v>
      </c>
      <c r="B1731" s="209">
        <v>20</v>
      </c>
      <c r="C1731" s="209" t="s">
        <v>3939</v>
      </c>
      <c r="D1731" s="209">
        <v>10</v>
      </c>
      <c r="E1731" s="209">
        <v>10000002</v>
      </c>
      <c r="F1731" s="209">
        <v>20000336</v>
      </c>
      <c r="G1731" s="209" t="s">
        <v>105</v>
      </c>
      <c r="H1731" s="209">
        <v>20000336</v>
      </c>
      <c r="I1731" s="209">
        <v>2</v>
      </c>
      <c r="J1731" s="209" t="s">
        <v>169</v>
      </c>
      <c r="K1731" s="209" t="s">
        <v>3940</v>
      </c>
      <c r="L1731" s="209" t="s">
        <v>2610</v>
      </c>
      <c r="M1731" s="209" t="s">
        <v>199</v>
      </c>
      <c r="N1731" s="209">
        <v>50024497</v>
      </c>
      <c r="O1731" s="209" t="s">
        <v>1352</v>
      </c>
      <c r="P1731" s="209">
        <v>5121</v>
      </c>
      <c r="Q1731" s="209" t="s">
        <v>200</v>
      </c>
      <c r="R1731" s="209" t="s">
        <v>201</v>
      </c>
      <c r="S1731" s="209" t="s">
        <v>202</v>
      </c>
      <c r="T1731" s="209" t="s">
        <v>203</v>
      </c>
      <c r="U1731" s="209" t="s">
        <v>201</v>
      </c>
      <c r="V1731" s="209" t="s">
        <v>179</v>
      </c>
      <c r="W1731" s="209" t="s">
        <v>179</v>
      </c>
      <c r="X1731" s="209" t="s">
        <v>180</v>
      </c>
      <c r="Y1731" s="209" t="s">
        <v>180</v>
      </c>
      <c r="Z1731" s="209" t="s">
        <v>3925</v>
      </c>
      <c r="AA1731" s="209" t="s">
        <v>3926</v>
      </c>
      <c r="AB1731" s="209" t="s">
        <v>180</v>
      </c>
      <c r="AC1731" s="209" t="s">
        <v>182</v>
      </c>
      <c r="AD1731" s="209">
        <v>12</v>
      </c>
      <c r="AE1731" s="209">
        <v>2025</v>
      </c>
      <c r="AF1731" s="227">
        <v>45992</v>
      </c>
      <c r="AG1731" s="227">
        <v>45994</v>
      </c>
      <c r="AH1731" s="227">
        <v>45994</v>
      </c>
      <c r="AI1731" s="228">
        <v>351936</v>
      </c>
      <c r="AJ1731" s="228">
        <v>52</v>
      </c>
      <c r="AK1731" s="228">
        <v>351936</v>
      </c>
      <c r="AL1731" s="228">
        <v>52</v>
      </c>
      <c r="AM1731" s="228">
        <v>0</v>
      </c>
      <c r="AN1731" s="228">
        <v>0</v>
      </c>
      <c r="AO1731" s="229">
        <v>49</v>
      </c>
      <c r="AP1731" s="231">
        <v>12</v>
      </c>
      <c r="AQ1731" s="231">
        <v>2025</v>
      </c>
      <c r="AR1731" s="231" t="str">
        <f t="shared" si="249"/>
        <v>12/2025</v>
      </c>
      <c r="AS1731" s="231">
        <f t="shared" si="250"/>
        <v>54.7</v>
      </c>
      <c r="AT1731" s="239">
        <f>IF(G1731="CERVECERIA Y MALTERIA",(AS1731*AK1731/1000000)*(1-VLOOKUP(N1731,FCST!D:I,6,FALSE)),0)</f>
        <v>19.250899199999999</v>
      </c>
      <c r="AU1731" s="232">
        <v>5.0000000000000001E-3</v>
      </c>
      <c r="AV1731" s="239">
        <f t="shared" si="251"/>
        <v>19.347153695999996</v>
      </c>
      <c r="AW1731" s="239">
        <f>(AS1731*AK1731/1000000)*(VLOOKUP(N1731,FCST!D:I,6,FALSE))</f>
        <v>0</v>
      </c>
      <c r="AX1731" s="239">
        <f t="shared" si="252"/>
        <v>0</v>
      </c>
      <c r="AY1731" s="239">
        <f>IF($G1731="CERVECERIA Y MALTERIA.",($AS1731*$AK1731/1000000)*(1-VLOOKUP($N1731,FCST!D:I,6,FALSE)),0)</f>
        <v>0</v>
      </c>
      <c r="AZ1731" s="239">
        <f t="shared" si="253"/>
        <v>0</v>
      </c>
    </row>
    <row r="1732" spans="1:52" x14ac:dyDescent="0.25">
      <c r="A1732" s="209">
        <v>1156326</v>
      </c>
      <c r="B1732" s="209">
        <v>10</v>
      </c>
      <c r="C1732" s="209" t="s">
        <v>3941</v>
      </c>
      <c r="D1732" s="209">
        <v>10</v>
      </c>
      <c r="E1732" s="209">
        <v>10000002</v>
      </c>
      <c r="F1732" s="209">
        <v>20000337</v>
      </c>
      <c r="G1732" s="209" t="s">
        <v>105</v>
      </c>
      <c r="H1732" s="209">
        <v>20000337</v>
      </c>
      <c r="I1732" s="209">
        <v>2</v>
      </c>
      <c r="J1732" s="209" t="s">
        <v>169</v>
      </c>
      <c r="K1732" s="209" t="s">
        <v>3942</v>
      </c>
      <c r="L1732" s="209" t="s">
        <v>2610</v>
      </c>
      <c r="M1732" s="209" t="s">
        <v>199</v>
      </c>
      <c r="N1732" s="209">
        <v>50039815</v>
      </c>
      <c r="O1732" s="209" t="s">
        <v>2454</v>
      </c>
      <c r="P1732" s="209">
        <v>5121</v>
      </c>
      <c r="Q1732" s="209" t="s">
        <v>200</v>
      </c>
      <c r="R1732" s="209" t="s">
        <v>201</v>
      </c>
      <c r="S1732" s="209" t="s">
        <v>202</v>
      </c>
      <c r="T1732" s="209" t="s">
        <v>203</v>
      </c>
      <c r="U1732" s="209" t="s">
        <v>201</v>
      </c>
      <c r="V1732" s="209" t="s">
        <v>179</v>
      </c>
      <c r="W1732" s="209" t="s">
        <v>179</v>
      </c>
      <c r="X1732" s="209" t="s">
        <v>180</v>
      </c>
      <c r="Y1732" s="209" t="s">
        <v>180</v>
      </c>
      <c r="Z1732" s="209" t="s">
        <v>3885</v>
      </c>
      <c r="AA1732" s="209" t="s">
        <v>3886</v>
      </c>
      <c r="AB1732" s="209" t="s">
        <v>180</v>
      </c>
      <c r="AC1732" s="209" t="s">
        <v>182</v>
      </c>
      <c r="AD1732" s="209">
        <v>12</v>
      </c>
      <c r="AE1732" s="209">
        <v>2025</v>
      </c>
      <c r="AF1732" s="227">
        <v>46003</v>
      </c>
      <c r="AG1732" s="227">
        <v>46006</v>
      </c>
      <c r="AH1732" s="227">
        <v>46006</v>
      </c>
      <c r="AI1732" s="228">
        <v>426816</v>
      </c>
      <c r="AJ1732" s="228">
        <v>52</v>
      </c>
      <c r="AK1732" s="228">
        <v>426816</v>
      </c>
      <c r="AL1732" s="228">
        <v>52</v>
      </c>
      <c r="AM1732" s="228">
        <v>0</v>
      </c>
      <c r="AN1732" s="228">
        <v>0</v>
      </c>
      <c r="AO1732" s="229">
        <v>51</v>
      </c>
      <c r="AP1732" s="231">
        <v>12</v>
      </c>
      <c r="AQ1732" s="231">
        <v>2025</v>
      </c>
      <c r="AR1732" s="231" t="str">
        <f t="shared" si="249"/>
        <v>12/2025</v>
      </c>
      <c r="AS1732" s="231">
        <f t="shared" si="250"/>
        <v>46.6</v>
      </c>
      <c r="AT1732" s="239">
        <f>IF(G1732="CERVECERIA Y MALTERIA",(AS1732*AK1732/1000000)*(1-VLOOKUP(N1732,FCST!D:I,6,FALSE)),0)</f>
        <v>15.911700480000002</v>
      </c>
      <c r="AU1732" s="232">
        <v>5.0000000000000001E-3</v>
      </c>
      <c r="AV1732" s="239">
        <f t="shared" si="251"/>
        <v>15.9912589824</v>
      </c>
      <c r="AW1732" s="239">
        <f>(AS1732*AK1732/1000000)*(VLOOKUP(N1732,FCST!D:I,6,FALSE))</f>
        <v>3.9779251200000005</v>
      </c>
      <c r="AX1732" s="239">
        <f t="shared" si="252"/>
        <v>3.9978147455999999</v>
      </c>
      <c r="AY1732" s="239">
        <f>IF($G1732="CERVECERIA Y MALTERIA.",($AS1732*$AK1732/1000000)*(1-VLOOKUP($N1732,FCST!D:I,6,FALSE)),0)</f>
        <v>0</v>
      </c>
      <c r="AZ1732" s="239">
        <f t="shared" si="253"/>
        <v>0</v>
      </c>
    </row>
    <row r="1733" spans="1:52" x14ac:dyDescent="0.25">
      <c r="A1733" s="209">
        <v>1155887</v>
      </c>
      <c r="B1733" s="209">
        <v>20</v>
      </c>
      <c r="C1733" s="209" t="s">
        <v>3943</v>
      </c>
      <c r="D1733" s="209">
        <v>10</v>
      </c>
      <c r="E1733" s="209">
        <v>10000002</v>
      </c>
      <c r="F1733" s="209">
        <v>20000339</v>
      </c>
      <c r="G1733" s="209" t="s">
        <v>105</v>
      </c>
      <c r="H1733" s="209">
        <v>20000339</v>
      </c>
      <c r="I1733" s="209">
        <v>2</v>
      </c>
      <c r="J1733" s="209" t="s">
        <v>169</v>
      </c>
      <c r="K1733" s="209" t="s">
        <v>3944</v>
      </c>
      <c r="L1733" s="209" t="s">
        <v>2610</v>
      </c>
      <c r="M1733" s="209" t="s">
        <v>227</v>
      </c>
      <c r="N1733" s="209">
        <v>50036287</v>
      </c>
      <c r="O1733" s="209" t="s">
        <v>2191</v>
      </c>
      <c r="P1733" s="209">
        <v>5121</v>
      </c>
      <c r="Q1733" s="209" t="s">
        <v>228</v>
      </c>
      <c r="R1733" s="209" t="s">
        <v>229</v>
      </c>
      <c r="S1733" s="209" t="s">
        <v>230</v>
      </c>
      <c r="T1733" s="209" t="s">
        <v>231</v>
      </c>
      <c r="U1733" s="209" t="s">
        <v>232</v>
      </c>
      <c r="V1733" s="209" t="s">
        <v>179</v>
      </c>
      <c r="W1733" s="209" t="s">
        <v>179</v>
      </c>
      <c r="X1733" s="209" t="s">
        <v>180</v>
      </c>
      <c r="Y1733" s="209" t="s">
        <v>180</v>
      </c>
      <c r="Z1733" s="209" t="s">
        <v>3881</v>
      </c>
      <c r="AA1733" s="209" t="s">
        <v>3882</v>
      </c>
      <c r="AB1733" s="209" t="s">
        <v>180</v>
      </c>
      <c r="AC1733" s="209" t="s">
        <v>182</v>
      </c>
      <c r="AD1733" s="209">
        <v>12</v>
      </c>
      <c r="AE1733" s="209">
        <v>2025</v>
      </c>
      <c r="AF1733" s="227">
        <v>46001</v>
      </c>
      <c r="AG1733" s="227">
        <v>46006</v>
      </c>
      <c r="AH1733" s="227">
        <v>46006</v>
      </c>
      <c r="AI1733" s="228">
        <v>363168</v>
      </c>
      <c r="AJ1733" s="228">
        <v>52</v>
      </c>
      <c r="AK1733" s="228">
        <v>363168</v>
      </c>
      <c r="AL1733" s="228">
        <v>52</v>
      </c>
      <c r="AM1733" s="228">
        <v>0</v>
      </c>
      <c r="AN1733" s="228">
        <v>0</v>
      </c>
      <c r="AO1733" s="229">
        <v>50</v>
      </c>
      <c r="AP1733" s="231">
        <v>12</v>
      </c>
      <c r="AQ1733" s="231">
        <v>2025</v>
      </c>
      <c r="AR1733" s="231" t="str">
        <f t="shared" si="249"/>
        <v>12/2025</v>
      </c>
      <c r="AS1733" s="231">
        <f t="shared" si="250"/>
        <v>52</v>
      </c>
      <c r="AT1733" s="239">
        <f>IF(G1733="CERVECERIA Y MALTERIA",(AS1733*AK1733/1000000)*(1-VLOOKUP(N1733,FCST!D:I,6,FALSE)),0)</f>
        <v>18.884736</v>
      </c>
      <c r="AU1733" s="232">
        <v>5.0000000000000001E-3</v>
      </c>
      <c r="AV1733" s="239">
        <f t="shared" si="251"/>
        <v>18.979159679999999</v>
      </c>
      <c r="AW1733" s="239">
        <f>(AS1733*AK1733/1000000)*(VLOOKUP(N1733,FCST!D:I,6,FALSE))</f>
        <v>0</v>
      </c>
      <c r="AX1733" s="239">
        <f t="shared" si="252"/>
        <v>0</v>
      </c>
      <c r="AY1733" s="239">
        <f>IF($G1733="CERVECERIA Y MALTERIA.",($AS1733*$AK1733/1000000)*(1-VLOOKUP($N1733,FCST!D:I,6,FALSE)),0)</f>
        <v>0</v>
      </c>
      <c r="AZ1733" s="239">
        <f t="shared" si="253"/>
        <v>0</v>
      </c>
    </row>
    <row r="1734" spans="1:52" x14ac:dyDescent="0.25">
      <c r="A1734" s="209">
        <v>1156323</v>
      </c>
      <c r="B1734" s="209">
        <v>10</v>
      </c>
      <c r="C1734" s="209" t="s">
        <v>3945</v>
      </c>
      <c r="D1734" s="209">
        <v>10</v>
      </c>
      <c r="E1734" s="209">
        <v>10000002</v>
      </c>
      <c r="F1734" s="209">
        <v>20000335</v>
      </c>
      <c r="G1734" s="209" t="s">
        <v>105</v>
      </c>
      <c r="H1734" s="209">
        <v>20000335</v>
      </c>
      <c r="I1734" s="209">
        <v>2</v>
      </c>
      <c r="J1734" s="209" t="s">
        <v>169</v>
      </c>
      <c r="K1734" s="209" t="s">
        <v>3946</v>
      </c>
      <c r="L1734" s="209" t="s">
        <v>2610</v>
      </c>
      <c r="M1734" s="209" t="s">
        <v>199</v>
      </c>
      <c r="N1734" s="209">
        <v>50035184</v>
      </c>
      <c r="O1734" s="209" t="s">
        <v>672</v>
      </c>
      <c r="P1734" s="209">
        <v>5121</v>
      </c>
      <c r="Q1734" s="209" t="s">
        <v>200</v>
      </c>
      <c r="R1734" s="209" t="s">
        <v>201</v>
      </c>
      <c r="S1734" s="209" t="s">
        <v>202</v>
      </c>
      <c r="T1734" s="209" t="s">
        <v>203</v>
      </c>
      <c r="U1734" s="209" t="s">
        <v>201</v>
      </c>
      <c r="V1734" s="209" t="s">
        <v>179</v>
      </c>
      <c r="W1734" s="209" t="s">
        <v>179</v>
      </c>
      <c r="X1734" s="209" t="s">
        <v>180</v>
      </c>
      <c r="Y1734" s="209" t="s">
        <v>180</v>
      </c>
      <c r="Z1734" s="209" t="s">
        <v>3947</v>
      </c>
      <c r="AA1734" s="209" t="s">
        <v>3948</v>
      </c>
      <c r="AB1734" s="209" t="s">
        <v>180</v>
      </c>
      <c r="AC1734" s="209" t="s">
        <v>182</v>
      </c>
      <c r="AD1734" s="209">
        <v>12</v>
      </c>
      <c r="AE1734" s="209">
        <v>2025</v>
      </c>
      <c r="AF1734" s="227">
        <v>46003</v>
      </c>
      <c r="AG1734" s="227">
        <v>46006</v>
      </c>
      <c r="AH1734" s="227">
        <v>46006</v>
      </c>
      <c r="AI1734" s="228">
        <v>977184</v>
      </c>
      <c r="AJ1734" s="228">
        <v>52</v>
      </c>
      <c r="AK1734" s="228">
        <v>977184</v>
      </c>
      <c r="AL1734" s="228">
        <v>52</v>
      </c>
      <c r="AM1734" s="228">
        <v>0</v>
      </c>
      <c r="AN1734" s="228">
        <v>0</v>
      </c>
      <c r="AO1734" s="229">
        <v>51</v>
      </c>
      <c r="AP1734" s="231">
        <v>12</v>
      </c>
      <c r="AQ1734" s="231">
        <v>2025</v>
      </c>
      <c r="AR1734" s="231" t="str">
        <f t="shared" si="249"/>
        <v>12/2025</v>
      </c>
      <c r="AS1734" s="231">
        <f t="shared" si="250"/>
        <v>19.5</v>
      </c>
      <c r="AT1734" s="239">
        <f>IF(G1734="CERVECERIA Y MALTERIA",(AS1734*AK1734/1000000)*(1-VLOOKUP(N1734,FCST!D:I,6,FALSE)),0)</f>
        <v>19.055088000000001</v>
      </c>
      <c r="AU1734" s="232">
        <v>5.0000000000000001E-3</v>
      </c>
      <c r="AV1734" s="239">
        <f t="shared" si="251"/>
        <v>19.15036344</v>
      </c>
      <c r="AW1734" s="239">
        <f>(AS1734*AK1734/1000000)*(VLOOKUP(N1734,FCST!D:I,6,FALSE))</f>
        <v>0</v>
      </c>
      <c r="AX1734" s="239">
        <f t="shared" si="252"/>
        <v>0</v>
      </c>
      <c r="AY1734" s="239">
        <f>IF($G1734="CERVECERIA Y MALTERIA.",($AS1734*$AK1734/1000000)*(1-VLOOKUP($N1734,FCST!D:I,6,FALSE)),0)</f>
        <v>0</v>
      </c>
      <c r="AZ1734" s="239">
        <f t="shared" si="253"/>
        <v>0</v>
      </c>
    </row>
    <row r="1735" spans="1:52" x14ac:dyDescent="0.25">
      <c r="A1735" s="209">
        <v>1156323</v>
      </c>
      <c r="B1735" s="209">
        <v>50</v>
      </c>
      <c r="C1735" s="209" t="s">
        <v>3949</v>
      </c>
      <c r="D1735" s="209">
        <v>10</v>
      </c>
      <c r="E1735" s="209">
        <v>10000002</v>
      </c>
      <c r="F1735" s="209">
        <v>20000335</v>
      </c>
      <c r="G1735" s="209" t="s">
        <v>105</v>
      </c>
      <c r="H1735" s="209">
        <v>20000335</v>
      </c>
      <c r="I1735" s="209">
        <v>2</v>
      </c>
      <c r="J1735" s="209" t="s">
        <v>169</v>
      </c>
      <c r="K1735" s="209" t="s">
        <v>3950</v>
      </c>
      <c r="L1735" s="209" t="s">
        <v>2610</v>
      </c>
      <c r="M1735" s="209" t="s">
        <v>199</v>
      </c>
      <c r="N1735" s="209">
        <v>50021818</v>
      </c>
      <c r="O1735" s="209" t="s">
        <v>2170</v>
      </c>
      <c r="P1735" s="209">
        <v>5121</v>
      </c>
      <c r="Q1735" s="209" t="s">
        <v>200</v>
      </c>
      <c r="R1735" s="209" t="s">
        <v>201</v>
      </c>
      <c r="S1735" s="209" t="s">
        <v>202</v>
      </c>
      <c r="T1735" s="209" t="s">
        <v>203</v>
      </c>
      <c r="U1735" s="209" t="s">
        <v>201</v>
      </c>
      <c r="V1735" s="209" t="s">
        <v>179</v>
      </c>
      <c r="W1735" s="209" t="s">
        <v>179</v>
      </c>
      <c r="X1735" s="209" t="s">
        <v>180</v>
      </c>
      <c r="Y1735" s="209" t="s">
        <v>180</v>
      </c>
      <c r="Z1735" s="209" t="s">
        <v>3873</v>
      </c>
      <c r="AA1735" s="209" t="s">
        <v>3874</v>
      </c>
      <c r="AB1735" s="209" t="s">
        <v>180</v>
      </c>
      <c r="AC1735" s="209" t="s">
        <v>182</v>
      </c>
      <c r="AD1735" s="209">
        <v>12</v>
      </c>
      <c r="AE1735" s="209">
        <v>2025</v>
      </c>
      <c r="AF1735" s="227">
        <v>46003</v>
      </c>
      <c r="AG1735" s="227">
        <v>46007</v>
      </c>
      <c r="AH1735" s="227">
        <v>46007</v>
      </c>
      <c r="AI1735" s="228">
        <v>426816</v>
      </c>
      <c r="AJ1735" s="228">
        <v>52</v>
      </c>
      <c r="AK1735" s="228">
        <v>426816</v>
      </c>
      <c r="AL1735" s="228">
        <v>52</v>
      </c>
      <c r="AM1735" s="228">
        <v>0</v>
      </c>
      <c r="AN1735" s="228">
        <v>0</v>
      </c>
      <c r="AO1735" s="229">
        <v>51</v>
      </c>
      <c r="AP1735" s="231">
        <v>12</v>
      </c>
      <c r="AQ1735" s="231">
        <v>2025</v>
      </c>
      <c r="AR1735" s="231" t="str">
        <f t="shared" si="249"/>
        <v>12/2025</v>
      </c>
      <c r="AS1735" s="231">
        <f t="shared" si="250"/>
        <v>46.6</v>
      </c>
      <c r="AT1735" s="239">
        <f>IF(G1735="CERVECERIA Y MALTERIA",(AS1735*AK1735/1000000)*(1-VLOOKUP(N1735,FCST!D:I,6,FALSE)),0)</f>
        <v>19.889625600000002</v>
      </c>
      <c r="AU1735" s="232">
        <v>5.0000000000000001E-3</v>
      </c>
      <c r="AV1735" s="239">
        <f t="shared" si="251"/>
        <v>19.989073728000001</v>
      </c>
      <c r="AW1735" s="239">
        <f>(AS1735*AK1735/1000000)*(VLOOKUP(N1735,FCST!D:I,6,FALSE))</f>
        <v>0</v>
      </c>
      <c r="AX1735" s="239">
        <f t="shared" si="252"/>
        <v>0</v>
      </c>
      <c r="AY1735" s="239">
        <f>IF($G1735="CERVECERIA Y MALTERIA.",($AS1735*$AK1735/1000000)*(1-VLOOKUP($N1735,FCST!D:I,6,FALSE)),0)</f>
        <v>0</v>
      </c>
      <c r="AZ1735" s="239">
        <f t="shared" si="253"/>
        <v>0</v>
      </c>
    </row>
    <row r="1736" spans="1:52" x14ac:dyDescent="0.25">
      <c r="A1736" s="209">
        <v>1154963</v>
      </c>
      <c r="B1736" s="209">
        <v>30</v>
      </c>
      <c r="C1736" s="209" t="s">
        <v>3951</v>
      </c>
      <c r="D1736" s="209">
        <v>10</v>
      </c>
      <c r="E1736" s="209">
        <v>10000002</v>
      </c>
      <c r="F1736" s="209">
        <v>20000335</v>
      </c>
      <c r="G1736" s="209" t="s">
        <v>105</v>
      </c>
      <c r="H1736" s="209">
        <v>20000335</v>
      </c>
      <c r="I1736" s="209">
        <v>2</v>
      </c>
      <c r="J1736" s="209" t="s">
        <v>169</v>
      </c>
      <c r="K1736" s="209" t="s">
        <v>3952</v>
      </c>
      <c r="L1736" s="209" t="s">
        <v>2610</v>
      </c>
      <c r="M1736" s="209" t="s">
        <v>199</v>
      </c>
      <c r="N1736" s="209">
        <v>50025345</v>
      </c>
      <c r="O1736" s="209" t="s">
        <v>1998</v>
      </c>
      <c r="P1736" s="209">
        <v>5121</v>
      </c>
      <c r="Q1736" s="209" t="s">
        <v>200</v>
      </c>
      <c r="R1736" s="209" t="s">
        <v>201</v>
      </c>
      <c r="S1736" s="209" t="s">
        <v>202</v>
      </c>
      <c r="T1736" s="209" t="s">
        <v>203</v>
      </c>
      <c r="U1736" s="209" t="s">
        <v>201</v>
      </c>
      <c r="V1736" s="209" t="s">
        <v>179</v>
      </c>
      <c r="W1736" s="209" t="s">
        <v>179</v>
      </c>
      <c r="X1736" s="209" t="s">
        <v>180</v>
      </c>
      <c r="Y1736" s="209" t="s">
        <v>180</v>
      </c>
      <c r="Z1736" s="209" t="s">
        <v>3873</v>
      </c>
      <c r="AA1736" s="209" t="s">
        <v>3874</v>
      </c>
      <c r="AB1736" s="209" t="s">
        <v>180</v>
      </c>
      <c r="AC1736" s="209" t="s">
        <v>182</v>
      </c>
      <c r="AD1736" s="209">
        <v>12</v>
      </c>
      <c r="AE1736" s="209">
        <v>2025</v>
      </c>
      <c r="AF1736" s="227">
        <v>45996</v>
      </c>
      <c r="AG1736" s="227">
        <v>46002</v>
      </c>
      <c r="AH1736" s="227">
        <v>46002</v>
      </c>
      <c r="AI1736" s="228">
        <v>426816</v>
      </c>
      <c r="AJ1736" s="228">
        <v>52</v>
      </c>
      <c r="AK1736" s="228">
        <v>426816</v>
      </c>
      <c r="AL1736" s="228">
        <v>52</v>
      </c>
      <c r="AM1736" s="228">
        <v>0</v>
      </c>
      <c r="AN1736" s="228">
        <v>0</v>
      </c>
      <c r="AO1736" s="229">
        <v>50</v>
      </c>
      <c r="AP1736" s="231">
        <v>12</v>
      </c>
      <c r="AQ1736" s="231">
        <v>2025</v>
      </c>
      <c r="AR1736" s="231" t="str">
        <f t="shared" si="249"/>
        <v>12/2025</v>
      </c>
      <c r="AS1736" s="231">
        <f t="shared" si="250"/>
        <v>46.6</v>
      </c>
      <c r="AT1736" s="239">
        <f>IF(G1736="CERVECERIA Y MALTERIA",(AS1736*AK1736/1000000)*(1-VLOOKUP(N1736,FCST!D:I,6,FALSE)),0)</f>
        <v>19.889625600000002</v>
      </c>
      <c r="AU1736" s="232">
        <v>5.0000000000000001E-3</v>
      </c>
      <c r="AV1736" s="239">
        <f t="shared" si="251"/>
        <v>19.989073728000001</v>
      </c>
      <c r="AW1736" s="239">
        <f>(AS1736*AK1736/1000000)*(VLOOKUP(N1736,FCST!D:I,6,FALSE))</f>
        <v>0</v>
      </c>
      <c r="AX1736" s="239">
        <f t="shared" si="252"/>
        <v>0</v>
      </c>
      <c r="AY1736" s="239">
        <f>IF($G1736="CERVECERIA Y MALTERIA.",($AS1736*$AK1736/1000000)*(1-VLOOKUP($N1736,FCST!D:I,6,FALSE)),0)</f>
        <v>0</v>
      </c>
      <c r="AZ1736" s="239">
        <f t="shared" si="253"/>
        <v>0</v>
      </c>
    </row>
    <row r="1737" spans="1:52" x14ac:dyDescent="0.25">
      <c r="A1737" s="209">
        <v>1155887</v>
      </c>
      <c r="B1737" s="209">
        <v>10</v>
      </c>
      <c r="C1737" s="209" t="s">
        <v>3953</v>
      </c>
      <c r="D1737" s="209">
        <v>10</v>
      </c>
      <c r="E1737" s="209">
        <v>10000002</v>
      </c>
      <c r="F1737" s="209">
        <v>20000339</v>
      </c>
      <c r="G1737" s="209" t="s">
        <v>105</v>
      </c>
      <c r="H1737" s="209">
        <v>20000339</v>
      </c>
      <c r="I1737" s="209">
        <v>2</v>
      </c>
      <c r="J1737" s="209" t="s">
        <v>169</v>
      </c>
      <c r="K1737" s="209" t="s">
        <v>3954</v>
      </c>
      <c r="L1737" s="209" t="s">
        <v>2610</v>
      </c>
      <c r="M1737" s="209" t="s">
        <v>227</v>
      </c>
      <c r="N1737" s="209">
        <v>50036287</v>
      </c>
      <c r="O1737" s="209" t="s">
        <v>2191</v>
      </c>
      <c r="P1737" s="209">
        <v>5121</v>
      </c>
      <c r="Q1737" s="209" t="s">
        <v>228</v>
      </c>
      <c r="R1737" s="209" t="s">
        <v>229</v>
      </c>
      <c r="S1737" s="209" t="s">
        <v>230</v>
      </c>
      <c r="T1737" s="209" t="s">
        <v>231</v>
      </c>
      <c r="U1737" s="209" t="s">
        <v>232</v>
      </c>
      <c r="V1737" s="209" t="s">
        <v>179</v>
      </c>
      <c r="W1737" s="209" t="s">
        <v>179</v>
      </c>
      <c r="X1737" s="209" t="s">
        <v>180</v>
      </c>
      <c r="Y1737" s="209" t="s">
        <v>180</v>
      </c>
      <c r="Z1737" s="209" t="s">
        <v>3881</v>
      </c>
      <c r="AA1737" s="209" t="s">
        <v>3882</v>
      </c>
      <c r="AB1737" s="209" t="s">
        <v>180</v>
      </c>
      <c r="AC1737" s="209" t="s">
        <v>182</v>
      </c>
      <c r="AD1737" s="209">
        <v>12</v>
      </c>
      <c r="AE1737" s="209">
        <v>2025</v>
      </c>
      <c r="AF1737" s="227">
        <v>46001</v>
      </c>
      <c r="AG1737" s="227">
        <v>46003</v>
      </c>
      <c r="AH1737" s="227">
        <v>46003</v>
      </c>
      <c r="AI1737" s="228">
        <v>363168</v>
      </c>
      <c r="AJ1737" s="228">
        <v>52</v>
      </c>
      <c r="AK1737" s="228">
        <v>363168</v>
      </c>
      <c r="AL1737" s="228">
        <v>52</v>
      </c>
      <c r="AM1737" s="228">
        <v>0</v>
      </c>
      <c r="AN1737" s="228">
        <v>0</v>
      </c>
      <c r="AO1737" s="229">
        <v>50</v>
      </c>
      <c r="AP1737" s="231">
        <v>12</v>
      </c>
      <c r="AQ1737" s="231">
        <v>2025</v>
      </c>
      <c r="AR1737" s="231" t="str">
        <f t="shared" si="249"/>
        <v>12/2025</v>
      </c>
      <c r="AS1737" s="231">
        <f t="shared" si="250"/>
        <v>52</v>
      </c>
      <c r="AT1737" s="239">
        <f>IF(G1737="CERVECERIA Y MALTERIA",(AS1737*AK1737/1000000)*(1-VLOOKUP(N1737,FCST!D:I,6,FALSE)),0)</f>
        <v>18.884736</v>
      </c>
      <c r="AU1737" s="232">
        <v>5.0000000000000001E-3</v>
      </c>
      <c r="AV1737" s="239">
        <f t="shared" si="251"/>
        <v>18.979159679999999</v>
      </c>
      <c r="AW1737" s="239">
        <f>(AS1737*AK1737/1000000)*(VLOOKUP(N1737,FCST!D:I,6,FALSE))</f>
        <v>0</v>
      </c>
      <c r="AX1737" s="239">
        <f t="shared" si="252"/>
        <v>0</v>
      </c>
      <c r="AY1737" s="239">
        <f>IF($G1737="CERVECERIA Y MALTERIA.",($AS1737*$AK1737/1000000)*(1-VLOOKUP($N1737,FCST!D:I,6,FALSE)),0)</f>
        <v>0</v>
      </c>
      <c r="AZ1737" s="239">
        <f t="shared" si="253"/>
        <v>0</v>
      </c>
    </row>
    <row r="1738" spans="1:52" x14ac:dyDescent="0.25">
      <c r="A1738" s="209">
        <v>1154989</v>
      </c>
      <c r="B1738" s="209">
        <v>30</v>
      </c>
      <c r="C1738" s="209" t="s">
        <v>3955</v>
      </c>
      <c r="D1738" s="209">
        <v>10</v>
      </c>
      <c r="E1738" s="209">
        <v>10000002</v>
      </c>
      <c r="F1738" s="209">
        <v>20000337</v>
      </c>
      <c r="G1738" s="209" t="s">
        <v>105</v>
      </c>
      <c r="H1738" s="209">
        <v>20000337</v>
      </c>
      <c r="I1738" s="209">
        <v>2</v>
      </c>
      <c r="J1738" s="209" t="s">
        <v>169</v>
      </c>
      <c r="K1738" s="209" t="s">
        <v>3956</v>
      </c>
      <c r="L1738" s="209" t="s">
        <v>2610</v>
      </c>
      <c r="M1738" s="209" t="s">
        <v>199</v>
      </c>
      <c r="N1738" s="209">
        <v>50039815</v>
      </c>
      <c r="O1738" s="209" t="s">
        <v>2454</v>
      </c>
      <c r="P1738" s="209">
        <v>5121</v>
      </c>
      <c r="Q1738" s="209" t="s">
        <v>200</v>
      </c>
      <c r="R1738" s="209" t="s">
        <v>201</v>
      </c>
      <c r="S1738" s="209" t="s">
        <v>202</v>
      </c>
      <c r="T1738" s="209" t="s">
        <v>203</v>
      </c>
      <c r="U1738" s="209" t="s">
        <v>201</v>
      </c>
      <c r="V1738" s="209" t="s">
        <v>179</v>
      </c>
      <c r="W1738" s="209" t="s">
        <v>179</v>
      </c>
      <c r="X1738" s="209" t="s">
        <v>180</v>
      </c>
      <c r="Y1738" s="209" t="s">
        <v>180</v>
      </c>
      <c r="Z1738" s="209" t="s">
        <v>3885</v>
      </c>
      <c r="AA1738" s="209" t="s">
        <v>3886</v>
      </c>
      <c r="AB1738" s="209" t="s">
        <v>180</v>
      </c>
      <c r="AC1738" s="209" t="s">
        <v>182</v>
      </c>
      <c r="AD1738" s="209">
        <v>12</v>
      </c>
      <c r="AE1738" s="209">
        <v>2025</v>
      </c>
      <c r="AF1738" s="227">
        <v>45996</v>
      </c>
      <c r="AG1738" s="227">
        <v>46003</v>
      </c>
      <c r="AH1738" s="227">
        <v>46003</v>
      </c>
      <c r="AI1738" s="228">
        <v>426816</v>
      </c>
      <c r="AJ1738" s="228">
        <v>52</v>
      </c>
      <c r="AK1738" s="228">
        <v>426816</v>
      </c>
      <c r="AL1738" s="228">
        <v>52</v>
      </c>
      <c r="AM1738" s="228">
        <v>0</v>
      </c>
      <c r="AN1738" s="228">
        <v>0</v>
      </c>
      <c r="AO1738" s="229">
        <v>50</v>
      </c>
      <c r="AP1738" s="231">
        <v>12</v>
      </c>
      <c r="AQ1738" s="231">
        <v>2025</v>
      </c>
      <c r="AR1738" s="231" t="str">
        <f t="shared" si="249"/>
        <v>12/2025</v>
      </c>
      <c r="AS1738" s="231">
        <f t="shared" si="250"/>
        <v>46.6</v>
      </c>
      <c r="AT1738" s="239">
        <f>IF(G1738="CERVECERIA Y MALTERIA",(AS1738*AK1738/1000000)*(1-VLOOKUP(N1738,FCST!D:I,6,FALSE)),0)</f>
        <v>15.911700480000002</v>
      </c>
      <c r="AU1738" s="232">
        <v>5.0000000000000001E-3</v>
      </c>
      <c r="AV1738" s="239">
        <f t="shared" si="251"/>
        <v>15.9912589824</v>
      </c>
      <c r="AW1738" s="239">
        <f>(AS1738*AK1738/1000000)*(VLOOKUP(N1738,FCST!D:I,6,FALSE))</f>
        <v>3.9779251200000005</v>
      </c>
      <c r="AX1738" s="239">
        <f t="shared" si="252"/>
        <v>3.9978147455999999</v>
      </c>
      <c r="AY1738" s="239">
        <f>IF($G1738="CERVECERIA Y MALTERIA.",($AS1738*$AK1738/1000000)*(1-VLOOKUP($N1738,FCST!D:I,6,FALSE)),0)</f>
        <v>0</v>
      </c>
      <c r="AZ1738" s="239">
        <f t="shared" si="253"/>
        <v>0</v>
      </c>
    </row>
    <row r="1739" spans="1:52" x14ac:dyDescent="0.25">
      <c r="A1739" s="209">
        <v>1156738</v>
      </c>
      <c r="B1739" s="209">
        <v>20</v>
      </c>
      <c r="C1739" s="209" t="s">
        <v>3712</v>
      </c>
      <c r="D1739" s="209">
        <v>20</v>
      </c>
      <c r="E1739" s="209">
        <v>10000002</v>
      </c>
      <c r="F1739" s="209">
        <v>20000339</v>
      </c>
      <c r="G1739" s="209" t="s">
        <v>105</v>
      </c>
      <c r="H1739" s="209">
        <v>20000339</v>
      </c>
      <c r="I1739" s="209">
        <v>2</v>
      </c>
      <c r="J1739" s="209" t="s">
        <v>169</v>
      </c>
      <c r="K1739" s="209" t="s">
        <v>3713</v>
      </c>
      <c r="L1739" s="209" t="s">
        <v>2610</v>
      </c>
      <c r="M1739" s="209" t="s">
        <v>184</v>
      </c>
      <c r="N1739" s="209">
        <v>50030542</v>
      </c>
      <c r="O1739" s="209" t="s">
        <v>2453</v>
      </c>
      <c r="P1739" s="209">
        <v>5121</v>
      </c>
      <c r="Q1739" s="209" t="s">
        <v>174</v>
      </c>
      <c r="R1739" s="209" t="s">
        <v>175</v>
      </c>
      <c r="S1739" s="209" t="s">
        <v>176</v>
      </c>
      <c r="T1739" s="209" t="s">
        <v>177</v>
      </c>
      <c r="U1739" s="209" t="s">
        <v>178</v>
      </c>
      <c r="V1739" s="209" t="s">
        <v>179</v>
      </c>
      <c r="W1739" s="209" t="s">
        <v>179</v>
      </c>
      <c r="X1739" s="209" t="s">
        <v>180</v>
      </c>
      <c r="Y1739" s="209" t="s">
        <v>180</v>
      </c>
      <c r="Z1739" s="209" t="s">
        <v>3714</v>
      </c>
      <c r="AA1739" s="209" t="s">
        <v>3715</v>
      </c>
      <c r="AB1739" s="209" t="s">
        <v>180</v>
      </c>
      <c r="AC1739" s="209" t="s">
        <v>182</v>
      </c>
      <c r="AD1739" s="209">
        <v>12</v>
      </c>
      <c r="AE1739" s="209">
        <v>2025</v>
      </c>
      <c r="AF1739" s="227">
        <v>46007</v>
      </c>
      <c r="AG1739" s="227">
        <v>46008</v>
      </c>
      <c r="AH1739" s="227">
        <v>46008</v>
      </c>
      <c r="AI1739" s="228">
        <v>172128</v>
      </c>
      <c r="AJ1739" s="228">
        <v>22</v>
      </c>
      <c r="AK1739" s="228">
        <v>172128</v>
      </c>
      <c r="AL1739" s="228">
        <v>22</v>
      </c>
      <c r="AM1739" s="228">
        <v>0</v>
      </c>
      <c r="AN1739" s="228">
        <v>0</v>
      </c>
      <c r="AO1739" s="229">
        <v>51</v>
      </c>
      <c r="AP1739" s="231">
        <v>12</v>
      </c>
      <c r="AQ1739" s="231">
        <v>2025</v>
      </c>
      <c r="AR1739" s="231" t="str">
        <f t="shared" si="249"/>
        <v>12/2025</v>
      </c>
      <c r="AS1739" s="231">
        <f t="shared" si="250"/>
        <v>44</v>
      </c>
      <c r="AT1739" s="239">
        <f>IF(G1739="CERVECERIA Y MALTERIA",(AS1739*AK1739/1000000)*(1-VLOOKUP(N1739,FCST!D:I,6,FALSE)),0)</f>
        <v>7.5736319999999999</v>
      </c>
      <c r="AU1739" s="232">
        <v>5.0000000000000001E-3</v>
      </c>
      <c r="AV1739" s="239">
        <f t="shared" si="251"/>
        <v>7.6115001599999994</v>
      </c>
      <c r="AW1739" s="239">
        <f>(AS1739*AK1739/1000000)*(VLOOKUP(N1739,FCST!D:I,6,FALSE))</f>
        <v>0</v>
      </c>
      <c r="AX1739" s="239">
        <f t="shared" si="252"/>
        <v>0</v>
      </c>
      <c r="AY1739" s="239">
        <f>IF($G1739="CERVECERIA Y MALTERIA.",($AS1739*$AK1739/1000000)*(1-VLOOKUP($N1739,FCST!D:I,6,FALSE)),0)</f>
        <v>0</v>
      </c>
      <c r="AZ1739" s="239">
        <f t="shared" si="253"/>
        <v>0</v>
      </c>
    </row>
    <row r="1740" spans="1:52" x14ac:dyDescent="0.25">
      <c r="A1740" s="209">
        <v>1157333</v>
      </c>
      <c r="B1740" s="209">
        <v>20</v>
      </c>
      <c r="C1740" s="209" t="s">
        <v>3889</v>
      </c>
      <c r="D1740" s="209">
        <v>20</v>
      </c>
      <c r="E1740" s="209">
        <v>10000002</v>
      </c>
      <c r="F1740" s="209">
        <v>20000339</v>
      </c>
      <c r="G1740" s="209" t="s">
        <v>105</v>
      </c>
      <c r="H1740" s="209">
        <v>20000339</v>
      </c>
      <c r="I1740" s="209">
        <v>2</v>
      </c>
      <c r="J1740" s="209" t="s">
        <v>169</v>
      </c>
      <c r="K1740" s="209" t="s">
        <v>3890</v>
      </c>
      <c r="L1740" s="209" t="s">
        <v>2610</v>
      </c>
      <c r="M1740" s="209" t="s">
        <v>227</v>
      </c>
      <c r="N1740" s="209">
        <v>50030542</v>
      </c>
      <c r="O1740" s="209" t="s">
        <v>2453</v>
      </c>
      <c r="P1740" s="209">
        <v>5121</v>
      </c>
      <c r="Q1740" s="209" t="s">
        <v>228</v>
      </c>
      <c r="R1740" s="209" t="s">
        <v>229</v>
      </c>
      <c r="S1740" s="209" t="s">
        <v>230</v>
      </c>
      <c r="T1740" s="209" t="s">
        <v>231</v>
      </c>
      <c r="U1740" s="209" t="s">
        <v>232</v>
      </c>
      <c r="V1740" s="209" t="s">
        <v>179</v>
      </c>
      <c r="W1740" s="209" t="s">
        <v>179</v>
      </c>
      <c r="X1740" s="209" t="s">
        <v>180</v>
      </c>
      <c r="Y1740" s="209" t="s">
        <v>180</v>
      </c>
      <c r="Z1740" s="209" t="s">
        <v>3891</v>
      </c>
      <c r="AA1740" s="209" t="s">
        <v>3892</v>
      </c>
      <c r="AB1740" s="209" t="s">
        <v>180</v>
      </c>
      <c r="AC1740" s="209" t="s">
        <v>182</v>
      </c>
      <c r="AD1740" s="209">
        <v>12</v>
      </c>
      <c r="AE1740" s="209">
        <v>2025</v>
      </c>
      <c r="AF1740" s="227">
        <v>46009</v>
      </c>
      <c r="AG1740" s="227">
        <v>46010</v>
      </c>
      <c r="AH1740" s="227">
        <v>46010</v>
      </c>
      <c r="AI1740" s="228">
        <v>203424</v>
      </c>
      <c r="AJ1740" s="228">
        <v>26</v>
      </c>
      <c r="AK1740" s="228">
        <v>203424</v>
      </c>
      <c r="AL1740" s="228">
        <v>26</v>
      </c>
      <c r="AM1740" s="228">
        <v>0</v>
      </c>
      <c r="AN1740" s="228">
        <v>0</v>
      </c>
      <c r="AO1740" s="229">
        <v>51</v>
      </c>
      <c r="AP1740" s="231">
        <v>12</v>
      </c>
      <c r="AQ1740" s="231">
        <v>2025</v>
      </c>
      <c r="AR1740" s="231" t="str">
        <f t="shared" si="249"/>
        <v>12/2025</v>
      </c>
      <c r="AS1740" s="231">
        <f t="shared" si="250"/>
        <v>44</v>
      </c>
      <c r="AT1740" s="239">
        <f>IF(G1740="CERVECERIA Y MALTERIA",(AS1740*AK1740/1000000)*(1-VLOOKUP(N1740,FCST!D:I,6,FALSE)),0)</f>
        <v>8.9506560000000004</v>
      </c>
      <c r="AU1740" s="232">
        <v>5.0000000000000001E-3</v>
      </c>
      <c r="AV1740" s="239">
        <f t="shared" si="251"/>
        <v>8.9954092799999987</v>
      </c>
      <c r="AW1740" s="239">
        <f>(AS1740*AK1740/1000000)*(VLOOKUP(N1740,FCST!D:I,6,FALSE))</f>
        <v>0</v>
      </c>
      <c r="AX1740" s="239">
        <f t="shared" si="252"/>
        <v>0</v>
      </c>
      <c r="AY1740" s="239">
        <f>IF($G1740="CERVECERIA Y MALTERIA.",($AS1740*$AK1740/1000000)*(1-VLOOKUP($N1740,FCST!D:I,6,FALSE)),0)</f>
        <v>0</v>
      </c>
      <c r="AZ1740" s="239">
        <f t="shared" si="253"/>
        <v>0</v>
      </c>
    </row>
    <row r="1741" spans="1:52" x14ac:dyDescent="0.25">
      <c r="A1741" s="209">
        <v>1158274</v>
      </c>
      <c r="B1741" s="209">
        <v>20</v>
      </c>
      <c r="C1741" s="209" t="s">
        <v>3901</v>
      </c>
      <c r="D1741" s="209">
        <v>20</v>
      </c>
      <c r="E1741" s="209">
        <v>10000002</v>
      </c>
      <c r="F1741" s="209">
        <v>20000339</v>
      </c>
      <c r="G1741" s="209" t="s">
        <v>105</v>
      </c>
      <c r="H1741" s="209">
        <v>20000339</v>
      </c>
      <c r="I1741" s="209">
        <v>2</v>
      </c>
      <c r="J1741" s="209" t="s">
        <v>169</v>
      </c>
      <c r="K1741" s="209" t="s">
        <v>3902</v>
      </c>
      <c r="L1741" s="209" t="s">
        <v>2610</v>
      </c>
      <c r="M1741" s="209" t="s">
        <v>227</v>
      </c>
      <c r="N1741" s="209">
        <v>50030542</v>
      </c>
      <c r="O1741" s="209" t="s">
        <v>2453</v>
      </c>
      <c r="P1741" s="209">
        <v>5121</v>
      </c>
      <c r="Q1741" s="209" t="s">
        <v>228</v>
      </c>
      <c r="R1741" s="209" t="s">
        <v>229</v>
      </c>
      <c r="S1741" s="209" t="s">
        <v>230</v>
      </c>
      <c r="T1741" s="209" t="s">
        <v>231</v>
      </c>
      <c r="U1741" s="209" t="s">
        <v>232</v>
      </c>
      <c r="V1741" s="209" t="s">
        <v>179</v>
      </c>
      <c r="W1741" s="209" t="s">
        <v>179</v>
      </c>
      <c r="X1741" s="209" t="s">
        <v>180</v>
      </c>
      <c r="Y1741" s="209" t="s">
        <v>180</v>
      </c>
      <c r="Z1741" s="209" t="s">
        <v>3903</v>
      </c>
      <c r="AA1741" s="209" t="s">
        <v>3904</v>
      </c>
      <c r="AB1741" s="209" t="s">
        <v>180</v>
      </c>
      <c r="AC1741" s="209" t="s">
        <v>182</v>
      </c>
      <c r="AD1741" s="209">
        <v>12</v>
      </c>
      <c r="AE1741" s="209">
        <v>2025</v>
      </c>
      <c r="AF1741" s="227">
        <v>46017</v>
      </c>
      <c r="AG1741" s="227">
        <v>46020</v>
      </c>
      <c r="AH1741" s="227">
        <v>46020</v>
      </c>
      <c r="AI1741" s="228">
        <v>203424</v>
      </c>
      <c r="AJ1741" s="228">
        <v>26</v>
      </c>
      <c r="AK1741" s="228">
        <v>203424</v>
      </c>
      <c r="AL1741" s="228">
        <v>26</v>
      </c>
      <c r="AM1741" s="228">
        <v>0</v>
      </c>
      <c r="AN1741" s="228">
        <v>0</v>
      </c>
      <c r="AO1741" s="229">
        <v>1</v>
      </c>
      <c r="AP1741" s="231">
        <v>12</v>
      </c>
      <c r="AQ1741" s="231">
        <v>2025</v>
      </c>
      <c r="AR1741" s="231" t="str">
        <f t="shared" si="249"/>
        <v>12/2025</v>
      </c>
      <c r="AS1741" s="231">
        <f t="shared" si="250"/>
        <v>44</v>
      </c>
      <c r="AT1741" s="239">
        <f>IF(G1741="CERVECERIA Y MALTERIA",(AS1741*AK1741/1000000)*(1-VLOOKUP(N1741,FCST!D:I,6,FALSE)),0)</f>
        <v>8.9506560000000004</v>
      </c>
      <c r="AU1741" s="232">
        <v>5.0000000000000001E-3</v>
      </c>
      <c r="AV1741" s="239">
        <f t="shared" si="251"/>
        <v>8.9954092799999987</v>
      </c>
      <c r="AW1741" s="239">
        <f>(AS1741*AK1741/1000000)*(VLOOKUP(N1741,FCST!D:I,6,FALSE))</f>
        <v>0</v>
      </c>
      <c r="AX1741" s="239">
        <f t="shared" si="252"/>
        <v>0</v>
      </c>
      <c r="AY1741" s="239">
        <f>IF($G1741="CERVECERIA Y MALTERIA.",($AS1741*$AK1741/1000000)*(1-VLOOKUP($N1741,FCST!D:I,6,FALSE)),0)</f>
        <v>0</v>
      </c>
      <c r="AZ1741" s="239">
        <f t="shared" si="253"/>
        <v>0</v>
      </c>
    </row>
    <row r="1742" spans="1:52" x14ac:dyDescent="0.25">
      <c r="A1742" s="209">
        <v>1158275</v>
      </c>
      <c r="B1742" s="209">
        <v>20</v>
      </c>
      <c r="C1742" s="209" t="s">
        <v>3909</v>
      </c>
      <c r="D1742" s="209">
        <v>20</v>
      </c>
      <c r="E1742" s="209">
        <v>10000002</v>
      </c>
      <c r="F1742" s="209">
        <v>20000336</v>
      </c>
      <c r="G1742" s="209" t="s">
        <v>105</v>
      </c>
      <c r="H1742" s="209">
        <v>20000336</v>
      </c>
      <c r="I1742" s="209">
        <v>2</v>
      </c>
      <c r="J1742" s="209" t="s">
        <v>169</v>
      </c>
      <c r="K1742" s="209" t="s">
        <v>3910</v>
      </c>
      <c r="L1742" s="209" t="s">
        <v>2610</v>
      </c>
      <c r="M1742" s="209" t="s">
        <v>199</v>
      </c>
      <c r="N1742" s="209">
        <v>50024497</v>
      </c>
      <c r="O1742" s="209" t="s">
        <v>1352</v>
      </c>
      <c r="P1742" s="209">
        <v>5121</v>
      </c>
      <c r="Q1742" s="209" t="s">
        <v>200</v>
      </c>
      <c r="R1742" s="209" t="s">
        <v>201</v>
      </c>
      <c r="S1742" s="209" t="s">
        <v>202</v>
      </c>
      <c r="T1742" s="209" t="s">
        <v>203</v>
      </c>
      <c r="U1742" s="209" t="s">
        <v>201</v>
      </c>
      <c r="V1742" s="209" t="s">
        <v>179</v>
      </c>
      <c r="W1742" s="209" t="s">
        <v>179</v>
      </c>
      <c r="X1742" s="209" t="s">
        <v>180</v>
      </c>
      <c r="Y1742" s="209" t="s">
        <v>180</v>
      </c>
      <c r="Z1742" s="209" t="s">
        <v>3911</v>
      </c>
      <c r="AA1742" s="209" t="s">
        <v>3912</v>
      </c>
      <c r="AB1742" s="209" t="s">
        <v>180</v>
      </c>
      <c r="AC1742" s="209" t="s">
        <v>182</v>
      </c>
      <c r="AD1742" s="209">
        <v>12</v>
      </c>
      <c r="AE1742" s="209">
        <v>2025</v>
      </c>
      <c r="AF1742" s="227">
        <v>46017</v>
      </c>
      <c r="AG1742" s="227">
        <v>46020</v>
      </c>
      <c r="AH1742" s="227">
        <v>46020</v>
      </c>
      <c r="AI1742" s="228">
        <v>135360</v>
      </c>
      <c r="AJ1742" s="228">
        <v>20</v>
      </c>
      <c r="AK1742" s="228">
        <v>135360</v>
      </c>
      <c r="AL1742" s="228">
        <v>20</v>
      </c>
      <c r="AM1742" s="228">
        <v>0</v>
      </c>
      <c r="AN1742" s="228">
        <v>0</v>
      </c>
      <c r="AO1742" s="229">
        <v>1</v>
      </c>
      <c r="AP1742" s="231">
        <v>12</v>
      </c>
      <c r="AQ1742" s="231">
        <v>2025</v>
      </c>
      <c r="AR1742" s="231" t="str">
        <f t="shared" si="249"/>
        <v>12/2025</v>
      </c>
      <c r="AS1742" s="231">
        <f t="shared" si="250"/>
        <v>54.7</v>
      </c>
      <c r="AT1742" s="239">
        <f>IF(G1742="CERVECERIA Y MALTERIA",(AS1742*AK1742/1000000)*(1-VLOOKUP(N1742,FCST!D:I,6,FALSE)),0)</f>
        <v>7.4041920000000001</v>
      </c>
      <c r="AU1742" s="232">
        <v>5.0000000000000001E-3</v>
      </c>
      <c r="AV1742" s="239">
        <f t="shared" si="251"/>
        <v>7.4412129599999997</v>
      </c>
      <c r="AW1742" s="239">
        <f>(AS1742*AK1742/1000000)*(VLOOKUP(N1742,FCST!D:I,6,FALSE))</f>
        <v>0</v>
      </c>
      <c r="AX1742" s="239">
        <f t="shared" si="252"/>
        <v>0</v>
      </c>
      <c r="AY1742" s="239">
        <f>IF($G1742="CERVECERIA Y MALTERIA.",($AS1742*$AK1742/1000000)*(1-VLOOKUP($N1742,FCST!D:I,6,FALSE)),0)</f>
        <v>0</v>
      </c>
      <c r="AZ1742" s="239">
        <f t="shared" si="253"/>
        <v>0</v>
      </c>
    </row>
    <row r="1743" spans="1:52" x14ac:dyDescent="0.25">
      <c r="A1743" s="209">
        <v>1158509</v>
      </c>
      <c r="B1743" s="209">
        <v>20</v>
      </c>
      <c r="C1743" s="209" t="s">
        <v>3767</v>
      </c>
      <c r="D1743" s="209">
        <v>20</v>
      </c>
      <c r="E1743" s="209">
        <v>10000002</v>
      </c>
      <c r="F1743" s="209">
        <v>20001057</v>
      </c>
      <c r="G1743" s="209" t="s">
        <v>105</v>
      </c>
      <c r="H1743" s="209">
        <v>20001057</v>
      </c>
      <c r="I1743" s="209">
        <v>2</v>
      </c>
      <c r="J1743" s="209" t="s">
        <v>169</v>
      </c>
      <c r="K1743" s="209" t="s">
        <v>3768</v>
      </c>
      <c r="L1743" s="209" t="s">
        <v>2610</v>
      </c>
      <c r="M1743" s="209" t="s">
        <v>2718</v>
      </c>
      <c r="N1743" s="209">
        <v>50032578</v>
      </c>
      <c r="O1743" s="209" t="s">
        <v>329</v>
      </c>
      <c r="P1743" s="209">
        <v>5121</v>
      </c>
      <c r="Q1743" s="209" t="s">
        <v>174</v>
      </c>
      <c r="R1743" s="209" t="s">
        <v>175</v>
      </c>
      <c r="S1743" s="209" t="s">
        <v>176</v>
      </c>
      <c r="T1743" s="209" t="s">
        <v>177</v>
      </c>
      <c r="U1743" s="209" t="s">
        <v>178</v>
      </c>
      <c r="V1743" s="209" t="s">
        <v>179</v>
      </c>
      <c r="W1743" s="209" t="s">
        <v>179</v>
      </c>
      <c r="X1743" s="209" t="s">
        <v>180</v>
      </c>
      <c r="Y1743" s="209" t="s">
        <v>180</v>
      </c>
      <c r="Z1743" s="209" t="s">
        <v>3769</v>
      </c>
      <c r="AA1743" s="209" t="s">
        <v>3770</v>
      </c>
      <c r="AB1743" s="209" t="s">
        <v>180</v>
      </c>
      <c r="AC1743" s="209" t="s">
        <v>182</v>
      </c>
      <c r="AD1743" s="209">
        <v>12</v>
      </c>
      <c r="AE1743" s="209">
        <v>2025</v>
      </c>
      <c r="AF1743" s="227">
        <v>46020</v>
      </c>
      <c r="AG1743" s="227">
        <v>46020</v>
      </c>
      <c r="AH1743" s="227">
        <v>46020</v>
      </c>
      <c r="AI1743" s="228">
        <v>173808</v>
      </c>
      <c r="AJ1743" s="228">
        <v>17</v>
      </c>
      <c r="AK1743" s="228">
        <v>173808</v>
      </c>
      <c r="AL1743" s="228">
        <v>17</v>
      </c>
      <c r="AM1743" s="228">
        <v>0</v>
      </c>
      <c r="AN1743" s="228">
        <v>0</v>
      </c>
      <c r="AO1743" s="229">
        <v>1</v>
      </c>
      <c r="AP1743" s="231">
        <v>12</v>
      </c>
      <c r="AQ1743" s="231">
        <v>2025</v>
      </c>
      <c r="AR1743" s="231" t="str">
        <f t="shared" si="249"/>
        <v>12/2025</v>
      </c>
      <c r="AS1743" s="231">
        <f t="shared" si="250"/>
        <v>37.200000000000003</v>
      </c>
      <c r="AT1743" s="239">
        <f>IF(G1743="CERVECERIA Y MALTERIA",(AS1743*AK1743/1000000)*(1-VLOOKUP(N1743,FCST!D:I,6,FALSE)),0)</f>
        <v>6.4656576000000001</v>
      </c>
      <c r="AU1743" s="232">
        <v>5.0000000000000001E-3</v>
      </c>
      <c r="AV1743" s="239">
        <f t="shared" si="251"/>
        <v>6.4979858879999997</v>
      </c>
      <c r="AW1743" s="239">
        <f>(AS1743*AK1743/1000000)*(VLOOKUP(N1743,FCST!D:I,6,FALSE))</f>
        <v>0</v>
      </c>
      <c r="AX1743" s="239">
        <f t="shared" si="252"/>
        <v>0</v>
      </c>
      <c r="AY1743" s="239">
        <f>IF($G1743="CERVECERIA Y MALTERIA.",($AS1743*$AK1743/1000000)*(1-VLOOKUP($N1743,FCST!D:I,6,FALSE)),0)</f>
        <v>0</v>
      </c>
      <c r="AZ1743" s="239">
        <f t="shared" si="253"/>
        <v>0</v>
      </c>
    </row>
    <row r="1744" spans="1:52" x14ac:dyDescent="0.25">
      <c r="A1744" s="209">
        <v>1155013</v>
      </c>
      <c r="B1744" s="209">
        <v>20</v>
      </c>
      <c r="C1744" s="209" t="s">
        <v>3785</v>
      </c>
      <c r="D1744" s="209">
        <v>20</v>
      </c>
      <c r="E1744" s="209">
        <v>10000002</v>
      </c>
      <c r="F1744" s="209">
        <v>20000336</v>
      </c>
      <c r="G1744" s="209" t="s">
        <v>105</v>
      </c>
      <c r="H1744" s="209">
        <v>20000336</v>
      </c>
      <c r="I1744" s="209">
        <v>2</v>
      </c>
      <c r="J1744" s="209" t="s">
        <v>169</v>
      </c>
      <c r="K1744" s="209" t="s">
        <v>3786</v>
      </c>
      <c r="L1744" s="209" t="s">
        <v>2610</v>
      </c>
      <c r="M1744" s="209" t="s">
        <v>172</v>
      </c>
      <c r="N1744" s="209">
        <v>50037887</v>
      </c>
      <c r="O1744" s="209" t="s">
        <v>679</v>
      </c>
      <c r="P1744" s="209">
        <v>5121</v>
      </c>
      <c r="Q1744" s="209" t="s">
        <v>174</v>
      </c>
      <c r="R1744" s="209" t="s">
        <v>175</v>
      </c>
      <c r="S1744" s="209" t="s">
        <v>176</v>
      </c>
      <c r="T1744" s="209" t="s">
        <v>177</v>
      </c>
      <c r="U1744" s="209" t="s">
        <v>178</v>
      </c>
      <c r="V1744" s="209" t="s">
        <v>179</v>
      </c>
      <c r="W1744" s="209" t="s">
        <v>179</v>
      </c>
      <c r="X1744" s="209" t="s">
        <v>180</v>
      </c>
      <c r="Y1744" s="209" t="s">
        <v>180</v>
      </c>
      <c r="Z1744" s="209" t="s">
        <v>3787</v>
      </c>
      <c r="AA1744" s="209" t="s">
        <v>3788</v>
      </c>
      <c r="AB1744" s="209" t="s">
        <v>180</v>
      </c>
      <c r="AC1744" s="209" t="s">
        <v>182</v>
      </c>
      <c r="AD1744" s="209">
        <v>12</v>
      </c>
      <c r="AE1744" s="209">
        <v>2025</v>
      </c>
      <c r="AF1744" s="227">
        <v>45996</v>
      </c>
      <c r="AG1744" s="227">
        <v>46000</v>
      </c>
      <c r="AH1744" s="227">
        <v>46000</v>
      </c>
      <c r="AI1744" s="228">
        <v>286272</v>
      </c>
      <c r="AJ1744" s="228">
        <v>28</v>
      </c>
      <c r="AK1744" s="228">
        <v>286272</v>
      </c>
      <c r="AL1744" s="228">
        <v>28</v>
      </c>
      <c r="AM1744" s="228">
        <v>0</v>
      </c>
      <c r="AN1744" s="228">
        <v>0</v>
      </c>
      <c r="AO1744" s="229">
        <v>50</v>
      </c>
      <c r="AP1744" s="231">
        <v>12</v>
      </c>
      <c r="AQ1744" s="231">
        <v>2025</v>
      </c>
      <c r="AR1744" s="231" t="str">
        <f t="shared" si="249"/>
        <v>12/2025</v>
      </c>
      <c r="AS1744" s="231">
        <f t="shared" si="250"/>
        <v>37.200000000000003</v>
      </c>
      <c r="AT1744" s="239">
        <f>IF(G1744="CERVECERIA Y MALTERIA",(AS1744*AK1744/1000000)*(1-VLOOKUP(N1744,FCST!D:I,6,FALSE)),0)</f>
        <v>10.6493184</v>
      </c>
      <c r="AU1744" s="232">
        <v>5.0000000000000001E-3</v>
      </c>
      <c r="AV1744" s="239">
        <f t="shared" si="251"/>
        <v>10.702564991999999</v>
      </c>
      <c r="AW1744" s="239">
        <f>(AS1744*AK1744/1000000)*(VLOOKUP(N1744,FCST!D:I,6,FALSE))</f>
        <v>0</v>
      </c>
      <c r="AX1744" s="239">
        <f t="shared" si="252"/>
        <v>0</v>
      </c>
      <c r="AY1744" s="239">
        <f>IF($G1744="CERVECERIA Y MALTERIA.",($AS1744*$AK1744/1000000)*(1-VLOOKUP($N1744,FCST!D:I,6,FALSE)),0)</f>
        <v>0</v>
      </c>
      <c r="AZ1744" s="239">
        <f t="shared" si="253"/>
        <v>0</v>
      </c>
    </row>
    <row r="1745" spans="1:52" x14ac:dyDescent="0.25">
      <c r="A1745" s="209">
        <v>1156328</v>
      </c>
      <c r="B1745" s="209">
        <v>40</v>
      </c>
      <c r="C1745" s="209" t="s">
        <v>3819</v>
      </c>
      <c r="D1745" s="209">
        <v>20</v>
      </c>
      <c r="E1745" s="209">
        <v>10000002</v>
      </c>
      <c r="F1745" s="209">
        <v>20000336</v>
      </c>
      <c r="G1745" s="209" t="s">
        <v>105</v>
      </c>
      <c r="H1745" s="209">
        <v>20000336</v>
      </c>
      <c r="I1745" s="209">
        <v>2</v>
      </c>
      <c r="J1745" s="209" t="s">
        <v>169</v>
      </c>
      <c r="K1745" s="209" t="s">
        <v>3820</v>
      </c>
      <c r="L1745" s="209" t="s">
        <v>2610</v>
      </c>
      <c r="M1745" s="209" t="s">
        <v>184</v>
      </c>
      <c r="N1745" s="209">
        <v>50037887</v>
      </c>
      <c r="O1745" s="209" t="s">
        <v>679</v>
      </c>
      <c r="P1745" s="209">
        <v>5121</v>
      </c>
      <c r="Q1745" s="209" t="s">
        <v>174</v>
      </c>
      <c r="R1745" s="209" t="s">
        <v>175</v>
      </c>
      <c r="S1745" s="209" t="s">
        <v>176</v>
      </c>
      <c r="T1745" s="209" t="s">
        <v>177</v>
      </c>
      <c r="U1745" s="209" t="s">
        <v>178</v>
      </c>
      <c r="V1745" s="209" t="s">
        <v>179</v>
      </c>
      <c r="W1745" s="209" t="s">
        <v>179</v>
      </c>
      <c r="X1745" s="209" t="s">
        <v>180</v>
      </c>
      <c r="Y1745" s="209" t="s">
        <v>180</v>
      </c>
      <c r="Z1745" s="209" t="s">
        <v>3821</v>
      </c>
      <c r="AA1745" s="209" t="s">
        <v>3822</v>
      </c>
      <c r="AB1745" s="209" t="s">
        <v>180</v>
      </c>
      <c r="AC1745" s="209" t="s">
        <v>182</v>
      </c>
      <c r="AD1745" s="209">
        <v>12</v>
      </c>
      <c r="AE1745" s="209">
        <v>2025</v>
      </c>
      <c r="AF1745" s="227">
        <v>46003</v>
      </c>
      <c r="AG1745" s="227">
        <v>46007</v>
      </c>
      <c r="AH1745" s="227">
        <v>46007</v>
      </c>
      <c r="AI1745" s="228">
        <v>184032</v>
      </c>
      <c r="AJ1745" s="228">
        <v>18</v>
      </c>
      <c r="AK1745" s="228">
        <v>184032</v>
      </c>
      <c r="AL1745" s="228">
        <v>18</v>
      </c>
      <c r="AM1745" s="228">
        <v>0</v>
      </c>
      <c r="AN1745" s="228">
        <v>0</v>
      </c>
      <c r="AO1745" s="229">
        <v>51</v>
      </c>
      <c r="AP1745" s="231">
        <v>12</v>
      </c>
      <c r="AQ1745" s="231">
        <v>2025</v>
      </c>
      <c r="AR1745" s="231" t="str">
        <f t="shared" si="249"/>
        <v>12/2025</v>
      </c>
      <c r="AS1745" s="231">
        <f t="shared" si="250"/>
        <v>37.200000000000003</v>
      </c>
      <c r="AT1745" s="239">
        <f>IF(G1745="CERVECERIA Y MALTERIA",(AS1745*AK1745/1000000)*(1-VLOOKUP(N1745,FCST!D:I,6,FALSE)),0)</f>
        <v>6.8459904000000007</v>
      </c>
      <c r="AU1745" s="232">
        <v>5.0000000000000001E-3</v>
      </c>
      <c r="AV1745" s="239">
        <f t="shared" si="251"/>
        <v>6.8802203520000003</v>
      </c>
      <c r="AW1745" s="239">
        <f>(AS1745*AK1745/1000000)*(VLOOKUP(N1745,FCST!D:I,6,FALSE))</f>
        <v>0</v>
      </c>
      <c r="AX1745" s="239">
        <f t="shared" si="252"/>
        <v>0</v>
      </c>
      <c r="AY1745" s="239">
        <f>IF($G1745="CERVECERIA Y MALTERIA.",($AS1745*$AK1745/1000000)*(1-VLOOKUP($N1745,FCST!D:I,6,FALSE)),0)</f>
        <v>0</v>
      </c>
      <c r="AZ1745" s="239">
        <f t="shared" si="253"/>
        <v>0</v>
      </c>
    </row>
    <row r="1747" spans="1:52" x14ac:dyDescent="0.25">
      <c r="A1747" s="209">
        <v>1161269</v>
      </c>
      <c r="B1747" s="209">
        <v>50</v>
      </c>
      <c r="C1747" s="209" t="s">
        <v>3957</v>
      </c>
      <c r="D1747" s="209">
        <v>10</v>
      </c>
      <c r="E1747" s="209">
        <v>10000002</v>
      </c>
      <c r="F1747" s="209">
        <v>20000340</v>
      </c>
      <c r="G1747" s="209" t="s">
        <v>117</v>
      </c>
      <c r="H1747" s="209">
        <v>20000340</v>
      </c>
      <c r="I1747" s="209">
        <v>2</v>
      </c>
      <c r="J1747" s="209" t="s">
        <v>169</v>
      </c>
      <c r="K1747" s="209" t="s">
        <v>3958</v>
      </c>
      <c r="L1747" s="209" t="s">
        <v>265</v>
      </c>
      <c r="M1747" s="209" t="s">
        <v>172</v>
      </c>
      <c r="N1747" s="209">
        <v>50037786</v>
      </c>
      <c r="O1747" s="209" t="s">
        <v>2739</v>
      </c>
      <c r="P1747" s="209">
        <v>5101</v>
      </c>
      <c r="Q1747" s="209" t="s">
        <v>186</v>
      </c>
      <c r="R1747" s="209" t="s">
        <v>175</v>
      </c>
      <c r="S1747" s="209" t="s">
        <v>176</v>
      </c>
      <c r="T1747" s="209" t="s">
        <v>187</v>
      </c>
      <c r="U1747" s="209" t="s">
        <v>188</v>
      </c>
      <c r="V1747" s="209" t="s">
        <v>179</v>
      </c>
      <c r="W1747" s="209" t="s">
        <v>179</v>
      </c>
      <c r="X1747" s="209" t="s">
        <v>180</v>
      </c>
      <c r="Y1747" s="209" t="s">
        <v>180</v>
      </c>
      <c r="Z1747" s="209" t="s">
        <v>3959</v>
      </c>
      <c r="AA1747" s="209" t="s">
        <v>3960</v>
      </c>
      <c r="AB1747" s="209" t="s">
        <v>180</v>
      </c>
      <c r="AC1747" s="209" t="s">
        <v>182</v>
      </c>
      <c r="AD1747" s="209">
        <v>1</v>
      </c>
      <c r="AE1747" s="209">
        <v>2026</v>
      </c>
      <c r="AF1747" s="227">
        <v>46035</v>
      </c>
      <c r="AG1747" s="227">
        <v>46044</v>
      </c>
      <c r="AH1747" s="227">
        <v>46044</v>
      </c>
      <c r="AI1747" s="228">
        <v>606528</v>
      </c>
      <c r="AJ1747" s="228">
        <v>52</v>
      </c>
      <c r="AK1747" s="228">
        <v>606528</v>
      </c>
      <c r="AL1747" s="228">
        <v>52</v>
      </c>
      <c r="AM1747" s="228">
        <v>0</v>
      </c>
      <c r="AN1747" s="228">
        <v>0</v>
      </c>
      <c r="AO1747" s="229">
        <v>4</v>
      </c>
      <c r="AP1747" s="231">
        <v>1</v>
      </c>
      <c r="AQ1747" s="231">
        <v>2026</v>
      </c>
      <c r="AR1747" s="231" t="str">
        <f t="shared" ref="AR1747" si="254">+IF(AP1747&lt;10,"0"&amp;AP1747&amp; "/"&amp;AQ1747,AP1747&amp; "/"&amp;AQ1747)</f>
        <v>01/2026</v>
      </c>
      <c r="AS1747" s="231">
        <f t="shared" ref="AS1747" si="255">VALUE(MID(INDEX(_xlfn.TEXTSPLIT(O1747, ","), 1, 3), 1,FIND("G", INDEX(_xlfn.TEXTSPLIT(O1747, ","), 1, 3))-1))</f>
        <v>30</v>
      </c>
      <c r="AT1747" s="239">
        <f>IF(G1747="CERVECERIA Y MALTERIA",(AS1747*AK1747/1000000)*(1-VLOOKUP(N1747,FCST!D:I,6,FALSE)),0)</f>
        <v>0</v>
      </c>
      <c r="AU1747" s="232">
        <v>5.0000000000000001E-3</v>
      </c>
      <c r="AV1747" s="239">
        <f t="shared" ref="AV1747" si="256">+AT1747*(1+AU1747)</f>
        <v>0</v>
      </c>
      <c r="AW1747" s="239">
        <f>(AS1747*AK1747/1000000)*(VLOOKUP(N1747,FCST!D:I,6,FALSE))</f>
        <v>7.2783360000000004</v>
      </c>
      <c r="AX1747" s="239">
        <f t="shared" ref="AX1747" si="257">+AW1747*(1+AU1747)</f>
        <v>7.3147276799999998</v>
      </c>
      <c r="AY1747" s="239">
        <f>IF($G1747="CERVECERIA Y MALTERIA.",($AS1747*$AK1747/1000000)*(1-VLOOKUP($N1747,FCST!D:I,6,FALSE)),0)</f>
        <v>10.917503999999999</v>
      </c>
      <c r="AZ1747" s="239">
        <f t="shared" ref="AZ1747" si="258">+AY1747*(1+AU1747)</f>
        <v>10.972091519999998</v>
      </c>
    </row>
    <row r="1748" spans="1:52" x14ac:dyDescent="0.25">
      <c r="A1748" s="209">
        <v>1162098</v>
      </c>
      <c r="B1748" s="209">
        <v>30</v>
      </c>
      <c r="C1748" s="209" t="s">
        <v>3961</v>
      </c>
      <c r="D1748" s="209">
        <v>10</v>
      </c>
      <c r="E1748" s="209">
        <v>10000002</v>
      </c>
      <c r="F1748" s="209">
        <v>20000336</v>
      </c>
      <c r="G1748" s="209" t="s">
        <v>105</v>
      </c>
      <c r="H1748" s="209">
        <v>20000336</v>
      </c>
      <c r="I1748" s="209">
        <v>2</v>
      </c>
      <c r="J1748" s="209" t="s">
        <v>169</v>
      </c>
      <c r="K1748" s="209" t="s">
        <v>3962</v>
      </c>
      <c r="L1748" s="209" t="s">
        <v>2610</v>
      </c>
      <c r="M1748" s="209" t="s">
        <v>172</v>
      </c>
      <c r="N1748" s="209">
        <v>50030381</v>
      </c>
      <c r="O1748" s="209" t="s">
        <v>1791</v>
      </c>
      <c r="P1748" s="209">
        <v>5121</v>
      </c>
      <c r="Q1748" s="209" t="s">
        <v>174</v>
      </c>
      <c r="R1748" s="209" t="s">
        <v>175</v>
      </c>
      <c r="S1748" s="209" t="s">
        <v>176</v>
      </c>
      <c r="T1748" s="209" t="s">
        <v>177</v>
      </c>
      <c r="U1748" s="209" t="s">
        <v>178</v>
      </c>
      <c r="V1748" s="209" t="s">
        <v>179</v>
      </c>
      <c r="W1748" s="209" t="s">
        <v>179</v>
      </c>
      <c r="X1748" s="209" t="s">
        <v>180</v>
      </c>
      <c r="Y1748" s="209" t="s">
        <v>180</v>
      </c>
      <c r="Z1748" s="209" t="s">
        <v>3963</v>
      </c>
      <c r="AA1748" s="209" t="s">
        <v>3964</v>
      </c>
      <c r="AB1748" s="209" t="s">
        <v>180</v>
      </c>
      <c r="AC1748" s="209" t="s">
        <v>182</v>
      </c>
      <c r="AD1748" s="209">
        <v>1</v>
      </c>
      <c r="AE1748" s="209">
        <v>2026</v>
      </c>
      <c r="AF1748" s="227">
        <v>46041</v>
      </c>
      <c r="AG1748" s="227">
        <v>46044</v>
      </c>
      <c r="AH1748" s="227">
        <v>46044</v>
      </c>
      <c r="AI1748" s="228">
        <v>406016</v>
      </c>
      <c r="AJ1748" s="228">
        <v>52</v>
      </c>
      <c r="AK1748" s="228">
        <v>406016</v>
      </c>
      <c r="AL1748" s="228">
        <v>52</v>
      </c>
      <c r="AM1748" s="228">
        <v>0</v>
      </c>
      <c r="AN1748" s="228">
        <v>0</v>
      </c>
      <c r="AO1748" s="229">
        <v>4</v>
      </c>
      <c r="AP1748" s="231">
        <v>1</v>
      </c>
      <c r="AQ1748" s="231">
        <v>2026</v>
      </c>
      <c r="AR1748" s="231" t="str">
        <f t="shared" ref="AR1748:AR1811" si="259">+IF(AP1748&lt;10,"0"&amp;AP1748&amp; "/"&amp;AQ1748,AP1748&amp; "/"&amp;AQ1748)</f>
        <v>01/2026</v>
      </c>
      <c r="AS1748" s="231">
        <f t="shared" ref="AS1748:AS1811" si="260">VALUE(MID(INDEX(_xlfn.TEXTSPLIT(O1748, ","), 1, 3), 1,FIND("G", INDEX(_xlfn.TEXTSPLIT(O1748, ","), 1, 3))-1))</f>
        <v>46.6</v>
      </c>
      <c r="AT1748" s="239">
        <f>IF(G1748="CERVECERIA Y MALTERIA",(AS1748*AK1748/1000000)*(1-VLOOKUP(N1748,FCST!D:I,6,FALSE)),0)</f>
        <v>18.920345600000001</v>
      </c>
      <c r="AU1748" s="232">
        <v>5.0000000000000001E-3</v>
      </c>
      <c r="AV1748" s="239">
        <f t="shared" ref="AV1748:AV1811" si="261">+AT1748*(1+AU1748)</f>
        <v>19.014947327999998</v>
      </c>
      <c r="AW1748" s="239">
        <f>(AS1748*AK1748/1000000)*(VLOOKUP(N1748,FCST!D:I,6,FALSE))</f>
        <v>0</v>
      </c>
      <c r="AX1748" s="239">
        <f t="shared" ref="AX1748:AX1811" si="262">+AW1748*(1+AU1748)</f>
        <v>0</v>
      </c>
      <c r="AY1748" s="239">
        <f>IF($G1748="CERVECERIA Y MALTERIA.",($AS1748*$AK1748/1000000)*(1-VLOOKUP($N1748,FCST!D:I,6,FALSE)),0)</f>
        <v>0</v>
      </c>
      <c r="AZ1748" s="239">
        <f t="shared" ref="AZ1748:AZ1811" si="263">+AY1748*(1+AU1748)</f>
        <v>0</v>
      </c>
    </row>
    <row r="1749" spans="1:52" x14ac:dyDescent="0.25">
      <c r="A1749" s="209">
        <v>1161269</v>
      </c>
      <c r="B1749" s="209">
        <v>30</v>
      </c>
      <c r="C1749" s="209" t="s">
        <v>3965</v>
      </c>
      <c r="D1749" s="209">
        <v>10</v>
      </c>
      <c r="E1749" s="209">
        <v>10000002</v>
      </c>
      <c r="F1749" s="209">
        <v>20000340</v>
      </c>
      <c r="G1749" s="209" t="s">
        <v>117</v>
      </c>
      <c r="H1749" s="209">
        <v>20000340</v>
      </c>
      <c r="I1749" s="209">
        <v>2</v>
      </c>
      <c r="J1749" s="209" t="s">
        <v>169</v>
      </c>
      <c r="K1749" s="209" t="s">
        <v>3966</v>
      </c>
      <c r="L1749" s="209" t="s">
        <v>265</v>
      </c>
      <c r="M1749" s="209" t="s">
        <v>172</v>
      </c>
      <c r="N1749" s="209">
        <v>50038523</v>
      </c>
      <c r="O1749" s="209" t="s">
        <v>249</v>
      </c>
      <c r="P1749" s="209">
        <v>5101</v>
      </c>
      <c r="Q1749" s="209" t="s">
        <v>186</v>
      </c>
      <c r="R1749" s="209" t="s">
        <v>175</v>
      </c>
      <c r="S1749" s="209" t="s">
        <v>176</v>
      </c>
      <c r="T1749" s="209" t="s">
        <v>187</v>
      </c>
      <c r="U1749" s="209" t="s">
        <v>188</v>
      </c>
      <c r="V1749" s="209" t="s">
        <v>179</v>
      </c>
      <c r="W1749" s="209" t="s">
        <v>179</v>
      </c>
      <c r="X1749" s="209" t="s">
        <v>180</v>
      </c>
      <c r="Y1749" s="209" t="s">
        <v>180</v>
      </c>
      <c r="Z1749" s="209" t="s">
        <v>3959</v>
      </c>
      <c r="AA1749" s="209" t="s">
        <v>3960</v>
      </c>
      <c r="AB1749" s="209" t="s">
        <v>180</v>
      </c>
      <c r="AC1749" s="209" t="s">
        <v>182</v>
      </c>
      <c r="AD1749" s="209">
        <v>1</v>
      </c>
      <c r="AE1749" s="209">
        <v>2026</v>
      </c>
      <c r="AF1749" s="227">
        <v>46035</v>
      </c>
      <c r="AG1749" s="227">
        <v>46043</v>
      </c>
      <c r="AH1749" s="227">
        <v>46044</v>
      </c>
      <c r="AI1749" s="228">
        <v>606528</v>
      </c>
      <c r="AJ1749" s="228">
        <v>52</v>
      </c>
      <c r="AK1749" s="228">
        <v>606528</v>
      </c>
      <c r="AL1749" s="228">
        <v>52</v>
      </c>
      <c r="AM1749" s="228">
        <v>0</v>
      </c>
      <c r="AN1749" s="228">
        <v>0</v>
      </c>
      <c r="AO1749" s="229">
        <v>4</v>
      </c>
      <c r="AP1749" s="231">
        <v>1</v>
      </c>
      <c r="AQ1749" s="231">
        <v>2026</v>
      </c>
      <c r="AR1749" s="231" t="str">
        <f t="shared" si="259"/>
        <v>01/2026</v>
      </c>
      <c r="AS1749" s="231">
        <f t="shared" si="260"/>
        <v>30</v>
      </c>
      <c r="AT1749" s="239">
        <f>IF(G1749="CERVECERIA Y MALTERIA",(AS1749*AK1749/1000000)*(1-VLOOKUP(N1749,FCST!D:I,6,FALSE)),0)</f>
        <v>0</v>
      </c>
      <c r="AU1749" s="232">
        <v>5.0000000000000001E-3</v>
      </c>
      <c r="AV1749" s="239">
        <f t="shared" si="261"/>
        <v>0</v>
      </c>
      <c r="AW1749" s="239">
        <f>(AS1749*AK1749/1000000)*(VLOOKUP(N1749,FCST!D:I,6,FALSE))</f>
        <v>0</v>
      </c>
      <c r="AX1749" s="239">
        <f t="shared" si="262"/>
        <v>0</v>
      </c>
      <c r="AY1749" s="239">
        <f>IF($G1749="CERVECERIA Y MALTERIA.",($AS1749*$AK1749/1000000)*(1-VLOOKUP($N1749,FCST!D:I,6,FALSE)),0)</f>
        <v>18.19584</v>
      </c>
      <c r="AZ1749" s="239">
        <f t="shared" si="263"/>
        <v>18.2868192</v>
      </c>
    </row>
    <row r="1750" spans="1:52" x14ac:dyDescent="0.25">
      <c r="A1750" s="209">
        <v>1161269</v>
      </c>
      <c r="B1750" s="209">
        <v>60</v>
      </c>
      <c r="C1750" s="209" t="s">
        <v>3967</v>
      </c>
      <c r="D1750" s="209">
        <v>10</v>
      </c>
      <c r="E1750" s="209">
        <v>10000002</v>
      </c>
      <c r="F1750" s="209">
        <v>20000340</v>
      </c>
      <c r="G1750" s="209" t="s">
        <v>117</v>
      </c>
      <c r="H1750" s="209">
        <v>20000340</v>
      </c>
      <c r="I1750" s="209">
        <v>2</v>
      </c>
      <c r="J1750" s="209" t="s">
        <v>169</v>
      </c>
      <c r="K1750" s="209" t="s">
        <v>3968</v>
      </c>
      <c r="L1750" s="209" t="s">
        <v>265</v>
      </c>
      <c r="M1750" s="209" t="s">
        <v>172</v>
      </c>
      <c r="N1750" s="209">
        <v>50037786</v>
      </c>
      <c r="O1750" s="209" t="s">
        <v>2739</v>
      </c>
      <c r="P1750" s="209">
        <v>5101</v>
      </c>
      <c r="Q1750" s="209" t="s">
        <v>186</v>
      </c>
      <c r="R1750" s="209" t="s">
        <v>175</v>
      </c>
      <c r="S1750" s="209" t="s">
        <v>176</v>
      </c>
      <c r="T1750" s="209" t="s">
        <v>187</v>
      </c>
      <c r="U1750" s="209" t="s">
        <v>188</v>
      </c>
      <c r="V1750" s="209" t="s">
        <v>179</v>
      </c>
      <c r="W1750" s="209" t="s">
        <v>179</v>
      </c>
      <c r="X1750" s="209" t="s">
        <v>180</v>
      </c>
      <c r="Y1750" s="209" t="s">
        <v>180</v>
      </c>
      <c r="Z1750" s="209" t="s">
        <v>3959</v>
      </c>
      <c r="AA1750" s="209" t="s">
        <v>3960</v>
      </c>
      <c r="AB1750" s="209" t="s">
        <v>180</v>
      </c>
      <c r="AC1750" s="209" t="s">
        <v>182</v>
      </c>
      <c r="AD1750" s="209">
        <v>1</v>
      </c>
      <c r="AE1750" s="209">
        <v>2026</v>
      </c>
      <c r="AF1750" s="227">
        <v>46035</v>
      </c>
      <c r="AG1750" s="227">
        <v>46045</v>
      </c>
      <c r="AH1750" s="227">
        <v>46045</v>
      </c>
      <c r="AI1750" s="228">
        <v>606528</v>
      </c>
      <c r="AJ1750" s="228">
        <v>52</v>
      </c>
      <c r="AK1750" s="228">
        <v>606528</v>
      </c>
      <c r="AL1750" s="228">
        <v>52</v>
      </c>
      <c r="AM1750" s="228">
        <v>0</v>
      </c>
      <c r="AN1750" s="228">
        <v>0</v>
      </c>
      <c r="AO1750" s="229">
        <v>4</v>
      </c>
      <c r="AP1750" s="231">
        <v>1</v>
      </c>
      <c r="AQ1750" s="231">
        <v>2026</v>
      </c>
      <c r="AR1750" s="231" t="str">
        <f t="shared" si="259"/>
        <v>01/2026</v>
      </c>
      <c r="AS1750" s="231">
        <f t="shared" si="260"/>
        <v>30</v>
      </c>
      <c r="AT1750" s="239">
        <f>IF(G1750="CERVECERIA Y MALTERIA",(AS1750*AK1750/1000000)*(1-VLOOKUP(N1750,FCST!D:I,6,FALSE)),0)</f>
        <v>0</v>
      </c>
      <c r="AU1750" s="232">
        <v>5.0000000000000001E-3</v>
      </c>
      <c r="AV1750" s="239">
        <f t="shared" si="261"/>
        <v>0</v>
      </c>
      <c r="AW1750" s="239">
        <f>(AS1750*AK1750/1000000)*(VLOOKUP(N1750,FCST!D:I,6,FALSE))</f>
        <v>7.2783360000000004</v>
      </c>
      <c r="AX1750" s="239">
        <f t="shared" si="262"/>
        <v>7.3147276799999998</v>
      </c>
      <c r="AY1750" s="239">
        <f>IF($G1750="CERVECERIA Y MALTERIA.",($AS1750*$AK1750/1000000)*(1-VLOOKUP($N1750,FCST!D:I,6,FALSE)),0)</f>
        <v>10.917503999999999</v>
      </c>
      <c r="AZ1750" s="239">
        <f t="shared" si="263"/>
        <v>10.972091519999998</v>
      </c>
    </row>
    <row r="1751" spans="1:52" x14ac:dyDescent="0.25">
      <c r="A1751" s="209">
        <v>1161269</v>
      </c>
      <c r="B1751" s="209">
        <v>10</v>
      </c>
      <c r="C1751" s="209" t="s">
        <v>3969</v>
      </c>
      <c r="D1751" s="209">
        <v>10</v>
      </c>
      <c r="E1751" s="209">
        <v>10000002</v>
      </c>
      <c r="F1751" s="209">
        <v>20000340</v>
      </c>
      <c r="G1751" s="209" t="s">
        <v>117</v>
      </c>
      <c r="H1751" s="209">
        <v>20000340</v>
      </c>
      <c r="I1751" s="209">
        <v>2</v>
      </c>
      <c r="J1751" s="209" t="s">
        <v>169</v>
      </c>
      <c r="K1751" s="209" t="s">
        <v>3970</v>
      </c>
      <c r="L1751" s="209" t="s">
        <v>265</v>
      </c>
      <c r="M1751" s="209" t="s">
        <v>172</v>
      </c>
      <c r="N1751" s="209">
        <v>50038523</v>
      </c>
      <c r="O1751" s="209" t="s">
        <v>249</v>
      </c>
      <c r="P1751" s="209">
        <v>5101</v>
      </c>
      <c r="Q1751" s="209" t="s">
        <v>186</v>
      </c>
      <c r="R1751" s="209" t="s">
        <v>175</v>
      </c>
      <c r="S1751" s="209" t="s">
        <v>176</v>
      </c>
      <c r="T1751" s="209" t="s">
        <v>187</v>
      </c>
      <c r="U1751" s="209" t="s">
        <v>188</v>
      </c>
      <c r="V1751" s="209" t="s">
        <v>179</v>
      </c>
      <c r="W1751" s="209" t="s">
        <v>179</v>
      </c>
      <c r="X1751" s="209" t="s">
        <v>180</v>
      </c>
      <c r="Y1751" s="209" t="s">
        <v>180</v>
      </c>
      <c r="Z1751" s="209" t="s">
        <v>3959</v>
      </c>
      <c r="AA1751" s="209" t="s">
        <v>3960</v>
      </c>
      <c r="AB1751" s="209" t="s">
        <v>180</v>
      </c>
      <c r="AC1751" s="209" t="s">
        <v>182</v>
      </c>
      <c r="AD1751" s="209">
        <v>1</v>
      </c>
      <c r="AE1751" s="209">
        <v>2026</v>
      </c>
      <c r="AF1751" s="227">
        <v>46035</v>
      </c>
      <c r="AG1751" s="227">
        <v>46041</v>
      </c>
      <c r="AH1751" s="227">
        <v>46041</v>
      </c>
      <c r="AI1751" s="228">
        <v>606528</v>
      </c>
      <c r="AJ1751" s="228">
        <v>52</v>
      </c>
      <c r="AK1751" s="228">
        <v>606528</v>
      </c>
      <c r="AL1751" s="228">
        <v>52</v>
      </c>
      <c r="AM1751" s="228">
        <v>0</v>
      </c>
      <c r="AN1751" s="228">
        <v>0</v>
      </c>
      <c r="AO1751" s="229">
        <v>4</v>
      </c>
      <c r="AP1751" s="231">
        <v>1</v>
      </c>
      <c r="AQ1751" s="231">
        <v>2026</v>
      </c>
      <c r="AR1751" s="231" t="str">
        <f t="shared" si="259"/>
        <v>01/2026</v>
      </c>
      <c r="AS1751" s="231">
        <f t="shared" si="260"/>
        <v>30</v>
      </c>
      <c r="AT1751" s="239">
        <f>IF(G1751="CERVECERIA Y MALTERIA",(AS1751*AK1751/1000000)*(1-VLOOKUP(N1751,FCST!D:I,6,FALSE)),0)</f>
        <v>0</v>
      </c>
      <c r="AU1751" s="232">
        <v>5.0000000000000001E-3</v>
      </c>
      <c r="AV1751" s="239">
        <f t="shared" si="261"/>
        <v>0</v>
      </c>
      <c r="AW1751" s="239">
        <f>(AS1751*AK1751/1000000)*(VLOOKUP(N1751,FCST!D:I,6,FALSE))</f>
        <v>0</v>
      </c>
      <c r="AX1751" s="239">
        <f t="shared" si="262"/>
        <v>0</v>
      </c>
      <c r="AY1751" s="239">
        <f>IF($G1751="CERVECERIA Y MALTERIA.",($AS1751*$AK1751/1000000)*(1-VLOOKUP($N1751,FCST!D:I,6,FALSE)),0)</f>
        <v>18.19584</v>
      </c>
      <c r="AZ1751" s="239">
        <f t="shared" si="263"/>
        <v>18.2868192</v>
      </c>
    </row>
    <row r="1752" spans="1:52" x14ac:dyDescent="0.25">
      <c r="A1752" s="209">
        <v>1161269</v>
      </c>
      <c r="B1752" s="209">
        <v>40</v>
      </c>
      <c r="C1752" s="209" t="s">
        <v>3971</v>
      </c>
      <c r="D1752" s="209">
        <v>10</v>
      </c>
      <c r="E1752" s="209">
        <v>10000002</v>
      </c>
      <c r="F1752" s="209">
        <v>20000340</v>
      </c>
      <c r="G1752" s="209" t="s">
        <v>117</v>
      </c>
      <c r="H1752" s="209">
        <v>20000340</v>
      </c>
      <c r="I1752" s="209">
        <v>2</v>
      </c>
      <c r="J1752" s="209" t="s">
        <v>169</v>
      </c>
      <c r="K1752" s="209" t="s">
        <v>3972</v>
      </c>
      <c r="L1752" s="209" t="s">
        <v>265</v>
      </c>
      <c r="M1752" s="209" t="s">
        <v>172</v>
      </c>
      <c r="N1752" s="209">
        <v>50038523</v>
      </c>
      <c r="O1752" s="209" t="s">
        <v>249</v>
      </c>
      <c r="P1752" s="209">
        <v>5101</v>
      </c>
      <c r="Q1752" s="209" t="s">
        <v>186</v>
      </c>
      <c r="R1752" s="209" t="s">
        <v>175</v>
      </c>
      <c r="S1752" s="209" t="s">
        <v>176</v>
      </c>
      <c r="T1752" s="209" t="s">
        <v>187</v>
      </c>
      <c r="U1752" s="209" t="s">
        <v>188</v>
      </c>
      <c r="V1752" s="209" t="s">
        <v>179</v>
      </c>
      <c r="W1752" s="209" t="s">
        <v>179</v>
      </c>
      <c r="X1752" s="209" t="s">
        <v>180</v>
      </c>
      <c r="Y1752" s="209" t="s">
        <v>180</v>
      </c>
      <c r="Z1752" s="209" t="s">
        <v>3959</v>
      </c>
      <c r="AA1752" s="209" t="s">
        <v>3960</v>
      </c>
      <c r="AB1752" s="209" t="s">
        <v>180</v>
      </c>
      <c r="AC1752" s="209" t="s">
        <v>182</v>
      </c>
      <c r="AD1752" s="209">
        <v>1</v>
      </c>
      <c r="AE1752" s="209">
        <v>2026</v>
      </c>
      <c r="AF1752" s="227">
        <v>46035</v>
      </c>
      <c r="AG1752" s="227">
        <v>46043</v>
      </c>
      <c r="AH1752" s="227">
        <v>46043</v>
      </c>
      <c r="AI1752" s="228">
        <v>606528</v>
      </c>
      <c r="AJ1752" s="228">
        <v>52</v>
      </c>
      <c r="AK1752" s="228">
        <v>606528</v>
      </c>
      <c r="AL1752" s="228">
        <v>52</v>
      </c>
      <c r="AM1752" s="228">
        <v>0</v>
      </c>
      <c r="AN1752" s="228">
        <v>0</v>
      </c>
      <c r="AO1752" s="229">
        <v>4</v>
      </c>
      <c r="AP1752" s="231">
        <v>1</v>
      </c>
      <c r="AQ1752" s="231">
        <v>2026</v>
      </c>
      <c r="AR1752" s="231" t="str">
        <f t="shared" si="259"/>
        <v>01/2026</v>
      </c>
      <c r="AS1752" s="231">
        <f t="shared" si="260"/>
        <v>30</v>
      </c>
      <c r="AT1752" s="239">
        <f>IF(G1752="CERVECERIA Y MALTERIA",(AS1752*AK1752/1000000)*(1-VLOOKUP(N1752,FCST!D:I,6,FALSE)),0)</f>
        <v>0</v>
      </c>
      <c r="AU1752" s="232">
        <v>5.0000000000000001E-3</v>
      </c>
      <c r="AV1752" s="239">
        <f t="shared" si="261"/>
        <v>0</v>
      </c>
      <c r="AW1752" s="239">
        <f>(AS1752*AK1752/1000000)*(VLOOKUP(N1752,FCST!D:I,6,FALSE))</f>
        <v>0</v>
      </c>
      <c r="AX1752" s="239">
        <f t="shared" si="262"/>
        <v>0</v>
      </c>
      <c r="AY1752" s="239">
        <f>IF($G1752="CERVECERIA Y MALTERIA.",($AS1752*$AK1752/1000000)*(1-VLOOKUP($N1752,FCST!D:I,6,FALSE)),0)</f>
        <v>18.19584</v>
      </c>
      <c r="AZ1752" s="239">
        <f t="shared" si="263"/>
        <v>18.2868192</v>
      </c>
    </row>
    <row r="1753" spans="1:52" x14ac:dyDescent="0.25">
      <c r="A1753" s="209">
        <v>1161269</v>
      </c>
      <c r="B1753" s="209">
        <v>20</v>
      </c>
      <c r="C1753" s="209" t="s">
        <v>3973</v>
      </c>
      <c r="D1753" s="209">
        <v>10</v>
      </c>
      <c r="E1753" s="209">
        <v>10000002</v>
      </c>
      <c r="F1753" s="209">
        <v>20000340</v>
      </c>
      <c r="G1753" s="209" t="s">
        <v>117</v>
      </c>
      <c r="H1753" s="209">
        <v>20000340</v>
      </c>
      <c r="I1753" s="209">
        <v>2</v>
      </c>
      <c r="J1753" s="209" t="s">
        <v>169</v>
      </c>
      <c r="K1753" s="209" t="s">
        <v>3974</v>
      </c>
      <c r="L1753" s="209" t="s">
        <v>265</v>
      </c>
      <c r="M1753" s="209" t="s">
        <v>172</v>
      </c>
      <c r="N1753" s="209">
        <v>50037786</v>
      </c>
      <c r="O1753" s="209" t="s">
        <v>2739</v>
      </c>
      <c r="P1753" s="209">
        <v>5101</v>
      </c>
      <c r="Q1753" s="209" t="s">
        <v>186</v>
      </c>
      <c r="R1753" s="209" t="s">
        <v>175</v>
      </c>
      <c r="S1753" s="209" t="s">
        <v>176</v>
      </c>
      <c r="T1753" s="209" t="s">
        <v>187</v>
      </c>
      <c r="U1753" s="209" t="s">
        <v>188</v>
      </c>
      <c r="V1753" s="209" t="s">
        <v>179</v>
      </c>
      <c r="W1753" s="209" t="s">
        <v>179</v>
      </c>
      <c r="X1753" s="209" t="s">
        <v>180</v>
      </c>
      <c r="Y1753" s="209" t="s">
        <v>180</v>
      </c>
      <c r="Z1753" s="209" t="s">
        <v>3959</v>
      </c>
      <c r="AA1753" s="209" t="s">
        <v>3960</v>
      </c>
      <c r="AB1753" s="209" t="s">
        <v>180</v>
      </c>
      <c r="AC1753" s="209" t="s">
        <v>182</v>
      </c>
      <c r="AD1753" s="209">
        <v>1</v>
      </c>
      <c r="AE1753" s="209">
        <v>2026</v>
      </c>
      <c r="AF1753" s="227">
        <v>46035</v>
      </c>
      <c r="AG1753" s="227">
        <v>46042</v>
      </c>
      <c r="AH1753" s="227">
        <v>46043</v>
      </c>
      <c r="AI1753" s="228">
        <v>606528</v>
      </c>
      <c r="AJ1753" s="228">
        <v>52</v>
      </c>
      <c r="AK1753" s="228">
        <v>606528</v>
      </c>
      <c r="AL1753" s="228">
        <v>52</v>
      </c>
      <c r="AM1753" s="228">
        <v>0</v>
      </c>
      <c r="AN1753" s="228">
        <v>0</v>
      </c>
      <c r="AO1753" s="229">
        <v>4</v>
      </c>
      <c r="AP1753" s="231">
        <v>1</v>
      </c>
      <c r="AQ1753" s="231">
        <v>2026</v>
      </c>
      <c r="AR1753" s="231" t="str">
        <f t="shared" si="259"/>
        <v>01/2026</v>
      </c>
      <c r="AS1753" s="231">
        <f t="shared" si="260"/>
        <v>30</v>
      </c>
      <c r="AT1753" s="239">
        <f>IF(G1753="CERVECERIA Y MALTERIA",(AS1753*AK1753/1000000)*(1-VLOOKUP(N1753,FCST!D:I,6,FALSE)),0)</f>
        <v>0</v>
      </c>
      <c r="AU1753" s="232">
        <v>5.0000000000000001E-3</v>
      </c>
      <c r="AV1753" s="239">
        <f t="shared" si="261"/>
        <v>0</v>
      </c>
      <c r="AW1753" s="239">
        <f>(AS1753*AK1753/1000000)*(VLOOKUP(N1753,FCST!D:I,6,FALSE))</f>
        <v>7.2783360000000004</v>
      </c>
      <c r="AX1753" s="239">
        <f t="shared" si="262"/>
        <v>7.3147276799999998</v>
      </c>
      <c r="AY1753" s="239">
        <f>IF($G1753="CERVECERIA Y MALTERIA.",($AS1753*$AK1753/1000000)*(1-VLOOKUP($N1753,FCST!D:I,6,FALSE)),0)</f>
        <v>10.917503999999999</v>
      </c>
      <c r="AZ1753" s="239">
        <f t="shared" si="263"/>
        <v>10.972091519999998</v>
      </c>
    </row>
    <row r="1754" spans="1:52" x14ac:dyDescent="0.25">
      <c r="A1754" s="209">
        <v>1162249</v>
      </c>
      <c r="B1754" s="209">
        <v>20</v>
      </c>
      <c r="C1754" s="209" t="s">
        <v>3975</v>
      </c>
      <c r="D1754" s="209">
        <v>10</v>
      </c>
      <c r="E1754" s="209">
        <v>10000002</v>
      </c>
      <c r="F1754" s="209">
        <v>20001057</v>
      </c>
      <c r="G1754" s="209" t="s">
        <v>105</v>
      </c>
      <c r="H1754" s="209">
        <v>20001057</v>
      </c>
      <c r="I1754" s="209">
        <v>2</v>
      </c>
      <c r="J1754" s="209" t="s">
        <v>169</v>
      </c>
      <c r="K1754" s="209" t="s">
        <v>3976</v>
      </c>
      <c r="L1754" s="209" t="s">
        <v>2610</v>
      </c>
      <c r="M1754" s="209" t="s">
        <v>172</v>
      </c>
      <c r="N1754" s="209">
        <v>50024497</v>
      </c>
      <c r="O1754" s="209" t="s">
        <v>1352</v>
      </c>
      <c r="P1754" s="209">
        <v>5121</v>
      </c>
      <c r="Q1754" s="209" t="s">
        <v>174</v>
      </c>
      <c r="R1754" s="209" t="s">
        <v>175</v>
      </c>
      <c r="S1754" s="209" t="s">
        <v>176</v>
      </c>
      <c r="T1754" s="209" t="s">
        <v>177</v>
      </c>
      <c r="U1754" s="209" t="s">
        <v>178</v>
      </c>
      <c r="V1754" s="209" t="s">
        <v>179</v>
      </c>
      <c r="W1754" s="209" t="s">
        <v>179</v>
      </c>
      <c r="X1754" s="209" t="s">
        <v>180</v>
      </c>
      <c r="Y1754" s="209" t="s">
        <v>180</v>
      </c>
      <c r="Z1754" s="209" t="s">
        <v>3977</v>
      </c>
      <c r="AA1754" s="209" t="s">
        <v>3978</v>
      </c>
      <c r="AB1754" s="209" t="s">
        <v>180</v>
      </c>
      <c r="AC1754" s="209" t="s">
        <v>182</v>
      </c>
      <c r="AD1754" s="209">
        <v>1</v>
      </c>
      <c r="AE1754" s="209">
        <v>2026</v>
      </c>
      <c r="AF1754" s="227">
        <v>46042</v>
      </c>
      <c r="AG1754" s="227">
        <v>46042</v>
      </c>
      <c r="AH1754" s="227">
        <v>46042</v>
      </c>
      <c r="AI1754" s="228">
        <v>351936</v>
      </c>
      <c r="AJ1754" s="228">
        <v>52</v>
      </c>
      <c r="AK1754" s="228">
        <v>351936</v>
      </c>
      <c r="AL1754" s="228">
        <v>52</v>
      </c>
      <c r="AM1754" s="228">
        <v>0</v>
      </c>
      <c r="AN1754" s="228">
        <v>0</v>
      </c>
      <c r="AO1754" s="229">
        <v>4</v>
      </c>
      <c r="AP1754" s="231">
        <v>1</v>
      </c>
      <c r="AQ1754" s="231">
        <v>2026</v>
      </c>
      <c r="AR1754" s="231" t="str">
        <f t="shared" si="259"/>
        <v>01/2026</v>
      </c>
      <c r="AS1754" s="231">
        <f t="shared" si="260"/>
        <v>54.7</v>
      </c>
      <c r="AT1754" s="239">
        <f>IF(G1754="CERVECERIA Y MALTERIA",(AS1754*AK1754/1000000)*(1-VLOOKUP(N1754,FCST!D:I,6,FALSE)),0)</f>
        <v>19.250899199999999</v>
      </c>
      <c r="AU1754" s="232">
        <v>5.0000000000000001E-3</v>
      </c>
      <c r="AV1754" s="239">
        <f t="shared" si="261"/>
        <v>19.347153695999996</v>
      </c>
      <c r="AW1754" s="239">
        <f>(AS1754*AK1754/1000000)*(VLOOKUP(N1754,FCST!D:I,6,FALSE))</f>
        <v>0</v>
      </c>
      <c r="AX1754" s="239">
        <f t="shared" si="262"/>
        <v>0</v>
      </c>
      <c r="AY1754" s="239">
        <f>IF($G1754="CERVECERIA Y MALTERIA.",($AS1754*$AK1754/1000000)*(1-VLOOKUP($N1754,FCST!D:I,6,FALSE)),0)</f>
        <v>0</v>
      </c>
      <c r="AZ1754" s="239">
        <f t="shared" si="263"/>
        <v>0</v>
      </c>
    </row>
    <row r="1755" spans="1:52" x14ac:dyDescent="0.25">
      <c r="A1755" s="209">
        <v>1164136</v>
      </c>
      <c r="B1755" s="209">
        <v>10</v>
      </c>
      <c r="C1755" s="209" t="s">
        <v>3979</v>
      </c>
      <c r="D1755" s="209">
        <v>10</v>
      </c>
      <c r="E1755" s="209">
        <v>10000002</v>
      </c>
      <c r="F1755" s="209">
        <v>20000340</v>
      </c>
      <c r="G1755" s="209" t="s">
        <v>117</v>
      </c>
      <c r="H1755" s="209">
        <v>20000340</v>
      </c>
      <c r="I1755" s="209">
        <v>2</v>
      </c>
      <c r="J1755" s="209" t="s">
        <v>169</v>
      </c>
      <c r="K1755" s="209" t="s">
        <v>3980</v>
      </c>
      <c r="L1755" s="209" t="s">
        <v>265</v>
      </c>
      <c r="M1755" s="209" t="s">
        <v>172</v>
      </c>
      <c r="N1755" s="209">
        <v>50032514</v>
      </c>
      <c r="O1755" s="209" t="s">
        <v>2246</v>
      </c>
      <c r="P1755" s="209">
        <v>5121</v>
      </c>
      <c r="Q1755" s="209" t="s">
        <v>174</v>
      </c>
      <c r="R1755" s="209" t="s">
        <v>175</v>
      </c>
      <c r="S1755" s="209" t="s">
        <v>176</v>
      </c>
      <c r="T1755" s="209" t="s">
        <v>177</v>
      </c>
      <c r="U1755" s="209" t="s">
        <v>178</v>
      </c>
      <c r="V1755" s="209" t="s">
        <v>179</v>
      </c>
      <c r="W1755" s="209" t="s">
        <v>179</v>
      </c>
      <c r="X1755" s="209" t="s">
        <v>180</v>
      </c>
      <c r="Y1755" s="209" t="s">
        <v>180</v>
      </c>
      <c r="Z1755" s="209" t="s">
        <v>3981</v>
      </c>
      <c r="AA1755" s="209" t="s">
        <v>3982</v>
      </c>
      <c r="AB1755" s="209" t="s">
        <v>180</v>
      </c>
      <c r="AC1755" s="209" t="s">
        <v>182</v>
      </c>
      <c r="AD1755" s="209">
        <v>1</v>
      </c>
      <c r="AE1755" s="209">
        <v>2026</v>
      </c>
      <c r="AF1755" s="227">
        <v>46050</v>
      </c>
      <c r="AG1755" s="227">
        <v>46051</v>
      </c>
      <c r="AH1755" s="227">
        <v>46051</v>
      </c>
      <c r="AI1755" s="228">
        <v>419328</v>
      </c>
      <c r="AJ1755" s="228">
        <v>52</v>
      </c>
      <c r="AK1755" s="228">
        <v>419328</v>
      </c>
      <c r="AL1755" s="228">
        <v>52</v>
      </c>
      <c r="AM1755" s="228">
        <v>0</v>
      </c>
      <c r="AN1755" s="228">
        <v>0</v>
      </c>
      <c r="AO1755" s="229">
        <v>5</v>
      </c>
      <c r="AP1755" s="231">
        <v>1</v>
      </c>
      <c r="AQ1755" s="231">
        <v>2026</v>
      </c>
      <c r="AR1755" s="231" t="str">
        <f t="shared" si="259"/>
        <v>01/2026</v>
      </c>
      <c r="AS1755" s="231">
        <f t="shared" si="260"/>
        <v>44.8</v>
      </c>
      <c r="AT1755" s="239">
        <f>IF(G1755="CERVECERIA Y MALTERIA",(AS1755*AK1755/1000000)*(1-VLOOKUP(N1755,FCST!D:I,6,FALSE)),0)</f>
        <v>0</v>
      </c>
      <c r="AU1755" s="232">
        <v>5.0000000000000001E-3</v>
      </c>
      <c r="AV1755" s="239">
        <f t="shared" si="261"/>
        <v>0</v>
      </c>
      <c r="AW1755" s="239">
        <f>(AS1755*AK1755/1000000)*(VLOOKUP(N1755,FCST!D:I,6,FALSE))</f>
        <v>0</v>
      </c>
      <c r="AX1755" s="239">
        <f t="shared" si="262"/>
        <v>0</v>
      </c>
      <c r="AY1755" s="239">
        <f>IF($G1755="CERVECERIA Y MALTERIA.",($AS1755*$AK1755/1000000)*(1-VLOOKUP($N1755,FCST!D:I,6,FALSE)),0)</f>
        <v>18.7858944</v>
      </c>
      <c r="AZ1755" s="239">
        <f t="shared" si="263"/>
        <v>18.879823871999999</v>
      </c>
    </row>
    <row r="1756" spans="1:52" x14ac:dyDescent="0.25">
      <c r="A1756" s="209">
        <v>1163232</v>
      </c>
      <c r="B1756" s="209">
        <v>40</v>
      </c>
      <c r="C1756" s="209" t="s">
        <v>3983</v>
      </c>
      <c r="D1756" s="209">
        <v>10</v>
      </c>
      <c r="E1756" s="209">
        <v>10000002</v>
      </c>
      <c r="F1756" s="209">
        <v>20000335</v>
      </c>
      <c r="G1756" s="209" t="s">
        <v>105</v>
      </c>
      <c r="H1756" s="209">
        <v>20000335</v>
      </c>
      <c r="I1756" s="209">
        <v>2</v>
      </c>
      <c r="J1756" s="209" t="s">
        <v>169</v>
      </c>
      <c r="K1756" s="209" t="s">
        <v>3984</v>
      </c>
      <c r="L1756" s="209" t="s">
        <v>2610</v>
      </c>
      <c r="M1756" s="209" t="s">
        <v>172</v>
      </c>
      <c r="N1756" s="209">
        <v>50037887</v>
      </c>
      <c r="O1756" s="209" t="s">
        <v>679</v>
      </c>
      <c r="P1756" s="209">
        <v>5121</v>
      </c>
      <c r="Q1756" s="209" t="s">
        <v>174</v>
      </c>
      <c r="R1756" s="209" t="s">
        <v>175</v>
      </c>
      <c r="S1756" s="209" t="s">
        <v>176</v>
      </c>
      <c r="T1756" s="209" t="s">
        <v>177</v>
      </c>
      <c r="U1756" s="209" t="s">
        <v>178</v>
      </c>
      <c r="V1756" s="209" t="s">
        <v>179</v>
      </c>
      <c r="W1756" s="209" t="s">
        <v>179</v>
      </c>
      <c r="X1756" s="209" t="s">
        <v>180</v>
      </c>
      <c r="Y1756" s="209" t="s">
        <v>180</v>
      </c>
      <c r="Z1756" s="209" t="s">
        <v>3985</v>
      </c>
      <c r="AA1756" s="209" t="s">
        <v>3986</v>
      </c>
      <c r="AB1756" s="209" t="s">
        <v>180</v>
      </c>
      <c r="AC1756" s="209" t="s">
        <v>182</v>
      </c>
      <c r="AD1756" s="209">
        <v>1</v>
      </c>
      <c r="AE1756" s="209">
        <v>2026</v>
      </c>
      <c r="AF1756" s="227">
        <v>46045</v>
      </c>
      <c r="AG1756" s="227">
        <v>46051</v>
      </c>
      <c r="AH1756" s="227">
        <v>46051</v>
      </c>
      <c r="AI1756" s="228">
        <v>531648</v>
      </c>
      <c r="AJ1756" s="228">
        <v>52</v>
      </c>
      <c r="AK1756" s="228">
        <v>531648</v>
      </c>
      <c r="AL1756" s="228">
        <v>52</v>
      </c>
      <c r="AM1756" s="228">
        <v>0</v>
      </c>
      <c r="AN1756" s="228">
        <v>0</v>
      </c>
      <c r="AO1756" s="229">
        <v>5</v>
      </c>
      <c r="AP1756" s="231">
        <v>1</v>
      </c>
      <c r="AQ1756" s="231">
        <v>2026</v>
      </c>
      <c r="AR1756" s="231" t="str">
        <f t="shared" si="259"/>
        <v>01/2026</v>
      </c>
      <c r="AS1756" s="231">
        <f t="shared" si="260"/>
        <v>37.200000000000003</v>
      </c>
      <c r="AT1756" s="239">
        <f>IF(G1756="CERVECERIA Y MALTERIA",(AS1756*AK1756/1000000)*(1-VLOOKUP(N1756,FCST!D:I,6,FALSE)),0)</f>
        <v>19.777305600000002</v>
      </c>
      <c r="AU1756" s="232">
        <v>5.0000000000000001E-3</v>
      </c>
      <c r="AV1756" s="239">
        <f t="shared" si="261"/>
        <v>19.876192128</v>
      </c>
      <c r="AW1756" s="239">
        <f>(AS1756*AK1756/1000000)*(VLOOKUP(N1756,FCST!D:I,6,FALSE))</f>
        <v>0</v>
      </c>
      <c r="AX1756" s="239">
        <f t="shared" si="262"/>
        <v>0</v>
      </c>
      <c r="AY1756" s="239">
        <f>IF($G1756="CERVECERIA Y MALTERIA.",($AS1756*$AK1756/1000000)*(1-VLOOKUP($N1756,FCST!D:I,6,FALSE)),0)</f>
        <v>0</v>
      </c>
      <c r="AZ1756" s="239">
        <f t="shared" si="263"/>
        <v>0</v>
      </c>
    </row>
    <row r="1757" spans="1:52" x14ac:dyDescent="0.25">
      <c r="A1757" s="209">
        <v>1163234</v>
      </c>
      <c r="B1757" s="209">
        <v>40</v>
      </c>
      <c r="C1757" s="209" t="s">
        <v>3987</v>
      </c>
      <c r="D1757" s="209">
        <v>10</v>
      </c>
      <c r="E1757" s="209">
        <v>10000002</v>
      </c>
      <c r="F1757" s="209">
        <v>20000340</v>
      </c>
      <c r="G1757" s="209" t="s">
        <v>117</v>
      </c>
      <c r="H1757" s="209">
        <v>20000340</v>
      </c>
      <c r="I1757" s="209">
        <v>2</v>
      </c>
      <c r="J1757" s="209" t="s">
        <v>169</v>
      </c>
      <c r="K1757" s="209" t="s">
        <v>3988</v>
      </c>
      <c r="L1757" s="209" t="s">
        <v>2610</v>
      </c>
      <c r="M1757" s="209" t="s">
        <v>172</v>
      </c>
      <c r="N1757" s="209">
        <v>50038523</v>
      </c>
      <c r="O1757" s="209" t="s">
        <v>249</v>
      </c>
      <c r="P1757" s="209">
        <v>5101</v>
      </c>
      <c r="Q1757" s="209" t="s">
        <v>186</v>
      </c>
      <c r="R1757" s="209" t="s">
        <v>175</v>
      </c>
      <c r="S1757" s="209" t="s">
        <v>176</v>
      </c>
      <c r="T1757" s="209" t="s">
        <v>187</v>
      </c>
      <c r="U1757" s="209" t="s">
        <v>188</v>
      </c>
      <c r="V1757" s="209" t="s">
        <v>179</v>
      </c>
      <c r="W1757" s="209" t="s">
        <v>179</v>
      </c>
      <c r="X1757" s="209" t="s">
        <v>180</v>
      </c>
      <c r="Y1757" s="209" t="s">
        <v>180</v>
      </c>
      <c r="Z1757" s="209" t="s">
        <v>3959</v>
      </c>
      <c r="AA1757" s="209" t="s">
        <v>3960</v>
      </c>
      <c r="AB1757" s="209" t="s">
        <v>180</v>
      </c>
      <c r="AC1757" s="209" t="s">
        <v>182</v>
      </c>
      <c r="AD1757" s="209">
        <v>1</v>
      </c>
      <c r="AE1757" s="209">
        <v>2026</v>
      </c>
      <c r="AF1757" s="227">
        <v>46045</v>
      </c>
      <c r="AG1757" s="227">
        <v>46051</v>
      </c>
      <c r="AH1757" s="227">
        <v>46051</v>
      </c>
      <c r="AI1757" s="228">
        <v>606528</v>
      </c>
      <c r="AJ1757" s="228">
        <v>52</v>
      </c>
      <c r="AK1757" s="228">
        <v>606528</v>
      </c>
      <c r="AL1757" s="228">
        <v>52</v>
      </c>
      <c r="AM1757" s="228">
        <v>0</v>
      </c>
      <c r="AN1757" s="228">
        <v>0</v>
      </c>
      <c r="AO1757" s="229">
        <v>5</v>
      </c>
      <c r="AP1757" s="231">
        <v>1</v>
      </c>
      <c r="AQ1757" s="231">
        <v>2026</v>
      </c>
      <c r="AR1757" s="231" t="str">
        <f t="shared" si="259"/>
        <v>01/2026</v>
      </c>
      <c r="AS1757" s="231">
        <f t="shared" si="260"/>
        <v>30</v>
      </c>
      <c r="AT1757" s="239">
        <f>IF(G1757="CERVECERIA Y MALTERIA",(AS1757*AK1757/1000000)*(1-VLOOKUP(N1757,FCST!D:I,6,FALSE)),0)</f>
        <v>0</v>
      </c>
      <c r="AU1757" s="232">
        <v>5.0000000000000001E-3</v>
      </c>
      <c r="AV1757" s="239">
        <f t="shared" si="261"/>
        <v>0</v>
      </c>
      <c r="AW1757" s="239">
        <f>(AS1757*AK1757/1000000)*(VLOOKUP(N1757,FCST!D:I,6,FALSE))</f>
        <v>0</v>
      </c>
      <c r="AX1757" s="239">
        <f t="shared" si="262"/>
        <v>0</v>
      </c>
      <c r="AY1757" s="239">
        <f>IF($G1757="CERVECERIA Y MALTERIA.",($AS1757*$AK1757/1000000)*(1-VLOOKUP($N1757,FCST!D:I,6,FALSE)),0)</f>
        <v>18.19584</v>
      </c>
      <c r="AZ1757" s="239">
        <f t="shared" si="263"/>
        <v>18.2868192</v>
      </c>
    </row>
    <row r="1758" spans="1:52" x14ac:dyDescent="0.25">
      <c r="A1758" s="209">
        <v>1163234</v>
      </c>
      <c r="B1758" s="209">
        <v>30</v>
      </c>
      <c r="C1758" s="209" t="s">
        <v>3989</v>
      </c>
      <c r="D1758" s="209">
        <v>10</v>
      </c>
      <c r="E1758" s="209">
        <v>10000002</v>
      </c>
      <c r="F1758" s="209">
        <v>20000340</v>
      </c>
      <c r="G1758" s="209" t="s">
        <v>117</v>
      </c>
      <c r="H1758" s="209">
        <v>20000340</v>
      </c>
      <c r="I1758" s="209">
        <v>2</v>
      </c>
      <c r="J1758" s="209" t="s">
        <v>169</v>
      </c>
      <c r="K1758" s="209" t="s">
        <v>3990</v>
      </c>
      <c r="L1758" s="209" t="s">
        <v>2610</v>
      </c>
      <c r="M1758" s="209" t="s">
        <v>172</v>
      </c>
      <c r="N1758" s="209">
        <v>50038523</v>
      </c>
      <c r="O1758" s="209" t="s">
        <v>249</v>
      </c>
      <c r="P1758" s="209">
        <v>5101</v>
      </c>
      <c r="Q1758" s="209" t="s">
        <v>186</v>
      </c>
      <c r="R1758" s="209" t="s">
        <v>175</v>
      </c>
      <c r="S1758" s="209" t="s">
        <v>176</v>
      </c>
      <c r="T1758" s="209" t="s">
        <v>187</v>
      </c>
      <c r="U1758" s="209" t="s">
        <v>188</v>
      </c>
      <c r="V1758" s="209" t="s">
        <v>179</v>
      </c>
      <c r="W1758" s="209" t="s">
        <v>179</v>
      </c>
      <c r="X1758" s="209" t="s">
        <v>180</v>
      </c>
      <c r="Y1758" s="209" t="s">
        <v>180</v>
      </c>
      <c r="Z1758" s="209" t="s">
        <v>3959</v>
      </c>
      <c r="AA1758" s="209" t="s">
        <v>3960</v>
      </c>
      <c r="AB1758" s="209" t="s">
        <v>180</v>
      </c>
      <c r="AC1758" s="209" t="s">
        <v>182</v>
      </c>
      <c r="AD1758" s="209">
        <v>1</v>
      </c>
      <c r="AE1758" s="209">
        <v>2026</v>
      </c>
      <c r="AF1758" s="227">
        <v>46045</v>
      </c>
      <c r="AG1758" s="227">
        <v>46050</v>
      </c>
      <c r="AH1758" s="227">
        <v>46050</v>
      </c>
      <c r="AI1758" s="228">
        <v>606528</v>
      </c>
      <c r="AJ1758" s="228">
        <v>52</v>
      </c>
      <c r="AK1758" s="228">
        <v>606528</v>
      </c>
      <c r="AL1758" s="228">
        <v>52</v>
      </c>
      <c r="AM1758" s="228">
        <v>0</v>
      </c>
      <c r="AN1758" s="228">
        <v>0</v>
      </c>
      <c r="AO1758" s="229">
        <v>5</v>
      </c>
      <c r="AP1758" s="231">
        <v>1</v>
      </c>
      <c r="AQ1758" s="231">
        <v>2026</v>
      </c>
      <c r="AR1758" s="231" t="str">
        <f t="shared" si="259"/>
        <v>01/2026</v>
      </c>
      <c r="AS1758" s="231">
        <f t="shared" si="260"/>
        <v>30</v>
      </c>
      <c r="AT1758" s="239">
        <f>IF(G1758="CERVECERIA Y MALTERIA",(AS1758*AK1758/1000000)*(1-VLOOKUP(N1758,FCST!D:I,6,FALSE)),0)</f>
        <v>0</v>
      </c>
      <c r="AU1758" s="232">
        <v>5.0000000000000001E-3</v>
      </c>
      <c r="AV1758" s="239">
        <f t="shared" si="261"/>
        <v>0</v>
      </c>
      <c r="AW1758" s="239">
        <f>(AS1758*AK1758/1000000)*(VLOOKUP(N1758,FCST!D:I,6,FALSE))</f>
        <v>0</v>
      </c>
      <c r="AX1758" s="239">
        <f t="shared" si="262"/>
        <v>0</v>
      </c>
      <c r="AY1758" s="239">
        <f>IF($G1758="CERVECERIA Y MALTERIA.",($AS1758*$AK1758/1000000)*(1-VLOOKUP($N1758,FCST!D:I,6,FALSE)),0)</f>
        <v>18.19584</v>
      </c>
      <c r="AZ1758" s="239">
        <f t="shared" si="263"/>
        <v>18.2868192</v>
      </c>
    </row>
    <row r="1759" spans="1:52" x14ac:dyDescent="0.25">
      <c r="A1759" s="209">
        <v>1163989</v>
      </c>
      <c r="B1759" s="209">
        <v>20</v>
      </c>
      <c r="C1759" s="209" t="s">
        <v>3991</v>
      </c>
      <c r="D1759" s="209">
        <v>10</v>
      </c>
      <c r="E1759" s="209">
        <v>10000002</v>
      </c>
      <c r="F1759" s="209">
        <v>20000339</v>
      </c>
      <c r="G1759" s="209" t="s">
        <v>105</v>
      </c>
      <c r="H1759" s="209">
        <v>20000339</v>
      </c>
      <c r="I1759" s="209">
        <v>2</v>
      </c>
      <c r="J1759" s="209" t="s">
        <v>169</v>
      </c>
      <c r="K1759" s="209" t="s">
        <v>3992</v>
      </c>
      <c r="L1759" s="209" t="s">
        <v>3993</v>
      </c>
      <c r="M1759" s="209" t="s">
        <v>172</v>
      </c>
      <c r="N1759" s="209">
        <v>50030542</v>
      </c>
      <c r="O1759" s="209" t="s">
        <v>2453</v>
      </c>
      <c r="P1759" s="209">
        <v>5121</v>
      </c>
      <c r="Q1759" s="209" t="s">
        <v>174</v>
      </c>
      <c r="R1759" s="209" t="s">
        <v>175</v>
      </c>
      <c r="S1759" s="209" t="s">
        <v>176</v>
      </c>
      <c r="T1759" s="209" t="s">
        <v>177</v>
      </c>
      <c r="U1759" s="209" t="s">
        <v>178</v>
      </c>
      <c r="V1759" s="209" t="s">
        <v>179</v>
      </c>
      <c r="W1759" s="209" t="s">
        <v>179</v>
      </c>
      <c r="X1759" s="209" t="s">
        <v>180</v>
      </c>
      <c r="Y1759" s="209" t="s">
        <v>180</v>
      </c>
      <c r="Z1759" s="209" t="s">
        <v>3994</v>
      </c>
      <c r="AA1759" s="209" t="s">
        <v>3995</v>
      </c>
      <c r="AB1759" s="209" t="s">
        <v>180</v>
      </c>
      <c r="AC1759" s="209" t="s">
        <v>182</v>
      </c>
      <c r="AD1759" s="209">
        <v>1</v>
      </c>
      <c r="AE1759" s="209">
        <v>2026</v>
      </c>
      <c r="AF1759" s="227">
        <v>46050</v>
      </c>
      <c r="AG1759" s="227">
        <v>46052</v>
      </c>
      <c r="AH1759" s="227">
        <v>46053</v>
      </c>
      <c r="AI1759" s="228">
        <v>406848</v>
      </c>
      <c r="AJ1759" s="228">
        <v>52</v>
      </c>
      <c r="AK1759" s="228">
        <v>406848</v>
      </c>
      <c r="AL1759" s="228">
        <v>52</v>
      </c>
      <c r="AM1759" s="228">
        <v>0</v>
      </c>
      <c r="AN1759" s="228">
        <v>0</v>
      </c>
      <c r="AO1759" s="229">
        <v>5</v>
      </c>
      <c r="AP1759" s="231">
        <v>1</v>
      </c>
      <c r="AQ1759" s="231">
        <v>2026</v>
      </c>
      <c r="AR1759" s="231" t="str">
        <f t="shared" si="259"/>
        <v>01/2026</v>
      </c>
      <c r="AS1759" s="231">
        <f t="shared" si="260"/>
        <v>44</v>
      </c>
      <c r="AT1759" s="239">
        <f>IF(G1759="CERVECERIA Y MALTERIA",(AS1759*AK1759/1000000)*(1-VLOOKUP(N1759,FCST!D:I,6,FALSE)),0)</f>
        <v>17.901312000000001</v>
      </c>
      <c r="AU1759" s="232">
        <v>5.0000000000000001E-3</v>
      </c>
      <c r="AV1759" s="239">
        <f t="shared" si="261"/>
        <v>17.990818559999997</v>
      </c>
      <c r="AW1759" s="239">
        <f>(AS1759*AK1759/1000000)*(VLOOKUP(N1759,FCST!D:I,6,FALSE))</f>
        <v>0</v>
      </c>
      <c r="AX1759" s="239">
        <f t="shared" si="262"/>
        <v>0</v>
      </c>
      <c r="AY1759" s="239">
        <f>IF($G1759="CERVECERIA Y MALTERIA.",($AS1759*$AK1759/1000000)*(1-VLOOKUP($N1759,FCST!D:I,6,FALSE)),0)</f>
        <v>0</v>
      </c>
      <c r="AZ1759" s="239">
        <f t="shared" si="263"/>
        <v>0</v>
      </c>
    </row>
    <row r="1760" spans="1:52" x14ac:dyDescent="0.25">
      <c r="A1760" s="209">
        <v>1164257</v>
      </c>
      <c r="B1760" s="209">
        <v>10</v>
      </c>
      <c r="C1760" s="209" t="s">
        <v>3996</v>
      </c>
      <c r="D1760" s="209">
        <v>10</v>
      </c>
      <c r="E1760" s="209">
        <v>10000002</v>
      </c>
      <c r="F1760" s="209">
        <v>20000336</v>
      </c>
      <c r="G1760" s="209" t="s">
        <v>105</v>
      </c>
      <c r="H1760" s="209">
        <v>20000336</v>
      </c>
      <c r="I1760" s="209">
        <v>2</v>
      </c>
      <c r="J1760" s="209" t="s">
        <v>169</v>
      </c>
      <c r="K1760" s="209" t="s">
        <v>3997</v>
      </c>
      <c r="L1760" s="209" t="s">
        <v>265</v>
      </c>
      <c r="M1760" s="209" t="s">
        <v>172</v>
      </c>
      <c r="N1760" s="209">
        <v>50032583</v>
      </c>
      <c r="O1760" s="209" t="s">
        <v>205</v>
      </c>
      <c r="P1760" s="209">
        <v>5121</v>
      </c>
      <c r="Q1760" s="209" t="s">
        <v>174</v>
      </c>
      <c r="R1760" s="209" t="s">
        <v>175</v>
      </c>
      <c r="S1760" s="209" t="s">
        <v>176</v>
      </c>
      <c r="T1760" s="209" t="s">
        <v>177</v>
      </c>
      <c r="U1760" s="209" t="s">
        <v>178</v>
      </c>
      <c r="V1760" s="209" t="s">
        <v>179</v>
      </c>
      <c r="W1760" s="209" t="s">
        <v>179</v>
      </c>
      <c r="X1760" s="209" t="s">
        <v>180</v>
      </c>
      <c r="Y1760" s="209" t="s">
        <v>180</v>
      </c>
      <c r="Z1760" s="209" t="s">
        <v>3998</v>
      </c>
      <c r="AA1760" s="209" t="s">
        <v>3999</v>
      </c>
      <c r="AB1760" s="209" t="s">
        <v>180</v>
      </c>
      <c r="AC1760" s="209" t="s">
        <v>182</v>
      </c>
      <c r="AD1760" s="209">
        <v>1</v>
      </c>
      <c r="AE1760" s="209">
        <v>2026</v>
      </c>
      <c r="AF1760" s="227">
        <v>46051</v>
      </c>
      <c r="AG1760" s="227">
        <v>46052</v>
      </c>
      <c r="AH1760" s="227">
        <v>46052</v>
      </c>
      <c r="AI1760" s="228">
        <v>351936</v>
      </c>
      <c r="AJ1760" s="228">
        <v>52</v>
      </c>
      <c r="AK1760" s="228">
        <v>351936</v>
      </c>
      <c r="AL1760" s="228">
        <v>52</v>
      </c>
      <c r="AM1760" s="228">
        <v>0</v>
      </c>
      <c r="AN1760" s="228">
        <v>0</v>
      </c>
      <c r="AO1760" s="229">
        <v>5</v>
      </c>
      <c r="AP1760" s="231">
        <v>1</v>
      </c>
      <c r="AQ1760" s="231">
        <v>2026</v>
      </c>
      <c r="AR1760" s="231" t="str">
        <f t="shared" si="259"/>
        <v>01/2026</v>
      </c>
      <c r="AS1760" s="231">
        <f t="shared" si="260"/>
        <v>54.7</v>
      </c>
      <c r="AT1760" s="239">
        <f>IF(G1760="CERVECERIA Y MALTERIA",(AS1760*AK1760/1000000)*(1-VLOOKUP(N1760,FCST!D:I,6,FALSE)),0)</f>
        <v>19.250899199999999</v>
      </c>
      <c r="AU1760" s="232">
        <v>5.0000000000000001E-3</v>
      </c>
      <c r="AV1760" s="239">
        <f t="shared" si="261"/>
        <v>19.347153695999996</v>
      </c>
      <c r="AW1760" s="239">
        <f>(AS1760*AK1760/1000000)*(VLOOKUP(N1760,FCST!D:I,6,FALSE))</f>
        <v>0</v>
      </c>
      <c r="AX1760" s="239">
        <f t="shared" si="262"/>
        <v>0</v>
      </c>
      <c r="AY1760" s="239">
        <f>IF($G1760="CERVECERIA Y MALTERIA.",($AS1760*$AK1760/1000000)*(1-VLOOKUP($N1760,FCST!D:I,6,FALSE)),0)</f>
        <v>0</v>
      </c>
      <c r="AZ1760" s="239">
        <f t="shared" si="263"/>
        <v>0</v>
      </c>
    </row>
    <row r="1761" spans="1:52" x14ac:dyDescent="0.25">
      <c r="A1761" s="209">
        <v>1164136</v>
      </c>
      <c r="B1761" s="209">
        <v>20</v>
      </c>
      <c r="C1761" s="209" t="s">
        <v>4000</v>
      </c>
      <c r="D1761" s="209">
        <v>10</v>
      </c>
      <c r="E1761" s="209">
        <v>10000002</v>
      </c>
      <c r="F1761" s="209">
        <v>20000340</v>
      </c>
      <c r="G1761" s="209" t="s">
        <v>117</v>
      </c>
      <c r="H1761" s="209">
        <v>20000340</v>
      </c>
      <c r="I1761" s="209">
        <v>2</v>
      </c>
      <c r="J1761" s="209" t="s">
        <v>169</v>
      </c>
      <c r="K1761" s="209" t="s">
        <v>4001</v>
      </c>
      <c r="L1761" s="209" t="s">
        <v>265</v>
      </c>
      <c r="M1761" s="209" t="s">
        <v>172</v>
      </c>
      <c r="N1761" s="209">
        <v>50032514</v>
      </c>
      <c r="O1761" s="209" t="s">
        <v>2246</v>
      </c>
      <c r="P1761" s="209">
        <v>5121</v>
      </c>
      <c r="Q1761" s="209" t="s">
        <v>174</v>
      </c>
      <c r="R1761" s="209" t="s">
        <v>175</v>
      </c>
      <c r="S1761" s="209" t="s">
        <v>176</v>
      </c>
      <c r="T1761" s="209" t="s">
        <v>177</v>
      </c>
      <c r="U1761" s="209" t="s">
        <v>178</v>
      </c>
      <c r="V1761" s="209" t="s">
        <v>179</v>
      </c>
      <c r="W1761" s="209" t="s">
        <v>179</v>
      </c>
      <c r="X1761" s="209" t="s">
        <v>180</v>
      </c>
      <c r="Y1761" s="209" t="s">
        <v>180</v>
      </c>
      <c r="Z1761" s="209" t="s">
        <v>3981</v>
      </c>
      <c r="AA1761" s="209" t="s">
        <v>3982</v>
      </c>
      <c r="AB1761" s="209" t="s">
        <v>180</v>
      </c>
      <c r="AC1761" s="209" t="s">
        <v>182</v>
      </c>
      <c r="AD1761" s="209">
        <v>1</v>
      </c>
      <c r="AE1761" s="209">
        <v>2026</v>
      </c>
      <c r="AF1761" s="227">
        <v>46050</v>
      </c>
      <c r="AG1761" s="227">
        <v>46052</v>
      </c>
      <c r="AH1761" s="227">
        <v>46052</v>
      </c>
      <c r="AI1761" s="228">
        <v>419328</v>
      </c>
      <c r="AJ1761" s="228">
        <v>52</v>
      </c>
      <c r="AK1761" s="228">
        <v>419328</v>
      </c>
      <c r="AL1761" s="228">
        <v>52</v>
      </c>
      <c r="AM1761" s="228">
        <v>0</v>
      </c>
      <c r="AN1761" s="228">
        <v>0</v>
      </c>
      <c r="AO1761" s="229">
        <v>5</v>
      </c>
      <c r="AP1761" s="231">
        <v>1</v>
      </c>
      <c r="AQ1761" s="231">
        <v>2026</v>
      </c>
      <c r="AR1761" s="231" t="str">
        <f t="shared" si="259"/>
        <v>01/2026</v>
      </c>
      <c r="AS1761" s="231">
        <f t="shared" si="260"/>
        <v>44.8</v>
      </c>
      <c r="AT1761" s="239">
        <f>IF(G1761="CERVECERIA Y MALTERIA",(AS1761*AK1761/1000000)*(1-VLOOKUP(N1761,FCST!D:I,6,FALSE)),0)</f>
        <v>0</v>
      </c>
      <c r="AU1761" s="232">
        <v>5.0000000000000001E-3</v>
      </c>
      <c r="AV1761" s="239">
        <f t="shared" si="261"/>
        <v>0</v>
      </c>
      <c r="AW1761" s="239">
        <f>(AS1761*AK1761/1000000)*(VLOOKUP(N1761,FCST!D:I,6,FALSE))</f>
        <v>0</v>
      </c>
      <c r="AX1761" s="239">
        <f t="shared" si="262"/>
        <v>0</v>
      </c>
      <c r="AY1761" s="239">
        <f>IF($G1761="CERVECERIA Y MALTERIA.",($AS1761*$AK1761/1000000)*(1-VLOOKUP($N1761,FCST!D:I,6,FALSE)),0)</f>
        <v>18.7858944</v>
      </c>
      <c r="AZ1761" s="239">
        <f t="shared" si="263"/>
        <v>18.879823871999999</v>
      </c>
    </row>
    <row r="1762" spans="1:52" x14ac:dyDescent="0.25">
      <c r="A1762" s="209">
        <v>1163234</v>
      </c>
      <c r="B1762" s="209">
        <v>20</v>
      </c>
      <c r="C1762" s="209" t="s">
        <v>4002</v>
      </c>
      <c r="D1762" s="209">
        <v>10</v>
      </c>
      <c r="E1762" s="209">
        <v>10000002</v>
      </c>
      <c r="F1762" s="209">
        <v>20000340</v>
      </c>
      <c r="G1762" s="209" t="s">
        <v>117</v>
      </c>
      <c r="H1762" s="209">
        <v>20000340</v>
      </c>
      <c r="I1762" s="209">
        <v>2</v>
      </c>
      <c r="J1762" s="209" t="s">
        <v>169</v>
      </c>
      <c r="K1762" s="209" t="s">
        <v>4003</v>
      </c>
      <c r="L1762" s="209" t="s">
        <v>2610</v>
      </c>
      <c r="M1762" s="209" t="s">
        <v>172</v>
      </c>
      <c r="N1762" s="209">
        <v>50038523</v>
      </c>
      <c r="O1762" s="209" t="s">
        <v>249</v>
      </c>
      <c r="P1762" s="209">
        <v>5101</v>
      </c>
      <c r="Q1762" s="209" t="s">
        <v>186</v>
      </c>
      <c r="R1762" s="209" t="s">
        <v>175</v>
      </c>
      <c r="S1762" s="209" t="s">
        <v>176</v>
      </c>
      <c r="T1762" s="209" t="s">
        <v>187</v>
      </c>
      <c r="U1762" s="209" t="s">
        <v>188</v>
      </c>
      <c r="V1762" s="209" t="s">
        <v>179</v>
      </c>
      <c r="W1762" s="209" t="s">
        <v>179</v>
      </c>
      <c r="X1762" s="209" t="s">
        <v>180</v>
      </c>
      <c r="Y1762" s="209" t="s">
        <v>180</v>
      </c>
      <c r="Z1762" s="209" t="s">
        <v>3959</v>
      </c>
      <c r="AA1762" s="209" t="s">
        <v>3960</v>
      </c>
      <c r="AB1762" s="209" t="s">
        <v>180</v>
      </c>
      <c r="AC1762" s="209" t="s">
        <v>182</v>
      </c>
      <c r="AD1762" s="209">
        <v>1</v>
      </c>
      <c r="AE1762" s="209">
        <v>2026</v>
      </c>
      <c r="AF1762" s="227">
        <v>46045</v>
      </c>
      <c r="AG1762" s="227">
        <v>46049</v>
      </c>
      <c r="AH1762" s="227">
        <v>46049</v>
      </c>
      <c r="AI1762" s="228">
        <v>606528</v>
      </c>
      <c r="AJ1762" s="228">
        <v>52</v>
      </c>
      <c r="AK1762" s="228">
        <v>606528</v>
      </c>
      <c r="AL1762" s="228">
        <v>52</v>
      </c>
      <c r="AM1762" s="228">
        <v>0</v>
      </c>
      <c r="AN1762" s="228">
        <v>0</v>
      </c>
      <c r="AO1762" s="229">
        <v>5</v>
      </c>
      <c r="AP1762" s="231">
        <v>1</v>
      </c>
      <c r="AQ1762" s="231">
        <v>2026</v>
      </c>
      <c r="AR1762" s="231" t="str">
        <f t="shared" si="259"/>
        <v>01/2026</v>
      </c>
      <c r="AS1762" s="231">
        <f t="shared" si="260"/>
        <v>30</v>
      </c>
      <c r="AT1762" s="239">
        <f>IF(G1762="CERVECERIA Y MALTERIA",(AS1762*AK1762/1000000)*(1-VLOOKUP(N1762,FCST!D:I,6,FALSE)),0)</f>
        <v>0</v>
      </c>
      <c r="AU1762" s="232">
        <v>5.0000000000000001E-3</v>
      </c>
      <c r="AV1762" s="239">
        <f t="shared" si="261"/>
        <v>0</v>
      </c>
      <c r="AW1762" s="239">
        <f>(AS1762*AK1762/1000000)*(VLOOKUP(N1762,FCST!D:I,6,FALSE))</f>
        <v>0</v>
      </c>
      <c r="AX1762" s="239">
        <f t="shared" si="262"/>
        <v>0</v>
      </c>
      <c r="AY1762" s="239">
        <f>IF($G1762="CERVECERIA Y MALTERIA.",($AS1762*$AK1762/1000000)*(1-VLOOKUP($N1762,FCST!D:I,6,FALSE)),0)</f>
        <v>18.19584</v>
      </c>
      <c r="AZ1762" s="239">
        <f t="shared" si="263"/>
        <v>18.2868192</v>
      </c>
    </row>
    <row r="1763" spans="1:52" x14ac:dyDescent="0.25">
      <c r="A1763" s="209">
        <v>1163475</v>
      </c>
      <c r="B1763" s="209">
        <v>10</v>
      </c>
      <c r="C1763" s="209" t="s">
        <v>4004</v>
      </c>
      <c r="D1763" s="209">
        <v>10</v>
      </c>
      <c r="E1763" s="209">
        <v>10000002</v>
      </c>
      <c r="F1763" s="209">
        <v>20000337</v>
      </c>
      <c r="G1763" s="209" t="s">
        <v>105</v>
      </c>
      <c r="H1763" s="209">
        <v>20000337</v>
      </c>
      <c r="I1763" s="209">
        <v>2</v>
      </c>
      <c r="J1763" s="209" t="s">
        <v>169</v>
      </c>
      <c r="K1763" s="209" t="s">
        <v>4005</v>
      </c>
      <c r="L1763" s="209" t="s">
        <v>2610</v>
      </c>
      <c r="M1763" s="209" t="s">
        <v>172</v>
      </c>
      <c r="N1763" s="209">
        <v>50021818</v>
      </c>
      <c r="O1763" s="209" t="s">
        <v>2170</v>
      </c>
      <c r="P1763" s="209">
        <v>5121</v>
      </c>
      <c r="Q1763" s="209" t="s">
        <v>174</v>
      </c>
      <c r="R1763" s="209" t="s">
        <v>175</v>
      </c>
      <c r="S1763" s="209" t="s">
        <v>176</v>
      </c>
      <c r="T1763" s="209" t="s">
        <v>177</v>
      </c>
      <c r="U1763" s="209" t="s">
        <v>178</v>
      </c>
      <c r="V1763" s="209" t="s">
        <v>179</v>
      </c>
      <c r="W1763" s="209" t="s">
        <v>179</v>
      </c>
      <c r="X1763" s="209" t="s">
        <v>180</v>
      </c>
      <c r="Y1763" s="209" t="s">
        <v>180</v>
      </c>
      <c r="Z1763" s="209" t="s">
        <v>4006</v>
      </c>
      <c r="AA1763" s="209" t="s">
        <v>4007</v>
      </c>
      <c r="AB1763" s="209" t="s">
        <v>180</v>
      </c>
      <c r="AC1763" s="209" t="s">
        <v>182</v>
      </c>
      <c r="AD1763" s="209">
        <v>1</v>
      </c>
      <c r="AE1763" s="209">
        <v>2026</v>
      </c>
      <c r="AF1763" s="227">
        <v>46048</v>
      </c>
      <c r="AG1763" s="227">
        <v>46048</v>
      </c>
      <c r="AH1763" s="227">
        <v>46048</v>
      </c>
      <c r="AI1763" s="228">
        <v>426816</v>
      </c>
      <c r="AJ1763" s="228">
        <v>52</v>
      </c>
      <c r="AK1763" s="228">
        <v>426816</v>
      </c>
      <c r="AL1763" s="228">
        <v>52</v>
      </c>
      <c r="AM1763" s="228">
        <v>0</v>
      </c>
      <c r="AN1763" s="228">
        <v>0</v>
      </c>
      <c r="AO1763" s="229">
        <v>5</v>
      </c>
      <c r="AP1763" s="231">
        <v>1</v>
      </c>
      <c r="AQ1763" s="231">
        <v>2026</v>
      </c>
      <c r="AR1763" s="231" t="str">
        <f t="shared" si="259"/>
        <v>01/2026</v>
      </c>
      <c r="AS1763" s="231">
        <f t="shared" si="260"/>
        <v>46.6</v>
      </c>
      <c r="AT1763" s="239">
        <f>IF(G1763="CERVECERIA Y MALTERIA",(AS1763*AK1763/1000000)*(1-VLOOKUP(N1763,FCST!D:I,6,FALSE)),0)</f>
        <v>19.889625600000002</v>
      </c>
      <c r="AU1763" s="232">
        <v>5.0000000000000001E-3</v>
      </c>
      <c r="AV1763" s="239">
        <f t="shared" si="261"/>
        <v>19.989073728000001</v>
      </c>
      <c r="AW1763" s="239">
        <f>(AS1763*AK1763/1000000)*(VLOOKUP(N1763,FCST!D:I,6,FALSE))</f>
        <v>0</v>
      </c>
      <c r="AX1763" s="239">
        <f t="shared" si="262"/>
        <v>0</v>
      </c>
      <c r="AY1763" s="239">
        <f>IF($G1763="CERVECERIA Y MALTERIA.",($AS1763*$AK1763/1000000)*(1-VLOOKUP($N1763,FCST!D:I,6,FALSE)),0)</f>
        <v>0</v>
      </c>
      <c r="AZ1763" s="239">
        <f t="shared" si="263"/>
        <v>0</v>
      </c>
    </row>
    <row r="1764" spans="1:52" x14ac:dyDescent="0.25">
      <c r="A1764" s="209">
        <v>1163232</v>
      </c>
      <c r="B1764" s="209">
        <v>50</v>
      </c>
      <c r="C1764" s="209" t="s">
        <v>4008</v>
      </c>
      <c r="D1764" s="209">
        <v>10</v>
      </c>
      <c r="E1764" s="209">
        <v>10000002</v>
      </c>
      <c r="F1764" s="209">
        <v>20000335</v>
      </c>
      <c r="G1764" s="209" t="s">
        <v>105</v>
      </c>
      <c r="H1764" s="209">
        <v>20000335</v>
      </c>
      <c r="I1764" s="209">
        <v>2</v>
      </c>
      <c r="J1764" s="209" t="s">
        <v>169</v>
      </c>
      <c r="K1764" s="209" t="s">
        <v>4009</v>
      </c>
      <c r="L1764" s="209" t="s">
        <v>2610</v>
      </c>
      <c r="M1764" s="209" t="s">
        <v>172</v>
      </c>
      <c r="N1764" s="209">
        <v>50025345</v>
      </c>
      <c r="O1764" s="209" t="s">
        <v>1998</v>
      </c>
      <c r="P1764" s="209">
        <v>5121</v>
      </c>
      <c r="Q1764" s="209" t="s">
        <v>174</v>
      </c>
      <c r="R1764" s="209" t="s">
        <v>175</v>
      </c>
      <c r="S1764" s="209" t="s">
        <v>176</v>
      </c>
      <c r="T1764" s="209" t="s">
        <v>177</v>
      </c>
      <c r="U1764" s="209" t="s">
        <v>178</v>
      </c>
      <c r="V1764" s="209" t="s">
        <v>179</v>
      </c>
      <c r="W1764" s="209" t="s">
        <v>179</v>
      </c>
      <c r="X1764" s="209" t="s">
        <v>180</v>
      </c>
      <c r="Y1764" s="209" t="s">
        <v>180</v>
      </c>
      <c r="Z1764" s="209" t="s">
        <v>4010</v>
      </c>
      <c r="AA1764" s="209" t="s">
        <v>4011</v>
      </c>
      <c r="AB1764" s="209" t="s">
        <v>180</v>
      </c>
      <c r="AC1764" s="209" t="s">
        <v>182</v>
      </c>
      <c r="AD1764" s="209">
        <v>1</v>
      </c>
      <c r="AE1764" s="209">
        <v>2026</v>
      </c>
      <c r="AF1764" s="227">
        <v>46045</v>
      </c>
      <c r="AG1764" s="227">
        <v>46048</v>
      </c>
      <c r="AH1764" s="227">
        <v>46048</v>
      </c>
      <c r="AI1764" s="228">
        <v>426816</v>
      </c>
      <c r="AJ1764" s="228">
        <v>52</v>
      </c>
      <c r="AK1764" s="228">
        <v>426816</v>
      </c>
      <c r="AL1764" s="228">
        <v>52</v>
      </c>
      <c r="AM1764" s="228">
        <v>0</v>
      </c>
      <c r="AN1764" s="228">
        <v>0</v>
      </c>
      <c r="AO1764" s="229">
        <v>5</v>
      </c>
      <c r="AP1764" s="231">
        <v>1</v>
      </c>
      <c r="AQ1764" s="231">
        <v>2026</v>
      </c>
      <c r="AR1764" s="231" t="str">
        <f t="shared" si="259"/>
        <v>01/2026</v>
      </c>
      <c r="AS1764" s="231">
        <f t="shared" si="260"/>
        <v>46.6</v>
      </c>
      <c r="AT1764" s="239">
        <f>IF(G1764="CERVECERIA Y MALTERIA",(AS1764*AK1764/1000000)*(1-VLOOKUP(N1764,FCST!D:I,6,FALSE)),0)</f>
        <v>19.889625600000002</v>
      </c>
      <c r="AU1764" s="232">
        <v>5.0000000000000001E-3</v>
      </c>
      <c r="AV1764" s="239">
        <f t="shared" si="261"/>
        <v>19.989073728000001</v>
      </c>
      <c r="AW1764" s="239">
        <f>(AS1764*AK1764/1000000)*(VLOOKUP(N1764,FCST!D:I,6,FALSE))</f>
        <v>0</v>
      </c>
      <c r="AX1764" s="239">
        <f t="shared" si="262"/>
        <v>0</v>
      </c>
      <c r="AY1764" s="239">
        <f>IF($G1764="CERVECERIA Y MALTERIA.",($AS1764*$AK1764/1000000)*(1-VLOOKUP($N1764,FCST!D:I,6,FALSE)),0)</f>
        <v>0</v>
      </c>
      <c r="AZ1764" s="239">
        <f t="shared" si="263"/>
        <v>0</v>
      </c>
    </row>
    <row r="1765" spans="1:52" x14ac:dyDescent="0.25">
      <c r="A1765" s="209">
        <v>1163234</v>
      </c>
      <c r="B1765" s="209">
        <v>70</v>
      </c>
      <c r="C1765" s="209" t="s">
        <v>4012</v>
      </c>
      <c r="D1765" s="209">
        <v>20</v>
      </c>
      <c r="E1765" s="209">
        <v>10000002</v>
      </c>
      <c r="F1765" s="209">
        <v>20000340</v>
      </c>
      <c r="G1765" s="209" t="s">
        <v>117</v>
      </c>
      <c r="H1765" s="209">
        <v>20000340</v>
      </c>
      <c r="I1765" s="209">
        <v>2</v>
      </c>
      <c r="J1765" s="209" t="s">
        <v>169</v>
      </c>
      <c r="K1765" s="209" t="s">
        <v>4013</v>
      </c>
      <c r="L1765" s="209" t="s">
        <v>2610</v>
      </c>
      <c r="M1765" s="209" t="s">
        <v>172</v>
      </c>
      <c r="N1765" s="209">
        <v>50025163</v>
      </c>
      <c r="O1765" s="209" t="s">
        <v>185</v>
      </c>
      <c r="P1765" s="209">
        <v>5101</v>
      </c>
      <c r="Q1765" s="209" t="s">
        <v>186</v>
      </c>
      <c r="R1765" s="209" t="s">
        <v>175</v>
      </c>
      <c r="S1765" s="209" t="s">
        <v>176</v>
      </c>
      <c r="T1765" s="209" t="s">
        <v>187</v>
      </c>
      <c r="U1765" s="209" t="s">
        <v>188</v>
      </c>
      <c r="V1765" s="209" t="s">
        <v>179</v>
      </c>
      <c r="W1765" s="209" t="s">
        <v>179</v>
      </c>
      <c r="X1765" s="209" t="s">
        <v>180</v>
      </c>
      <c r="Y1765" s="209" t="s">
        <v>180</v>
      </c>
      <c r="Z1765" s="209" t="s">
        <v>3959</v>
      </c>
      <c r="AA1765" s="209" t="s">
        <v>3960</v>
      </c>
      <c r="AB1765" s="209" t="s">
        <v>180</v>
      </c>
      <c r="AC1765" s="209" t="s">
        <v>182</v>
      </c>
      <c r="AD1765" s="209">
        <v>1</v>
      </c>
      <c r="AE1765" s="209">
        <v>2026</v>
      </c>
      <c r="AF1765" s="227">
        <v>46045</v>
      </c>
      <c r="AG1765" s="227">
        <v>46049</v>
      </c>
      <c r="AH1765" s="227">
        <v>46049</v>
      </c>
      <c r="AI1765" s="228">
        <v>303064</v>
      </c>
      <c r="AJ1765" s="228">
        <v>26</v>
      </c>
      <c r="AK1765" s="228">
        <v>303064</v>
      </c>
      <c r="AL1765" s="228">
        <v>26</v>
      </c>
      <c r="AM1765" s="228">
        <v>0</v>
      </c>
      <c r="AN1765" s="228">
        <v>0</v>
      </c>
      <c r="AO1765" s="229">
        <v>5</v>
      </c>
      <c r="AP1765" s="231">
        <v>1</v>
      </c>
      <c r="AQ1765" s="231">
        <v>2026</v>
      </c>
      <c r="AR1765" s="231" t="str">
        <f t="shared" si="259"/>
        <v>01/2026</v>
      </c>
      <c r="AS1765" s="231">
        <f t="shared" si="260"/>
        <v>30</v>
      </c>
      <c r="AT1765" s="239">
        <f>IF(G1765="CERVECERIA Y MALTERIA",(AS1765*AK1765/1000000)*(1-VLOOKUP(N1765,FCST!D:I,6,FALSE)),0)</f>
        <v>0</v>
      </c>
      <c r="AU1765" s="232">
        <v>5.0000000000000001E-3</v>
      </c>
      <c r="AV1765" s="239">
        <f t="shared" si="261"/>
        <v>0</v>
      </c>
      <c r="AW1765" s="239">
        <f>(AS1765*AK1765/1000000)*(VLOOKUP(N1765,FCST!D:I,6,FALSE))</f>
        <v>0</v>
      </c>
      <c r="AX1765" s="239">
        <f t="shared" si="262"/>
        <v>0</v>
      </c>
      <c r="AY1765" s="239">
        <f>IF($G1765="CERVECERIA Y MALTERIA.",($AS1765*$AK1765/1000000)*(1-VLOOKUP($N1765,FCST!D:I,6,FALSE)),0)</f>
        <v>9.09192</v>
      </c>
      <c r="AZ1765" s="239">
        <f t="shared" si="263"/>
        <v>9.1373795999999992</v>
      </c>
    </row>
    <row r="1766" spans="1:52" x14ac:dyDescent="0.25">
      <c r="A1766" s="209">
        <v>1163234</v>
      </c>
      <c r="B1766" s="209">
        <v>60</v>
      </c>
      <c r="C1766" s="209" t="s">
        <v>4012</v>
      </c>
      <c r="D1766" s="209">
        <v>10</v>
      </c>
      <c r="E1766" s="209">
        <v>10000002</v>
      </c>
      <c r="F1766" s="209">
        <v>20000340</v>
      </c>
      <c r="G1766" s="209" t="s">
        <v>117</v>
      </c>
      <c r="H1766" s="209">
        <v>20000340</v>
      </c>
      <c r="I1766" s="209">
        <v>2</v>
      </c>
      <c r="J1766" s="209" t="s">
        <v>169</v>
      </c>
      <c r="K1766" s="209" t="s">
        <v>4013</v>
      </c>
      <c r="L1766" s="209" t="s">
        <v>2610</v>
      </c>
      <c r="M1766" s="209" t="s">
        <v>172</v>
      </c>
      <c r="N1766" s="209">
        <v>50037786</v>
      </c>
      <c r="O1766" s="209" t="s">
        <v>2739</v>
      </c>
      <c r="P1766" s="209">
        <v>5101</v>
      </c>
      <c r="Q1766" s="209" t="s">
        <v>186</v>
      </c>
      <c r="R1766" s="209" t="s">
        <v>175</v>
      </c>
      <c r="S1766" s="209" t="s">
        <v>176</v>
      </c>
      <c r="T1766" s="209" t="s">
        <v>187</v>
      </c>
      <c r="U1766" s="209" t="s">
        <v>188</v>
      </c>
      <c r="V1766" s="209" t="s">
        <v>179</v>
      </c>
      <c r="W1766" s="209" t="s">
        <v>179</v>
      </c>
      <c r="X1766" s="209" t="s">
        <v>180</v>
      </c>
      <c r="Y1766" s="209" t="s">
        <v>180</v>
      </c>
      <c r="Z1766" s="209" t="s">
        <v>3959</v>
      </c>
      <c r="AA1766" s="209" t="s">
        <v>3960</v>
      </c>
      <c r="AB1766" s="209" t="s">
        <v>180</v>
      </c>
      <c r="AC1766" s="209" t="s">
        <v>182</v>
      </c>
      <c r="AD1766" s="209">
        <v>1</v>
      </c>
      <c r="AE1766" s="209">
        <v>2026</v>
      </c>
      <c r="AF1766" s="227">
        <v>46045</v>
      </c>
      <c r="AG1766" s="227">
        <v>46049</v>
      </c>
      <c r="AH1766" s="227">
        <v>46049</v>
      </c>
      <c r="AI1766" s="228">
        <v>186624</v>
      </c>
      <c r="AJ1766" s="228">
        <v>16</v>
      </c>
      <c r="AK1766" s="228">
        <v>186624</v>
      </c>
      <c r="AL1766" s="228">
        <v>16</v>
      </c>
      <c r="AM1766" s="228">
        <v>0</v>
      </c>
      <c r="AN1766" s="228">
        <v>0</v>
      </c>
      <c r="AO1766" s="229">
        <v>5</v>
      </c>
      <c r="AP1766" s="231">
        <v>1</v>
      </c>
      <c r="AQ1766" s="231">
        <v>2026</v>
      </c>
      <c r="AR1766" s="231" t="str">
        <f t="shared" si="259"/>
        <v>01/2026</v>
      </c>
      <c r="AS1766" s="231">
        <f t="shared" si="260"/>
        <v>30</v>
      </c>
      <c r="AT1766" s="239">
        <f>IF(G1766="CERVECERIA Y MALTERIA",(AS1766*AK1766/1000000)*(1-VLOOKUP(N1766,FCST!D:I,6,FALSE)),0)</f>
        <v>0</v>
      </c>
      <c r="AU1766" s="232">
        <v>5.0000000000000001E-3</v>
      </c>
      <c r="AV1766" s="239">
        <f t="shared" si="261"/>
        <v>0</v>
      </c>
      <c r="AW1766" s="239">
        <f>(AS1766*AK1766/1000000)*(VLOOKUP(N1766,FCST!D:I,6,FALSE))</f>
        <v>2.2394880000000001</v>
      </c>
      <c r="AX1766" s="239">
        <f t="shared" si="262"/>
        <v>2.2506854399999998</v>
      </c>
      <c r="AY1766" s="239">
        <f>IF($G1766="CERVECERIA Y MALTERIA.",($AS1766*$AK1766/1000000)*(1-VLOOKUP($N1766,FCST!D:I,6,FALSE)),0)</f>
        <v>3.359232</v>
      </c>
      <c r="AZ1766" s="239">
        <f t="shared" si="263"/>
        <v>3.3760281599999997</v>
      </c>
    </row>
    <row r="1767" spans="1:52" x14ac:dyDescent="0.25">
      <c r="A1767" s="209">
        <v>1163232</v>
      </c>
      <c r="B1767" s="209">
        <v>100</v>
      </c>
      <c r="C1767" s="209" t="s">
        <v>4014</v>
      </c>
      <c r="D1767" s="209">
        <v>10</v>
      </c>
      <c r="E1767" s="209">
        <v>10000002</v>
      </c>
      <c r="F1767" s="209">
        <v>20000335</v>
      </c>
      <c r="G1767" s="209" t="s">
        <v>105</v>
      </c>
      <c r="H1767" s="209">
        <v>20000335</v>
      </c>
      <c r="I1767" s="209">
        <v>2</v>
      </c>
      <c r="J1767" s="209" t="s">
        <v>169</v>
      </c>
      <c r="K1767" s="209" t="s">
        <v>4015</v>
      </c>
      <c r="L1767" s="209" t="s">
        <v>2610</v>
      </c>
      <c r="M1767" s="209" t="s">
        <v>172</v>
      </c>
      <c r="N1767" s="209">
        <v>50035184</v>
      </c>
      <c r="O1767" s="209" t="s">
        <v>672</v>
      </c>
      <c r="P1767" s="209">
        <v>5121</v>
      </c>
      <c r="Q1767" s="209" t="s">
        <v>174</v>
      </c>
      <c r="R1767" s="209" t="s">
        <v>175</v>
      </c>
      <c r="S1767" s="209" t="s">
        <v>176</v>
      </c>
      <c r="T1767" s="209" t="s">
        <v>177</v>
      </c>
      <c r="U1767" s="209" t="s">
        <v>178</v>
      </c>
      <c r="V1767" s="209" t="s">
        <v>179</v>
      </c>
      <c r="W1767" s="209" t="s">
        <v>179</v>
      </c>
      <c r="X1767" s="209" t="s">
        <v>180</v>
      </c>
      <c r="Y1767" s="209" t="s">
        <v>180</v>
      </c>
      <c r="Z1767" s="209" t="s">
        <v>4016</v>
      </c>
      <c r="AA1767" s="209" t="s">
        <v>4017</v>
      </c>
      <c r="AB1767" s="209" t="s">
        <v>180</v>
      </c>
      <c r="AC1767" s="209" t="s">
        <v>182</v>
      </c>
      <c r="AD1767" s="209">
        <v>1</v>
      </c>
      <c r="AE1767" s="209">
        <v>2026</v>
      </c>
      <c r="AF1767" s="227">
        <v>46045</v>
      </c>
      <c r="AG1767" s="227">
        <v>46049</v>
      </c>
      <c r="AH1767" s="227">
        <v>46049</v>
      </c>
      <c r="AI1767" s="228">
        <v>187920</v>
      </c>
      <c r="AJ1767" s="228">
        <v>10</v>
      </c>
      <c r="AK1767" s="228">
        <v>187920</v>
      </c>
      <c r="AL1767" s="228">
        <v>10</v>
      </c>
      <c r="AM1767" s="228">
        <v>0</v>
      </c>
      <c r="AN1767" s="228">
        <v>0</v>
      </c>
      <c r="AO1767" s="229">
        <v>5</v>
      </c>
      <c r="AP1767" s="231">
        <v>1</v>
      </c>
      <c r="AQ1767" s="231">
        <v>2026</v>
      </c>
      <c r="AR1767" s="231" t="str">
        <f t="shared" si="259"/>
        <v>01/2026</v>
      </c>
      <c r="AS1767" s="231">
        <f t="shared" si="260"/>
        <v>19.5</v>
      </c>
      <c r="AT1767" s="239">
        <f>IF(G1767="CERVECERIA Y MALTERIA",(AS1767*AK1767/1000000)*(1-VLOOKUP(N1767,FCST!D:I,6,FALSE)),0)</f>
        <v>3.6644399999999999</v>
      </c>
      <c r="AU1767" s="232">
        <v>5.0000000000000001E-3</v>
      </c>
      <c r="AV1767" s="239">
        <f t="shared" si="261"/>
        <v>3.6827621999999995</v>
      </c>
      <c r="AW1767" s="239">
        <f>(AS1767*AK1767/1000000)*(VLOOKUP(N1767,FCST!D:I,6,FALSE))</f>
        <v>0</v>
      </c>
      <c r="AX1767" s="239">
        <f t="shared" si="262"/>
        <v>0</v>
      </c>
      <c r="AY1767" s="239">
        <f>IF($G1767="CERVECERIA Y MALTERIA.",($AS1767*$AK1767/1000000)*(1-VLOOKUP($N1767,FCST!D:I,6,FALSE)),0)</f>
        <v>0</v>
      </c>
      <c r="AZ1767" s="239">
        <f t="shared" si="263"/>
        <v>0</v>
      </c>
    </row>
    <row r="1768" spans="1:52" x14ac:dyDescent="0.25">
      <c r="A1768" s="209">
        <v>1163232</v>
      </c>
      <c r="B1768" s="209">
        <v>30</v>
      </c>
      <c r="C1768" s="209" t="s">
        <v>4018</v>
      </c>
      <c r="D1768" s="209">
        <v>10</v>
      </c>
      <c r="E1768" s="209">
        <v>10000002</v>
      </c>
      <c r="F1768" s="209">
        <v>20000335</v>
      </c>
      <c r="G1768" s="209" t="s">
        <v>105</v>
      </c>
      <c r="H1768" s="209">
        <v>20000335</v>
      </c>
      <c r="I1768" s="209">
        <v>2</v>
      </c>
      <c r="J1768" s="209" t="s">
        <v>169</v>
      </c>
      <c r="K1768" s="209" t="s">
        <v>4019</v>
      </c>
      <c r="L1768" s="209" t="s">
        <v>2610</v>
      </c>
      <c r="M1768" s="209" t="s">
        <v>172</v>
      </c>
      <c r="N1768" s="209">
        <v>50037887</v>
      </c>
      <c r="O1768" s="209" t="s">
        <v>679</v>
      </c>
      <c r="P1768" s="209">
        <v>5121</v>
      </c>
      <c r="Q1768" s="209" t="s">
        <v>174</v>
      </c>
      <c r="R1768" s="209" t="s">
        <v>175</v>
      </c>
      <c r="S1768" s="209" t="s">
        <v>176</v>
      </c>
      <c r="T1768" s="209" t="s">
        <v>177</v>
      </c>
      <c r="U1768" s="209" t="s">
        <v>178</v>
      </c>
      <c r="V1768" s="209" t="s">
        <v>179</v>
      </c>
      <c r="W1768" s="209" t="s">
        <v>179</v>
      </c>
      <c r="X1768" s="209" t="s">
        <v>180</v>
      </c>
      <c r="Y1768" s="209" t="s">
        <v>180</v>
      </c>
      <c r="Z1768" s="209" t="s">
        <v>3985</v>
      </c>
      <c r="AA1768" s="209" t="s">
        <v>3986</v>
      </c>
      <c r="AB1768" s="209" t="s">
        <v>180</v>
      </c>
      <c r="AC1768" s="209" t="s">
        <v>182</v>
      </c>
      <c r="AD1768" s="209">
        <v>1</v>
      </c>
      <c r="AE1768" s="209">
        <v>2026</v>
      </c>
      <c r="AF1768" s="227">
        <v>46045</v>
      </c>
      <c r="AG1768" s="227">
        <v>46049</v>
      </c>
      <c r="AH1768" s="227">
        <v>46049</v>
      </c>
      <c r="AI1768" s="228">
        <v>531648</v>
      </c>
      <c r="AJ1768" s="228">
        <v>52</v>
      </c>
      <c r="AK1768" s="228">
        <v>531648</v>
      </c>
      <c r="AL1768" s="228">
        <v>52</v>
      </c>
      <c r="AM1768" s="228">
        <v>0</v>
      </c>
      <c r="AN1768" s="228">
        <v>0</v>
      </c>
      <c r="AO1768" s="229">
        <v>5</v>
      </c>
      <c r="AP1768" s="231">
        <v>1</v>
      </c>
      <c r="AQ1768" s="231">
        <v>2026</v>
      </c>
      <c r="AR1768" s="231" t="str">
        <f t="shared" si="259"/>
        <v>01/2026</v>
      </c>
      <c r="AS1768" s="231">
        <f t="shared" si="260"/>
        <v>37.200000000000003</v>
      </c>
      <c r="AT1768" s="239">
        <f>IF(G1768="CERVECERIA Y MALTERIA",(AS1768*AK1768/1000000)*(1-VLOOKUP(N1768,FCST!D:I,6,FALSE)),0)</f>
        <v>19.777305600000002</v>
      </c>
      <c r="AU1768" s="232">
        <v>5.0000000000000001E-3</v>
      </c>
      <c r="AV1768" s="239">
        <f t="shared" si="261"/>
        <v>19.876192128</v>
      </c>
      <c r="AW1768" s="239">
        <f>(AS1768*AK1768/1000000)*(VLOOKUP(N1768,FCST!D:I,6,FALSE))</f>
        <v>0</v>
      </c>
      <c r="AX1768" s="239">
        <f t="shared" si="262"/>
        <v>0</v>
      </c>
      <c r="AY1768" s="239">
        <f>IF($G1768="CERVECERIA Y MALTERIA.",($AS1768*$AK1768/1000000)*(1-VLOOKUP($N1768,FCST!D:I,6,FALSE)),0)</f>
        <v>0</v>
      </c>
      <c r="AZ1768" s="239">
        <f t="shared" si="263"/>
        <v>0</v>
      </c>
    </row>
    <row r="1769" spans="1:52" x14ac:dyDescent="0.25">
      <c r="A1769" s="209">
        <v>1163232</v>
      </c>
      <c r="B1769" s="209">
        <v>20</v>
      </c>
      <c r="C1769" s="209" t="s">
        <v>4020</v>
      </c>
      <c r="D1769" s="209">
        <v>10</v>
      </c>
      <c r="E1769" s="209">
        <v>10000002</v>
      </c>
      <c r="F1769" s="209">
        <v>20000335</v>
      </c>
      <c r="G1769" s="209" t="s">
        <v>105</v>
      </c>
      <c r="H1769" s="209">
        <v>20000335</v>
      </c>
      <c r="I1769" s="209">
        <v>2</v>
      </c>
      <c r="J1769" s="209" t="s">
        <v>169</v>
      </c>
      <c r="K1769" s="209" t="s">
        <v>4021</v>
      </c>
      <c r="L1769" s="209" t="s">
        <v>2610</v>
      </c>
      <c r="M1769" s="209" t="s">
        <v>172</v>
      </c>
      <c r="N1769" s="209">
        <v>50037887</v>
      </c>
      <c r="O1769" s="209" t="s">
        <v>679</v>
      </c>
      <c r="P1769" s="209">
        <v>5121</v>
      </c>
      <c r="Q1769" s="209" t="s">
        <v>174</v>
      </c>
      <c r="R1769" s="209" t="s">
        <v>175</v>
      </c>
      <c r="S1769" s="209" t="s">
        <v>176</v>
      </c>
      <c r="T1769" s="209" t="s">
        <v>177</v>
      </c>
      <c r="U1769" s="209" t="s">
        <v>178</v>
      </c>
      <c r="V1769" s="209" t="s">
        <v>179</v>
      </c>
      <c r="W1769" s="209" t="s">
        <v>179</v>
      </c>
      <c r="X1769" s="209" t="s">
        <v>180</v>
      </c>
      <c r="Y1769" s="209" t="s">
        <v>180</v>
      </c>
      <c r="Z1769" s="209" t="s">
        <v>3985</v>
      </c>
      <c r="AA1769" s="209" t="s">
        <v>3986</v>
      </c>
      <c r="AB1769" s="209" t="s">
        <v>180</v>
      </c>
      <c r="AC1769" s="209" t="s">
        <v>182</v>
      </c>
      <c r="AD1769" s="209">
        <v>1</v>
      </c>
      <c r="AE1769" s="209">
        <v>2026</v>
      </c>
      <c r="AF1769" s="227">
        <v>46045</v>
      </c>
      <c r="AG1769" s="227">
        <v>46049</v>
      </c>
      <c r="AH1769" s="227">
        <v>46049</v>
      </c>
      <c r="AI1769" s="228">
        <v>531648</v>
      </c>
      <c r="AJ1769" s="228">
        <v>52</v>
      </c>
      <c r="AK1769" s="228">
        <v>531648</v>
      </c>
      <c r="AL1769" s="228">
        <v>52</v>
      </c>
      <c r="AM1769" s="228">
        <v>0</v>
      </c>
      <c r="AN1769" s="228">
        <v>0</v>
      </c>
      <c r="AO1769" s="229">
        <v>5</v>
      </c>
      <c r="AP1769" s="231">
        <v>1</v>
      </c>
      <c r="AQ1769" s="231">
        <v>2026</v>
      </c>
      <c r="AR1769" s="231" t="str">
        <f t="shared" si="259"/>
        <v>01/2026</v>
      </c>
      <c r="AS1769" s="231">
        <f t="shared" si="260"/>
        <v>37.200000000000003</v>
      </c>
      <c r="AT1769" s="239">
        <f>IF(G1769="CERVECERIA Y MALTERIA",(AS1769*AK1769/1000000)*(1-VLOOKUP(N1769,FCST!D:I,6,FALSE)),0)</f>
        <v>19.777305600000002</v>
      </c>
      <c r="AU1769" s="232">
        <v>5.0000000000000001E-3</v>
      </c>
      <c r="AV1769" s="239">
        <f t="shared" si="261"/>
        <v>19.876192128</v>
      </c>
      <c r="AW1769" s="239">
        <f>(AS1769*AK1769/1000000)*(VLOOKUP(N1769,FCST!D:I,6,FALSE))</f>
        <v>0</v>
      </c>
      <c r="AX1769" s="239">
        <f t="shared" si="262"/>
        <v>0</v>
      </c>
      <c r="AY1769" s="239">
        <f>IF($G1769="CERVECERIA Y MALTERIA.",($AS1769*$AK1769/1000000)*(1-VLOOKUP($N1769,FCST!D:I,6,FALSE)),0)</f>
        <v>0</v>
      </c>
      <c r="AZ1769" s="239">
        <f t="shared" si="263"/>
        <v>0</v>
      </c>
    </row>
    <row r="1770" spans="1:52" x14ac:dyDescent="0.25">
      <c r="A1770" s="209">
        <v>1163232</v>
      </c>
      <c r="B1770" s="209">
        <v>10</v>
      </c>
      <c r="C1770" s="209" t="s">
        <v>4022</v>
      </c>
      <c r="D1770" s="209">
        <v>10</v>
      </c>
      <c r="E1770" s="209">
        <v>10000002</v>
      </c>
      <c r="F1770" s="209">
        <v>20000335</v>
      </c>
      <c r="G1770" s="209" t="s">
        <v>105</v>
      </c>
      <c r="H1770" s="209">
        <v>20000335</v>
      </c>
      <c r="I1770" s="209">
        <v>2</v>
      </c>
      <c r="J1770" s="209" t="s">
        <v>169</v>
      </c>
      <c r="K1770" s="209" t="s">
        <v>4023</v>
      </c>
      <c r="L1770" s="209" t="s">
        <v>2610</v>
      </c>
      <c r="M1770" s="209" t="s">
        <v>172</v>
      </c>
      <c r="N1770" s="209">
        <v>50037887</v>
      </c>
      <c r="O1770" s="209" t="s">
        <v>679</v>
      </c>
      <c r="P1770" s="209">
        <v>5121</v>
      </c>
      <c r="Q1770" s="209" t="s">
        <v>174</v>
      </c>
      <c r="R1770" s="209" t="s">
        <v>175</v>
      </c>
      <c r="S1770" s="209" t="s">
        <v>176</v>
      </c>
      <c r="T1770" s="209" t="s">
        <v>177</v>
      </c>
      <c r="U1770" s="209" t="s">
        <v>178</v>
      </c>
      <c r="V1770" s="209" t="s">
        <v>179</v>
      </c>
      <c r="W1770" s="209" t="s">
        <v>179</v>
      </c>
      <c r="X1770" s="209" t="s">
        <v>180</v>
      </c>
      <c r="Y1770" s="209" t="s">
        <v>180</v>
      </c>
      <c r="Z1770" s="209" t="s">
        <v>3985</v>
      </c>
      <c r="AA1770" s="209" t="s">
        <v>3986</v>
      </c>
      <c r="AB1770" s="209" t="s">
        <v>180</v>
      </c>
      <c r="AC1770" s="209" t="s">
        <v>182</v>
      </c>
      <c r="AD1770" s="209">
        <v>1</v>
      </c>
      <c r="AE1770" s="209">
        <v>2026</v>
      </c>
      <c r="AF1770" s="227">
        <v>46045</v>
      </c>
      <c r="AG1770" s="227">
        <v>46048</v>
      </c>
      <c r="AH1770" s="227">
        <v>46049</v>
      </c>
      <c r="AI1770" s="228">
        <v>531648</v>
      </c>
      <c r="AJ1770" s="228">
        <v>52</v>
      </c>
      <c r="AK1770" s="228">
        <v>531648</v>
      </c>
      <c r="AL1770" s="228">
        <v>52</v>
      </c>
      <c r="AM1770" s="228">
        <v>0</v>
      </c>
      <c r="AN1770" s="228">
        <v>0</v>
      </c>
      <c r="AO1770" s="229">
        <v>5</v>
      </c>
      <c r="AP1770" s="231">
        <v>1</v>
      </c>
      <c r="AQ1770" s="231">
        <v>2026</v>
      </c>
      <c r="AR1770" s="231" t="str">
        <f t="shared" si="259"/>
        <v>01/2026</v>
      </c>
      <c r="AS1770" s="231">
        <f t="shared" si="260"/>
        <v>37.200000000000003</v>
      </c>
      <c r="AT1770" s="239">
        <f>IF(G1770="CERVECERIA Y MALTERIA",(AS1770*AK1770/1000000)*(1-VLOOKUP(N1770,FCST!D:I,6,FALSE)),0)</f>
        <v>19.777305600000002</v>
      </c>
      <c r="AU1770" s="232">
        <v>5.0000000000000001E-3</v>
      </c>
      <c r="AV1770" s="239">
        <f t="shared" si="261"/>
        <v>19.876192128</v>
      </c>
      <c r="AW1770" s="239">
        <f>(AS1770*AK1770/1000000)*(VLOOKUP(N1770,FCST!D:I,6,FALSE))</f>
        <v>0</v>
      </c>
      <c r="AX1770" s="239">
        <f t="shared" si="262"/>
        <v>0</v>
      </c>
      <c r="AY1770" s="239">
        <f>IF($G1770="CERVECERIA Y MALTERIA.",($AS1770*$AK1770/1000000)*(1-VLOOKUP($N1770,FCST!D:I,6,FALSE)),0)</f>
        <v>0</v>
      </c>
      <c r="AZ1770" s="239">
        <f t="shared" si="263"/>
        <v>0</v>
      </c>
    </row>
    <row r="1771" spans="1:52" x14ac:dyDescent="0.25">
      <c r="A1771" s="209">
        <v>1159285</v>
      </c>
      <c r="B1771" s="209">
        <v>40</v>
      </c>
      <c r="C1771" s="209" t="s">
        <v>4024</v>
      </c>
      <c r="D1771" s="209">
        <v>10</v>
      </c>
      <c r="E1771" s="209">
        <v>10000002</v>
      </c>
      <c r="F1771" s="209">
        <v>20000337</v>
      </c>
      <c r="G1771" s="209" t="s">
        <v>105</v>
      </c>
      <c r="H1771" s="209">
        <v>20000337</v>
      </c>
      <c r="I1771" s="209">
        <v>2</v>
      </c>
      <c r="J1771" s="209" t="s">
        <v>169</v>
      </c>
      <c r="K1771" s="209" t="s">
        <v>4025</v>
      </c>
      <c r="L1771" s="209" t="s">
        <v>2610</v>
      </c>
      <c r="M1771" s="209" t="s">
        <v>184</v>
      </c>
      <c r="N1771" s="209">
        <v>50036915</v>
      </c>
      <c r="O1771" s="209" t="s">
        <v>541</v>
      </c>
      <c r="P1771" s="209">
        <v>5121</v>
      </c>
      <c r="Q1771" s="209" t="s">
        <v>174</v>
      </c>
      <c r="R1771" s="209" t="s">
        <v>175</v>
      </c>
      <c r="S1771" s="209" t="s">
        <v>176</v>
      </c>
      <c r="T1771" s="209" t="s">
        <v>177</v>
      </c>
      <c r="U1771" s="209" t="s">
        <v>178</v>
      </c>
      <c r="V1771" s="209" t="s">
        <v>179</v>
      </c>
      <c r="W1771" s="209" t="s">
        <v>179</v>
      </c>
      <c r="X1771" s="209" t="s">
        <v>180</v>
      </c>
      <c r="Y1771" s="209" t="s">
        <v>180</v>
      </c>
      <c r="Z1771" s="209" t="s">
        <v>4026</v>
      </c>
      <c r="AA1771" s="209" t="s">
        <v>4027</v>
      </c>
      <c r="AB1771" s="209" t="s">
        <v>180</v>
      </c>
      <c r="AC1771" s="209" t="s">
        <v>182</v>
      </c>
      <c r="AD1771" s="209">
        <v>1</v>
      </c>
      <c r="AE1771" s="209">
        <v>2026</v>
      </c>
      <c r="AF1771" s="227">
        <v>46024</v>
      </c>
      <c r="AG1771" s="227">
        <v>46029</v>
      </c>
      <c r="AH1771" s="227">
        <v>46029</v>
      </c>
      <c r="AI1771" s="228">
        <v>426816</v>
      </c>
      <c r="AJ1771" s="228">
        <v>52</v>
      </c>
      <c r="AK1771" s="228">
        <v>426816</v>
      </c>
      <c r="AL1771" s="228">
        <v>52</v>
      </c>
      <c r="AM1771" s="228">
        <v>0</v>
      </c>
      <c r="AN1771" s="228">
        <v>0</v>
      </c>
      <c r="AO1771" s="229">
        <v>2</v>
      </c>
      <c r="AP1771" s="231">
        <v>1</v>
      </c>
      <c r="AQ1771" s="231">
        <v>2026</v>
      </c>
      <c r="AR1771" s="231" t="str">
        <f t="shared" si="259"/>
        <v>01/2026</v>
      </c>
      <c r="AS1771" s="231">
        <f t="shared" si="260"/>
        <v>46.6</v>
      </c>
      <c r="AT1771" s="239">
        <f>IF(G1771="CERVECERIA Y MALTERIA",(AS1771*AK1771/1000000)*(1-VLOOKUP(N1771,FCST!D:I,6,FALSE)),0)</f>
        <v>15.911700480000002</v>
      </c>
      <c r="AU1771" s="232">
        <v>5.0000000000000001E-3</v>
      </c>
      <c r="AV1771" s="239">
        <f t="shared" si="261"/>
        <v>15.9912589824</v>
      </c>
      <c r="AW1771" s="239">
        <f>(AS1771*AK1771/1000000)*(VLOOKUP(N1771,FCST!D:I,6,FALSE))</f>
        <v>3.9779251200000005</v>
      </c>
      <c r="AX1771" s="239">
        <f t="shared" si="262"/>
        <v>3.9978147455999999</v>
      </c>
      <c r="AY1771" s="239">
        <f>IF($G1771="CERVECERIA Y MALTERIA.",($AS1771*$AK1771/1000000)*(1-VLOOKUP($N1771,FCST!D:I,6,FALSE)),0)</f>
        <v>0</v>
      </c>
      <c r="AZ1771" s="239">
        <f t="shared" si="263"/>
        <v>0</v>
      </c>
    </row>
    <row r="1772" spans="1:52" x14ac:dyDescent="0.25">
      <c r="A1772" s="209">
        <v>1159094</v>
      </c>
      <c r="B1772" s="209">
        <v>80</v>
      </c>
      <c r="C1772" s="209" t="s">
        <v>4028</v>
      </c>
      <c r="D1772" s="209">
        <v>10</v>
      </c>
      <c r="E1772" s="209">
        <v>10000002</v>
      </c>
      <c r="F1772" s="209">
        <v>20000340</v>
      </c>
      <c r="G1772" s="209" t="s">
        <v>117</v>
      </c>
      <c r="H1772" s="209">
        <v>20000340</v>
      </c>
      <c r="I1772" s="209">
        <v>2</v>
      </c>
      <c r="J1772" s="209" t="s">
        <v>169</v>
      </c>
      <c r="K1772" s="209" t="s">
        <v>4029</v>
      </c>
      <c r="L1772" s="209" t="s">
        <v>2610</v>
      </c>
      <c r="M1772" s="209" t="s">
        <v>2718</v>
      </c>
      <c r="N1772" s="209">
        <v>50027468</v>
      </c>
      <c r="O1772" s="209" t="s">
        <v>285</v>
      </c>
      <c r="P1772" s="209">
        <v>5101</v>
      </c>
      <c r="Q1772" s="209" t="s">
        <v>186</v>
      </c>
      <c r="R1772" s="209" t="s">
        <v>175</v>
      </c>
      <c r="S1772" s="209" t="s">
        <v>176</v>
      </c>
      <c r="T1772" s="209" t="s">
        <v>187</v>
      </c>
      <c r="U1772" s="209" t="s">
        <v>188</v>
      </c>
      <c r="V1772" s="209" t="s">
        <v>179</v>
      </c>
      <c r="W1772" s="209" t="s">
        <v>179</v>
      </c>
      <c r="X1772" s="209" t="s">
        <v>180</v>
      </c>
      <c r="Y1772" s="209" t="s">
        <v>180</v>
      </c>
      <c r="Z1772" s="209" t="s">
        <v>4030</v>
      </c>
      <c r="AA1772" s="209" t="s">
        <v>4031</v>
      </c>
      <c r="AB1772" s="209" t="s">
        <v>180</v>
      </c>
      <c r="AC1772" s="209" t="s">
        <v>182</v>
      </c>
      <c r="AD1772" s="209">
        <v>1</v>
      </c>
      <c r="AE1772" s="209">
        <v>2026</v>
      </c>
      <c r="AF1772" s="227">
        <v>46024</v>
      </c>
      <c r="AG1772" s="227">
        <v>46029</v>
      </c>
      <c r="AH1772" s="227">
        <v>46029</v>
      </c>
      <c r="AI1772" s="228">
        <v>399360</v>
      </c>
      <c r="AJ1772" s="228">
        <v>52</v>
      </c>
      <c r="AK1772" s="228">
        <v>399360</v>
      </c>
      <c r="AL1772" s="228">
        <v>52</v>
      </c>
      <c r="AM1772" s="228">
        <v>0</v>
      </c>
      <c r="AN1772" s="228">
        <v>0</v>
      </c>
      <c r="AO1772" s="229">
        <v>2</v>
      </c>
      <c r="AP1772" s="231">
        <v>1</v>
      </c>
      <c r="AQ1772" s="231">
        <v>2026</v>
      </c>
      <c r="AR1772" s="231" t="str">
        <f t="shared" si="259"/>
        <v>01/2026</v>
      </c>
      <c r="AS1772" s="231">
        <f t="shared" si="260"/>
        <v>52</v>
      </c>
      <c r="AT1772" s="239">
        <f>IF(G1772="CERVECERIA Y MALTERIA",(AS1772*AK1772/1000000)*(1-VLOOKUP(N1772,FCST!D:I,6,FALSE)),0)</f>
        <v>0</v>
      </c>
      <c r="AU1772" s="232">
        <v>5.0000000000000001E-3</v>
      </c>
      <c r="AV1772" s="239">
        <f t="shared" si="261"/>
        <v>0</v>
      </c>
      <c r="AW1772" s="239">
        <f>(AS1772*AK1772/1000000)*(VLOOKUP(N1772,FCST!D:I,6,FALSE))</f>
        <v>0</v>
      </c>
      <c r="AX1772" s="239">
        <f t="shared" si="262"/>
        <v>0</v>
      </c>
      <c r="AY1772" s="239">
        <f>IF($G1772="CERVECERIA Y MALTERIA.",($AS1772*$AK1772/1000000)*(1-VLOOKUP($N1772,FCST!D:I,6,FALSE)),0)</f>
        <v>20.766719999999999</v>
      </c>
      <c r="AZ1772" s="239">
        <f t="shared" si="263"/>
        <v>20.870553599999997</v>
      </c>
    </row>
    <row r="1773" spans="1:52" x14ac:dyDescent="0.25">
      <c r="A1773" s="209">
        <v>1159094</v>
      </c>
      <c r="B1773" s="209">
        <v>110</v>
      </c>
      <c r="C1773" s="209" t="s">
        <v>4032</v>
      </c>
      <c r="D1773" s="209">
        <v>10</v>
      </c>
      <c r="E1773" s="209">
        <v>10000002</v>
      </c>
      <c r="F1773" s="209">
        <v>20000340</v>
      </c>
      <c r="G1773" s="209" t="s">
        <v>117</v>
      </c>
      <c r="H1773" s="209">
        <v>20000340</v>
      </c>
      <c r="I1773" s="209">
        <v>2</v>
      </c>
      <c r="J1773" s="209" t="s">
        <v>169</v>
      </c>
      <c r="K1773" s="209" t="s">
        <v>4033</v>
      </c>
      <c r="L1773" s="209" t="s">
        <v>2610</v>
      </c>
      <c r="M1773" s="209" t="s">
        <v>2718</v>
      </c>
      <c r="N1773" s="209">
        <v>50039856</v>
      </c>
      <c r="O1773" s="209" t="s">
        <v>2871</v>
      </c>
      <c r="P1773" s="209">
        <v>5101</v>
      </c>
      <c r="Q1773" s="209" t="s">
        <v>186</v>
      </c>
      <c r="R1773" s="209" t="s">
        <v>175</v>
      </c>
      <c r="S1773" s="209" t="s">
        <v>176</v>
      </c>
      <c r="T1773" s="209" t="s">
        <v>187</v>
      </c>
      <c r="U1773" s="209" t="s">
        <v>188</v>
      </c>
      <c r="V1773" s="209" t="s">
        <v>179</v>
      </c>
      <c r="W1773" s="209" t="s">
        <v>179</v>
      </c>
      <c r="X1773" s="209" t="s">
        <v>180</v>
      </c>
      <c r="Y1773" s="209" t="s">
        <v>180</v>
      </c>
      <c r="Z1773" s="209" t="s">
        <v>4030</v>
      </c>
      <c r="AA1773" s="209" t="s">
        <v>4031</v>
      </c>
      <c r="AB1773" s="209" t="s">
        <v>180</v>
      </c>
      <c r="AC1773" s="209" t="s">
        <v>182</v>
      </c>
      <c r="AD1773" s="209">
        <v>1</v>
      </c>
      <c r="AE1773" s="209">
        <v>2026</v>
      </c>
      <c r="AF1773" s="227">
        <v>46024</v>
      </c>
      <c r="AG1773" s="227">
        <v>46031</v>
      </c>
      <c r="AH1773" s="227">
        <v>46031</v>
      </c>
      <c r="AI1773" s="228">
        <v>399360</v>
      </c>
      <c r="AJ1773" s="228">
        <v>52</v>
      </c>
      <c r="AK1773" s="228">
        <v>399360</v>
      </c>
      <c r="AL1773" s="228">
        <v>52</v>
      </c>
      <c r="AM1773" s="228">
        <v>0</v>
      </c>
      <c r="AN1773" s="228">
        <v>0</v>
      </c>
      <c r="AO1773" s="229">
        <v>2</v>
      </c>
      <c r="AP1773" s="231">
        <v>1</v>
      </c>
      <c r="AQ1773" s="231">
        <v>2026</v>
      </c>
      <c r="AR1773" s="231" t="str">
        <f t="shared" si="259"/>
        <v>01/2026</v>
      </c>
      <c r="AS1773" s="231">
        <f t="shared" si="260"/>
        <v>52</v>
      </c>
      <c r="AT1773" s="239">
        <f>IF(G1773="CERVECERIA Y MALTERIA",(AS1773*AK1773/1000000)*(1-VLOOKUP(N1773,FCST!D:I,6,FALSE)),0)</f>
        <v>0</v>
      </c>
      <c r="AU1773" s="232">
        <v>5.0000000000000001E-3</v>
      </c>
      <c r="AV1773" s="239">
        <f t="shared" si="261"/>
        <v>0</v>
      </c>
      <c r="AW1773" s="239">
        <f>(AS1773*AK1773/1000000)*(VLOOKUP(N1773,FCST!D:I,6,FALSE))</f>
        <v>0</v>
      </c>
      <c r="AX1773" s="239">
        <f t="shared" si="262"/>
        <v>0</v>
      </c>
      <c r="AY1773" s="239">
        <f>IF($G1773="CERVECERIA Y MALTERIA.",($AS1773*$AK1773/1000000)*(1-VLOOKUP($N1773,FCST!D:I,6,FALSE)),0)</f>
        <v>20.766719999999999</v>
      </c>
      <c r="AZ1773" s="239">
        <f t="shared" si="263"/>
        <v>20.870553599999997</v>
      </c>
    </row>
    <row r="1774" spans="1:52" x14ac:dyDescent="0.25">
      <c r="A1774" s="209">
        <v>1159116</v>
      </c>
      <c r="B1774" s="209">
        <v>50</v>
      </c>
      <c r="C1774" s="209" t="s">
        <v>4034</v>
      </c>
      <c r="D1774" s="209">
        <v>10</v>
      </c>
      <c r="E1774" s="209">
        <v>10000002</v>
      </c>
      <c r="F1774" s="209">
        <v>20000335</v>
      </c>
      <c r="G1774" s="209" t="s">
        <v>105</v>
      </c>
      <c r="H1774" s="209">
        <v>20000335</v>
      </c>
      <c r="I1774" s="209">
        <v>2</v>
      </c>
      <c r="J1774" s="209" t="s">
        <v>169</v>
      </c>
      <c r="K1774" s="209" t="s">
        <v>4035</v>
      </c>
      <c r="L1774" s="209" t="s">
        <v>2610</v>
      </c>
      <c r="M1774" s="209" t="s">
        <v>2718</v>
      </c>
      <c r="N1774" s="209">
        <v>50035184</v>
      </c>
      <c r="O1774" s="209" t="s">
        <v>672</v>
      </c>
      <c r="P1774" s="209">
        <v>5121</v>
      </c>
      <c r="Q1774" s="209" t="s">
        <v>174</v>
      </c>
      <c r="R1774" s="209" t="s">
        <v>175</v>
      </c>
      <c r="S1774" s="209" t="s">
        <v>176</v>
      </c>
      <c r="T1774" s="209" t="s">
        <v>177</v>
      </c>
      <c r="U1774" s="209" t="s">
        <v>178</v>
      </c>
      <c r="V1774" s="209" t="s">
        <v>179</v>
      </c>
      <c r="W1774" s="209" t="s">
        <v>179</v>
      </c>
      <c r="X1774" s="209" t="s">
        <v>180</v>
      </c>
      <c r="Y1774" s="209" t="s">
        <v>180</v>
      </c>
      <c r="Z1774" s="209" t="s">
        <v>4036</v>
      </c>
      <c r="AA1774" s="209" t="s">
        <v>4037</v>
      </c>
      <c r="AB1774" s="209" t="s">
        <v>180</v>
      </c>
      <c r="AC1774" s="209" t="s">
        <v>182</v>
      </c>
      <c r="AD1774" s="209">
        <v>1</v>
      </c>
      <c r="AE1774" s="209">
        <v>2026</v>
      </c>
      <c r="AF1774" s="227">
        <v>46024</v>
      </c>
      <c r="AG1774" s="227">
        <v>46030</v>
      </c>
      <c r="AH1774" s="227">
        <v>46031</v>
      </c>
      <c r="AI1774" s="228">
        <v>977184</v>
      </c>
      <c r="AJ1774" s="228">
        <v>52</v>
      </c>
      <c r="AK1774" s="228">
        <v>977184</v>
      </c>
      <c r="AL1774" s="228">
        <v>52</v>
      </c>
      <c r="AM1774" s="228">
        <v>0</v>
      </c>
      <c r="AN1774" s="228">
        <v>0</v>
      </c>
      <c r="AO1774" s="229">
        <v>2</v>
      </c>
      <c r="AP1774" s="231">
        <v>1</v>
      </c>
      <c r="AQ1774" s="231">
        <v>2026</v>
      </c>
      <c r="AR1774" s="231" t="str">
        <f t="shared" si="259"/>
        <v>01/2026</v>
      </c>
      <c r="AS1774" s="231">
        <f t="shared" si="260"/>
        <v>19.5</v>
      </c>
      <c r="AT1774" s="239">
        <f>IF(G1774="CERVECERIA Y MALTERIA",(AS1774*AK1774/1000000)*(1-VLOOKUP(N1774,FCST!D:I,6,FALSE)),0)</f>
        <v>19.055088000000001</v>
      </c>
      <c r="AU1774" s="232">
        <v>5.0000000000000001E-3</v>
      </c>
      <c r="AV1774" s="239">
        <f t="shared" si="261"/>
        <v>19.15036344</v>
      </c>
      <c r="AW1774" s="239">
        <f>(AS1774*AK1774/1000000)*(VLOOKUP(N1774,FCST!D:I,6,FALSE))</f>
        <v>0</v>
      </c>
      <c r="AX1774" s="239">
        <f t="shared" si="262"/>
        <v>0</v>
      </c>
      <c r="AY1774" s="239">
        <f>IF($G1774="CERVECERIA Y MALTERIA.",($AS1774*$AK1774/1000000)*(1-VLOOKUP($N1774,FCST!D:I,6,FALSE)),0)</f>
        <v>0</v>
      </c>
      <c r="AZ1774" s="239">
        <f t="shared" si="263"/>
        <v>0</v>
      </c>
    </row>
    <row r="1775" spans="1:52" x14ac:dyDescent="0.25">
      <c r="A1775" s="209">
        <v>1159094</v>
      </c>
      <c r="B1775" s="209">
        <v>90</v>
      </c>
      <c r="C1775" s="209" t="s">
        <v>4038</v>
      </c>
      <c r="D1775" s="209">
        <v>10</v>
      </c>
      <c r="E1775" s="209">
        <v>10000002</v>
      </c>
      <c r="F1775" s="209">
        <v>20000340</v>
      </c>
      <c r="G1775" s="209" t="s">
        <v>117</v>
      </c>
      <c r="H1775" s="209">
        <v>20000340</v>
      </c>
      <c r="I1775" s="209">
        <v>2</v>
      </c>
      <c r="J1775" s="209" t="s">
        <v>169</v>
      </c>
      <c r="K1775" s="209" t="s">
        <v>4039</v>
      </c>
      <c r="L1775" s="209" t="s">
        <v>2610</v>
      </c>
      <c r="M1775" s="209" t="s">
        <v>184</v>
      </c>
      <c r="N1775" s="209">
        <v>50027468</v>
      </c>
      <c r="O1775" s="209" t="s">
        <v>285</v>
      </c>
      <c r="P1775" s="209">
        <v>5101</v>
      </c>
      <c r="Q1775" s="209" t="s">
        <v>186</v>
      </c>
      <c r="R1775" s="209" t="s">
        <v>175</v>
      </c>
      <c r="S1775" s="209" t="s">
        <v>176</v>
      </c>
      <c r="T1775" s="209" t="s">
        <v>187</v>
      </c>
      <c r="U1775" s="209" t="s">
        <v>188</v>
      </c>
      <c r="V1775" s="209" t="s">
        <v>179</v>
      </c>
      <c r="W1775" s="209" t="s">
        <v>179</v>
      </c>
      <c r="X1775" s="209" t="s">
        <v>180</v>
      </c>
      <c r="Y1775" s="209" t="s">
        <v>180</v>
      </c>
      <c r="Z1775" s="209" t="s">
        <v>4030</v>
      </c>
      <c r="AA1775" s="209" t="s">
        <v>4031</v>
      </c>
      <c r="AB1775" s="209" t="s">
        <v>180</v>
      </c>
      <c r="AC1775" s="209" t="s">
        <v>182</v>
      </c>
      <c r="AD1775" s="209">
        <v>1</v>
      </c>
      <c r="AE1775" s="209">
        <v>2026</v>
      </c>
      <c r="AF1775" s="227">
        <v>46024</v>
      </c>
      <c r="AG1775" s="227">
        <v>46030</v>
      </c>
      <c r="AH1775" s="227">
        <v>46030</v>
      </c>
      <c r="AI1775" s="228">
        <v>399360</v>
      </c>
      <c r="AJ1775" s="228">
        <v>52</v>
      </c>
      <c r="AK1775" s="228">
        <v>399360</v>
      </c>
      <c r="AL1775" s="228">
        <v>52</v>
      </c>
      <c r="AM1775" s="228">
        <v>0</v>
      </c>
      <c r="AN1775" s="228">
        <v>0</v>
      </c>
      <c r="AO1775" s="229">
        <v>2</v>
      </c>
      <c r="AP1775" s="231">
        <v>1</v>
      </c>
      <c r="AQ1775" s="231">
        <v>2026</v>
      </c>
      <c r="AR1775" s="231" t="str">
        <f t="shared" si="259"/>
        <v>01/2026</v>
      </c>
      <c r="AS1775" s="231">
        <f t="shared" si="260"/>
        <v>52</v>
      </c>
      <c r="AT1775" s="239">
        <f>IF(G1775="CERVECERIA Y MALTERIA",(AS1775*AK1775/1000000)*(1-VLOOKUP(N1775,FCST!D:I,6,FALSE)),0)</f>
        <v>0</v>
      </c>
      <c r="AU1775" s="232">
        <v>5.0000000000000001E-3</v>
      </c>
      <c r="AV1775" s="239">
        <f t="shared" si="261"/>
        <v>0</v>
      </c>
      <c r="AW1775" s="239">
        <f>(AS1775*AK1775/1000000)*(VLOOKUP(N1775,FCST!D:I,6,FALSE))</f>
        <v>0</v>
      </c>
      <c r="AX1775" s="239">
        <f t="shared" si="262"/>
        <v>0</v>
      </c>
      <c r="AY1775" s="239">
        <f>IF($G1775="CERVECERIA Y MALTERIA.",($AS1775*$AK1775/1000000)*(1-VLOOKUP($N1775,FCST!D:I,6,FALSE)),0)</f>
        <v>20.766719999999999</v>
      </c>
      <c r="AZ1775" s="239">
        <f t="shared" si="263"/>
        <v>20.870553599999997</v>
      </c>
    </row>
    <row r="1776" spans="1:52" x14ac:dyDescent="0.25">
      <c r="A1776" s="209">
        <v>1159972</v>
      </c>
      <c r="B1776" s="209">
        <v>20</v>
      </c>
      <c r="C1776" s="209" t="s">
        <v>4040</v>
      </c>
      <c r="D1776" s="209">
        <v>20</v>
      </c>
      <c r="E1776" s="209">
        <v>10000002</v>
      </c>
      <c r="F1776" s="209">
        <v>20001057</v>
      </c>
      <c r="G1776" s="209" t="s">
        <v>105</v>
      </c>
      <c r="H1776" s="209">
        <v>20001057</v>
      </c>
      <c r="I1776" s="209">
        <v>2</v>
      </c>
      <c r="J1776" s="209" t="s">
        <v>169</v>
      </c>
      <c r="K1776" s="209" t="s">
        <v>4041</v>
      </c>
      <c r="L1776" s="209" t="s">
        <v>265</v>
      </c>
      <c r="M1776" s="209" t="s">
        <v>2718</v>
      </c>
      <c r="N1776" s="209">
        <v>50037887</v>
      </c>
      <c r="O1776" s="209" t="s">
        <v>679</v>
      </c>
      <c r="P1776" s="209">
        <v>5121</v>
      </c>
      <c r="Q1776" s="209" t="s">
        <v>174</v>
      </c>
      <c r="R1776" s="209" t="s">
        <v>175</v>
      </c>
      <c r="S1776" s="209" t="s">
        <v>176</v>
      </c>
      <c r="T1776" s="209" t="s">
        <v>177</v>
      </c>
      <c r="U1776" s="209" t="s">
        <v>178</v>
      </c>
      <c r="V1776" s="209" t="s">
        <v>179</v>
      </c>
      <c r="W1776" s="209" t="s">
        <v>179</v>
      </c>
      <c r="X1776" s="209" t="s">
        <v>180</v>
      </c>
      <c r="Y1776" s="209" t="s">
        <v>180</v>
      </c>
      <c r="Z1776" s="209" t="s">
        <v>4042</v>
      </c>
      <c r="AA1776" s="209" t="s">
        <v>4043</v>
      </c>
      <c r="AB1776" s="209" t="s">
        <v>180</v>
      </c>
      <c r="AC1776" s="209" t="s">
        <v>182</v>
      </c>
      <c r="AD1776" s="209">
        <v>1</v>
      </c>
      <c r="AE1776" s="209">
        <v>2026</v>
      </c>
      <c r="AF1776" s="227">
        <v>46029</v>
      </c>
      <c r="AG1776" s="227">
        <v>46030</v>
      </c>
      <c r="AH1776" s="227">
        <v>46030</v>
      </c>
      <c r="AI1776" s="228">
        <v>388512</v>
      </c>
      <c r="AJ1776" s="228">
        <v>38</v>
      </c>
      <c r="AK1776" s="228">
        <v>388512</v>
      </c>
      <c r="AL1776" s="228">
        <v>38</v>
      </c>
      <c r="AM1776" s="228">
        <v>0</v>
      </c>
      <c r="AN1776" s="228">
        <v>0</v>
      </c>
      <c r="AO1776" s="229">
        <v>2</v>
      </c>
      <c r="AP1776" s="231">
        <v>1</v>
      </c>
      <c r="AQ1776" s="231">
        <v>2026</v>
      </c>
      <c r="AR1776" s="231" t="str">
        <f t="shared" si="259"/>
        <v>01/2026</v>
      </c>
      <c r="AS1776" s="231">
        <f t="shared" si="260"/>
        <v>37.200000000000003</v>
      </c>
      <c r="AT1776" s="239">
        <f>IF(G1776="CERVECERIA Y MALTERIA",(AS1776*AK1776/1000000)*(1-VLOOKUP(N1776,FCST!D:I,6,FALSE)),0)</f>
        <v>14.452646400000001</v>
      </c>
      <c r="AU1776" s="232">
        <v>5.0000000000000001E-3</v>
      </c>
      <c r="AV1776" s="239">
        <f t="shared" si="261"/>
        <v>14.524909632</v>
      </c>
      <c r="AW1776" s="239">
        <f>(AS1776*AK1776/1000000)*(VLOOKUP(N1776,FCST!D:I,6,FALSE))</f>
        <v>0</v>
      </c>
      <c r="AX1776" s="239">
        <f t="shared" si="262"/>
        <v>0</v>
      </c>
      <c r="AY1776" s="239">
        <f>IF($G1776="CERVECERIA Y MALTERIA.",($AS1776*$AK1776/1000000)*(1-VLOOKUP($N1776,FCST!D:I,6,FALSE)),0)</f>
        <v>0</v>
      </c>
      <c r="AZ1776" s="239">
        <f t="shared" si="263"/>
        <v>0</v>
      </c>
    </row>
    <row r="1777" spans="1:52" x14ac:dyDescent="0.25">
      <c r="A1777" s="209">
        <v>1159972</v>
      </c>
      <c r="B1777" s="209">
        <v>10</v>
      </c>
      <c r="C1777" s="209" t="s">
        <v>4040</v>
      </c>
      <c r="D1777" s="209">
        <v>10</v>
      </c>
      <c r="E1777" s="209">
        <v>10000002</v>
      </c>
      <c r="F1777" s="209">
        <v>20001057</v>
      </c>
      <c r="G1777" s="209" t="s">
        <v>105</v>
      </c>
      <c r="H1777" s="209">
        <v>20001057</v>
      </c>
      <c r="I1777" s="209">
        <v>2</v>
      </c>
      <c r="J1777" s="209" t="s">
        <v>169</v>
      </c>
      <c r="K1777" s="209" t="s">
        <v>4041</v>
      </c>
      <c r="L1777" s="209" t="s">
        <v>265</v>
      </c>
      <c r="M1777" s="209" t="s">
        <v>2718</v>
      </c>
      <c r="N1777" s="209">
        <v>50032578</v>
      </c>
      <c r="O1777" s="209" t="s">
        <v>329</v>
      </c>
      <c r="P1777" s="209">
        <v>5121</v>
      </c>
      <c r="Q1777" s="209" t="s">
        <v>174</v>
      </c>
      <c r="R1777" s="209" t="s">
        <v>175</v>
      </c>
      <c r="S1777" s="209" t="s">
        <v>176</v>
      </c>
      <c r="T1777" s="209" t="s">
        <v>177</v>
      </c>
      <c r="U1777" s="209" t="s">
        <v>178</v>
      </c>
      <c r="V1777" s="209" t="s">
        <v>179</v>
      </c>
      <c r="W1777" s="209" t="s">
        <v>179</v>
      </c>
      <c r="X1777" s="209" t="s">
        <v>180</v>
      </c>
      <c r="Y1777" s="209" t="s">
        <v>180</v>
      </c>
      <c r="Z1777" s="209" t="s">
        <v>4042</v>
      </c>
      <c r="AA1777" s="209" t="s">
        <v>4043</v>
      </c>
      <c r="AB1777" s="209" t="s">
        <v>180</v>
      </c>
      <c r="AC1777" s="209" t="s">
        <v>182</v>
      </c>
      <c r="AD1777" s="209">
        <v>1</v>
      </c>
      <c r="AE1777" s="209">
        <v>2026</v>
      </c>
      <c r="AF1777" s="227">
        <v>46029</v>
      </c>
      <c r="AG1777" s="227">
        <v>46030</v>
      </c>
      <c r="AH1777" s="227">
        <v>46030</v>
      </c>
      <c r="AI1777" s="228">
        <v>143136</v>
      </c>
      <c r="AJ1777" s="228">
        <v>14</v>
      </c>
      <c r="AK1777" s="228">
        <v>143136</v>
      </c>
      <c r="AL1777" s="228">
        <v>14</v>
      </c>
      <c r="AM1777" s="228">
        <v>0</v>
      </c>
      <c r="AN1777" s="228">
        <v>0</v>
      </c>
      <c r="AO1777" s="229">
        <v>2</v>
      </c>
      <c r="AP1777" s="231">
        <v>1</v>
      </c>
      <c r="AQ1777" s="231">
        <v>2026</v>
      </c>
      <c r="AR1777" s="231" t="str">
        <f t="shared" si="259"/>
        <v>01/2026</v>
      </c>
      <c r="AS1777" s="231">
        <f t="shared" si="260"/>
        <v>37.200000000000003</v>
      </c>
      <c r="AT1777" s="239">
        <f>IF(G1777="CERVECERIA Y MALTERIA",(AS1777*AK1777/1000000)*(1-VLOOKUP(N1777,FCST!D:I,6,FALSE)),0)</f>
        <v>5.3246592000000001</v>
      </c>
      <c r="AU1777" s="232">
        <v>5.0000000000000001E-3</v>
      </c>
      <c r="AV1777" s="239">
        <f t="shared" si="261"/>
        <v>5.3512824959999996</v>
      </c>
      <c r="AW1777" s="239">
        <f>(AS1777*AK1777/1000000)*(VLOOKUP(N1777,FCST!D:I,6,FALSE))</f>
        <v>0</v>
      </c>
      <c r="AX1777" s="239">
        <f t="shared" si="262"/>
        <v>0</v>
      </c>
      <c r="AY1777" s="239">
        <f>IF($G1777="CERVECERIA Y MALTERIA.",($AS1777*$AK1777/1000000)*(1-VLOOKUP($N1777,FCST!D:I,6,FALSE)),0)</f>
        <v>0</v>
      </c>
      <c r="AZ1777" s="239">
        <f t="shared" si="263"/>
        <v>0</v>
      </c>
    </row>
    <row r="1778" spans="1:52" x14ac:dyDescent="0.25">
      <c r="A1778" s="209">
        <v>1159094</v>
      </c>
      <c r="B1778" s="209">
        <v>100</v>
      </c>
      <c r="C1778" s="209" t="s">
        <v>4044</v>
      </c>
      <c r="D1778" s="209">
        <v>10</v>
      </c>
      <c r="E1778" s="209">
        <v>10000002</v>
      </c>
      <c r="F1778" s="209">
        <v>20000340</v>
      </c>
      <c r="G1778" s="209" t="s">
        <v>117</v>
      </c>
      <c r="H1778" s="209">
        <v>20000340</v>
      </c>
      <c r="I1778" s="209">
        <v>2</v>
      </c>
      <c r="J1778" s="209" t="s">
        <v>169</v>
      </c>
      <c r="K1778" s="209" t="s">
        <v>4045</v>
      </c>
      <c r="L1778" s="209" t="s">
        <v>2610</v>
      </c>
      <c r="M1778" s="209" t="s">
        <v>2718</v>
      </c>
      <c r="N1778" s="209">
        <v>50027468</v>
      </c>
      <c r="O1778" s="209" t="s">
        <v>285</v>
      </c>
      <c r="P1778" s="209">
        <v>5101</v>
      </c>
      <c r="Q1778" s="209" t="s">
        <v>186</v>
      </c>
      <c r="R1778" s="209" t="s">
        <v>175</v>
      </c>
      <c r="S1778" s="209" t="s">
        <v>176</v>
      </c>
      <c r="T1778" s="209" t="s">
        <v>187</v>
      </c>
      <c r="U1778" s="209" t="s">
        <v>188</v>
      </c>
      <c r="V1778" s="209" t="s">
        <v>179</v>
      </c>
      <c r="W1778" s="209" t="s">
        <v>179</v>
      </c>
      <c r="X1778" s="209" t="s">
        <v>180</v>
      </c>
      <c r="Y1778" s="209" t="s">
        <v>180</v>
      </c>
      <c r="Z1778" s="209" t="s">
        <v>4030</v>
      </c>
      <c r="AA1778" s="209" t="s">
        <v>4031</v>
      </c>
      <c r="AB1778" s="209" t="s">
        <v>180</v>
      </c>
      <c r="AC1778" s="209" t="s">
        <v>182</v>
      </c>
      <c r="AD1778" s="209">
        <v>1</v>
      </c>
      <c r="AE1778" s="209">
        <v>2026</v>
      </c>
      <c r="AF1778" s="227">
        <v>46024</v>
      </c>
      <c r="AG1778" s="227">
        <v>46030</v>
      </c>
      <c r="AH1778" s="227">
        <v>46030</v>
      </c>
      <c r="AI1778" s="228">
        <v>399360</v>
      </c>
      <c r="AJ1778" s="228">
        <v>52</v>
      </c>
      <c r="AK1778" s="228">
        <v>399360</v>
      </c>
      <c r="AL1778" s="228">
        <v>52</v>
      </c>
      <c r="AM1778" s="228">
        <v>0</v>
      </c>
      <c r="AN1778" s="228">
        <v>0</v>
      </c>
      <c r="AO1778" s="229">
        <v>2</v>
      </c>
      <c r="AP1778" s="231">
        <v>1</v>
      </c>
      <c r="AQ1778" s="231">
        <v>2026</v>
      </c>
      <c r="AR1778" s="231" t="str">
        <f t="shared" si="259"/>
        <v>01/2026</v>
      </c>
      <c r="AS1778" s="231">
        <f t="shared" si="260"/>
        <v>52</v>
      </c>
      <c r="AT1778" s="239">
        <f>IF(G1778="CERVECERIA Y MALTERIA",(AS1778*AK1778/1000000)*(1-VLOOKUP(N1778,FCST!D:I,6,FALSE)),0)</f>
        <v>0</v>
      </c>
      <c r="AU1778" s="232">
        <v>5.0000000000000001E-3</v>
      </c>
      <c r="AV1778" s="239">
        <f t="shared" si="261"/>
        <v>0</v>
      </c>
      <c r="AW1778" s="239">
        <f>(AS1778*AK1778/1000000)*(VLOOKUP(N1778,FCST!D:I,6,FALSE))</f>
        <v>0</v>
      </c>
      <c r="AX1778" s="239">
        <f t="shared" si="262"/>
        <v>0</v>
      </c>
      <c r="AY1778" s="239">
        <f>IF($G1778="CERVECERIA Y MALTERIA.",($AS1778*$AK1778/1000000)*(1-VLOOKUP($N1778,FCST!D:I,6,FALSE)),0)</f>
        <v>20.766719999999999</v>
      </c>
      <c r="AZ1778" s="239">
        <f t="shared" si="263"/>
        <v>20.870553599999997</v>
      </c>
    </row>
    <row r="1779" spans="1:52" x14ac:dyDescent="0.25">
      <c r="A1779" s="209">
        <v>1158789</v>
      </c>
      <c r="B1779" s="209">
        <v>10</v>
      </c>
      <c r="C1779" s="209" t="s">
        <v>4046</v>
      </c>
      <c r="D1779" s="209">
        <v>10</v>
      </c>
      <c r="E1779" s="209">
        <v>10000002</v>
      </c>
      <c r="F1779" s="209">
        <v>20000340</v>
      </c>
      <c r="G1779" s="209" t="s">
        <v>117</v>
      </c>
      <c r="H1779" s="209">
        <v>20000340</v>
      </c>
      <c r="I1779" s="209">
        <v>2</v>
      </c>
      <c r="J1779" s="209" t="s">
        <v>169</v>
      </c>
      <c r="K1779" s="209" t="s">
        <v>4047</v>
      </c>
      <c r="L1779" s="209" t="s">
        <v>2610</v>
      </c>
      <c r="M1779" s="209" t="s">
        <v>172</v>
      </c>
      <c r="N1779" s="209">
        <v>50039856</v>
      </c>
      <c r="O1779" s="209" t="s">
        <v>2871</v>
      </c>
      <c r="P1779" s="209">
        <v>5101</v>
      </c>
      <c r="Q1779" s="209" t="s">
        <v>186</v>
      </c>
      <c r="R1779" s="209" t="s">
        <v>175</v>
      </c>
      <c r="S1779" s="209" t="s">
        <v>176</v>
      </c>
      <c r="T1779" s="209" t="s">
        <v>187</v>
      </c>
      <c r="U1779" s="209" t="s">
        <v>188</v>
      </c>
      <c r="V1779" s="209" t="s">
        <v>179</v>
      </c>
      <c r="W1779" s="209" t="s">
        <v>179</v>
      </c>
      <c r="X1779" s="209" t="s">
        <v>180</v>
      </c>
      <c r="Y1779" s="209" t="s">
        <v>180</v>
      </c>
      <c r="Z1779" s="209" t="s">
        <v>4030</v>
      </c>
      <c r="AA1779" s="209" t="s">
        <v>4031</v>
      </c>
      <c r="AB1779" s="209" t="s">
        <v>180</v>
      </c>
      <c r="AC1779" s="209" t="s">
        <v>182</v>
      </c>
      <c r="AD1779" s="209">
        <v>1</v>
      </c>
      <c r="AE1779" s="209">
        <v>2026</v>
      </c>
      <c r="AF1779" s="227">
        <v>46021</v>
      </c>
      <c r="AG1779" s="227">
        <v>46024</v>
      </c>
      <c r="AH1779" s="227">
        <v>46024</v>
      </c>
      <c r="AI1779" s="228">
        <v>337920</v>
      </c>
      <c r="AJ1779" s="228">
        <v>44</v>
      </c>
      <c r="AK1779" s="228">
        <v>337920</v>
      </c>
      <c r="AL1779" s="228">
        <v>44</v>
      </c>
      <c r="AM1779" s="228">
        <v>0</v>
      </c>
      <c r="AN1779" s="228">
        <v>0</v>
      </c>
      <c r="AO1779" s="229">
        <v>1</v>
      </c>
      <c r="AP1779" s="231">
        <v>1</v>
      </c>
      <c r="AQ1779" s="231">
        <v>2026</v>
      </c>
      <c r="AR1779" s="231" t="str">
        <f t="shared" si="259"/>
        <v>01/2026</v>
      </c>
      <c r="AS1779" s="231">
        <f t="shared" si="260"/>
        <v>52</v>
      </c>
      <c r="AT1779" s="239">
        <f>IF(G1779="CERVECERIA Y MALTERIA",(AS1779*AK1779/1000000)*(1-VLOOKUP(N1779,FCST!D:I,6,FALSE)),0)</f>
        <v>0</v>
      </c>
      <c r="AU1779" s="232">
        <v>5.0000000000000001E-3</v>
      </c>
      <c r="AV1779" s="239">
        <f t="shared" si="261"/>
        <v>0</v>
      </c>
      <c r="AW1779" s="239">
        <f>(AS1779*AK1779/1000000)*(VLOOKUP(N1779,FCST!D:I,6,FALSE))</f>
        <v>0</v>
      </c>
      <c r="AX1779" s="239">
        <f t="shared" si="262"/>
        <v>0</v>
      </c>
      <c r="AY1779" s="239">
        <f>IF($G1779="CERVECERIA Y MALTERIA.",($AS1779*$AK1779/1000000)*(1-VLOOKUP($N1779,FCST!D:I,6,FALSE)),0)</f>
        <v>17.571840000000002</v>
      </c>
      <c r="AZ1779" s="239">
        <f t="shared" si="263"/>
        <v>17.659699199999999</v>
      </c>
    </row>
    <row r="1780" spans="1:52" x14ac:dyDescent="0.25">
      <c r="A1780" s="209">
        <v>1159285</v>
      </c>
      <c r="B1780" s="209">
        <v>30</v>
      </c>
      <c r="C1780" s="209" t="s">
        <v>4048</v>
      </c>
      <c r="D1780" s="209">
        <v>10</v>
      </c>
      <c r="E1780" s="209">
        <v>10000002</v>
      </c>
      <c r="F1780" s="209">
        <v>20000337</v>
      </c>
      <c r="G1780" s="209" t="s">
        <v>105</v>
      </c>
      <c r="H1780" s="209">
        <v>20000337</v>
      </c>
      <c r="I1780" s="209">
        <v>2</v>
      </c>
      <c r="J1780" s="209" t="s">
        <v>169</v>
      </c>
      <c r="K1780" s="209" t="s">
        <v>4049</v>
      </c>
      <c r="L1780" s="209" t="s">
        <v>2610</v>
      </c>
      <c r="M1780" s="209" t="s">
        <v>2718</v>
      </c>
      <c r="N1780" s="209">
        <v>50036915</v>
      </c>
      <c r="O1780" s="209" t="s">
        <v>541</v>
      </c>
      <c r="P1780" s="209">
        <v>5121</v>
      </c>
      <c r="Q1780" s="209" t="s">
        <v>174</v>
      </c>
      <c r="R1780" s="209" t="s">
        <v>175</v>
      </c>
      <c r="S1780" s="209" t="s">
        <v>176</v>
      </c>
      <c r="T1780" s="209" t="s">
        <v>177</v>
      </c>
      <c r="U1780" s="209" t="s">
        <v>178</v>
      </c>
      <c r="V1780" s="209" t="s">
        <v>179</v>
      </c>
      <c r="W1780" s="209" t="s">
        <v>179</v>
      </c>
      <c r="X1780" s="209" t="s">
        <v>180</v>
      </c>
      <c r="Y1780" s="209" t="s">
        <v>180</v>
      </c>
      <c r="Z1780" s="209" t="s">
        <v>4026</v>
      </c>
      <c r="AA1780" s="209" t="s">
        <v>4027</v>
      </c>
      <c r="AB1780" s="209" t="s">
        <v>180</v>
      </c>
      <c r="AC1780" s="209" t="s">
        <v>182</v>
      </c>
      <c r="AD1780" s="209">
        <v>1</v>
      </c>
      <c r="AE1780" s="209">
        <v>2026</v>
      </c>
      <c r="AF1780" s="227">
        <v>46024</v>
      </c>
      <c r="AG1780" s="227">
        <v>46028</v>
      </c>
      <c r="AH1780" s="227">
        <v>46028</v>
      </c>
      <c r="AI1780" s="228">
        <v>426816</v>
      </c>
      <c r="AJ1780" s="228">
        <v>52</v>
      </c>
      <c r="AK1780" s="228">
        <v>426816</v>
      </c>
      <c r="AL1780" s="228">
        <v>52</v>
      </c>
      <c r="AM1780" s="228">
        <v>0</v>
      </c>
      <c r="AN1780" s="228">
        <v>0</v>
      </c>
      <c r="AO1780" s="229">
        <v>2</v>
      </c>
      <c r="AP1780" s="231">
        <v>1</v>
      </c>
      <c r="AQ1780" s="231">
        <v>2026</v>
      </c>
      <c r="AR1780" s="231" t="str">
        <f t="shared" si="259"/>
        <v>01/2026</v>
      </c>
      <c r="AS1780" s="231">
        <f t="shared" si="260"/>
        <v>46.6</v>
      </c>
      <c r="AT1780" s="239">
        <f>IF(G1780="CERVECERIA Y MALTERIA",(AS1780*AK1780/1000000)*(1-VLOOKUP(N1780,FCST!D:I,6,FALSE)),0)</f>
        <v>15.911700480000002</v>
      </c>
      <c r="AU1780" s="232">
        <v>5.0000000000000001E-3</v>
      </c>
      <c r="AV1780" s="239">
        <f t="shared" si="261"/>
        <v>15.9912589824</v>
      </c>
      <c r="AW1780" s="239">
        <f>(AS1780*AK1780/1000000)*(VLOOKUP(N1780,FCST!D:I,6,FALSE))</f>
        <v>3.9779251200000005</v>
      </c>
      <c r="AX1780" s="239">
        <f t="shared" si="262"/>
        <v>3.9978147455999999</v>
      </c>
      <c r="AY1780" s="239">
        <f>IF($G1780="CERVECERIA Y MALTERIA.",($AS1780*$AK1780/1000000)*(1-VLOOKUP($N1780,FCST!D:I,6,FALSE)),0)</f>
        <v>0</v>
      </c>
      <c r="AZ1780" s="239">
        <f t="shared" si="263"/>
        <v>0</v>
      </c>
    </row>
    <row r="1781" spans="1:52" x14ac:dyDescent="0.25">
      <c r="A1781" s="209">
        <v>1159094</v>
      </c>
      <c r="B1781" s="209">
        <v>70</v>
      </c>
      <c r="C1781" s="209" t="s">
        <v>4050</v>
      </c>
      <c r="D1781" s="209">
        <v>10</v>
      </c>
      <c r="E1781" s="209">
        <v>10000002</v>
      </c>
      <c r="F1781" s="209">
        <v>20000340</v>
      </c>
      <c r="G1781" s="209" t="s">
        <v>117</v>
      </c>
      <c r="H1781" s="209">
        <v>20000340</v>
      </c>
      <c r="I1781" s="209">
        <v>2</v>
      </c>
      <c r="J1781" s="209" t="s">
        <v>169</v>
      </c>
      <c r="K1781" s="209" t="s">
        <v>4051</v>
      </c>
      <c r="L1781" s="209" t="s">
        <v>2610</v>
      </c>
      <c r="M1781" s="209" t="s">
        <v>2718</v>
      </c>
      <c r="N1781" s="209">
        <v>50027468</v>
      </c>
      <c r="O1781" s="209" t="s">
        <v>285</v>
      </c>
      <c r="P1781" s="209">
        <v>5101</v>
      </c>
      <c r="Q1781" s="209" t="s">
        <v>186</v>
      </c>
      <c r="R1781" s="209" t="s">
        <v>175</v>
      </c>
      <c r="S1781" s="209" t="s">
        <v>176</v>
      </c>
      <c r="T1781" s="209" t="s">
        <v>187</v>
      </c>
      <c r="U1781" s="209" t="s">
        <v>188</v>
      </c>
      <c r="V1781" s="209" t="s">
        <v>179</v>
      </c>
      <c r="W1781" s="209" t="s">
        <v>179</v>
      </c>
      <c r="X1781" s="209" t="s">
        <v>180</v>
      </c>
      <c r="Y1781" s="209" t="s">
        <v>180</v>
      </c>
      <c r="Z1781" s="209" t="s">
        <v>4030</v>
      </c>
      <c r="AA1781" s="209" t="s">
        <v>4031</v>
      </c>
      <c r="AB1781" s="209" t="s">
        <v>180</v>
      </c>
      <c r="AC1781" s="209" t="s">
        <v>182</v>
      </c>
      <c r="AD1781" s="209">
        <v>1</v>
      </c>
      <c r="AE1781" s="209">
        <v>2026</v>
      </c>
      <c r="AF1781" s="227">
        <v>46024</v>
      </c>
      <c r="AG1781" s="227">
        <v>46028</v>
      </c>
      <c r="AH1781" s="227">
        <v>46028</v>
      </c>
      <c r="AI1781" s="228">
        <v>399360</v>
      </c>
      <c r="AJ1781" s="228">
        <v>52</v>
      </c>
      <c r="AK1781" s="228">
        <v>399360</v>
      </c>
      <c r="AL1781" s="228">
        <v>52</v>
      </c>
      <c r="AM1781" s="228">
        <v>0</v>
      </c>
      <c r="AN1781" s="228">
        <v>0</v>
      </c>
      <c r="AO1781" s="229">
        <v>2</v>
      </c>
      <c r="AP1781" s="231">
        <v>1</v>
      </c>
      <c r="AQ1781" s="231">
        <v>2026</v>
      </c>
      <c r="AR1781" s="231" t="str">
        <f t="shared" si="259"/>
        <v>01/2026</v>
      </c>
      <c r="AS1781" s="231">
        <f t="shared" si="260"/>
        <v>52</v>
      </c>
      <c r="AT1781" s="239">
        <f>IF(G1781="CERVECERIA Y MALTERIA",(AS1781*AK1781/1000000)*(1-VLOOKUP(N1781,FCST!D:I,6,FALSE)),0)</f>
        <v>0</v>
      </c>
      <c r="AU1781" s="232">
        <v>5.0000000000000001E-3</v>
      </c>
      <c r="AV1781" s="239">
        <f t="shared" si="261"/>
        <v>0</v>
      </c>
      <c r="AW1781" s="239">
        <f>(AS1781*AK1781/1000000)*(VLOOKUP(N1781,FCST!D:I,6,FALSE))</f>
        <v>0</v>
      </c>
      <c r="AX1781" s="239">
        <f t="shared" si="262"/>
        <v>0</v>
      </c>
      <c r="AY1781" s="239">
        <f>IF($G1781="CERVECERIA Y MALTERIA.",($AS1781*$AK1781/1000000)*(1-VLOOKUP($N1781,FCST!D:I,6,FALSE)),0)</f>
        <v>20.766719999999999</v>
      </c>
      <c r="AZ1781" s="239">
        <f t="shared" si="263"/>
        <v>20.870553599999997</v>
      </c>
    </row>
    <row r="1782" spans="1:52" x14ac:dyDescent="0.25">
      <c r="A1782" s="209">
        <v>1159094</v>
      </c>
      <c r="B1782" s="209">
        <v>20</v>
      </c>
      <c r="C1782" s="209" t="s">
        <v>4052</v>
      </c>
      <c r="D1782" s="209">
        <v>10</v>
      </c>
      <c r="E1782" s="209">
        <v>10000002</v>
      </c>
      <c r="F1782" s="209">
        <v>20000340</v>
      </c>
      <c r="G1782" s="209" t="s">
        <v>117</v>
      </c>
      <c r="H1782" s="209">
        <v>20000340</v>
      </c>
      <c r="I1782" s="209">
        <v>2</v>
      </c>
      <c r="J1782" s="209" t="s">
        <v>169</v>
      </c>
      <c r="K1782" s="209" t="s">
        <v>4053</v>
      </c>
      <c r="L1782" s="209" t="s">
        <v>2610</v>
      </c>
      <c r="M1782" s="209" t="s">
        <v>2718</v>
      </c>
      <c r="N1782" s="209">
        <v>50038523</v>
      </c>
      <c r="O1782" s="209" t="s">
        <v>249</v>
      </c>
      <c r="P1782" s="209">
        <v>5101</v>
      </c>
      <c r="Q1782" s="209" t="s">
        <v>186</v>
      </c>
      <c r="R1782" s="209" t="s">
        <v>175</v>
      </c>
      <c r="S1782" s="209" t="s">
        <v>176</v>
      </c>
      <c r="T1782" s="209" t="s">
        <v>187</v>
      </c>
      <c r="U1782" s="209" t="s">
        <v>188</v>
      </c>
      <c r="V1782" s="209" t="s">
        <v>179</v>
      </c>
      <c r="W1782" s="209" t="s">
        <v>179</v>
      </c>
      <c r="X1782" s="209" t="s">
        <v>180</v>
      </c>
      <c r="Y1782" s="209" t="s">
        <v>180</v>
      </c>
      <c r="Z1782" s="209" t="s">
        <v>3959</v>
      </c>
      <c r="AA1782" s="209" t="s">
        <v>3960</v>
      </c>
      <c r="AB1782" s="209" t="s">
        <v>180</v>
      </c>
      <c r="AC1782" s="209" t="s">
        <v>182</v>
      </c>
      <c r="AD1782" s="209">
        <v>1</v>
      </c>
      <c r="AE1782" s="209">
        <v>2026</v>
      </c>
      <c r="AF1782" s="227">
        <v>46024</v>
      </c>
      <c r="AG1782" s="227">
        <v>46028</v>
      </c>
      <c r="AH1782" s="227">
        <v>46028</v>
      </c>
      <c r="AI1782" s="228">
        <v>606528</v>
      </c>
      <c r="AJ1782" s="228">
        <v>52</v>
      </c>
      <c r="AK1782" s="228">
        <v>606528</v>
      </c>
      <c r="AL1782" s="228">
        <v>52</v>
      </c>
      <c r="AM1782" s="228">
        <v>0</v>
      </c>
      <c r="AN1782" s="228">
        <v>0</v>
      </c>
      <c r="AO1782" s="229">
        <v>2</v>
      </c>
      <c r="AP1782" s="231">
        <v>1</v>
      </c>
      <c r="AQ1782" s="231">
        <v>2026</v>
      </c>
      <c r="AR1782" s="231" t="str">
        <f t="shared" si="259"/>
        <v>01/2026</v>
      </c>
      <c r="AS1782" s="231">
        <f t="shared" si="260"/>
        <v>30</v>
      </c>
      <c r="AT1782" s="239">
        <f>IF(G1782="CERVECERIA Y MALTERIA",(AS1782*AK1782/1000000)*(1-VLOOKUP(N1782,FCST!D:I,6,FALSE)),0)</f>
        <v>0</v>
      </c>
      <c r="AU1782" s="232">
        <v>5.0000000000000001E-3</v>
      </c>
      <c r="AV1782" s="239">
        <f t="shared" si="261"/>
        <v>0</v>
      </c>
      <c r="AW1782" s="239">
        <f>(AS1782*AK1782/1000000)*(VLOOKUP(N1782,FCST!D:I,6,FALSE))</f>
        <v>0</v>
      </c>
      <c r="AX1782" s="239">
        <f t="shared" si="262"/>
        <v>0</v>
      </c>
      <c r="AY1782" s="239">
        <f>IF($G1782="CERVECERIA Y MALTERIA.",($AS1782*$AK1782/1000000)*(1-VLOOKUP($N1782,FCST!D:I,6,FALSE)),0)</f>
        <v>18.19584</v>
      </c>
      <c r="AZ1782" s="239">
        <f t="shared" si="263"/>
        <v>18.2868192</v>
      </c>
    </row>
    <row r="1783" spans="1:52" x14ac:dyDescent="0.25">
      <c r="A1783" s="209">
        <v>1159102</v>
      </c>
      <c r="B1783" s="209">
        <v>10</v>
      </c>
      <c r="C1783" s="209" t="s">
        <v>4054</v>
      </c>
      <c r="D1783" s="209">
        <v>10</v>
      </c>
      <c r="E1783" s="209">
        <v>10000002</v>
      </c>
      <c r="F1783" s="209">
        <v>20000339</v>
      </c>
      <c r="G1783" s="209" t="s">
        <v>105</v>
      </c>
      <c r="H1783" s="209">
        <v>20000339</v>
      </c>
      <c r="I1783" s="209">
        <v>2</v>
      </c>
      <c r="J1783" s="209" t="s">
        <v>169</v>
      </c>
      <c r="K1783" s="209" t="s">
        <v>4055</v>
      </c>
      <c r="L1783" s="209" t="s">
        <v>2610</v>
      </c>
      <c r="M1783" s="209" t="s">
        <v>2718</v>
      </c>
      <c r="N1783" s="209">
        <v>50038607</v>
      </c>
      <c r="O1783" s="209" t="s">
        <v>1992</v>
      </c>
      <c r="P1783" s="209">
        <v>5101</v>
      </c>
      <c r="Q1783" s="209" t="s">
        <v>186</v>
      </c>
      <c r="R1783" s="209" t="s">
        <v>175</v>
      </c>
      <c r="S1783" s="209" t="s">
        <v>176</v>
      </c>
      <c r="T1783" s="209" t="s">
        <v>187</v>
      </c>
      <c r="U1783" s="209" t="s">
        <v>188</v>
      </c>
      <c r="V1783" s="209" t="s">
        <v>179</v>
      </c>
      <c r="W1783" s="209" t="s">
        <v>179</v>
      </c>
      <c r="X1783" s="209" t="s">
        <v>180</v>
      </c>
      <c r="Y1783" s="209" t="s">
        <v>180</v>
      </c>
      <c r="Z1783" s="209" t="s">
        <v>4056</v>
      </c>
      <c r="AA1783" s="209" t="s">
        <v>4057</v>
      </c>
      <c r="AB1783" s="209" t="s">
        <v>180</v>
      </c>
      <c r="AC1783" s="209" t="s">
        <v>182</v>
      </c>
      <c r="AD1783" s="209">
        <v>1</v>
      </c>
      <c r="AE1783" s="209">
        <v>2026</v>
      </c>
      <c r="AF1783" s="227">
        <v>46024</v>
      </c>
      <c r="AG1783" s="227">
        <v>46027</v>
      </c>
      <c r="AH1783" s="227">
        <v>46027</v>
      </c>
      <c r="AI1783" s="228">
        <v>743808</v>
      </c>
      <c r="AJ1783" s="228">
        <v>52</v>
      </c>
      <c r="AK1783" s="228">
        <v>743808</v>
      </c>
      <c r="AL1783" s="228">
        <v>52</v>
      </c>
      <c r="AM1783" s="228">
        <v>0</v>
      </c>
      <c r="AN1783" s="228">
        <v>0</v>
      </c>
      <c r="AO1783" s="229">
        <v>1</v>
      </c>
      <c r="AP1783" s="231">
        <v>1</v>
      </c>
      <c r="AQ1783" s="231">
        <v>2026</v>
      </c>
      <c r="AR1783" s="231" t="str">
        <f t="shared" si="259"/>
        <v>01/2026</v>
      </c>
      <c r="AS1783" s="231">
        <f t="shared" si="260"/>
        <v>25</v>
      </c>
      <c r="AT1783" s="239">
        <f>IF(G1783="CERVECERIA Y MALTERIA",(AS1783*AK1783/1000000)*(1-VLOOKUP(N1783,FCST!D:I,6,FALSE)),0)</f>
        <v>18.595199999999998</v>
      </c>
      <c r="AU1783" s="232">
        <v>5.0000000000000001E-3</v>
      </c>
      <c r="AV1783" s="239">
        <f t="shared" si="261"/>
        <v>18.688175999999995</v>
      </c>
      <c r="AW1783" s="239">
        <f>(AS1783*AK1783/1000000)*(VLOOKUP(N1783,FCST!D:I,6,FALSE))</f>
        <v>0</v>
      </c>
      <c r="AX1783" s="239">
        <f t="shared" si="262"/>
        <v>0</v>
      </c>
      <c r="AY1783" s="239">
        <f>IF($G1783="CERVECERIA Y MALTERIA.",($AS1783*$AK1783/1000000)*(1-VLOOKUP($N1783,FCST!D:I,6,FALSE)),0)</f>
        <v>0</v>
      </c>
      <c r="AZ1783" s="239">
        <f t="shared" si="263"/>
        <v>0</v>
      </c>
    </row>
    <row r="1784" spans="1:52" x14ac:dyDescent="0.25">
      <c r="A1784" s="209">
        <v>1160981</v>
      </c>
      <c r="B1784" s="209">
        <v>20</v>
      </c>
      <c r="C1784" s="209" t="s">
        <v>4058</v>
      </c>
      <c r="D1784" s="209">
        <v>20</v>
      </c>
      <c r="E1784" s="209">
        <v>10000002</v>
      </c>
      <c r="F1784" s="209">
        <v>20000339</v>
      </c>
      <c r="G1784" s="209" t="s">
        <v>105</v>
      </c>
      <c r="H1784" s="209">
        <v>20000339</v>
      </c>
      <c r="I1784" s="209">
        <v>2</v>
      </c>
      <c r="J1784" s="209" t="s">
        <v>169</v>
      </c>
      <c r="K1784" s="209" t="s">
        <v>4059</v>
      </c>
      <c r="L1784" s="209" t="s">
        <v>265</v>
      </c>
      <c r="M1784" s="209" t="s">
        <v>2718</v>
      </c>
      <c r="N1784" s="209">
        <v>50030542</v>
      </c>
      <c r="O1784" s="209" t="s">
        <v>2453</v>
      </c>
      <c r="P1784" s="209">
        <v>5121</v>
      </c>
      <c r="Q1784" s="209" t="s">
        <v>174</v>
      </c>
      <c r="R1784" s="209" t="s">
        <v>175</v>
      </c>
      <c r="S1784" s="209" t="s">
        <v>176</v>
      </c>
      <c r="T1784" s="209" t="s">
        <v>177</v>
      </c>
      <c r="U1784" s="209" t="s">
        <v>178</v>
      </c>
      <c r="V1784" s="209" t="s">
        <v>179</v>
      </c>
      <c r="W1784" s="209" t="s">
        <v>179</v>
      </c>
      <c r="X1784" s="209" t="s">
        <v>180</v>
      </c>
      <c r="Y1784" s="209" t="s">
        <v>180</v>
      </c>
      <c r="Z1784" s="209" t="s">
        <v>4060</v>
      </c>
      <c r="AA1784" s="209" t="s">
        <v>4061</v>
      </c>
      <c r="AB1784" s="209" t="s">
        <v>180</v>
      </c>
      <c r="AC1784" s="209" t="s">
        <v>182</v>
      </c>
      <c r="AD1784" s="209">
        <v>1</v>
      </c>
      <c r="AE1784" s="209">
        <v>2026</v>
      </c>
      <c r="AF1784" s="227">
        <v>46034</v>
      </c>
      <c r="AG1784" s="227">
        <v>46036</v>
      </c>
      <c r="AH1784" s="227">
        <v>46036</v>
      </c>
      <c r="AI1784" s="228">
        <v>93888</v>
      </c>
      <c r="AJ1784" s="228">
        <v>12</v>
      </c>
      <c r="AK1784" s="228">
        <v>93888</v>
      </c>
      <c r="AL1784" s="228">
        <v>12</v>
      </c>
      <c r="AM1784" s="228">
        <v>0</v>
      </c>
      <c r="AN1784" s="228">
        <v>0</v>
      </c>
      <c r="AO1784" s="229">
        <v>3</v>
      </c>
      <c r="AP1784" s="231">
        <v>1</v>
      </c>
      <c r="AQ1784" s="231">
        <v>2026</v>
      </c>
      <c r="AR1784" s="231" t="str">
        <f t="shared" si="259"/>
        <v>01/2026</v>
      </c>
      <c r="AS1784" s="231">
        <f t="shared" si="260"/>
        <v>44</v>
      </c>
      <c r="AT1784" s="239">
        <f>IF(G1784="CERVECERIA Y MALTERIA",(AS1784*AK1784/1000000)*(1-VLOOKUP(N1784,FCST!D:I,6,FALSE)),0)</f>
        <v>4.1310719999999996</v>
      </c>
      <c r="AU1784" s="232">
        <v>5.0000000000000001E-3</v>
      </c>
      <c r="AV1784" s="239">
        <f t="shared" si="261"/>
        <v>4.1517273599999989</v>
      </c>
      <c r="AW1784" s="239">
        <f>(AS1784*AK1784/1000000)*(VLOOKUP(N1784,FCST!D:I,6,FALSE))</f>
        <v>0</v>
      </c>
      <c r="AX1784" s="239">
        <f t="shared" si="262"/>
        <v>0</v>
      </c>
      <c r="AY1784" s="239">
        <f>IF($G1784="CERVECERIA Y MALTERIA.",($AS1784*$AK1784/1000000)*(1-VLOOKUP($N1784,FCST!D:I,6,FALSE)),0)</f>
        <v>0</v>
      </c>
      <c r="AZ1784" s="239">
        <f t="shared" si="263"/>
        <v>0</v>
      </c>
    </row>
    <row r="1785" spans="1:52" x14ac:dyDescent="0.25">
      <c r="A1785" s="209">
        <v>1160981</v>
      </c>
      <c r="B1785" s="209">
        <v>10</v>
      </c>
      <c r="C1785" s="209" t="s">
        <v>4058</v>
      </c>
      <c r="D1785" s="209">
        <v>10</v>
      </c>
      <c r="E1785" s="209">
        <v>10000002</v>
      </c>
      <c r="F1785" s="209">
        <v>20000339</v>
      </c>
      <c r="G1785" s="209" t="s">
        <v>105</v>
      </c>
      <c r="H1785" s="209">
        <v>20000339</v>
      </c>
      <c r="I1785" s="209">
        <v>2</v>
      </c>
      <c r="J1785" s="209" t="s">
        <v>169</v>
      </c>
      <c r="K1785" s="209" t="s">
        <v>4059</v>
      </c>
      <c r="L1785" s="209" t="s">
        <v>265</v>
      </c>
      <c r="M1785" s="209" t="s">
        <v>2718</v>
      </c>
      <c r="N1785" s="209">
        <v>50034194</v>
      </c>
      <c r="O1785" s="209" t="s">
        <v>276</v>
      </c>
      <c r="P1785" s="209">
        <v>5121</v>
      </c>
      <c r="Q1785" s="209" t="s">
        <v>174</v>
      </c>
      <c r="R1785" s="209" t="s">
        <v>175</v>
      </c>
      <c r="S1785" s="209" t="s">
        <v>176</v>
      </c>
      <c r="T1785" s="209" t="s">
        <v>177</v>
      </c>
      <c r="U1785" s="209" t="s">
        <v>178</v>
      </c>
      <c r="V1785" s="209" t="s">
        <v>179</v>
      </c>
      <c r="W1785" s="209" t="s">
        <v>179</v>
      </c>
      <c r="X1785" s="209" t="s">
        <v>180</v>
      </c>
      <c r="Y1785" s="209" t="s">
        <v>180</v>
      </c>
      <c r="Z1785" s="209" t="s">
        <v>4060</v>
      </c>
      <c r="AA1785" s="209" t="s">
        <v>4061</v>
      </c>
      <c r="AB1785" s="209" t="s">
        <v>180</v>
      </c>
      <c r="AC1785" s="209" t="s">
        <v>182</v>
      </c>
      <c r="AD1785" s="209">
        <v>1</v>
      </c>
      <c r="AE1785" s="209">
        <v>2026</v>
      </c>
      <c r="AF1785" s="227">
        <v>46034</v>
      </c>
      <c r="AG1785" s="227">
        <v>46036</v>
      </c>
      <c r="AH1785" s="227">
        <v>46036</v>
      </c>
      <c r="AI1785" s="228">
        <v>243840</v>
      </c>
      <c r="AJ1785" s="228">
        <v>40</v>
      </c>
      <c r="AK1785" s="228">
        <v>243840</v>
      </c>
      <c r="AL1785" s="228">
        <v>40</v>
      </c>
      <c r="AM1785" s="228">
        <v>0</v>
      </c>
      <c r="AN1785" s="228">
        <v>0</v>
      </c>
      <c r="AO1785" s="229">
        <v>3</v>
      </c>
      <c r="AP1785" s="231">
        <v>1</v>
      </c>
      <c r="AQ1785" s="231">
        <v>2026</v>
      </c>
      <c r="AR1785" s="231" t="str">
        <f t="shared" si="259"/>
        <v>01/2026</v>
      </c>
      <c r="AS1785" s="231">
        <f t="shared" si="260"/>
        <v>62</v>
      </c>
      <c r="AT1785" s="239">
        <f>IF(G1785="CERVECERIA Y MALTERIA",(AS1785*AK1785/1000000)*(1-VLOOKUP(N1785,FCST!D:I,6,FALSE)),0)</f>
        <v>15.118080000000001</v>
      </c>
      <c r="AU1785" s="232">
        <v>5.0000000000000001E-3</v>
      </c>
      <c r="AV1785" s="239">
        <f t="shared" si="261"/>
        <v>15.193670399999998</v>
      </c>
      <c r="AW1785" s="239">
        <f>(AS1785*AK1785/1000000)*(VLOOKUP(N1785,FCST!D:I,6,FALSE))</f>
        <v>0</v>
      </c>
      <c r="AX1785" s="239">
        <f t="shared" si="262"/>
        <v>0</v>
      </c>
      <c r="AY1785" s="239">
        <f>IF($G1785="CERVECERIA Y MALTERIA.",($AS1785*$AK1785/1000000)*(1-VLOOKUP($N1785,FCST!D:I,6,FALSE)),0)</f>
        <v>0</v>
      </c>
      <c r="AZ1785" s="239">
        <f t="shared" si="263"/>
        <v>0</v>
      </c>
    </row>
    <row r="1786" spans="1:52" x14ac:dyDescent="0.25">
      <c r="A1786" s="209">
        <v>1160637</v>
      </c>
      <c r="B1786" s="209">
        <v>20</v>
      </c>
      <c r="C1786" s="209" t="s">
        <v>4062</v>
      </c>
      <c r="D1786" s="209">
        <v>10</v>
      </c>
      <c r="E1786" s="209">
        <v>10000002</v>
      </c>
      <c r="F1786" s="209">
        <v>20000335</v>
      </c>
      <c r="G1786" s="209" t="s">
        <v>105</v>
      </c>
      <c r="H1786" s="209">
        <v>20000335</v>
      </c>
      <c r="I1786" s="209">
        <v>2</v>
      </c>
      <c r="J1786" s="209" t="s">
        <v>169</v>
      </c>
      <c r="K1786" s="209" t="s">
        <v>4063</v>
      </c>
      <c r="L1786" s="209" t="s">
        <v>265</v>
      </c>
      <c r="M1786" s="209" t="s">
        <v>172</v>
      </c>
      <c r="N1786" s="209">
        <v>50035184</v>
      </c>
      <c r="O1786" s="209" t="s">
        <v>672</v>
      </c>
      <c r="P1786" s="209">
        <v>5121</v>
      </c>
      <c r="Q1786" s="209" t="s">
        <v>174</v>
      </c>
      <c r="R1786" s="209" t="s">
        <v>175</v>
      </c>
      <c r="S1786" s="209" t="s">
        <v>176</v>
      </c>
      <c r="T1786" s="209" t="s">
        <v>177</v>
      </c>
      <c r="U1786" s="209" t="s">
        <v>178</v>
      </c>
      <c r="V1786" s="209" t="s">
        <v>179</v>
      </c>
      <c r="W1786" s="209" t="s">
        <v>179</v>
      </c>
      <c r="X1786" s="209" t="s">
        <v>180</v>
      </c>
      <c r="Y1786" s="209" t="s">
        <v>180</v>
      </c>
      <c r="Z1786" s="209" t="s">
        <v>4036</v>
      </c>
      <c r="AA1786" s="209" t="s">
        <v>4037</v>
      </c>
      <c r="AB1786" s="209" t="s">
        <v>180</v>
      </c>
      <c r="AC1786" s="209" t="s">
        <v>182</v>
      </c>
      <c r="AD1786" s="209">
        <v>1</v>
      </c>
      <c r="AE1786" s="209">
        <v>2026</v>
      </c>
      <c r="AF1786" s="227">
        <v>46031</v>
      </c>
      <c r="AG1786" s="227">
        <v>46036</v>
      </c>
      <c r="AH1786" s="227">
        <v>46036</v>
      </c>
      <c r="AI1786" s="228">
        <v>977184</v>
      </c>
      <c r="AJ1786" s="228">
        <v>52</v>
      </c>
      <c r="AK1786" s="228">
        <v>977184</v>
      </c>
      <c r="AL1786" s="228">
        <v>52</v>
      </c>
      <c r="AM1786" s="228">
        <v>0</v>
      </c>
      <c r="AN1786" s="228">
        <v>0</v>
      </c>
      <c r="AO1786" s="229">
        <v>3</v>
      </c>
      <c r="AP1786" s="231">
        <v>1</v>
      </c>
      <c r="AQ1786" s="231">
        <v>2026</v>
      </c>
      <c r="AR1786" s="231" t="str">
        <f t="shared" si="259"/>
        <v>01/2026</v>
      </c>
      <c r="AS1786" s="231">
        <f t="shared" si="260"/>
        <v>19.5</v>
      </c>
      <c r="AT1786" s="239">
        <f>IF(G1786="CERVECERIA Y MALTERIA",(AS1786*AK1786/1000000)*(1-VLOOKUP(N1786,FCST!D:I,6,FALSE)),0)</f>
        <v>19.055088000000001</v>
      </c>
      <c r="AU1786" s="232">
        <v>5.0000000000000001E-3</v>
      </c>
      <c r="AV1786" s="239">
        <f t="shared" si="261"/>
        <v>19.15036344</v>
      </c>
      <c r="AW1786" s="239">
        <f>(AS1786*AK1786/1000000)*(VLOOKUP(N1786,FCST!D:I,6,FALSE))</f>
        <v>0</v>
      </c>
      <c r="AX1786" s="239">
        <f t="shared" si="262"/>
        <v>0</v>
      </c>
      <c r="AY1786" s="239">
        <f>IF($G1786="CERVECERIA Y MALTERIA.",($AS1786*$AK1786/1000000)*(1-VLOOKUP($N1786,FCST!D:I,6,FALSE)),0)</f>
        <v>0</v>
      </c>
      <c r="AZ1786" s="239">
        <f t="shared" si="263"/>
        <v>0</v>
      </c>
    </row>
    <row r="1787" spans="1:52" x14ac:dyDescent="0.25">
      <c r="A1787" s="209">
        <v>1161269</v>
      </c>
      <c r="B1787" s="209">
        <v>70</v>
      </c>
      <c r="C1787" s="209" t="s">
        <v>4064</v>
      </c>
      <c r="D1787" s="209">
        <v>10</v>
      </c>
      <c r="E1787" s="209">
        <v>10000002</v>
      </c>
      <c r="F1787" s="209">
        <v>20000340</v>
      </c>
      <c r="G1787" s="209" t="s">
        <v>117</v>
      </c>
      <c r="H1787" s="209">
        <v>20000340</v>
      </c>
      <c r="I1787" s="209">
        <v>2</v>
      </c>
      <c r="J1787" s="209" t="s">
        <v>169</v>
      </c>
      <c r="K1787" s="209" t="s">
        <v>4065</v>
      </c>
      <c r="L1787" s="209" t="s">
        <v>265</v>
      </c>
      <c r="M1787" s="209" t="s">
        <v>172</v>
      </c>
      <c r="N1787" s="209">
        <v>50038523</v>
      </c>
      <c r="O1787" s="209" t="s">
        <v>249</v>
      </c>
      <c r="P1787" s="209">
        <v>5101</v>
      </c>
      <c r="Q1787" s="209" t="s">
        <v>186</v>
      </c>
      <c r="R1787" s="209" t="s">
        <v>175</v>
      </c>
      <c r="S1787" s="209" t="s">
        <v>176</v>
      </c>
      <c r="T1787" s="209" t="s">
        <v>187</v>
      </c>
      <c r="U1787" s="209" t="s">
        <v>188</v>
      </c>
      <c r="V1787" s="209" t="s">
        <v>179</v>
      </c>
      <c r="W1787" s="209" t="s">
        <v>179</v>
      </c>
      <c r="X1787" s="209" t="s">
        <v>180</v>
      </c>
      <c r="Y1787" s="209" t="s">
        <v>180</v>
      </c>
      <c r="Z1787" s="209" t="s">
        <v>3959</v>
      </c>
      <c r="AA1787" s="209" t="s">
        <v>3960</v>
      </c>
      <c r="AB1787" s="209" t="s">
        <v>180</v>
      </c>
      <c r="AC1787" s="209" t="s">
        <v>182</v>
      </c>
      <c r="AD1787" s="209">
        <v>1</v>
      </c>
      <c r="AE1787" s="209">
        <v>2026</v>
      </c>
      <c r="AF1787" s="227">
        <v>46035</v>
      </c>
      <c r="AG1787" s="227">
        <v>46038</v>
      </c>
      <c r="AH1787" s="227">
        <v>46038</v>
      </c>
      <c r="AI1787" s="228">
        <v>606528</v>
      </c>
      <c r="AJ1787" s="228">
        <v>52</v>
      </c>
      <c r="AK1787" s="228">
        <v>606528</v>
      </c>
      <c r="AL1787" s="228">
        <v>52</v>
      </c>
      <c r="AM1787" s="228">
        <v>0</v>
      </c>
      <c r="AN1787" s="228">
        <v>0</v>
      </c>
      <c r="AO1787" s="229">
        <v>4</v>
      </c>
      <c r="AP1787" s="231">
        <v>1</v>
      </c>
      <c r="AQ1787" s="231">
        <v>2026</v>
      </c>
      <c r="AR1787" s="231" t="str">
        <f t="shared" si="259"/>
        <v>01/2026</v>
      </c>
      <c r="AS1787" s="231">
        <f t="shared" si="260"/>
        <v>30</v>
      </c>
      <c r="AT1787" s="239">
        <f>IF(G1787="CERVECERIA Y MALTERIA",(AS1787*AK1787/1000000)*(1-VLOOKUP(N1787,FCST!D:I,6,FALSE)),0)</f>
        <v>0</v>
      </c>
      <c r="AU1787" s="232">
        <v>5.0000000000000001E-3</v>
      </c>
      <c r="AV1787" s="239">
        <f t="shared" si="261"/>
        <v>0</v>
      </c>
      <c r="AW1787" s="239">
        <f>(AS1787*AK1787/1000000)*(VLOOKUP(N1787,FCST!D:I,6,FALSE))</f>
        <v>0</v>
      </c>
      <c r="AX1787" s="239">
        <f t="shared" si="262"/>
        <v>0</v>
      </c>
      <c r="AY1787" s="239">
        <f>IF($G1787="CERVECERIA Y MALTERIA.",($AS1787*$AK1787/1000000)*(1-VLOOKUP($N1787,FCST!D:I,6,FALSE)),0)</f>
        <v>18.19584</v>
      </c>
      <c r="AZ1787" s="239">
        <f t="shared" si="263"/>
        <v>18.2868192</v>
      </c>
    </row>
    <row r="1788" spans="1:52" x14ac:dyDescent="0.25">
      <c r="A1788" s="209">
        <v>1160642</v>
      </c>
      <c r="B1788" s="209">
        <v>10</v>
      </c>
      <c r="C1788" s="209" t="s">
        <v>4066</v>
      </c>
      <c r="D1788" s="209">
        <v>10</v>
      </c>
      <c r="E1788" s="209">
        <v>10000002</v>
      </c>
      <c r="F1788" s="209">
        <v>20000340</v>
      </c>
      <c r="G1788" s="209" t="s">
        <v>117</v>
      </c>
      <c r="H1788" s="209">
        <v>20000340</v>
      </c>
      <c r="I1788" s="209">
        <v>2</v>
      </c>
      <c r="J1788" s="209" t="s">
        <v>169</v>
      </c>
      <c r="K1788" s="209" t="s">
        <v>4067</v>
      </c>
      <c r="L1788" s="209" t="s">
        <v>265</v>
      </c>
      <c r="M1788" s="209" t="s">
        <v>2718</v>
      </c>
      <c r="N1788" s="209">
        <v>50039856</v>
      </c>
      <c r="O1788" s="209" t="s">
        <v>2871</v>
      </c>
      <c r="P1788" s="209">
        <v>5101</v>
      </c>
      <c r="Q1788" s="209" t="s">
        <v>186</v>
      </c>
      <c r="R1788" s="209" t="s">
        <v>175</v>
      </c>
      <c r="S1788" s="209" t="s">
        <v>176</v>
      </c>
      <c r="T1788" s="209" t="s">
        <v>187</v>
      </c>
      <c r="U1788" s="209" t="s">
        <v>188</v>
      </c>
      <c r="V1788" s="209" t="s">
        <v>179</v>
      </c>
      <c r="W1788" s="209" t="s">
        <v>179</v>
      </c>
      <c r="X1788" s="209" t="s">
        <v>180</v>
      </c>
      <c r="Y1788" s="209" t="s">
        <v>180</v>
      </c>
      <c r="Z1788" s="209" t="s">
        <v>4030</v>
      </c>
      <c r="AA1788" s="209" t="s">
        <v>4031</v>
      </c>
      <c r="AB1788" s="209" t="s">
        <v>180</v>
      </c>
      <c r="AC1788" s="209" t="s">
        <v>182</v>
      </c>
      <c r="AD1788" s="209">
        <v>1</v>
      </c>
      <c r="AE1788" s="209">
        <v>2026</v>
      </c>
      <c r="AF1788" s="227">
        <v>46031</v>
      </c>
      <c r="AG1788" s="227">
        <v>46035</v>
      </c>
      <c r="AH1788" s="227">
        <v>46035</v>
      </c>
      <c r="AI1788" s="228">
        <v>399360</v>
      </c>
      <c r="AJ1788" s="228">
        <v>52</v>
      </c>
      <c r="AK1788" s="228">
        <v>399360</v>
      </c>
      <c r="AL1788" s="228">
        <v>52</v>
      </c>
      <c r="AM1788" s="228">
        <v>0</v>
      </c>
      <c r="AN1788" s="228">
        <v>0</v>
      </c>
      <c r="AO1788" s="229">
        <v>3</v>
      </c>
      <c r="AP1788" s="231">
        <v>1</v>
      </c>
      <c r="AQ1788" s="231">
        <v>2026</v>
      </c>
      <c r="AR1788" s="231" t="str">
        <f t="shared" si="259"/>
        <v>01/2026</v>
      </c>
      <c r="AS1788" s="231">
        <f t="shared" si="260"/>
        <v>52</v>
      </c>
      <c r="AT1788" s="239">
        <f>IF(G1788="CERVECERIA Y MALTERIA",(AS1788*AK1788/1000000)*(1-VLOOKUP(N1788,FCST!D:I,6,FALSE)),0)</f>
        <v>0</v>
      </c>
      <c r="AU1788" s="232">
        <v>5.0000000000000001E-3</v>
      </c>
      <c r="AV1788" s="239">
        <f t="shared" si="261"/>
        <v>0</v>
      </c>
      <c r="AW1788" s="239">
        <f>(AS1788*AK1788/1000000)*(VLOOKUP(N1788,FCST!D:I,6,FALSE))</f>
        <v>0</v>
      </c>
      <c r="AX1788" s="239">
        <f t="shared" si="262"/>
        <v>0</v>
      </c>
      <c r="AY1788" s="239">
        <f>IF($G1788="CERVECERIA Y MALTERIA.",($AS1788*$AK1788/1000000)*(1-VLOOKUP($N1788,FCST!D:I,6,FALSE)),0)</f>
        <v>20.766719999999999</v>
      </c>
      <c r="AZ1788" s="239">
        <f t="shared" si="263"/>
        <v>20.870553599999997</v>
      </c>
    </row>
    <row r="1789" spans="1:52" x14ac:dyDescent="0.25">
      <c r="A1789" s="209">
        <v>1160951</v>
      </c>
      <c r="B1789" s="209">
        <v>20</v>
      </c>
      <c r="C1789" s="209" t="s">
        <v>4068</v>
      </c>
      <c r="D1789" s="209">
        <v>20</v>
      </c>
      <c r="E1789" s="209">
        <v>10000002</v>
      </c>
      <c r="F1789" s="209">
        <v>20000337</v>
      </c>
      <c r="G1789" s="209" t="s">
        <v>105</v>
      </c>
      <c r="H1789" s="209">
        <v>20000337</v>
      </c>
      <c r="I1789" s="209">
        <v>2</v>
      </c>
      <c r="J1789" s="209" t="s">
        <v>169</v>
      </c>
      <c r="K1789" s="209" t="s">
        <v>4069</v>
      </c>
      <c r="L1789" s="209" t="s">
        <v>265</v>
      </c>
      <c r="M1789" s="209" t="s">
        <v>172</v>
      </c>
      <c r="N1789" s="209">
        <v>50039815</v>
      </c>
      <c r="O1789" s="209" t="s">
        <v>2454</v>
      </c>
      <c r="P1789" s="209">
        <v>5121</v>
      </c>
      <c r="Q1789" s="209" t="s">
        <v>174</v>
      </c>
      <c r="R1789" s="209" t="s">
        <v>175</v>
      </c>
      <c r="S1789" s="209" t="s">
        <v>176</v>
      </c>
      <c r="T1789" s="209" t="s">
        <v>177</v>
      </c>
      <c r="U1789" s="209" t="s">
        <v>178</v>
      </c>
      <c r="V1789" s="209" t="s">
        <v>179</v>
      </c>
      <c r="W1789" s="209" t="s">
        <v>179</v>
      </c>
      <c r="X1789" s="209" t="s">
        <v>180</v>
      </c>
      <c r="Y1789" s="209" t="s">
        <v>180</v>
      </c>
      <c r="Z1789" s="209" t="s">
        <v>4026</v>
      </c>
      <c r="AA1789" s="209" t="s">
        <v>4027</v>
      </c>
      <c r="AB1789" s="209" t="s">
        <v>180</v>
      </c>
      <c r="AC1789" s="209" t="s">
        <v>182</v>
      </c>
      <c r="AD1789" s="209">
        <v>1</v>
      </c>
      <c r="AE1789" s="209">
        <v>2026</v>
      </c>
      <c r="AF1789" s="227">
        <v>46034</v>
      </c>
      <c r="AG1789" s="227">
        <v>46035</v>
      </c>
      <c r="AH1789" s="227">
        <v>46035</v>
      </c>
      <c r="AI1789" s="228">
        <v>49248</v>
      </c>
      <c r="AJ1789" s="228">
        <v>6</v>
      </c>
      <c r="AK1789" s="228">
        <v>49248</v>
      </c>
      <c r="AL1789" s="228">
        <v>6</v>
      </c>
      <c r="AM1789" s="228">
        <v>0</v>
      </c>
      <c r="AN1789" s="228">
        <v>0</v>
      </c>
      <c r="AO1789" s="229">
        <v>3</v>
      </c>
      <c r="AP1789" s="231">
        <v>1</v>
      </c>
      <c r="AQ1789" s="231">
        <v>2026</v>
      </c>
      <c r="AR1789" s="231" t="str">
        <f t="shared" si="259"/>
        <v>01/2026</v>
      </c>
      <c r="AS1789" s="231">
        <f t="shared" si="260"/>
        <v>46.6</v>
      </c>
      <c r="AT1789" s="239">
        <f>IF(G1789="CERVECERIA Y MALTERIA",(AS1789*AK1789/1000000)*(1-VLOOKUP(N1789,FCST!D:I,6,FALSE)),0)</f>
        <v>1.8359654400000005</v>
      </c>
      <c r="AU1789" s="232">
        <v>5.0000000000000001E-3</v>
      </c>
      <c r="AV1789" s="239">
        <f t="shared" si="261"/>
        <v>1.8451452672000004</v>
      </c>
      <c r="AW1789" s="239">
        <f>(AS1789*AK1789/1000000)*(VLOOKUP(N1789,FCST!D:I,6,FALSE))</f>
        <v>0.45899136000000013</v>
      </c>
      <c r="AX1789" s="239">
        <f t="shared" si="262"/>
        <v>0.4612863168000001</v>
      </c>
      <c r="AY1789" s="239">
        <f>IF($G1789="CERVECERIA Y MALTERIA.",($AS1789*$AK1789/1000000)*(1-VLOOKUP($N1789,FCST!D:I,6,FALSE)),0)</f>
        <v>0</v>
      </c>
      <c r="AZ1789" s="239">
        <f t="shared" si="263"/>
        <v>0</v>
      </c>
    </row>
    <row r="1790" spans="1:52" x14ac:dyDescent="0.25">
      <c r="A1790" s="209">
        <v>1160951</v>
      </c>
      <c r="B1790" s="209">
        <v>10</v>
      </c>
      <c r="C1790" s="209" t="s">
        <v>4068</v>
      </c>
      <c r="D1790" s="209">
        <v>10</v>
      </c>
      <c r="E1790" s="209">
        <v>10000002</v>
      </c>
      <c r="F1790" s="209">
        <v>20000337</v>
      </c>
      <c r="G1790" s="209" t="s">
        <v>105</v>
      </c>
      <c r="H1790" s="209">
        <v>20000337</v>
      </c>
      <c r="I1790" s="209">
        <v>2</v>
      </c>
      <c r="J1790" s="209" t="s">
        <v>169</v>
      </c>
      <c r="K1790" s="209" t="s">
        <v>4069</v>
      </c>
      <c r="L1790" s="209" t="s">
        <v>265</v>
      </c>
      <c r="M1790" s="209" t="s">
        <v>172</v>
      </c>
      <c r="N1790" s="209">
        <v>50036915</v>
      </c>
      <c r="O1790" s="209" t="s">
        <v>541</v>
      </c>
      <c r="P1790" s="209">
        <v>5121</v>
      </c>
      <c r="Q1790" s="209" t="s">
        <v>174</v>
      </c>
      <c r="R1790" s="209" t="s">
        <v>175</v>
      </c>
      <c r="S1790" s="209" t="s">
        <v>176</v>
      </c>
      <c r="T1790" s="209" t="s">
        <v>177</v>
      </c>
      <c r="U1790" s="209" t="s">
        <v>178</v>
      </c>
      <c r="V1790" s="209" t="s">
        <v>179</v>
      </c>
      <c r="W1790" s="209" t="s">
        <v>179</v>
      </c>
      <c r="X1790" s="209" t="s">
        <v>180</v>
      </c>
      <c r="Y1790" s="209" t="s">
        <v>180</v>
      </c>
      <c r="Z1790" s="209" t="s">
        <v>4026</v>
      </c>
      <c r="AA1790" s="209" t="s">
        <v>4027</v>
      </c>
      <c r="AB1790" s="209" t="s">
        <v>180</v>
      </c>
      <c r="AC1790" s="209" t="s">
        <v>182</v>
      </c>
      <c r="AD1790" s="209">
        <v>1</v>
      </c>
      <c r="AE1790" s="209">
        <v>2026</v>
      </c>
      <c r="AF1790" s="227">
        <v>46034</v>
      </c>
      <c r="AG1790" s="227">
        <v>46035</v>
      </c>
      <c r="AH1790" s="227">
        <v>46035</v>
      </c>
      <c r="AI1790" s="228">
        <v>377568</v>
      </c>
      <c r="AJ1790" s="228">
        <v>46</v>
      </c>
      <c r="AK1790" s="228">
        <v>377568</v>
      </c>
      <c r="AL1790" s="228">
        <v>46</v>
      </c>
      <c r="AM1790" s="228">
        <v>0</v>
      </c>
      <c r="AN1790" s="228">
        <v>0</v>
      </c>
      <c r="AO1790" s="229">
        <v>3</v>
      </c>
      <c r="AP1790" s="231">
        <v>1</v>
      </c>
      <c r="AQ1790" s="231">
        <v>2026</v>
      </c>
      <c r="AR1790" s="231" t="str">
        <f t="shared" si="259"/>
        <v>01/2026</v>
      </c>
      <c r="AS1790" s="231">
        <f t="shared" si="260"/>
        <v>46.6</v>
      </c>
      <c r="AT1790" s="239">
        <f>IF(G1790="CERVECERIA Y MALTERIA",(AS1790*AK1790/1000000)*(1-VLOOKUP(N1790,FCST!D:I,6,FALSE)),0)</f>
        <v>14.075735040000001</v>
      </c>
      <c r="AU1790" s="232">
        <v>5.0000000000000001E-3</v>
      </c>
      <c r="AV1790" s="239">
        <f t="shared" si="261"/>
        <v>14.1461137152</v>
      </c>
      <c r="AW1790" s="239">
        <f>(AS1790*AK1790/1000000)*(VLOOKUP(N1790,FCST!D:I,6,FALSE))</f>
        <v>3.5189337600000004</v>
      </c>
      <c r="AX1790" s="239">
        <f t="shared" si="262"/>
        <v>3.5365284288000001</v>
      </c>
      <c r="AY1790" s="239">
        <f>IF($G1790="CERVECERIA Y MALTERIA.",($AS1790*$AK1790/1000000)*(1-VLOOKUP($N1790,FCST!D:I,6,FALSE)),0)</f>
        <v>0</v>
      </c>
      <c r="AZ1790" s="239">
        <f t="shared" si="263"/>
        <v>0</v>
      </c>
    </row>
    <row r="1791" spans="1:52" x14ac:dyDescent="0.25">
      <c r="A1791" s="209">
        <v>1160637</v>
      </c>
      <c r="B1791" s="209">
        <v>10</v>
      </c>
      <c r="C1791" s="209" t="s">
        <v>4070</v>
      </c>
      <c r="D1791" s="209">
        <v>10</v>
      </c>
      <c r="E1791" s="209">
        <v>10000002</v>
      </c>
      <c r="F1791" s="209">
        <v>20000335</v>
      </c>
      <c r="G1791" s="209" t="s">
        <v>105</v>
      </c>
      <c r="H1791" s="209">
        <v>20000335</v>
      </c>
      <c r="I1791" s="209">
        <v>2</v>
      </c>
      <c r="J1791" s="209" t="s">
        <v>169</v>
      </c>
      <c r="K1791" s="209" t="s">
        <v>4071</v>
      </c>
      <c r="L1791" s="209" t="s">
        <v>265</v>
      </c>
      <c r="M1791" s="209" t="s">
        <v>172</v>
      </c>
      <c r="N1791" s="209">
        <v>50035184</v>
      </c>
      <c r="O1791" s="209" t="s">
        <v>672</v>
      </c>
      <c r="P1791" s="209">
        <v>5121</v>
      </c>
      <c r="Q1791" s="209" t="s">
        <v>174</v>
      </c>
      <c r="R1791" s="209" t="s">
        <v>175</v>
      </c>
      <c r="S1791" s="209" t="s">
        <v>176</v>
      </c>
      <c r="T1791" s="209" t="s">
        <v>177</v>
      </c>
      <c r="U1791" s="209" t="s">
        <v>178</v>
      </c>
      <c r="V1791" s="209" t="s">
        <v>179</v>
      </c>
      <c r="W1791" s="209" t="s">
        <v>179</v>
      </c>
      <c r="X1791" s="209" t="s">
        <v>180</v>
      </c>
      <c r="Y1791" s="209" t="s">
        <v>180</v>
      </c>
      <c r="Z1791" s="209" t="s">
        <v>4036</v>
      </c>
      <c r="AA1791" s="209" t="s">
        <v>4037</v>
      </c>
      <c r="AB1791" s="209" t="s">
        <v>180</v>
      </c>
      <c r="AC1791" s="209" t="s">
        <v>182</v>
      </c>
      <c r="AD1791" s="209">
        <v>1</v>
      </c>
      <c r="AE1791" s="209">
        <v>2026</v>
      </c>
      <c r="AF1791" s="227">
        <v>46031</v>
      </c>
      <c r="AG1791" s="227">
        <v>46034</v>
      </c>
      <c r="AH1791" s="227">
        <v>46034</v>
      </c>
      <c r="AI1791" s="228">
        <v>977184</v>
      </c>
      <c r="AJ1791" s="228">
        <v>52</v>
      </c>
      <c r="AK1791" s="228">
        <v>977184</v>
      </c>
      <c r="AL1791" s="228">
        <v>52</v>
      </c>
      <c r="AM1791" s="228">
        <v>0</v>
      </c>
      <c r="AN1791" s="228">
        <v>0</v>
      </c>
      <c r="AO1791" s="229">
        <v>3</v>
      </c>
      <c r="AP1791" s="231">
        <v>1</v>
      </c>
      <c r="AQ1791" s="231">
        <v>2026</v>
      </c>
      <c r="AR1791" s="231" t="str">
        <f t="shared" si="259"/>
        <v>01/2026</v>
      </c>
      <c r="AS1791" s="231">
        <f t="shared" si="260"/>
        <v>19.5</v>
      </c>
      <c r="AT1791" s="239">
        <f>IF(G1791="CERVECERIA Y MALTERIA",(AS1791*AK1791/1000000)*(1-VLOOKUP(N1791,FCST!D:I,6,FALSE)),0)</f>
        <v>19.055088000000001</v>
      </c>
      <c r="AU1791" s="232">
        <v>5.0000000000000001E-3</v>
      </c>
      <c r="AV1791" s="239">
        <f t="shared" si="261"/>
        <v>19.15036344</v>
      </c>
      <c r="AW1791" s="239">
        <f>(AS1791*AK1791/1000000)*(VLOOKUP(N1791,FCST!D:I,6,FALSE))</f>
        <v>0</v>
      </c>
      <c r="AX1791" s="239">
        <f t="shared" si="262"/>
        <v>0</v>
      </c>
      <c r="AY1791" s="239">
        <f>IF($G1791="CERVECERIA Y MALTERIA.",($AS1791*$AK1791/1000000)*(1-VLOOKUP($N1791,FCST!D:I,6,FALSE)),0)</f>
        <v>0</v>
      </c>
      <c r="AZ1791" s="239">
        <f t="shared" si="263"/>
        <v>0</v>
      </c>
    </row>
    <row r="1792" spans="1:52" x14ac:dyDescent="0.25">
      <c r="A1792" s="209">
        <v>1164381</v>
      </c>
      <c r="B1792" s="209">
        <v>10</v>
      </c>
      <c r="C1792" s="209" t="s">
        <v>4072</v>
      </c>
      <c r="D1792" s="209">
        <v>10</v>
      </c>
      <c r="E1792" s="209">
        <v>10000002</v>
      </c>
      <c r="F1792" s="209">
        <v>20000340</v>
      </c>
      <c r="G1792" s="209" t="s">
        <v>117</v>
      </c>
      <c r="H1792" s="209">
        <v>20000340</v>
      </c>
      <c r="I1792" s="209">
        <v>2</v>
      </c>
      <c r="J1792" s="209" t="s">
        <v>169</v>
      </c>
      <c r="K1792" s="209" t="s">
        <v>4073</v>
      </c>
      <c r="L1792" s="209" t="s">
        <v>265</v>
      </c>
      <c r="M1792" s="209" t="s">
        <v>172</v>
      </c>
      <c r="N1792" s="209">
        <v>50032514</v>
      </c>
      <c r="O1792" s="209" t="s">
        <v>2246</v>
      </c>
      <c r="P1792" s="209">
        <v>5121</v>
      </c>
      <c r="Q1792" s="209" t="s">
        <v>174</v>
      </c>
      <c r="R1792" s="209" t="s">
        <v>175</v>
      </c>
      <c r="S1792" s="209" t="s">
        <v>176</v>
      </c>
      <c r="T1792" s="209" t="s">
        <v>177</v>
      </c>
      <c r="U1792" s="209" t="s">
        <v>178</v>
      </c>
      <c r="V1792" s="209" t="s">
        <v>179</v>
      </c>
      <c r="W1792" s="209" t="s">
        <v>179</v>
      </c>
      <c r="X1792" s="209" t="s">
        <v>180</v>
      </c>
      <c r="Y1792" s="209" t="s">
        <v>180</v>
      </c>
      <c r="Z1792" s="209" t="s">
        <v>3981</v>
      </c>
      <c r="AA1792" s="209" t="s">
        <v>3982</v>
      </c>
      <c r="AB1792" s="209" t="s">
        <v>180</v>
      </c>
      <c r="AC1792" s="209" t="s">
        <v>182</v>
      </c>
      <c r="AD1792" s="209">
        <v>2</v>
      </c>
      <c r="AE1792" s="209">
        <v>2026</v>
      </c>
      <c r="AF1792" s="227">
        <v>46051</v>
      </c>
      <c r="AG1792" s="227">
        <v>46052</v>
      </c>
      <c r="AH1792" s="227">
        <v>46052</v>
      </c>
      <c r="AI1792" s="228">
        <v>419328</v>
      </c>
      <c r="AJ1792" s="228">
        <v>52</v>
      </c>
      <c r="AK1792" s="228">
        <v>419328</v>
      </c>
      <c r="AL1792" s="228">
        <v>52</v>
      </c>
      <c r="AM1792" s="228">
        <v>0</v>
      </c>
      <c r="AN1792" s="228">
        <v>0</v>
      </c>
      <c r="AO1792" s="229">
        <v>6</v>
      </c>
      <c r="AP1792" s="231">
        <v>1</v>
      </c>
      <c r="AQ1792" s="231">
        <v>2026</v>
      </c>
      <c r="AR1792" s="231" t="str">
        <f t="shared" si="259"/>
        <v>01/2026</v>
      </c>
      <c r="AS1792" s="231">
        <f t="shared" si="260"/>
        <v>44.8</v>
      </c>
      <c r="AT1792" s="239">
        <f>IF(G1792="CERVECERIA Y MALTERIA",(AS1792*AK1792/1000000)*(1-VLOOKUP(N1792,FCST!D:I,6,FALSE)),0)</f>
        <v>0</v>
      </c>
      <c r="AU1792" s="232">
        <v>5.0000000000000001E-3</v>
      </c>
      <c r="AV1792" s="239">
        <f t="shared" si="261"/>
        <v>0</v>
      </c>
      <c r="AW1792" s="239">
        <f>(AS1792*AK1792/1000000)*(VLOOKUP(N1792,FCST!D:I,6,FALSE))</f>
        <v>0</v>
      </c>
      <c r="AX1792" s="239">
        <f t="shared" si="262"/>
        <v>0</v>
      </c>
      <c r="AY1792" s="239">
        <f>IF($G1792="CERVECERIA Y MALTERIA.",($AS1792*$AK1792/1000000)*(1-VLOOKUP($N1792,FCST!D:I,6,FALSE)),0)</f>
        <v>18.7858944</v>
      </c>
      <c r="AZ1792" s="239">
        <f t="shared" si="263"/>
        <v>18.879823871999999</v>
      </c>
    </row>
    <row r="1793" spans="1:52" x14ac:dyDescent="0.25">
      <c r="A1793" s="209">
        <v>1158260</v>
      </c>
      <c r="B1793" s="209">
        <v>50</v>
      </c>
      <c r="C1793" s="209" t="s">
        <v>4074</v>
      </c>
      <c r="D1793" s="209">
        <v>10</v>
      </c>
      <c r="E1793" s="209">
        <v>10000002</v>
      </c>
      <c r="F1793" s="209">
        <v>20000335</v>
      </c>
      <c r="G1793" s="209" t="s">
        <v>105</v>
      </c>
      <c r="H1793" s="209">
        <v>20000335</v>
      </c>
      <c r="I1793" s="209">
        <v>2</v>
      </c>
      <c r="J1793" s="209" t="s">
        <v>169</v>
      </c>
      <c r="K1793" s="209" t="s">
        <v>4075</v>
      </c>
      <c r="L1793" s="209" t="s">
        <v>2610</v>
      </c>
      <c r="M1793" s="209" t="s">
        <v>172</v>
      </c>
      <c r="N1793" s="209">
        <v>50037887</v>
      </c>
      <c r="O1793" s="209" t="s">
        <v>679</v>
      </c>
      <c r="P1793" s="209">
        <v>5121</v>
      </c>
      <c r="Q1793" s="209" t="s">
        <v>174</v>
      </c>
      <c r="R1793" s="209" t="s">
        <v>175</v>
      </c>
      <c r="S1793" s="209" t="s">
        <v>176</v>
      </c>
      <c r="T1793" s="209" t="s">
        <v>177</v>
      </c>
      <c r="U1793" s="209" t="s">
        <v>178</v>
      </c>
      <c r="V1793" s="209" t="s">
        <v>179</v>
      </c>
      <c r="W1793" s="209" t="s">
        <v>179</v>
      </c>
      <c r="X1793" s="209" t="s">
        <v>180</v>
      </c>
      <c r="Y1793" s="209" t="s">
        <v>180</v>
      </c>
      <c r="Z1793" s="209" t="s">
        <v>3985</v>
      </c>
      <c r="AA1793" s="209" t="s">
        <v>3986</v>
      </c>
      <c r="AB1793" s="209" t="s">
        <v>180</v>
      </c>
      <c r="AC1793" s="209" t="s">
        <v>182</v>
      </c>
      <c r="AD1793" s="209">
        <v>12</v>
      </c>
      <c r="AE1793" s="209">
        <v>2025</v>
      </c>
      <c r="AF1793" s="227">
        <v>46017</v>
      </c>
      <c r="AG1793" s="227">
        <v>46024</v>
      </c>
      <c r="AH1793" s="227">
        <v>46024</v>
      </c>
      <c r="AI1793" s="228">
        <v>490752</v>
      </c>
      <c r="AJ1793" s="228">
        <v>48</v>
      </c>
      <c r="AK1793" s="228">
        <v>490752</v>
      </c>
      <c r="AL1793" s="228">
        <v>48</v>
      </c>
      <c r="AM1793" s="228">
        <v>0</v>
      </c>
      <c r="AN1793" s="228">
        <v>0</v>
      </c>
      <c r="AO1793" s="229">
        <v>1</v>
      </c>
      <c r="AP1793" s="231">
        <v>1</v>
      </c>
      <c r="AQ1793" s="231">
        <v>2026</v>
      </c>
      <c r="AR1793" s="231" t="str">
        <f t="shared" si="259"/>
        <v>01/2026</v>
      </c>
      <c r="AS1793" s="231">
        <f t="shared" si="260"/>
        <v>37.200000000000003</v>
      </c>
      <c r="AT1793" s="239">
        <f>IF(G1793="CERVECERIA Y MALTERIA",(AS1793*AK1793/1000000)*(1-VLOOKUP(N1793,FCST!D:I,6,FALSE)),0)</f>
        <v>18.255974400000003</v>
      </c>
      <c r="AU1793" s="232">
        <v>5.0000000000000001E-3</v>
      </c>
      <c r="AV1793" s="239">
        <f t="shared" si="261"/>
        <v>18.347254272000001</v>
      </c>
      <c r="AW1793" s="239">
        <f>(AS1793*AK1793/1000000)*(VLOOKUP(N1793,FCST!D:I,6,FALSE))</f>
        <v>0</v>
      </c>
      <c r="AX1793" s="239">
        <f t="shared" si="262"/>
        <v>0</v>
      </c>
      <c r="AY1793" s="239">
        <f>IF($G1793="CERVECERIA Y MALTERIA.",($AS1793*$AK1793/1000000)*(1-VLOOKUP($N1793,FCST!D:I,6,FALSE)),0)</f>
        <v>0</v>
      </c>
      <c r="AZ1793" s="239">
        <f t="shared" si="263"/>
        <v>0</v>
      </c>
    </row>
    <row r="1794" spans="1:52" x14ac:dyDescent="0.25">
      <c r="A1794" s="209">
        <v>1162397</v>
      </c>
      <c r="B1794" s="209">
        <v>20</v>
      </c>
      <c r="C1794" s="209" t="s">
        <v>4076</v>
      </c>
      <c r="D1794" s="209">
        <v>20</v>
      </c>
      <c r="E1794" s="209">
        <v>10000002</v>
      </c>
      <c r="F1794" s="209">
        <v>20000339</v>
      </c>
      <c r="G1794" s="209" t="s">
        <v>105</v>
      </c>
      <c r="H1794" s="209">
        <v>20000339</v>
      </c>
      <c r="I1794" s="209">
        <v>2</v>
      </c>
      <c r="J1794" s="209" t="s">
        <v>169</v>
      </c>
      <c r="K1794" s="209" t="s">
        <v>4077</v>
      </c>
      <c r="L1794" s="209" t="s">
        <v>2610</v>
      </c>
      <c r="M1794" s="209" t="s">
        <v>227</v>
      </c>
      <c r="N1794" s="209">
        <v>50030542</v>
      </c>
      <c r="O1794" s="209" t="s">
        <v>2453</v>
      </c>
      <c r="P1794" s="209">
        <v>5121</v>
      </c>
      <c r="Q1794" s="209" t="s">
        <v>228</v>
      </c>
      <c r="R1794" s="209" t="s">
        <v>229</v>
      </c>
      <c r="S1794" s="209" t="s">
        <v>230</v>
      </c>
      <c r="T1794" s="209" t="s">
        <v>231</v>
      </c>
      <c r="U1794" s="209" t="s">
        <v>232</v>
      </c>
      <c r="V1794" s="209" t="s">
        <v>179</v>
      </c>
      <c r="W1794" s="209" t="s">
        <v>179</v>
      </c>
      <c r="X1794" s="209" t="s">
        <v>180</v>
      </c>
      <c r="Y1794" s="209" t="s">
        <v>180</v>
      </c>
      <c r="Z1794" s="209" t="s">
        <v>4078</v>
      </c>
      <c r="AA1794" s="209" t="s">
        <v>4079</v>
      </c>
      <c r="AB1794" s="209" t="s">
        <v>180</v>
      </c>
      <c r="AC1794" s="209" t="s">
        <v>182</v>
      </c>
      <c r="AD1794" s="209">
        <v>1</v>
      </c>
      <c r="AE1794" s="209">
        <v>2026</v>
      </c>
      <c r="AF1794" s="227">
        <v>46042</v>
      </c>
      <c r="AG1794" s="227">
        <v>46044</v>
      </c>
      <c r="AH1794" s="227">
        <v>46044</v>
      </c>
      <c r="AI1794" s="228">
        <v>156480</v>
      </c>
      <c r="AJ1794" s="228">
        <v>20</v>
      </c>
      <c r="AK1794" s="228">
        <v>156480</v>
      </c>
      <c r="AL1794" s="228">
        <v>20</v>
      </c>
      <c r="AM1794" s="228">
        <v>0</v>
      </c>
      <c r="AN1794" s="228">
        <v>0</v>
      </c>
      <c r="AO1794" s="229">
        <v>4</v>
      </c>
      <c r="AP1794" s="231">
        <v>1</v>
      </c>
      <c r="AQ1794" s="231">
        <v>2026</v>
      </c>
      <c r="AR1794" s="231" t="str">
        <f t="shared" si="259"/>
        <v>01/2026</v>
      </c>
      <c r="AS1794" s="231">
        <f t="shared" si="260"/>
        <v>44</v>
      </c>
      <c r="AT1794" s="239">
        <f>IF(G1794="CERVECERIA Y MALTERIA",(AS1794*AK1794/1000000)*(1-VLOOKUP(N1794,FCST!D:I,6,FALSE)),0)</f>
        <v>6.8851199999999997</v>
      </c>
      <c r="AU1794" s="232">
        <v>5.0000000000000001E-3</v>
      </c>
      <c r="AV1794" s="239">
        <f t="shared" si="261"/>
        <v>6.9195455999999993</v>
      </c>
      <c r="AW1794" s="239">
        <f>(AS1794*AK1794/1000000)*(VLOOKUP(N1794,FCST!D:I,6,FALSE))</f>
        <v>0</v>
      </c>
      <c r="AX1794" s="239">
        <f t="shared" si="262"/>
        <v>0</v>
      </c>
      <c r="AY1794" s="239">
        <f>IF($G1794="CERVECERIA Y MALTERIA.",($AS1794*$AK1794/1000000)*(1-VLOOKUP($N1794,FCST!D:I,6,FALSE)),0)</f>
        <v>0</v>
      </c>
      <c r="AZ1794" s="239">
        <f t="shared" si="263"/>
        <v>0</v>
      </c>
    </row>
    <row r="1795" spans="1:52" x14ac:dyDescent="0.25">
      <c r="A1795" s="209">
        <v>1162098</v>
      </c>
      <c r="B1795" s="209">
        <v>20</v>
      </c>
      <c r="C1795" s="209" t="s">
        <v>4080</v>
      </c>
      <c r="D1795" s="209">
        <v>20</v>
      </c>
      <c r="E1795" s="209">
        <v>10000002</v>
      </c>
      <c r="F1795" s="209">
        <v>20000336</v>
      </c>
      <c r="G1795" s="209" t="s">
        <v>105</v>
      </c>
      <c r="H1795" s="209">
        <v>20000336</v>
      </c>
      <c r="I1795" s="209">
        <v>2</v>
      </c>
      <c r="J1795" s="209" t="s">
        <v>169</v>
      </c>
      <c r="K1795" s="209" t="s">
        <v>4081</v>
      </c>
      <c r="L1795" s="209" t="s">
        <v>2610</v>
      </c>
      <c r="M1795" s="209" t="s">
        <v>199</v>
      </c>
      <c r="N1795" s="209">
        <v>50030381</v>
      </c>
      <c r="O1795" s="209" t="s">
        <v>1791</v>
      </c>
      <c r="P1795" s="209">
        <v>5121</v>
      </c>
      <c r="Q1795" s="209" t="s">
        <v>200</v>
      </c>
      <c r="R1795" s="209" t="s">
        <v>201</v>
      </c>
      <c r="S1795" s="209" t="s">
        <v>202</v>
      </c>
      <c r="T1795" s="209" t="s">
        <v>203</v>
      </c>
      <c r="U1795" s="209" t="s">
        <v>201</v>
      </c>
      <c r="V1795" s="209" t="s">
        <v>179</v>
      </c>
      <c r="W1795" s="209" t="s">
        <v>179</v>
      </c>
      <c r="X1795" s="209" t="s">
        <v>180</v>
      </c>
      <c r="Y1795" s="209" t="s">
        <v>180</v>
      </c>
      <c r="Z1795" s="209" t="s">
        <v>4082</v>
      </c>
      <c r="AA1795" s="209" t="s">
        <v>4083</v>
      </c>
      <c r="AB1795" s="209" t="s">
        <v>180</v>
      </c>
      <c r="AC1795" s="209" t="s">
        <v>182</v>
      </c>
      <c r="AD1795" s="209">
        <v>1</v>
      </c>
      <c r="AE1795" s="209">
        <v>2026</v>
      </c>
      <c r="AF1795" s="227">
        <v>46041</v>
      </c>
      <c r="AG1795" s="227">
        <v>46042</v>
      </c>
      <c r="AH1795" s="227">
        <v>46042</v>
      </c>
      <c r="AI1795" s="228">
        <v>210816</v>
      </c>
      <c r="AJ1795" s="228">
        <v>27</v>
      </c>
      <c r="AK1795" s="228">
        <v>210816</v>
      </c>
      <c r="AL1795" s="228">
        <v>27</v>
      </c>
      <c r="AM1795" s="228">
        <v>0</v>
      </c>
      <c r="AN1795" s="228">
        <v>0</v>
      </c>
      <c r="AO1795" s="229">
        <v>4</v>
      </c>
      <c r="AP1795" s="231">
        <v>1</v>
      </c>
      <c r="AQ1795" s="231">
        <v>2026</v>
      </c>
      <c r="AR1795" s="231" t="str">
        <f t="shared" si="259"/>
        <v>01/2026</v>
      </c>
      <c r="AS1795" s="231">
        <f t="shared" si="260"/>
        <v>46.6</v>
      </c>
      <c r="AT1795" s="239">
        <f>IF(G1795="CERVECERIA Y MALTERIA",(AS1795*AK1795/1000000)*(1-VLOOKUP(N1795,FCST!D:I,6,FALSE)),0)</f>
        <v>9.8240255999999988</v>
      </c>
      <c r="AU1795" s="232">
        <v>5.0000000000000001E-3</v>
      </c>
      <c r="AV1795" s="239">
        <f t="shared" si="261"/>
        <v>9.8731457279999972</v>
      </c>
      <c r="AW1795" s="239">
        <f>(AS1795*AK1795/1000000)*(VLOOKUP(N1795,FCST!D:I,6,FALSE))</f>
        <v>0</v>
      </c>
      <c r="AX1795" s="239">
        <f t="shared" si="262"/>
        <v>0</v>
      </c>
      <c r="AY1795" s="239">
        <f>IF($G1795="CERVECERIA Y MALTERIA.",($AS1795*$AK1795/1000000)*(1-VLOOKUP($N1795,FCST!D:I,6,FALSE)),0)</f>
        <v>0</v>
      </c>
      <c r="AZ1795" s="239">
        <f t="shared" si="263"/>
        <v>0</v>
      </c>
    </row>
    <row r="1796" spans="1:52" x14ac:dyDescent="0.25">
      <c r="A1796" s="209">
        <v>1160951</v>
      </c>
      <c r="B1796" s="209">
        <v>40</v>
      </c>
      <c r="C1796" s="209" t="s">
        <v>4084</v>
      </c>
      <c r="D1796" s="209">
        <v>20</v>
      </c>
      <c r="E1796" s="209">
        <v>10000002</v>
      </c>
      <c r="F1796" s="209">
        <v>20000337</v>
      </c>
      <c r="G1796" s="209" t="s">
        <v>105</v>
      </c>
      <c r="H1796" s="209">
        <v>20000337</v>
      </c>
      <c r="I1796" s="209">
        <v>2</v>
      </c>
      <c r="J1796" s="209" t="s">
        <v>169</v>
      </c>
      <c r="K1796" s="209" t="s">
        <v>4085</v>
      </c>
      <c r="L1796" s="209" t="s">
        <v>265</v>
      </c>
      <c r="M1796" s="209" t="s">
        <v>4086</v>
      </c>
      <c r="N1796" s="209">
        <v>50030381</v>
      </c>
      <c r="O1796" s="209" t="s">
        <v>1791</v>
      </c>
      <c r="P1796" s="209">
        <v>5121</v>
      </c>
      <c r="Q1796" s="209" t="s">
        <v>200</v>
      </c>
      <c r="R1796" s="209" t="s">
        <v>201</v>
      </c>
      <c r="S1796" s="209" t="s">
        <v>202</v>
      </c>
      <c r="T1796" s="209" t="s">
        <v>203</v>
      </c>
      <c r="U1796" s="209" t="s">
        <v>201</v>
      </c>
      <c r="V1796" s="209" t="s">
        <v>179</v>
      </c>
      <c r="W1796" s="209" t="s">
        <v>179</v>
      </c>
      <c r="X1796" s="209" t="s">
        <v>180</v>
      </c>
      <c r="Y1796" s="209" t="s">
        <v>180</v>
      </c>
      <c r="Z1796" s="209" t="s">
        <v>4087</v>
      </c>
      <c r="AA1796" s="209" t="s">
        <v>4088</v>
      </c>
      <c r="AB1796" s="209" t="s">
        <v>180</v>
      </c>
      <c r="AC1796" s="209" t="s">
        <v>182</v>
      </c>
      <c r="AD1796" s="209">
        <v>1</v>
      </c>
      <c r="AE1796" s="209">
        <v>2026</v>
      </c>
      <c r="AF1796" s="227">
        <v>46034</v>
      </c>
      <c r="AG1796" s="227">
        <v>46036</v>
      </c>
      <c r="AH1796" s="227">
        <v>46036</v>
      </c>
      <c r="AI1796" s="228">
        <v>54656</v>
      </c>
      <c r="AJ1796" s="228">
        <v>7</v>
      </c>
      <c r="AK1796" s="228">
        <v>54656</v>
      </c>
      <c r="AL1796" s="228">
        <v>7</v>
      </c>
      <c r="AM1796" s="228">
        <v>0</v>
      </c>
      <c r="AN1796" s="228">
        <v>0</v>
      </c>
      <c r="AO1796" s="229">
        <v>3</v>
      </c>
      <c r="AP1796" s="231">
        <v>1</v>
      </c>
      <c r="AQ1796" s="231">
        <v>2026</v>
      </c>
      <c r="AR1796" s="231" t="str">
        <f t="shared" si="259"/>
        <v>01/2026</v>
      </c>
      <c r="AS1796" s="231">
        <f t="shared" si="260"/>
        <v>46.6</v>
      </c>
      <c r="AT1796" s="239">
        <f>IF(G1796="CERVECERIA Y MALTERIA",(AS1796*AK1796/1000000)*(1-VLOOKUP(N1796,FCST!D:I,6,FALSE)),0)</f>
        <v>2.5469696000000002</v>
      </c>
      <c r="AU1796" s="232">
        <v>5.0000000000000001E-3</v>
      </c>
      <c r="AV1796" s="239">
        <f t="shared" si="261"/>
        <v>2.5597044479999997</v>
      </c>
      <c r="AW1796" s="239">
        <f>(AS1796*AK1796/1000000)*(VLOOKUP(N1796,FCST!D:I,6,FALSE))</f>
        <v>0</v>
      </c>
      <c r="AX1796" s="239">
        <f t="shared" si="262"/>
        <v>0</v>
      </c>
      <c r="AY1796" s="239">
        <f>IF($G1796="CERVECERIA Y MALTERIA.",($AS1796*$AK1796/1000000)*(1-VLOOKUP($N1796,FCST!D:I,6,FALSE)),0)</f>
        <v>0</v>
      </c>
      <c r="AZ1796" s="239">
        <f t="shared" si="263"/>
        <v>0</v>
      </c>
    </row>
    <row r="1797" spans="1:52" x14ac:dyDescent="0.25">
      <c r="A1797" s="209">
        <v>1158260</v>
      </c>
      <c r="B1797" s="209">
        <v>60</v>
      </c>
      <c r="C1797" s="209" t="s">
        <v>4089</v>
      </c>
      <c r="D1797" s="209">
        <v>10</v>
      </c>
      <c r="E1797" s="209">
        <v>10000002</v>
      </c>
      <c r="F1797" s="209">
        <v>20000335</v>
      </c>
      <c r="G1797" s="209" t="s">
        <v>105</v>
      </c>
      <c r="H1797" s="209">
        <v>20000335</v>
      </c>
      <c r="I1797" s="209">
        <v>2</v>
      </c>
      <c r="J1797" s="209" t="s">
        <v>169</v>
      </c>
      <c r="K1797" s="209" t="s">
        <v>4090</v>
      </c>
      <c r="L1797" s="209" t="s">
        <v>2610</v>
      </c>
      <c r="M1797" s="209" t="s">
        <v>4086</v>
      </c>
      <c r="N1797" s="209">
        <v>50024497</v>
      </c>
      <c r="O1797" s="209" t="s">
        <v>1352</v>
      </c>
      <c r="P1797" s="209">
        <v>5121</v>
      </c>
      <c r="Q1797" s="209" t="s">
        <v>200</v>
      </c>
      <c r="R1797" s="209" t="s">
        <v>201</v>
      </c>
      <c r="S1797" s="209" t="s">
        <v>202</v>
      </c>
      <c r="T1797" s="209" t="s">
        <v>203</v>
      </c>
      <c r="U1797" s="209" t="s">
        <v>201</v>
      </c>
      <c r="V1797" s="209" t="s">
        <v>179</v>
      </c>
      <c r="W1797" s="209" t="s">
        <v>179</v>
      </c>
      <c r="X1797" s="209" t="s">
        <v>180</v>
      </c>
      <c r="Y1797" s="209" t="s">
        <v>180</v>
      </c>
      <c r="Z1797" s="209" t="s">
        <v>4091</v>
      </c>
      <c r="AA1797" s="209" t="s">
        <v>4092</v>
      </c>
      <c r="AB1797" s="209" t="s">
        <v>180</v>
      </c>
      <c r="AC1797" s="209" t="s">
        <v>182</v>
      </c>
      <c r="AD1797" s="209">
        <v>12</v>
      </c>
      <c r="AE1797" s="209">
        <v>2025</v>
      </c>
      <c r="AF1797" s="227">
        <v>46017</v>
      </c>
      <c r="AG1797" s="227">
        <v>46024</v>
      </c>
      <c r="AH1797" s="227">
        <v>46024</v>
      </c>
      <c r="AI1797" s="228">
        <v>351936</v>
      </c>
      <c r="AJ1797" s="228">
        <v>52</v>
      </c>
      <c r="AK1797" s="228">
        <v>351936</v>
      </c>
      <c r="AL1797" s="228">
        <v>52</v>
      </c>
      <c r="AM1797" s="228">
        <v>0</v>
      </c>
      <c r="AN1797" s="228">
        <v>0</v>
      </c>
      <c r="AO1797" s="229">
        <v>1</v>
      </c>
      <c r="AP1797" s="231">
        <v>1</v>
      </c>
      <c r="AQ1797" s="231">
        <v>2026</v>
      </c>
      <c r="AR1797" s="231" t="str">
        <f t="shared" si="259"/>
        <v>01/2026</v>
      </c>
      <c r="AS1797" s="231">
        <f t="shared" si="260"/>
        <v>54.7</v>
      </c>
      <c r="AT1797" s="239">
        <f>IF(G1797="CERVECERIA Y MALTERIA",(AS1797*AK1797/1000000)*(1-VLOOKUP(N1797,FCST!D:I,6,FALSE)),0)</f>
        <v>19.250899199999999</v>
      </c>
      <c r="AU1797" s="232">
        <v>5.0000000000000001E-3</v>
      </c>
      <c r="AV1797" s="239">
        <f t="shared" si="261"/>
        <v>19.347153695999996</v>
      </c>
      <c r="AW1797" s="239">
        <f>(AS1797*AK1797/1000000)*(VLOOKUP(N1797,FCST!D:I,6,FALSE))</f>
        <v>0</v>
      </c>
      <c r="AX1797" s="239">
        <f t="shared" si="262"/>
        <v>0</v>
      </c>
      <c r="AY1797" s="239">
        <f>IF($G1797="CERVECERIA Y MALTERIA.",($AS1797*$AK1797/1000000)*(1-VLOOKUP($N1797,FCST!D:I,6,FALSE)),0)</f>
        <v>0</v>
      </c>
      <c r="AZ1797" s="239">
        <f t="shared" si="263"/>
        <v>0</v>
      </c>
    </row>
    <row r="1798" spans="1:52" x14ac:dyDescent="0.25">
      <c r="A1798" s="209">
        <v>1162397</v>
      </c>
      <c r="B1798" s="209">
        <v>10</v>
      </c>
      <c r="C1798" s="209" t="s">
        <v>4076</v>
      </c>
      <c r="D1798" s="209">
        <v>10</v>
      </c>
      <c r="E1798" s="209">
        <v>10000002</v>
      </c>
      <c r="F1798" s="209">
        <v>20000339</v>
      </c>
      <c r="G1798" s="209" t="s">
        <v>105</v>
      </c>
      <c r="H1798" s="209">
        <v>20000339</v>
      </c>
      <c r="I1798" s="209">
        <v>2</v>
      </c>
      <c r="J1798" s="209" t="s">
        <v>169</v>
      </c>
      <c r="K1798" s="209" t="s">
        <v>4077</v>
      </c>
      <c r="L1798" s="209" t="s">
        <v>2610</v>
      </c>
      <c r="M1798" s="209" t="s">
        <v>227</v>
      </c>
      <c r="N1798" s="209">
        <v>50036287</v>
      </c>
      <c r="O1798" s="209" t="s">
        <v>2191</v>
      </c>
      <c r="P1798" s="209">
        <v>5121</v>
      </c>
      <c r="Q1798" s="209" t="s">
        <v>228</v>
      </c>
      <c r="R1798" s="209" t="s">
        <v>229</v>
      </c>
      <c r="S1798" s="209" t="s">
        <v>230</v>
      </c>
      <c r="T1798" s="209" t="s">
        <v>231</v>
      </c>
      <c r="U1798" s="209" t="s">
        <v>232</v>
      </c>
      <c r="V1798" s="209" t="s">
        <v>179</v>
      </c>
      <c r="W1798" s="209" t="s">
        <v>179</v>
      </c>
      <c r="X1798" s="209" t="s">
        <v>180</v>
      </c>
      <c r="Y1798" s="209" t="s">
        <v>180</v>
      </c>
      <c r="Z1798" s="209" t="s">
        <v>4078</v>
      </c>
      <c r="AA1798" s="209" t="s">
        <v>4079</v>
      </c>
      <c r="AB1798" s="209" t="s">
        <v>180</v>
      </c>
      <c r="AC1798" s="209" t="s">
        <v>182</v>
      </c>
      <c r="AD1798" s="209">
        <v>1</v>
      </c>
      <c r="AE1798" s="209">
        <v>2026</v>
      </c>
      <c r="AF1798" s="227">
        <v>46042</v>
      </c>
      <c r="AG1798" s="227">
        <v>46044</v>
      </c>
      <c r="AH1798" s="227">
        <v>46044</v>
      </c>
      <c r="AI1798" s="228">
        <v>223488</v>
      </c>
      <c r="AJ1798" s="228">
        <v>32</v>
      </c>
      <c r="AK1798" s="228">
        <v>223488</v>
      </c>
      <c r="AL1798" s="228">
        <v>32</v>
      </c>
      <c r="AM1798" s="228">
        <v>0</v>
      </c>
      <c r="AN1798" s="228">
        <v>0</v>
      </c>
      <c r="AO1798" s="229">
        <v>4</v>
      </c>
      <c r="AP1798" s="231">
        <v>1</v>
      </c>
      <c r="AQ1798" s="231">
        <v>2026</v>
      </c>
      <c r="AR1798" s="231" t="str">
        <f t="shared" si="259"/>
        <v>01/2026</v>
      </c>
      <c r="AS1798" s="231">
        <f t="shared" si="260"/>
        <v>52</v>
      </c>
      <c r="AT1798" s="239">
        <f>IF(G1798="CERVECERIA Y MALTERIA",(AS1798*AK1798/1000000)*(1-VLOOKUP(N1798,FCST!D:I,6,FALSE)),0)</f>
        <v>11.621376</v>
      </c>
      <c r="AU1798" s="232">
        <v>5.0000000000000001E-3</v>
      </c>
      <c r="AV1798" s="239">
        <f t="shared" si="261"/>
        <v>11.679482879999998</v>
      </c>
      <c r="AW1798" s="239">
        <f>(AS1798*AK1798/1000000)*(VLOOKUP(N1798,FCST!D:I,6,FALSE))</f>
        <v>0</v>
      </c>
      <c r="AX1798" s="239">
        <f t="shared" si="262"/>
        <v>0</v>
      </c>
      <c r="AY1798" s="239">
        <f>IF($G1798="CERVECERIA Y MALTERIA.",($AS1798*$AK1798/1000000)*(1-VLOOKUP($N1798,FCST!D:I,6,FALSE)),0)</f>
        <v>0</v>
      </c>
      <c r="AZ1798" s="239">
        <f t="shared" si="263"/>
        <v>0</v>
      </c>
    </row>
    <row r="1799" spans="1:52" x14ac:dyDescent="0.25">
      <c r="A1799" s="209">
        <v>1161268</v>
      </c>
      <c r="B1799" s="209">
        <v>90</v>
      </c>
      <c r="C1799" s="209" t="s">
        <v>4093</v>
      </c>
      <c r="D1799" s="209">
        <v>10</v>
      </c>
      <c r="E1799" s="209">
        <v>10000002</v>
      </c>
      <c r="F1799" s="209">
        <v>20000335</v>
      </c>
      <c r="G1799" s="209" t="s">
        <v>105</v>
      </c>
      <c r="H1799" s="209">
        <v>20000335</v>
      </c>
      <c r="I1799" s="209">
        <v>2</v>
      </c>
      <c r="J1799" s="209" t="s">
        <v>169</v>
      </c>
      <c r="K1799" s="209" t="s">
        <v>4094</v>
      </c>
      <c r="L1799" s="209" t="s">
        <v>265</v>
      </c>
      <c r="M1799" s="209" t="s">
        <v>199</v>
      </c>
      <c r="N1799" s="209">
        <v>50037887</v>
      </c>
      <c r="O1799" s="209" t="s">
        <v>679</v>
      </c>
      <c r="P1799" s="209">
        <v>5121</v>
      </c>
      <c r="Q1799" s="209" t="s">
        <v>200</v>
      </c>
      <c r="R1799" s="209" t="s">
        <v>201</v>
      </c>
      <c r="S1799" s="209" t="s">
        <v>202</v>
      </c>
      <c r="T1799" s="209" t="s">
        <v>203</v>
      </c>
      <c r="U1799" s="209" t="s">
        <v>201</v>
      </c>
      <c r="V1799" s="209" t="s">
        <v>179</v>
      </c>
      <c r="W1799" s="209" t="s">
        <v>179</v>
      </c>
      <c r="X1799" s="209" t="s">
        <v>180</v>
      </c>
      <c r="Y1799" s="209" t="s">
        <v>180</v>
      </c>
      <c r="Z1799" s="209" t="s">
        <v>4095</v>
      </c>
      <c r="AA1799" s="209" t="s">
        <v>4096</v>
      </c>
      <c r="AB1799" s="209" t="s">
        <v>180</v>
      </c>
      <c r="AC1799" s="209" t="s">
        <v>182</v>
      </c>
      <c r="AD1799" s="209">
        <v>1</v>
      </c>
      <c r="AE1799" s="209">
        <v>2026</v>
      </c>
      <c r="AF1799" s="227">
        <v>46035</v>
      </c>
      <c r="AG1799" s="227">
        <v>46044</v>
      </c>
      <c r="AH1799" s="227">
        <v>46044</v>
      </c>
      <c r="AI1799" s="228">
        <v>531648</v>
      </c>
      <c r="AJ1799" s="228">
        <v>52</v>
      </c>
      <c r="AK1799" s="228">
        <v>531648</v>
      </c>
      <c r="AL1799" s="228">
        <v>52</v>
      </c>
      <c r="AM1799" s="228">
        <v>0</v>
      </c>
      <c r="AN1799" s="228">
        <v>0</v>
      </c>
      <c r="AO1799" s="229">
        <v>4</v>
      </c>
      <c r="AP1799" s="231">
        <v>1</v>
      </c>
      <c r="AQ1799" s="231">
        <v>2026</v>
      </c>
      <c r="AR1799" s="231" t="str">
        <f t="shared" si="259"/>
        <v>01/2026</v>
      </c>
      <c r="AS1799" s="231">
        <f t="shared" si="260"/>
        <v>37.200000000000003</v>
      </c>
      <c r="AT1799" s="239">
        <f>IF(G1799="CERVECERIA Y MALTERIA",(AS1799*AK1799/1000000)*(1-VLOOKUP(N1799,FCST!D:I,6,FALSE)),0)</f>
        <v>19.777305600000002</v>
      </c>
      <c r="AU1799" s="232">
        <v>5.0000000000000001E-3</v>
      </c>
      <c r="AV1799" s="239">
        <f t="shared" si="261"/>
        <v>19.876192128</v>
      </c>
      <c r="AW1799" s="239">
        <f>(AS1799*AK1799/1000000)*(VLOOKUP(N1799,FCST!D:I,6,FALSE))</f>
        <v>0</v>
      </c>
      <c r="AX1799" s="239">
        <f t="shared" si="262"/>
        <v>0</v>
      </c>
      <c r="AY1799" s="239">
        <f>IF($G1799="CERVECERIA Y MALTERIA.",($AS1799*$AK1799/1000000)*(1-VLOOKUP($N1799,FCST!D:I,6,FALSE)),0)</f>
        <v>0</v>
      </c>
      <c r="AZ1799" s="239">
        <f t="shared" si="263"/>
        <v>0</v>
      </c>
    </row>
    <row r="1800" spans="1:52" x14ac:dyDescent="0.25">
      <c r="A1800" s="209">
        <v>1161268</v>
      </c>
      <c r="B1800" s="209">
        <v>100</v>
      </c>
      <c r="C1800" s="209" t="s">
        <v>4097</v>
      </c>
      <c r="D1800" s="209">
        <v>10</v>
      </c>
      <c r="E1800" s="209">
        <v>10000002</v>
      </c>
      <c r="F1800" s="209">
        <v>20000335</v>
      </c>
      <c r="G1800" s="209" t="s">
        <v>105</v>
      </c>
      <c r="H1800" s="209">
        <v>20000335</v>
      </c>
      <c r="I1800" s="209">
        <v>2</v>
      </c>
      <c r="J1800" s="209" t="s">
        <v>169</v>
      </c>
      <c r="K1800" s="209" t="s">
        <v>4098</v>
      </c>
      <c r="L1800" s="209" t="s">
        <v>265</v>
      </c>
      <c r="M1800" s="209" t="s">
        <v>199</v>
      </c>
      <c r="N1800" s="209">
        <v>50021818</v>
      </c>
      <c r="O1800" s="209" t="s">
        <v>2170</v>
      </c>
      <c r="P1800" s="209">
        <v>5121</v>
      </c>
      <c r="Q1800" s="209" t="s">
        <v>200</v>
      </c>
      <c r="R1800" s="209" t="s">
        <v>201</v>
      </c>
      <c r="S1800" s="209" t="s">
        <v>202</v>
      </c>
      <c r="T1800" s="209" t="s">
        <v>203</v>
      </c>
      <c r="U1800" s="209" t="s">
        <v>201</v>
      </c>
      <c r="V1800" s="209" t="s">
        <v>179</v>
      </c>
      <c r="W1800" s="209" t="s">
        <v>179</v>
      </c>
      <c r="X1800" s="209" t="s">
        <v>180</v>
      </c>
      <c r="Y1800" s="209" t="s">
        <v>180</v>
      </c>
      <c r="Z1800" s="209" t="s">
        <v>4099</v>
      </c>
      <c r="AA1800" s="209" t="s">
        <v>4100</v>
      </c>
      <c r="AB1800" s="209" t="s">
        <v>180</v>
      </c>
      <c r="AC1800" s="209" t="s">
        <v>182</v>
      </c>
      <c r="AD1800" s="209">
        <v>1</v>
      </c>
      <c r="AE1800" s="209">
        <v>2026</v>
      </c>
      <c r="AF1800" s="227">
        <v>46035</v>
      </c>
      <c r="AG1800" s="227">
        <v>46044</v>
      </c>
      <c r="AH1800" s="227">
        <v>46044</v>
      </c>
      <c r="AI1800" s="228">
        <v>426816</v>
      </c>
      <c r="AJ1800" s="228">
        <v>52</v>
      </c>
      <c r="AK1800" s="228">
        <v>426816</v>
      </c>
      <c r="AL1800" s="228">
        <v>52</v>
      </c>
      <c r="AM1800" s="228">
        <v>0</v>
      </c>
      <c r="AN1800" s="228">
        <v>0</v>
      </c>
      <c r="AO1800" s="229">
        <v>4</v>
      </c>
      <c r="AP1800" s="231">
        <v>1</v>
      </c>
      <c r="AQ1800" s="231">
        <v>2026</v>
      </c>
      <c r="AR1800" s="231" t="str">
        <f t="shared" si="259"/>
        <v>01/2026</v>
      </c>
      <c r="AS1800" s="231">
        <f t="shared" si="260"/>
        <v>46.6</v>
      </c>
      <c r="AT1800" s="239">
        <f>IF(G1800="CERVECERIA Y MALTERIA",(AS1800*AK1800/1000000)*(1-VLOOKUP(N1800,FCST!D:I,6,FALSE)),0)</f>
        <v>19.889625600000002</v>
      </c>
      <c r="AU1800" s="232">
        <v>5.0000000000000001E-3</v>
      </c>
      <c r="AV1800" s="239">
        <f t="shared" si="261"/>
        <v>19.989073728000001</v>
      </c>
      <c r="AW1800" s="239">
        <f>(AS1800*AK1800/1000000)*(VLOOKUP(N1800,FCST!D:I,6,FALSE))</f>
        <v>0</v>
      </c>
      <c r="AX1800" s="239">
        <f t="shared" si="262"/>
        <v>0</v>
      </c>
      <c r="AY1800" s="239">
        <f>IF($G1800="CERVECERIA Y MALTERIA.",($AS1800*$AK1800/1000000)*(1-VLOOKUP($N1800,FCST!D:I,6,FALSE)),0)</f>
        <v>0</v>
      </c>
      <c r="AZ1800" s="239">
        <f t="shared" si="263"/>
        <v>0</v>
      </c>
    </row>
    <row r="1801" spans="1:52" x14ac:dyDescent="0.25">
      <c r="A1801" s="209">
        <v>1161268</v>
      </c>
      <c r="B1801" s="209">
        <v>70</v>
      </c>
      <c r="C1801" s="209" t="s">
        <v>4101</v>
      </c>
      <c r="D1801" s="209">
        <v>10</v>
      </c>
      <c r="E1801" s="209">
        <v>10000002</v>
      </c>
      <c r="F1801" s="209">
        <v>20000335</v>
      </c>
      <c r="G1801" s="209" t="s">
        <v>105</v>
      </c>
      <c r="H1801" s="209">
        <v>20000335</v>
      </c>
      <c r="I1801" s="209">
        <v>2</v>
      </c>
      <c r="J1801" s="209" t="s">
        <v>169</v>
      </c>
      <c r="K1801" s="209" t="s">
        <v>4102</v>
      </c>
      <c r="L1801" s="209" t="s">
        <v>265</v>
      </c>
      <c r="M1801" s="209" t="s">
        <v>199</v>
      </c>
      <c r="N1801" s="209">
        <v>50037887</v>
      </c>
      <c r="O1801" s="209" t="s">
        <v>679</v>
      </c>
      <c r="P1801" s="209">
        <v>5121</v>
      </c>
      <c r="Q1801" s="209" t="s">
        <v>200</v>
      </c>
      <c r="R1801" s="209" t="s">
        <v>201</v>
      </c>
      <c r="S1801" s="209" t="s">
        <v>202</v>
      </c>
      <c r="T1801" s="209" t="s">
        <v>203</v>
      </c>
      <c r="U1801" s="209" t="s">
        <v>201</v>
      </c>
      <c r="V1801" s="209" t="s">
        <v>179</v>
      </c>
      <c r="W1801" s="209" t="s">
        <v>179</v>
      </c>
      <c r="X1801" s="209" t="s">
        <v>180</v>
      </c>
      <c r="Y1801" s="209" t="s">
        <v>180</v>
      </c>
      <c r="Z1801" s="209" t="s">
        <v>4095</v>
      </c>
      <c r="AA1801" s="209" t="s">
        <v>4096</v>
      </c>
      <c r="AB1801" s="209" t="s">
        <v>180</v>
      </c>
      <c r="AC1801" s="209" t="s">
        <v>182</v>
      </c>
      <c r="AD1801" s="209">
        <v>1</v>
      </c>
      <c r="AE1801" s="209">
        <v>2026</v>
      </c>
      <c r="AF1801" s="227">
        <v>46035</v>
      </c>
      <c r="AG1801" s="227">
        <v>46043</v>
      </c>
      <c r="AH1801" s="227">
        <v>46043</v>
      </c>
      <c r="AI1801" s="228">
        <v>531648</v>
      </c>
      <c r="AJ1801" s="228">
        <v>52</v>
      </c>
      <c r="AK1801" s="228">
        <v>531648</v>
      </c>
      <c r="AL1801" s="228">
        <v>52</v>
      </c>
      <c r="AM1801" s="228">
        <v>0</v>
      </c>
      <c r="AN1801" s="228">
        <v>0</v>
      </c>
      <c r="AO1801" s="229">
        <v>4</v>
      </c>
      <c r="AP1801" s="231">
        <v>1</v>
      </c>
      <c r="AQ1801" s="231">
        <v>2026</v>
      </c>
      <c r="AR1801" s="231" t="str">
        <f t="shared" si="259"/>
        <v>01/2026</v>
      </c>
      <c r="AS1801" s="231">
        <f t="shared" si="260"/>
        <v>37.200000000000003</v>
      </c>
      <c r="AT1801" s="239">
        <f>IF(G1801="CERVECERIA Y MALTERIA",(AS1801*AK1801/1000000)*(1-VLOOKUP(N1801,FCST!D:I,6,FALSE)),0)</f>
        <v>19.777305600000002</v>
      </c>
      <c r="AU1801" s="232">
        <v>5.0000000000000001E-3</v>
      </c>
      <c r="AV1801" s="239">
        <f t="shared" si="261"/>
        <v>19.876192128</v>
      </c>
      <c r="AW1801" s="239">
        <f>(AS1801*AK1801/1000000)*(VLOOKUP(N1801,FCST!D:I,6,FALSE))</f>
        <v>0</v>
      </c>
      <c r="AX1801" s="239">
        <f t="shared" si="262"/>
        <v>0</v>
      </c>
      <c r="AY1801" s="239">
        <f>IF($G1801="CERVECERIA Y MALTERIA.",($AS1801*$AK1801/1000000)*(1-VLOOKUP($N1801,FCST!D:I,6,FALSE)),0)</f>
        <v>0</v>
      </c>
      <c r="AZ1801" s="239">
        <f t="shared" si="263"/>
        <v>0</v>
      </c>
    </row>
    <row r="1802" spans="1:52" x14ac:dyDescent="0.25">
      <c r="A1802" s="209">
        <v>1161268</v>
      </c>
      <c r="B1802" s="209">
        <v>110</v>
      </c>
      <c r="C1802" s="209" t="s">
        <v>4103</v>
      </c>
      <c r="D1802" s="209">
        <v>10</v>
      </c>
      <c r="E1802" s="209">
        <v>10000002</v>
      </c>
      <c r="F1802" s="209">
        <v>20000335</v>
      </c>
      <c r="G1802" s="209" t="s">
        <v>105</v>
      </c>
      <c r="H1802" s="209">
        <v>20000335</v>
      </c>
      <c r="I1802" s="209">
        <v>2</v>
      </c>
      <c r="J1802" s="209" t="s">
        <v>169</v>
      </c>
      <c r="K1802" s="209" t="s">
        <v>4104</v>
      </c>
      <c r="L1802" s="209" t="s">
        <v>265</v>
      </c>
      <c r="M1802" s="209" t="s">
        <v>199</v>
      </c>
      <c r="N1802" s="209">
        <v>50035184</v>
      </c>
      <c r="O1802" s="209" t="s">
        <v>672</v>
      </c>
      <c r="P1802" s="209">
        <v>5121</v>
      </c>
      <c r="Q1802" s="209" t="s">
        <v>200</v>
      </c>
      <c r="R1802" s="209" t="s">
        <v>201</v>
      </c>
      <c r="S1802" s="209" t="s">
        <v>202</v>
      </c>
      <c r="T1802" s="209" t="s">
        <v>203</v>
      </c>
      <c r="U1802" s="209" t="s">
        <v>201</v>
      </c>
      <c r="V1802" s="209" t="s">
        <v>179</v>
      </c>
      <c r="W1802" s="209" t="s">
        <v>179</v>
      </c>
      <c r="X1802" s="209" t="s">
        <v>180</v>
      </c>
      <c r="Y1802" s="209" t="s">
        <v>180</v>
      </c>
      <c r="Z1802" s="209" t="s">
        <v>4105</v>
      </c>
      <c r="AA1802" s="209" t="s">
        <v>4106</v>
      </c>
      <c r="AB1802" s="209" t="s">
        <v>180</v>
      </c>
      <c r="AC1802" s="209" t="s">
        <v>182</v>
      </c>
      <c r="AD1802" s="209">
        <v>1</v>
      </c>
      <c r="AE1802" s="209">
        <v>2026</v>
      </c>
      <c r="AF1802" s="227">
        <v>46035</v>
      </c>
      <c r="AG1802" s="227">
        <v>46045</v>
      </c>
      <c r="AH1802" s="227">
        <v>46045</v>
      </c>
      <c r="AI1802" s="228">
        <v>977184</v>
      </c>
      <c r="AJ1802" s="228">
        <v>52</v>
      </c>
      <c r="AK1802" s="228">
        <v>977184</v>
      </c>
      <c r="AL1802" s="228">
        <v>52</v>
      </c>
      <c r="AM1802" s="228">
        <v>0</v>
      </c>
      <c r="AN1802" s="228">
        <v>0</v>
      </c>
      <c r="AO1802" s="229">
        <v>4</v>
      </c>
      <c r="AP1802" s="231">
        <v>1</v>
      </c>
      <c r="AQ1802" s="231">
        <v>2026</v>
      </c>
      <c r="AR1802" s="231" t="str">
        <f t="shared" si="259"/>
        <v>01/2026</v>
      </c>
      <c r="AS1802" s="231">
        <f t="shared" si="260"/>
        <v>19.5</v>
      </c>
      <c r="AT1802" s="239">
        <f>IF(G1802="CERVECERIA Y MALTERIA",(AS1802*AK1802/1000000)*(1-VLOOKUP(N1802,FCST!D:I,6,FALSE)),0)</f>
        <v>19.055088000000001</v>
      </c>
      <c r="AU1802" s="232">
        <v>5.0000000000000001E-3</v>
      </c>
      <c r="AV1802" s="239">
        <f t="shared" si="261"/>
        <v>19.15036344</v>
      </c>
      <c r="AW1802" s="239">
        <f>(AS1802*AK1802/1000000)*(VLOOKUP(N1802,FCST!D:I,6,FALSE))</f>
        <v>0</v>
      </c>
      <c r="AX1802" s="239">
        <f t="shared" si="262"/>
        <v>0</v>
      </c>
      <c r="AY1802" s="239">
        <f>IF($G1802="CERVECERIA Y MALTERIA.",($AS1802*$AK1802/1000000)*(1-VLOOKUP($N1802,FCST!D:I,6,FALSE)),0)</f>
        <v>0</v>
      </c>
      <c r="AZ1802" s="239">
        <f t="shared" si="263"/>
        <v>0</v>
      </c>
    </row>
    <row r="1803" spans="1:52" x14ac:dyDescent="0.25">
      <c r="A1803" s="209">
        <v>1161268</v>
      </c>
      <c r="B1803" s="209">
        <v>120</v>
      </c>
      <c r="C1803" s="209" t="s">
        <v>4107</v>
      </c>
      <c r="D1803" s="209">
        <v>10</v>
      </c>
      <c r="E1803" s="209">
        <v>10000002</v>
      </c>
      <c r="F1803" s="209">
        <v>20000335</v>
      </c>
      <c r="G1803" s="209" t="s">
        <v>105</v>
      </c>
      <c r="H1803" s="209">
        <v>20000335</v>
      </c>
      <c r="I1803" s="209">
        <v>2</v>
      </c>
      <c r="J1803" s="209" t="s">
        <v>169</v>
      </c>
      <c r="K1803" s="209" t="s">
        <v>4108</v>
      </c>
      <c r="L1803" s="209" t="s">
        <v>265</v>
      </c>
      <c r="M1803" s="209" t="s">
        <v>199</v>
      </c>
      <c r="N1803" s="209">
        <v>50021818</v>
      </c>
      <c r="O1803" s="209" t="s">
        <v>2170</v>
      </c>
      <c r="P1803" s="209">
        <v>5121</v>
      </c>
      <c r="Q1803" s="209" t="s">
        <v>200</v>
      </c>
      <c r="R1803" s="209" t="s">
        <v>201</v>
      </c>
      <c r="S1803" s="209" t="s">
        <v>202</v>
      </c>
      <c r="T1803" s="209" t="s">
        <v>203</v>
      </c>
      <c r="U1803" s="209" t="s">
        <v>201</v>
      </c>
      <c r="V1803" s="209" t="s">
        <v>179</v>
      </c>
      <c r="W1803" s="209" t="s">
        <v>179</v>
      </c>
      <c r="X1803" s="209" t="s">
        <v>180</v>
      </c>
      <c r="Y1803" s="209" t="s">
        <v>180</v>
      </c>
      <c r="Z1803" s="209" t="s">
        <v>4109</v>
      </c>
      <c r="AA1803" s="209" t="s">
        <v>4110</v>
      </c>
      <c r="AB1803" s="209" t="s">
        <v>180</v>
      </c>
      <c r="AC1803" s="209" t="s">
        <v>182</v>
      </c>
      <c r="AD1803" s="209">
        <v>1</v>
      </c>
      <c r="AE1803" s="209">
        <v>2026</v>
      </c>
      <c r="AF1803" s="227">
        <v>46035</v>
      </c>
      <c r="AG1803" s="227">
        <v>46045</v>
      </c>
      <c r="AH1803" s="227">
        <v>46045</v>
      </c>
      <c r="AI1803" s="228">
        <v>426816</v>
      </c>
      <c r="AJ1803" s="228">
        <v>52</v>
      </c>
      <c r="AK1803" s="228">
        <v>426816</v>
      </c>
      <c r="AL1803" s="228">
        <v>52</v>
      </c>
      <c r="AM1803" s="228">
        <v>0</v>
      </c>
      <c r="AN1803" s="228">
        <v>0</v>
      </c>
      <c r="AO1803" s="229">
        <v>4</v>
      </c>
      <c r="AP1803" s="231">
        <v>1</v>
      </c>
      <c r="AQ1803" s="231">
        <v>2026</v>
      </c>
      <c r="AR1803" s="231" t="str">
        <f t="shared" si="259"/>
        <v>01/2026</v>
      </c>
      <c r="AS1803" s="231">
        <f t="shared" si="260"/>
        <v>46.6</v>
      </c>
      <c r="AT1803" s="239">
        <f>IF(G1803="CERVECERIA Y MALTERIA",(AS1803*AK1803/1000000)*(1-VLOOKUP(N1803,FCST!D:I,6,FALSE)),0)</f>
        <v>19.889625600000002</v>
      </c>
      <c r="AU1803" s="232">
        <v>5.0000000000000001E-3</v>
      </c>
      <c r="AV1803" s="239">
        <f t="shared" si="261"/>
        <v>19.989073728000001</v>
      </c>
      <c r="AW1803" s="239">
        <f>(AS1803*AK1803/1000000)*(VLOOKUP(N1803,FCST!D:I,6,FALSE))</f>
        <v>0</v>
      </c>
      <c r="AX1803" s="239">
        <f t="shared" si="262"/>
        <v>0</v>
      </c>
      <c r="AY1803" s="239">
        <f>IF($G1803="CERVECERIA Y MALTERIA.",($AS1803*$AK1803/1000000)*(1-VLOOKUP($N1803,FCST!D:I,6,FALSE)),0)</f>
        <v>0</v>
      </c>
      <c r="AZ1803" s="239">
        <f t="shared" si="263"/>
        <v>0</v>
      </c>
    </row>
    <row r="1804" spans="1:52" x14ac:dyDescent="0.25">
      <c r="A1804" s="209">
        <v>1161268</v>
      </c>
      <c r="B1804" s="209">
        <v>60</v>
      </c>
      <c r="C1804" s="209" t="s">
        <v>4111</v>
      </c>
      <c r="D1804" s="209">
        <v>10</v>
      </c>
      <c r="E1804" s="209">
        <v>10000002</v>
      </c>
      <c r="F1804" s="209">
        <v>20000335</v>
      </c>
      <c r="G1804" s="209" t="s">
        <v>105</v>
      </c>
      <c r="H1804" s="209">
        <v>20000335</v>
      </c>
      <c r="I1804" s="209">
        <v>2</v>
      </c>
      <c r="J1804" s="209" t="s">
        <v>169</v>
      </c>
      <c r="K1804" s="209" t="s">
        <v>4112</v>
      </c>
      <c r="L1804" s="209" t="s">
        <v>265</v>
      </c>
      <c r="M1804" s="209" t="s">
        <v>199</v>
      </c>
      <c r="N1804" s="209">
        <v>50025345</v>
      </c>
      <c r="O1804" s="209" t="s">
        <v>1998</v>
      </c>
      <c r="P1804" s="209">
        <v>5121</v>
      </c>
      <c r="Q1804" s="209" t="s">
        <v>200</v>
      </c>
      <c r="R1804" s="209" t="s">
        <v>201</v>
      </c>
      <c r="S1804" s="209" t="s">
        <v>202</v>
      </c>
      <c r="T1804" s="209" t="s">
        <v>203</v>
      </c>
      <c r="U1804" s="209" t="s">
        <v>201</v>
      </c>
      <c r="V1804" s="209" t="s">
        <v>179</v>
      </c>
      <c r="W1804" s="209" t="s">
        <v>179</v>
      </c>
      <c r="X1804" s="209" t="s">
        <v>180</v>
      </c>
      <c r="Y1804" s="209" t="s">
        <v>180</v>
      </c>
      <c r="Z1804" s="209" t="s">
        <v>4099</v>
      </c>
      <c r="AA1804" s="209" t="s">
        <v>4100</v>
      </c>
      <c r="AB1804" s="209" t="s">
        <v>180</v>
      </c>
      <c r="AC1804" s="209" t="s">
        <v>182</v>
      </c>
      <c r="AD1804" s="209">
        <v>1</v>
      </c>
      <c r="AE1804" s="209">
        <v>2026</v>
      </c>
      <c r="AF1804" s="227">
        <v>46035</v>
      </c>
      <c r="AG1804" s="227">
        <v>46042</v>
      </c>
      <c r="AH1804" s="227">
        <v>46042</v>
      </c>
      <c r="AI1804" s="228">
        <v>426816</v>
      </c>
      <c r="AJ1804" s="228">
        <v>52</v>
      </c>
      <c r="AK1804" s="228">
        <v>426816</v>
      </c>
      <c r="AL1804" s="228">
        <v>52</v>
      </c>
      <c r="AM1804" s="228">
        <v>0</v>
      </c>
      <c r="AN1804" s="228">
        <v>0</v>
      </c>
      <c r="AO1804" s="229">
        <v>4</v>
      </c>
      <c r="AP1804" s="231">
        <v>1</v>
      </c>
      <c r="AQ1804" s="231">
        <v>2026</v>
      </c>
      <c r="AR1804" s="231" t="str">
        <f t="shared" si="259"/>
        <v>01/2026</v>
      </c>
      <c r="AS1804" s="231">
        <f t="shared" si="260"/>
        <v>46.6</v>
      </c>
      <c r="AT1804" s="239">
        <f>IF(G1804="CERVECERIA Y MALTERIA",(AS1804*AK1804/1000000)*(1-VLOOKUP(N1804,FCST!D:I,6,FALSE)),0)</f>
        <v>19.889625600000002</v>
      </c>
      <c r="AU1804" s="232">
        <v>5.0000000000000001E-3</v>
      </c>
      <c r="AV1804" s="239">
        <f t="shared" si="261"/>
        <v>19.989073728000001</v>
      </c>
      <c r="AW1804" s="239">
        <f>(AS1804*AK1804/1000000)*(VLOOKUP(N1804,FCST!D:I,6,FALSE))</f>
        <v>0</v>
      </c>
      <c r="AX1804" s="239">
        <f t="shared" si="262"/>
        <v>0</v>
      </c>
      <c r="AY1804" s="239">
        <f>IF($G1804="CERVECERIA Y MALTERIA.",($AS1804*$AK1804/1000000)*(1-VLOOKUP($N1804,FCST!D:I,6,FALSE)),0)</f>
        <v>0</v>
      </c>
      <c r="AZ1804" s="239">
        <f t="shared" si="263"/>
        <v>0</v>
      </c>
    </row>
    <row r="1805" spans="1:52" x14ac:dyDescent="0.25">
      <c r="A1805" s="209">
        <v>1161268</v>
      </c>
      <c r="B1805" s="209">
        <v>40</v>
      </c>
      <c r="C1805" s="209" t="s">
        <v>4113</v>
      </c>
      <c r="D1805" s="209">
        <v>10</v>
      </c>
      <c r="E1805" s="209">
        <v>10000002</v>
      </c>
      <c r="F1805" s="209">
        <v>20000335</v>
      </c>
      <c r="G1805" s="209" t="s">
        <v>105</v>
      </c>
      <c r="H1805" s="209">
        <v>20000335</v>
      </c>
      <c r="I1805" s="209">
        <v>2</v>
      </c>
      <c r="J1805" s="209" t="s">
        <v>169</v>
      </c>
      <c r="K1805" s="209" t="s">
        <v>4114</v>
      </c>
      <c r="L1805" s="209" t="s">
        <v>265</v>
      </c>
      <c r="M1805" s="209" t="s">
        <v>199</v>
      </c>
      <c r="N1805" s="209">
        <v>50035184</v>
      </c>
      <c r="O1805" s="209" t="s">
        <v>672</v>
      </c>
      <c r="P1805" s="209">
        <v>5121</v>
      </c>
      <c r="Q1805" s="209" t="s">
        <v>200</v>
      </c>
      <c r="R1805" s="209" t="s">
        <v>201</v>
      </c>
      <c r="S1805" s="209" t="s">
        <v>202</v>
      </c>
      <c r="T1805" s="209" t="s">
        <v>203</v>
      </c>
      <c r="U1805" s="209" t="s">
        <v>201</v>
      </c>
      <c r="V1805" s="209" t="s">
        <v>179</v>
      </c>
      <c r="W1805" s="209" t="s">
        <v>179</v>
      </c>
      <c r="X1805" s="209" t="s">
        <v>180</v>
      </c>
      <c r="Y1805" s="209" t="s">
        <v>180</v>
      </c>
      <c r="Z1805" s="209" t="s">
        <v>4115</v>
      </c>
      <c r="AA1805" s="209" t="s">
        <v>4116</v>
      </c>
      <c r="AB1805" s="209" t="s">
        <v>180</v>
      </c>
      <c r="AC1805" s="209" t="s">
        <v>182</v>
      </c>
      <c r="AD1805" s="209">
        <v>1</v>
      </c>
      <c r="AE1805" s="209">
        <v>2026</v>
      </c>
      <c r="AF1805" s="227">
        <v>46035</v>
      </c>
      <c r="AG1805" s="227">
        <v>46042</v>
      </c>
      <c r="AH1805" s="227">
        <v>46042</v>
      </c>
      <c r="AI1805" s="228">
        <v>977184</v>
      </c>
      <c r="AJ1805" s="228">
        <v>52</v>
      </c>
      <c r="AK1805" s="228">
        <v>977184</v>
      </c>
      <c r="AL1805" s="228">
        <v>52</v>
      </c>
      <c r="AM1805" s="228">
        <v>0</v>
      </c>
      <c r="AN1805" s="228">
        <v>0</v>
      </c>
      <c r="AO1805" s="229">
        <v>4</v>
      </c>
      <c r="AP1805" s="231">
        <v>1</v>
      </c>
      <c r="AQ1805" s="231">
        <v>2026</v>
      </c>
      <c r="AR1805" s="231" t="str">
        <f t="shared" si="259"/>
        <v>01/2026</v>
      </c>
      <c r="AS1805" s="231">
        <f t="shared" si="260"/>
        <v>19.5</v>
      </c>
      <c r="AT1805" s="239">
        <f>IF(G1805="CERVECERIA Y MALTERIA",(AS1805*AK1805/1000000)*(1-VLOOKUP(N1805,FCST!D:I,6,FALSE)),0)</f>
        <v>19.055088000000001</v>
      </c>
      <c r="AU1805" s="232">
        <v>5.0000000000000001E-3</v>
      </c>
      <c r="AV1805" s="239">
        <f t="shared" si="261"/>
        <v>19.15036344</v>
      </c>
      <c r="AW1805" s="239">
        <f>(AS1805*AK1805/1000000)*(VLOOKUP(N1805,FCST!D:I,6,FALSE))</f>
        <v>0</v>
      </c>
      <c r="AX1805" s="239">
        <f t="shared" si="262"/>
        <v>0</v>
      </c>
      <c r="AY1805" s="239">
        <f>IF($G1805="CERVECERIA Y MALTERIA.",($AS1805*$AK1805/1000000)*(1-VLOOKUP($N1805,FCST!D:I,6,FALSE)),0)</f>
        <v>0</v>
      </c>
      <c r="AZ1805" s="239">
        <f t="shared" si="263"/>
        <v>0</v>
      </c>
    </row>
    <row r="1806" spans="1:52" x14ac:dyDescent="0.25">
      <c r="A1806" s="209">
        <v>1161268</v>
      </c>
      <c r="B1806" s="209">
        <v>50</v>
      </c>
      <c r="C1806" s="209" t="s">
        <v>4117</v>
      </c>
      <c r="D1806" s="209">
        <v>10</v>
      </c>
      <c r="E1806" s="209">
        <v>10000002</v>
      </c>
      <c r="F1806" s="209">
        <v>20000335</v>
      </c>
      <c r="G1806" s="209" t="s">
        <v>105</v>
      </c>
      <c r="H1806" s="209">
        <v>20000335</v>
      </c>
      <c r="I1806" s="209">
        <v>2</v>
      </c>
      <c r="J1806" s="209" t="s">
        <v>169</v>
      </c>
      <c r="K1806" s="209" t="s">
        <v>4118</v>
      </c>
      <c r="L1806" s="209" t="s">
        <v>265</v>
      </c>
      <c r="M1806" s="209" t="s">
        <v>199</v>
      </c>
      <c r="N1806" s="209">
        <v>50037887</v>
      </c>
      <c r="O1806" s="209" t="s">
        <v>679</v>
      </c>
      <c r="P1806" s="209">
        <v>5121</v>
      </c>
      <c r="Q1806" s="209" t="s">
        <v>200</v>
      </c>
      <c r="R1806" s="209" t="s">
        <v>201</v>
      </c>
      <c r="S1806" s="209" t="s">
        <v>202</v>
      </c>
      <c r="T1806" s="209" t="s">
        <v>203</v>
      </c>
      <c r="U1806" s="209" t="s">
        <v>201</v>
      </c>
      <c r="V1806" s="209" t="s">
        <v>179</v>
      </c>
      <c r="W1806" s="209" t="s">
        <v>179</v>
      </c>
      <c r="X1806" s="209" t="s">
        <v>180</v>
      </c>
      <c r="Y1806" s="209" t="s">
        <v>180</v>
      </c>
      <c r="Z1806" s="209" t="s">
        <v>4095</v>
      </c>
      <c r="AA1806" s="209" t="s">
        <v>4096</v>
      </c>
      <c r="AB1806" s="209" t="s">
        <v>180</v>
      </c>
      <c r="AC1806" s="209" t="s">
        <v>182</v>
      </c>
      <c r="AD1806" s="209">
        <v>1</v>
      </c>
      <c r="AE1806" s="209">
        <v>2026</v>
      </c>
      <c r="AF1806" s="227">
        <v>46035</v>
      </c>
      <c r="AG1806" s="227">
        <v>46042</v>
      </c>
      <c r="AH1806" s="227">
        <v>46042</v>
      </c>
      <c r="AI1806" s="228">
        <v>531648</v>
      </c>
      <c r="AJ1806" s="228">
        <v>52</v>
      </c>
      <c r="AK1806" s="228">
        <v>531648</v>
      </c>
      <c r="AL1806" s="228">
        <v>52</v>
      </c>
      <c r="AM1806" s="228">
        <v>0</v>
      </c>
      <c r="AN1806" s="228">
        <v>0</v>
      </c>
      <c r="AO1806" s="229">
        <v>4</v>
      </c>
      <c r="AP1806" s="231">
        <v>1</v>
      </c>
      <c r="AQ1806" s="231">
        <v>2026</v>
      </c>
      <c r="AR1806" s="231" t="str">
        <f t="shared" si="259"/>
        <v>01/2026</v>
      </c>
      <c r="AS1806" s="231">
        <f t="shared" si="260"/>
        <v>37.200000000000003</v>
      </c>
      <c r="AT1806" s="239">
        <f>IF(G1806="CERVECERIA Y MALTERIA",(AS1806*AK1806/1000000)*(1-VLOOKUP(N1806,FCST!D:I,6,FALSE)),0)</f>
        <v>19.777305600000002</v>
      </c>
      <c r="AU1806" s="232">
        <v>5.0000000000000001E-3</v>
      </c>
      <c r="AV1806" s="239">
        <f t="shared" si="261"/>
        <v>19.876192128</v>
      </c>
      <c r="AW1806" s="239">
        <f>(AS1806*AK1806/1000000)*(VLOOKUP(N1806,FCST!D:I,6,FALSE))</f>
        <v>0</v>
      </c>
      <c r="AX1806" s="239">
        <f t="shared" si="262"/>
        <v>0</v>
      </c>
      <c r="AY1806" s="239">
        <f>IF($G1806="CERVECERIA Y MALTERIA.",($AS1806*$AK1806/1000000)*(1-VLOOKUP($N1806,FCST!D:I,6,FALSE)),0)</f>
        <v>0</v>
      </c>
      <c r="AZ1806" s="239">
        <f t="shared" si="263"/>
        <v>0</v>
      </c>
    </row>
    <row r="1807" spans="1:52" x14ac:dyDescent="0.25">
      <c r="A1807" s="209">
        <v>1162092</v>
      </c>
      <c r="B1807" s="209">
        <v>10</v>
      </c>
      <c r="C1807" s="209" t="s">
        <v>4119</v>
      </c>
      <c r="D1807" s="209">
        <v>10</v>
      </c>
      <c r="E1807" s="209">
        <v>10000002</v>
      </c>
      <c r="F1807" s="209">
        <v>20000339</v>
      </c>
      <c r="G1807" s="209" t="s">
        <v>105</v>
      </c>
      <c r="H1807" s="209">
        <v>20000339</v>
      </c>
      <c r="I1807" s="209">
        <v>2</v>
      </c>
      <c r="J1807" s="209" t="s">
        <v>169</v>
      </c>
      <c r="K1807" s="209" t="s">
        <v>4120</v>
      </c>
      <c r="L1807" s="209" t="s">
        <v>2610</v>
      </c>
      <c r="M1807" s="209" t="s">
        <v>4121</v>
      </c>
      <c r="N1807" s="209">
        <v>50030542</v>
      </c>
      <c r="O1807" s="209" t="s">
        <v>2453</v>
      </c>
      <c r="P1807" s="209">
        <v>5121</v>
      </c>
      <c r="Q1807" s="209" t="s">
        <v>228</v>
      </c>
      <c r="R1807" s="209" t="s">
        <v>229</v>
      </c>
      <c r="S1807" s="209" t="s">
        <v>230</v>
      </c>
      <c r="T1807" s="209" t="s">
        <v>231</v>
      </c>
      <c r="U1807" s="209" t="s">
        <v>232</v>
      </c>
      <c r="V1807" s="209" t="s">
        <v>179</v>
      </c>
      <c r="W1807" s="209" t="s">
        <v>179</v>
      </c>
      <c r="X1807" s="209" t="s">
        <v>180</v>
      </c>
      <c r="Y1807" s="209" t="s">
        <v>180</v>
      </c>
      <c r="Z1807" s="209" t="s">
        <v>4122</v>
      </c>
      <c r="AA1807" s="209" t="s">
        <v>4123</v>
      </c>
      <c r="AB1807" s="209" t="s">
        <v>180</v>
      </c>
      <c r="AC1807" s="209" t="s">
        <v>182</v>
      </c>
      <c r="AD1807" s="209">
        <v>1</v>
      </c>
      <c r="AE1807" s="209">
        <v>2026</v>
      </c>
      <c r="AF1807" s="227">
        <v>46041</v>
      </c>
      <c r="AG1807" s="227">
        <v>46041</v>
      </c>
      <c r="AH1807" s="227">
        <v>46041</v>
      </c>
      <c r="AI1807" s="228">
        <v>406848</v>
      </c>
      <c r="AJ1807" s="228">
        <v>52</v>
      </c>
      <c r="AK1807" s="228">
        <v>406848</v>
      </c>
      <c r="AL1807" s="228">
        <v>52</v>
      </c>
      <c r="AM1807" s="228">
        <v>0</v>
      </c>
      <c r="AN1807" s="228">
        <v>0</v>
      </c>
      <c r="AO1807" s="229">
        <v>4</v>
      </c>
      <c r="AP1807" s="231">
        <v>1</v>
      </c>
      <c r="AQ1807" s="231">
        <v>2026</v>
      </c>
      <c r="AR1807" s="231" t="str">
        <f t="shared" si="259"/>
        <v>01/2026</v>
      </c>
      <c r="AS1807" s="231">
        <f t="shared" si="260"/>
        <v>44</v>
      </c>
      <c r="AT1807" s="239">
        <f>IF(G1807="CERVECERIA Y MALTERIA",(AS1807*AK1807/1000000)*(1-VLOOKUP(N1807,FCST!D:I,6,FALSE)),0)</f>
        <v>17.901312000000001</v>
      </c>
      <c r="AU1807" s="232">
        <v>5.0000000000000001E-3</v>
      </c>
      <c r="AV1807" s="239">
        <f t="shared" si="261"/>
        <v>17.990818559999997</v>
      </c>
      <c r="AW1807" s="239">
        <f>(AS1807*AK1807/1000000)*(VLOOKUP(N1807,FCST!D:I,6,FALSE))</f>
        <v>0</v>
      </c>
      <c r="AX1807" s="239">
        <f t="shared" si="262"/>
        <v>0</v>
      </c>
      <c r="AY1807" s="239">
        <f>IF($G1807="CERVECERIA Y MALTERIA.",($AS1807*$AK1807/1000000)*(1-VLOOKUP($N1807,FCST!D:I,6,FALSE)),0)</f>
        <v>0</v>
      </c>
      <c r="AZ1807" s="239">
        <f t="shared" si="263"/>
        <v>0</v>
      </c>
    </row>
    <row r="1808" spans="1:52" x14ac:dyDescent="0.25">
      <c r="A1808" s="209">
        <v>1161268</v>
      </c>
      <c r="B1808" s="209">
        <v>10</v>
      </c>
      <c r="C1808" s="209" t="s">
        <v>4124</v>
      </c>
      <c r="D1808" s="209">
        <v>10</v>
      </c>
      <c r="E1808" s="209">
        <v>10000002</v>
      </c>
      <c r="F1808" s="209">
        <v>20000335</v>
      </c>
      <c r="G1808" s="209" t="s">
        <v>105</v>
      </c>
      <c r="H1808" s="209">
        <v>20000335</v>
      </c>
      <c r="I1808" s="209">
        <v>2</v>
      </c>
      <c r="J1808" s="209" t="s">
        <v>169</v>
      </c>
      <c r="K1808" s="209" t="s">
        <v>4125</v>
      </c>
      <c r="L1808" s="209" t="s">
        <v>265</v>
      </c>
      <c r="M1808" s="209" t="s">
        <v>199</v>
      </c>
      <c r="N1808" s="209">
        <v>50035184</v>
      </c>
      <c r="O1808" s="209" t="s">
        <v>672</v>
      </c>
      <c r="P1808" s="209">
        <v>5121</v>
      </c>
      <c r="Q1808" s="209" t="s">
        <v>200</v>
      </c>
      <c r="R1808" s="209" t="s">
        <v>201</v>
      </c>
      <c r="S1808" s="209" t="s">
        <v>202</v>
      </c>
      <c r="T1808" s="209" t="s">
        <v>203</v>
      </c>
      <c r="U1808" s="209" t="s">
        <v>201</v>
      </c>
      <c r="V1808" s="209" t="s">
        <v>179</v>
      </c>
      <c r="W1808" s="209" t="s">
        <v>179</v>
      </c>
      <c r="X1808" s="209" t="s">
        <v>180</v>
      </c>
      <c r="Y1808" s="209" t="s">
        <v>180</v>
      </c>
      <c r="Z1808" s="209" t="s">
        <v>4115</v>
      </c>
      <c r="AA1808" s="209" t="s">
        <v>4116</v>
      </c>
      <c r="AB1808" s="209" t="s">
        <v>180</v>
      </c>
      <c r="AC1808" s="209" t="s">
        <v>182</v>
      </c>
      <c r="AD1808" s="209">
        <v>1</v>
      </c>
      <c r="AE1808" s="209">
        <v>2026</v>
      </c>
      <c r="AF1808" s="227">
        <v>46035</v>
      </c>
      <c r="AG1808" s="227">
        <v>46041</v>
      </c>
      <c r="AH1808" s="227">
        <v>46041</v>
      </c>
      <c r="AI1808" s="228">
        <v>977184</v>
      </c>
      <c r="AJ1808" s="228">
        <v>52</v>
      </c>
      <c r="AK1808" s="228">
        <v>977184</v>
      </c>
      <c r="AL1808" s="228">
        <v>52</v>
      </c>
      <c r="AM1808" s="228">
        <v>0</v>
      </c>
      <c r="AN1808" s="228">
        <v>0</v>
      </c>
      <c r="AO1808" s="229">
        <v>4</v>
      </c>
      <c r="AP1808" s="231">
        <v>1</v>
      </c>
      <c r="AQ1808" s="231">
        <v>2026</v>
      </c>
      <c r="AR1808" s="231" t="str">
        <f t="shared" si="259"/>
        <v>01/2026</v>
      </c>
      <c r="AS1808" s="231">
        <f t="shared" si="260"/>
        <v>19.5</v>
      </c>
      <c r="AT1808" s="239">
        <f>IF(G1808="CERVECERIA Y MALTERIA",(AS1808*AK1808/1000000)*(1-VLOOKUP(N1808,FCST!D:I,6,FALSE)),0)</f>
        <v>19.055088000000001</v>
      </c>
      <c r="AU1808" s="232">
        <v>5.0000000000000001E-3</v>
      </c>
      <c r="AV1808" s="239">
        <f t="shared" si="261"/>
        <v>19.15036344</v>
      </c>
      <c r="AW1808" s="239">
        <f>(AS1808*AK1808/1000000)*(VLOOKUP(N1808,FCST!D:I,6,FALSE))</f>
        <v>0</v>
      </c>
      <c r="AX1808" s="239">
        <f t="shared" si="262"/>
        <v>0</v>
      </c>
      <c r="AY1808" s="239">
        <f>IF($G1808="CERVECERIA Y MALTERIA.",($AS1808*$AK1808/1000000)*(1-VLOOKUP($N1808,FCST!D:I,6,FALSE)),0)</f>
        <v>0</v>
      </c>
      <c r="AZ1808" s="239">
        <f t="shared" si="263"/>
        <v>0</v>
      </c>
    </row>
    <row r="1809" spans="1:52" x14ac:dyDescent="0.25">
      <c r="A1809" s="209">
        <v>1161268</v>
      </c>
      <c r="B1809" s="209">
        <v>80</v>
      </c>
      <c r="C1809" s="209" t="s">
        <v>4126</v>
      </c>
      <c r="D1809" s="209">
        <v>10</v>
      </c>
      <c r="E1809" s="209">
        <v>10000002</v>
      </c>
      <c r="F1809" s="209">
        <v>20000335</v>
      </c>
      <c r="G1809" s="209" t="s">
        <v>105</v>
      </c>
      <c r="H1809" s="209">
        <v>20000335</v>
      </c>
      <c r="I1809" s="209">
        <v>2</v>
      </c>
      <c r="J1809" s="209" t="s">
        <v>169</v>
      </c>
      <c r="K1809" s="209" t="s">
        <v>4127</v>
      </c>
      <c r="L1809" s="209" t="s">
        <v>265</v>
      </c>
      <c r="M1809" s="209" t="s">
        <v>199</v>
      </c>
      <c r="N1809" s="209">
        <v>50025345</v>
      </c>
      <c r="O1809" s="209" t="s">
        <v>1998</v>
      </c>
      <c r="P1809" s="209">
        <v>5121</v>
      </c>
      <c r="Q1809" s="209" t="s">
        <v>200</v>
      </c>
      <c r="R1809" s="209" t="s">
        <v>201</v>
      </c>
      <c r="S1809" s="209" t="s">
        <v>202</v>
      </c>
      <c r="T1809" s="209" t="s">
        <v>203</v>
      </c>
      <c r="U1809" s="209" t="s">
        <v>201</v>
      </c>
      <c r="V1809" s="209" t="s">
        <v>179</v>
      </c>
      <c r="W1809" s="209" t="s">
        <v>179</v>
      </c>
      <c r="X1809" s="209" t="s">
        <v>180</v>
      </c>
      <c r="Y1809" s="209" t="s">
        <v>180</v>
      </c>
      <c r="Z1809" s="209" t="s">
        <v>4099</v>
      </c>
      <c r="AA1809" s="209" t="s">
        <v>4100</v>
      </c>
      <c r="AB1809" s="209" t="s">
        <v>180</v>
      </c>
      <c r="AC1809" s="209" t="s">
        <v>182</v>
      </c>
      <c r="AD1809" s="209">
        <v>1</v>
      </c>
      <c r="AE1809" s="209">
        <v>2026</v>
      </c>
      <c r="AF1809" s="227">
        <v>46035</v>
      </c>
      <c r="AG1809" s="227">
        <v>46043</v>
      </c>
      <c r="AH1809" s="227">
        <v>46043</v>
      </c>
      <c r="AI1809" s="228">
        <v>426816</v>
      </c>
      <c r="AJ1809" s="228">
        <v>52</v>
      </c>
      <c r="AK1809" s="228">
        <v>426816</v>
      </c>
      <c r="AL1809" s="228">
        <v>52</v>
      </c>
      <c r="AM1809" s="228">
        <v>0</v>
      </c>
      <c r="AN1809" s="228">
        <v>0</v>
      </c>
      <c r="AO1809" s="229">
        <v>4</v>
      </c>
      <c r="AP1809" s="231">
        <v>1</v>
      </c>
      <c r="AQ1809" s="231">
        <v>2026</v>
      </c>
      <c r="AR1809" s="231" t="str">
        <f t="shared" si="259"/>
        <v>01/2026</v>
      </c>
      <c r="AS1809" s="231">
        <f t="shared" si="260"/>
        <v>46.6</v>
      </c>
      <c r="AT1809" s="239">
        <f>IF(G1809="CERVECERIA Y MALTERIA",(AS1809*AK1809/1000000)*(1-VLOOKUP(N1809,FCST!D:I,6,FALSE)),0)</f>
        <v>19.889625600000002</v>
      </c>
      <c r="AU1809" s="232">
        <v>5.0000000000000001E-3</v>
      </c>
      <c r="AV1809" s="239">
        <f t="shared" si="261"/>
        <v>19.989073728000001</v>
      </c>
      <c r="AW1809" s="239">
        <f>(AS1809*AK1809/1000000)*(VLOOKUP(N1809,FCST!D:I,6,FALSE))</f>
        <v>0</v>
      </c>
      <c r="AX1809" s="239">
        <f t="shared" si="262"/>
        <v>0</v>
      </c>
      <c r="AY1809" s="239">
        <f>IF($G1809="CERVECERIA Y MALTERIA.",($AS1809*$AK1809/1000000)*(1-VLOOKUP($N1809,FCST!D:I,6,FALSE)),0)</f>
        <v>0</v>
      </c>
      <c r="AZ1809" s="239">
        <f t="shared" si="263"/>
        <v>0</v>
      </c>
    </row>
    <row r="1810" spans="1:52" x14ac:dyDescent="0.25">
      <c r="A1810" s="209">
        <v>1162249</v>
      </c>
      <c r="B1810" s="209">
        <v>10</v>
      </c>
      <c r="C1810" s="209" t="s">
        <v>4128</v>
      </c>
      <c r="D1810" s="209">
        <v>10</v>
      </c>
      <c r="E1810" s="209">
        <v>10000002</v>
      </c>
      <c r="F1810" s="209">
        <v>20001057</v>
      </c>
      <c r="G1810" s="209" t="s">
        <v>105</v>
      </c>
      <c r="H1810" s="209">
        <v>20001057</v>
      </c>
      <c r="I1810" s="209">
        <v>2</v>
      </c>
      <c r="J1810" s="209" t="s">
        <v>169</v>
      </c>
      <c r="K1810" s="209" t="s">
        <v>4129</v>
      </c>
      <c r="L1810" s="209" t="s">
        <v>2610</v>
      </c>
      <c r="M1810" s="209" t="s">
        <v>199</v>
      </c>
      <c r="N1810" s="209">
        <v>50025345</v>
      </c>
      <c r="O1810" s="209" t="s">
        <v>1998</v>
      </c>
      <c r="P1810" s="209">
        <v>5121</v>
      </c>
      <c r="Q1810" s="209" t="s">
        <v>200</v>
      </c>
      <c r="R1810" s="209" t="s">
        <v>201</v>
      </c>
      <c r="S1810" s="209" t="s">
        <v>202</v>
      </c>
      <c r="T1810" s="209" t="s">
        <v>203</v>
      </c>
      <c r="U1810" s="209" t="s">
        <v>201</v>
      </c>
      <c r="V1810" s="209" t="s">
        <v>179</v>
      </c>
      <c r="W1810" s="209" t="s">
        <v>179</v>
      </c>
      <c r="X1810" s="209" t="s">
        <v>180</v>
      </c>
      <c r="Y1810" s="209" t="s">
        <v>180</v>
      </c>
      <c r="Z1810" s="209" t="s">
        <v>4130</v>
      </c>
      <c r="AA1810" s="209" t="s">
        <v>4131</v>
      </c>
      <c r="AB1810" s="209" t="s">
        <v>180</v>
      </c>
      <c r="AC1810" s="209" t="s">
        <v>182</v>
      </c>
      <c r="AD1810" s="209">
        <v>1</v>
      </c>
      <c r="AE1810" s="209">
        <v>2026</v>
      </c>
      <c r="AF1810" s="227">
        <v>46042</v>
      </c>
      <c r="AG1810" s="227">
        <v>46042</v>
      </c>
      <c r="AH1810" s="227">
        <v>46042</v>
      </c>
      <c r="AI1810" s="228">
        <v>426816</v>
      </c>
      <c r="AJ1810" s="228">
        <v>52</v>
      </c>
      <c r="AK1810" s="228">
        <v>426816</v>
      </c>
      <c r="AL1810" s="228">
        <v>52</v>
      </c>
      <c r="AM1810" s="228">
        <v>0</v>
      </c>
      <c r="AN1810" s="228">
        <v>0</v>
      </c>
      <c r="AO1810" s="229">
        <v>4</v>
      </c>
      <c r="AP1810" s="231">
        <v>1</v>
      </c>
      <c r="AQ1810" s="231">
        <v>2026</v>
      </c>
      <c r="AR1810" s="231" t="str">
        <f t="shared" si="259"/>
        <v>01/2026</v>
      </c>
      <c r="AS1810" s="231">
        <f t="shared" si="260"/>
        <v>46.6</v>
      </c>
      <c r="AT1810" s="239">
        <f>IF(G1810="CERVECERIA Y MALTERIA",(AS1810*AK1810/1000000)*(1-VLOOKUP(N1810,FCST!D:I,6,FALSE)),0)</f>
        <v>19.889625600000002</v>
      </c>
      <c r="AU1810" s="232">
        <v>5.0000000000000001E-3</v>
      </c>
      <c r="AV1810" s="239">
        <f t="shared" si="261"/>
        <v>19.989073728000001</v>
      </c>
      <c r="AW1810" s="239">
        <f>(AS1810*AK1810/1000000)*(VLOOKUP(N1810,FCST!D:I,6,FALSE))</f>
        <v>0</v>
      </c>
      <c r="AX1810" s="239">
        <f t="shared" si="262"/>
        <v>0</v>
      </c>
      <c r="AY1810" s="239">
        <f>IF($G1810="CERVECERIA Y MALTERIA.",($AS1810*$AK1810/1000000)*(1-VLOOKUP($N1810,FCST!D:I,6,FALSE)),0)</f>
        <v>0</v>
      </c>
      <c r="AZ1810" s="239">
        <f t="shared" si="263"/>
        <v>0</v>
      </c>
    </row>
    <row r="1811" spans="1:52" x14ac:dyDescent="0.25">
      <c r="A1811" s="209">
        <v>1162098</v>
      </c>
      <c r="B1811" s="209">
        <v>10</v>
      </c>
      <c r="C1811" s="209" t="s">
        <v>4080</v>
      </c>
      <c r="D1811" s="209">
        <v>10</v>
      </c>
      <c r="E1811" s="209">
        <v>10000002</v>
      </c>
      <c r="F1811" s="209">
        <v>20000336</v>
      </c>
      <c r="G1811" s="209" t="s">
        <v>105</v>
      </c>
      <c r="H1811" s="209">
        <v>20000336</v>
      </c>
      <c r="I1811" s="209">
        <v>2</v>
      </c>
      <c r="J1811" s="209" t="s">
        <v>169</v>
      </c>
      <c r="K1811" s="209" t="s">
        <v>4081</v>
      </c>
      <c r="L1811" s="209" t="s">
        <v>2610</v>
      </c>
      <c r="M1811" s="209" t="s">
        <v>199</v>
      </c>
      <c r="N1811" s="209">
        <v>50037887</v>
      </c>
      <c r="O1811" s="209" t="s">
        <v>679</v>
      </c>
      <c r="P1811" s="209">
        <v>5121</v>
      </c>
      <c r="Q1811" s="209" t="s">
        <v>200</v>
      </c>
      <c r="R1811" s="209" t="s">
        <v>201</v>
      </c>
      <c r="S1811" s="209" t="s">
        <v>202</v>
      </c>
      <c r="T1811" s="209" t="s">
        <v>203</v>
      </c>
      <c r="U1811" s="209" t="s">
        <v>201</v>
      </c>
      <c r="V1811" s="209" t="s">
        <v>179</v>
      </c>
      <c r="W1811" s="209" t="s">
        <v>179</v>
      </c>
      <c r="X1811" s="209" t="s">
        <v>180</v>
      </c>
      <c r="Y1811" s="209" t="s">
        <v>180</v>
      </c>
      <c r="Z1811" s="209" t="s">
        <v>4082</v>
      </c>
      <c r="AA1811" s="209" t="s">
        <v>4083</v>
      </c>
      <c r="AB1811" s="209" t="s">
        <v>180</v>
      </c>
      <c r="AC1811" s="209" t="s">
        <v>182</v>
      </c>
      <c r="AD1811" s="209">
        <v>1</v>
      </c>
      <c r="AE1811" s="209">
        <v>2026</v>
      </c>
      <c r="AF1811" s="227">
        <v>46041</v>
      </c>
      <c r="AG1811" s="227">
        <v>46042</v>
      </c>
      <c r="AH1811" s="227">
        <v>46042</v>
      </c>
      <c r="AI1811" s="228">
        <v>255600</v>
      </c>
      <c r="AJ1811" s="228">
        <v>25</v>
      </c>
      <c r="AK1811" s="228">
        <v>255600</v>
      </c>
      <c r="AL1811" s="228">
        <v>25</v>
      </c>
      <c r="AM1811" s="228">
        <v>0</v>
      </c>
      <c r="AN1811" s="228">
        <v>0</v>
      </c>
      <c r="AO1811" s="229">
        <v>4</v>
      </c>
      <c r="AP1811" s="231">
        <v>1</v>
      </c>
      <c r="AQ1811" s="231">
        <v>2026</v>
      </c>
      <c r="AR1811" s="231" t="str">
        <f t="shared" si="259"/>
        <v>01/2026</v>
      </c>
      <c r="AS1811" s="231">
        <f t="shared" si="260"/>
        <v>37.200000000000003</v>
      </c>
      <c r="AT1811" s="239">
        <f>IF(G1811="CERVECERIA Y MALTERIA",(AS1811*AK1811/1000000)*(1-VLOOKUP(N1811,FCST!D:I,6,FALSE)),0)</f>
        <v>9.5083199999999994</v>
      </c>
      <c r="AU1811" s="232">
        <v>5.0000000000000001E-3</v>
      </c>
      <c r="AV1811" s="239">
        <f t="shared" si="261"/>
        <v>9.5558615999999983</v>
      </c>
      <c r="AW1811" s="239">
        <f>(AS1811*AK1811/1000000)*(VLOOKUP(N1811,FCST!D:I,6,FALSE))</f>
        <v>0</v>
      </c>
      <c r="AX1811" s="239">
        <f t="shared" si="262"/>
        <v>0</v>
      </c>
      <c r="AY1811" s="239">
        <f>IF($G1811="CERVECERIA Y MALTERIA.",($AS1811*$AK1811/1000000)*(1-VLOOKUP($N1811,FCST!D:I,6,FALSE)),0)</f>
        <v>0</v>
      </c>
      <c r="AZ1811" s="239">
        <f t="shared" si="263"/>
        <v>0</v>
      </c>
    </row>
    <row r="1812" spans="1:52" x14ac:dyDescent="0.25">
      <c r="A1812" s="209">
        <v>1163357</v>
      </c>
      <c r="B1812" s="209">
        <v>20</v>
      </c>
      <c r="C1812" s="209" t="s">
        <v>4132</v>
      </c>
      <c r="D1812" s="209">
        <v>10</v>
      </c>
      <c r="E1812" s="209">
        <v>10000002</v>
      </c>
      <c r="F1812" s="209">
        <v>20000336</v>
      </c>
      <c r="G1812" s="209" t="s">
        <v>105</v>
      </c>
      <c r="H1812" s="209">
        <v>20000336</v>
      </c>
      <c r="I1812" s="209">
        <v>2</v>
      </c>
      <c r="J1812" s="209" t="s">
        <v>169</v>
      </c>
      <c r="K1812" s="209" t="s">
        <v>4133</v>
      </c>
      <c r="L1812" s="209" t="s">
        <v>2610</v>
      </c>
      <c r="M1812" s="209" t="s">
        <v>199</v>
      </c>
      <c r="N1812" s="209">
        <v>50021818</v>
      </c>
      <c r="O1812" s="209" t="s">
        <v>2170</v>
      </c>
      <c r="P1812" s="209">
        <v>5121</v>
      </c>
      <c r="Q1812" s="209" t="s">
        <v>200</v>
      </c>
      <c r="R1812" s="209" t="s">
        <v>201</v>
      </c>
      <c r="S1812" s="209" t="s">
        <v>202</v>
      </c>
      <c r="T1812" s="209" t="s">
        <v>203</v>
      </c>
      <c r="U1812" s="209" t="s">
        <v>201</v>
      </c>
      <c r="V1812" s="209" t="s">
        <v>179</v>
      </c>
      <c r="W1812" s="209" t="s">
        <v>179</v>
      </c>
      <c r="X1812" s="209" t="s">
        <v>180</v>
      </c>
      <c r="Y1812" s="209" t="s">
        <v>180</v>
      </c>
      <c r="Z1812" s="209" t="s">
        <v>4134</v>
      </c>
      <c r="AA1812" s="209" t="s">
        <v>4135</v>
      </c>
      <c r="AB1812" s="209" t="s">
        <v>180</v>
      </c>
      <c r="AC1812" s="209" t="s">
        <v>182</v>
      </c>
      <c r="AD1812" s="209">
        <v>1</v>
      </c>
      <c r="AE1812" s="209">
        <v>2026</v>
      </c>
      <c r="AF1812" s="227">
        <v>46045</v>
      </c>
      <c r="AG1812" s="227">
        <v>46050</v>
      </c>
      <c r="AH1812" s="227">
        <v>46050</v>
      </c>
      <c r="AI1812" s="228">
        <v>426816</v>
      </c>
      <c r="AJ1812" s="228">
        <v>52</v>
      </c>
      <c r="AK1812" s="228">
        <v>426816</v>
      </c>
      <c r="AL1812" s="228">
        <v>52</v>
      </c>
      <c r="AM1812" s="228">
        <v>0</v>
      </c>
      <c r="AN1812" s="228">
        <v>0</v>
      </c>
      <c r="AO1812" s="229">
        <v>5</v>
      </c>
      <c r="AP1812" s="231">
        <v>1</v>
      </c>
      <c r="AQ1812" s="231">
        <v>2026</v>
      </c>
      <c r="AR1812" s="231" t="str">
        <f t="shared" ref="AR1812:AR1853" si="264">+IF(AP1812&lt;10,"0"&amp;AP1812&amp; "/"&amp;AQ1812,AP1812&amp; "/"&amp;AQ1812)</f>
        <v>01/2026</v>
      </c>
      <c r="AS1812" s="231">
        <f t="shared" ref="AS1812:AS1853" si="265">VALUE(MID(INDEX(_xlfn.TEXTSPLIT(O1812, ","), 1, 3), 1,FIND("G", INDEX(_xlfn.TEXTSPLIT(O1812, ","), 1, 3))-1))</f>
        <v>46.6</v>
      </c>
      <c r="AT1812" s="239">
        <f>IF(G1812="CERVECERIA Y MALTERIA",(AS1812*AK1812/1000000)*(1-VLOOKUP(N1812,FCST!D:I,6,FALSE)),0)</f>
        <v>19.889625600000002</v>
      </c>
      <c r="AU1812" s="232">
        <v>5.0000000000000001E-3</v>
      </c>
      <c r="AV1812" s="239">
        <f t="shared" ref="AV1812:AV1853" si="266">+AT1812*(1+AU1812)</f>
        <v>19.989073728000001</v>
      </c>
      <c r="AW1812" s="239">
        <f>(AS1812*AK1812/1000000)*(VLOOKUP(N1812,FCST!D:I,6,FALSE))</f>
        <v>0</v>
      </c>
      <c r="AX1812" s="239">
        <f t="shared" ref="AX1812:AX1853" si="267">+AW1812*(1+AU1812)</f>
        <v>0</v>
      </c>
      <c r="AY1812" s="239">
        <f>IF($G1812="CERVECERIA Y MALTERIA.",($AS1812*$AK1812/1000000)*(1-VLOOKUP($N1812,FCST!D:I,6,FALSE)),0)</f>
        <v>0</v>
      </c>
      <c r="AZ1812" s="239">
        <f t="shared" ref="AZ1812:AZ1853" si="268">+AY1812*(1+AU1812)</f>
        <v>0</v>
      </c>
    </row>
    <row r="1813" spans="1:52" x14ac:dyDescent="0.25">
      <c r="A1813" s="209">
        <v>1163475</v>
      </c>
      <c r="B1813" s="209">
        <v>30</v>
      </c>
      <c r="C1813" s="209" t="s">
        <v>4136</v>
      </c>
      <c r="D1813" s="209">
        <v>10</v>
      </c>
      <c r="E1813" s="209">
        <v>10000002</v>
      </c>
      <c r="F1813" s="209">
        <v>20000337</v>
      </c>
      <c r="G1813" s="209" t="s">
        <v>105</v>
      </c>
      <c r="H1813" s="209">
        <v>20000337</v>
      </c>
      <c r="I1813" s="209">
        <v>2</v>
      </c>
      <c r="J1813" s="209" t="s">
        <v>169</v>
      </c>
      <c r="K1813" s="209" t="s">
        <v>4137</v>
      </c>
      <c r="L1813" s="209" t="s">
        <v>2610</v>
      </c>
      <c r="M1813" s="209" t="s">
        <v>199</v>
      </c>
      <c r="N1813" s="209">
        <v>50025345</v>
      </c>
      <c r="O1813" s="209" t="s">
        <v>1998</v>
      </c>
      <c r="P1813" s="209">
        <v>5121</v>
      </c>
      <c r="Q1813" s="209" t="s">
        <v>200</v>
      </c>
      <c r="R1813" s="209" t="s">
        <v>201</v>
      </c>
      <c r="S1813" s="209" t="s">
        <v>202</v>
      </c>
      <c r="T1813" s="209" t="s">
        <v>203</v>
      </c>
      <c r="U1813" s="209" t="s">
        <v>201</v>
      </c>
      <c r="V1813" s="209" t="s">
        <v>179</v>
      </c>
      <c r="W1813" s="209" t="s">
        <v>179</v>
      </c>
      <c r="X1813" s="209" t="s">
        <v>180</v>
      </c>
      <c r="Y1813" s="209" t="s">
        <v>180</v>
      </c>
      <c r="Z1813" s="209" t="s">
        <v>4138</v>
      </c>
      <c r="AA1813" s="209" t="s">
        <v>4139</v>
      </c>
      <c r="AB1813" s="209" t="s">
        <v>180</v>
      </c>
      <c r="AC1813" s="209" t="s">
        <v>182</v>
      </c>
      <c r="AD1813" s="209">
        <v>1</v>
      </c>
      <c r="AE1813" s="209">
        <v>2026</v>
      </c>
      <c r="AF1813" s="227">
        <v>46048</v>
      </c>
      <c r="AG1813" s="227">
        <v>46053</v>
      </c>
      <c r="AH1813" s="227">
        <v>46053</v>
      </c>
      <c r="AI1813" s="228">
        <v>426816</v>
      </c>
      <c r="AJ1813" s="228">
        <v>52</v>
      </c>
      <c r="AK1813" s="228">
        <v>426816</v>
      </c>
      <c r="AL1813" s="228">
        <v>52</v>
      </c>
      <c r="AM1813" s="228">
        <v>0</v>
      </c>
      <c r="AN1813" s="228">
        <v>0</v>
      </c>
      <c r="AO1813" s="229">
        <v>5</v>
      </c>
      <c r="AP1813" s="231">
        <v>1</v>
      </c>
      <c r="AQ1813" s="231">
        <v>2026</v>
      </c>
      <c r="AR1813" s="231" t="str">
        <f t="shared" si="264"/>
        <v>01/2026</v>
      </c>
      <c r="AS1813" s="231">
        <f t="shared" si="265"/>
        <v>46.6</v>
      </c>
      <c r="AT1813" s="239">
        <f>IF(G1813="CERVECERIA Y MALTERIA",(AS1813*AK1813/1000000)*(1-VLOOKUP(N1813,FCST!D:I,6,FALSE)),0)</f>
        <v>19.889625600000002</v>
      </c>
      <c r="AU1813" s="232">
        <v>5.0000000000000001E-3</v>
      </c>
      <c r="AV1813" s="239">
        <f t="shared" si="266"/>
        <v>19.989073728000001</v>
      </c>
      <c r="AW1813" s="239">
        <f>(AS1813*AK1813/1000000)*(VLOOKUP(N1813,FCST!D:I,6,FALSE))</f>
        <v>0</v>
      </c>
      <c r="AX1813" s="239">
        <f t="shared" si="267"/>
        <v>0</v>
      </c>
      <c r="AY1813" s="239">
        <f>IF($G1813="CERVECERIA Y MALTERIA.",($AS1813*$AK1813/1000000)*(1-VLOOKUP($N1813,FCST!D:I,6,FALSE)),0)</f>
        <v>0</v>
      </c>
      <c r="AZ1813" s="239">
        <f t="shared" si="268"/>
        <v>0</v>
      </c>
    </row>
    <row r="1814" spans="1:52" x14ac:dyDescent="0.25">
      <c r="A1814" s="209">
        <v>1164137</v>
      </c>
      <c r="B1814" s="209">
        <v>10</v>
      </c>
      <c r="C1814" s="209" t="s">
        <v>4140</v>
      </c>
      <c r="D1814" s="209">
        <v>10</v>
      </c>
      <c r="E1814" s="209">
        <v>10000002</v>
      </c>
      <c r="F1814" s="209">
        <v>20001057</v>
      </c>
      <c r="G1814" s="209" t="s">
        <v>105</v>
      </c>
      <c r="H1814" s="209">
        <v>20001057</v>
      </c>
      <c r="I1814" s="209">
        <v>2</v>
      </c>
      <c r="J1814" s="209" t="s">
        <v>169</v>
      </c>
      <c r="K1814" s="209" t="s">
        <v>4141</v>
      </c>
      <c r="L1814" s="209" t="s">
        <v>265</v>
      </c>
      <c r="M1814" s="209" t="s">
        <v>199</v>
      </c>
      <c r="N1814" s="209">
        <v>50035184</v>
      </c>
      <c r="O1814" s="209" t="s">
        <v>672</v>
      </c>
      <c r="P1814" s="209">
        <v>5121</v>
      </c>
      <c r="Q1814" s="209" t="s">
        <v>200</v>
      </c>
      <c r="R1814" s="209" t="s">
        <v>201</v>
      </c>
      <c r="S1814" s="209" t="s">
        <v>202</v>
      </c>
      <c r="T1814" s="209" t="s">
        <v>203</v>
      </c>
      <c r="U1814" s="209" t="s">
        <v>201</v>
      </c>
      <c r="V1814" s="209" t="s">
        <v>179</v>
      </c>
      <c r="W1814" s="209" t="s">
        <v>179</v>
      </c>
      <c r="X1814" s="209" t="s">
        <v>180</v>
      </c>
      <c r="Y1814" s="209" t="s">
        <v>180</v>
      </c>
      <c r="Z1814" s="209" t="s">
        <v>4142</v>
      </c>
      <c r="AA1814" s="209" t="s">
        <v>4143</v>
      </c>
      <c r="AB1814" s="209" t="s">
        <v>180</v>
      </c>
      <c r="AC1814" s="209" t="s">
        <v>182</v>
      </c>
      <c r="AD1814" s="209">
        <v>1</v>
      </c>
      <c r="AE1814" s="209">
        <v>2026</v>
      </c>
      <c r="AF1814" s="227">
        <v>46050</v>
      </c>
      <c r="AG1814" s="227">
        <v>46052</v>
      </c>
      <c r="AH1814" s="227">
        <v>46052</v>
      </c>
      <c r="AI1814" s="228">
        <v>977184</v>
      </c>
      <c r="AJ1814" s="228">
        <v>52</v>
      </c>
      <c r="AK1814" s="228">
        <v>977184</v>
      </c>
      <c r="AL1814" s="228">
        <v>52</v>
      </c>
      <c r="AM1814" s="228">
        <v>0</v>
      </c>
      <c r="AN1814" s="228">
        <v>0</v>
      </c>
      <c r="AO1814" s="229">
        <v>5</v>
      </c>
      <c r="AP1814" s="231">
        <v>1</v>
      </c>
      <c r="AQ1814" s="231">
        <v>2026</v>
      </c>
      <c r="AR1814" s="231" t="str">
        <f t="shared" si="264"/>
        <v>01/2026</v>
      </c>
      <c r="AS1814" s="231">
        <f t="shared" si="265"/>
        <v>19.5</v>
      </c>
      <c r="AT1814" s="239">
        <f>IF(G1814="CERVECERIA Y MALTERIA",(AS1814*AK1814/1000000)*(1-VLOOKUP(N1814,FCST!D:I,6,FALSE)),0)</f>
        <v>19.055088000000001</v>
      </c>
      <c r="AU1814" s="232">
        <v>5.0000000000000001E-3</v>
      </c>
      <c r="AV1814" s="239">
        <f t="shared" si="266"/>
        <v>19.15036344</v>
      </c>
      <c r="AW1814" s="239">
        <f>(AS1814*AK1814/1000000)*(VLOOKUP(N1814,FCST!D:I,6,FALSE))</f>
        <v>0</v>
      </c>
      <c r="AX1814" s="239">
        <f t="shared" si="267"/>
        <v>0</v>
      </c>
      <c r="AY1814" s="239">
        <f>IF($G1814="CERVECERIA Y MALTERIA.",($AS1814*$AK1814/1000000)*(1-VLOOKUP($N1814,FCST!D:I,6,FALSE)),0)</f>
        <v>0</v>
      </c>
      <c r="AZ1814" s="239">
        <f t="shared" si="268"/>
        <v>0</v>
      </c>
    </row>
    <row r="1815" spans="1:52" x14ac:dyDescent="0.25">
      <c r="A1815" s="209">
        <v>1163989</v>
      </c>
      <c r="B1815" s="209">
        <v>10</v>
      </c>
      <c r="C1815" s="209" t="s">
        <v>4144</v>
      </c>
      <c r="D1815" s="209">
        <v>10</v>
      </c>
      <c r="E1815" s="209">
        <v>10000002</v>
      </c>
      <c r="F1815" s="209">
        <v>20000339</v>
      </c>
      <c r="G1815" s="209" t="s">
        <v>105</v>
      </c>
      <c r="H1815" s="209">
        <v>20000339</v>
      </c>
      <c r="I1815" s="209">
        <v>2</v>
      </c>
      <c r="J1815" s="209" t="s">
        <v>169</v>
      </c>
      <c r="K1815" s="209" t="s">
        <v>4145</v>
      </c>
      <c r="L1815" s="209" t="s">
        <v>3993</v>
      </c>
      <c r="M1815" s="209" t="s">
        <v>227</v>
      </c>
      <c r="N1815" s="209">
        <v>50036287</v>
      </c>
      <c r="O1815" s="209" t="s">
        <v>2191</v>
      </c>
      <c r="P1815" s="209">
        <v>5121</v>
      </c>
      <c r="Q1815" s="209" t="s">
        <v>228</v>
      </c>
      <c r="R1815" s="209" t="s">
        <v>229</v>
      </c>
      <c r="S1815" s="209" t="s">
        <v>230</v>
      </c>
      <c r="T1815" s="209" t="s">
        <v>231</v>
      </c>
      <c r="U1815" s="209" t="s">
        <v>232</v>
      </c>
      <c r="V1815" s="209" t="s">
        <v>179</v>
      </c>
      <c r="W1815" s="209" t="s">
        <v>179</v>
      </c>
      <c r="X1815" s="209" t="s">
        <v>180</v>
      </c>
      <c r="Y1815" s="209" t="s">
        <v>180</v>
      </c>
      <c r="Z1815" s="209" t="s">
        <v>4146</v>
      </c>
      <c r="AA1815" s="209" t="s">
        <v>4147</v>
      </c>
      <c r="AB1815" s="209" t="s">
        <v>180</v>
      </c>
      <c r="AC1815" s="209" t="s">
        <v>182</v>
      </c>
      <c r="AD1815" s="209">
        <v>1</v>
      </c>
      <c r="AE1815" s="209">
        <v>2026</v>
      </c>
      <c r="AF1815" s="227">
        <v>46050</v>
      </c>
      <c r="AG1815" s="227">
        <v>46052</v>
      </c>
      <c r="AH1815" s="227">
        <v>46052</v>
      </c>
      <c r="AI1815" s="228">
        <v>363168</v>
      </c>
      <c r="AJ1815" s="228">
        <v>52</v>
      </c>
      <c r="AK1815" s="228">
        <v>363168</v>
      </c>
      <c r="AL1815" s="228">
        <v>52</v>
      </c>
      <c r="AM1815" s="228">
        <v>0</v>
      </c>
      <c r="AN1815" s="228">
        <v>0</v>
      </c>
      <c r="AO1815" s="229">
        <v>5</v>
      </c>
      <c r="AP1815" s="231">
        <v>1</v>
      </c>
      <c r="AQ1815" s="231">
        <v>2026</v>
      </c>
      <c r="AR1815" s="231" t="str">
        <f t="shared" si="264"/>
        <v>01/2026</v>
      </c>
      <c r="AS1815" s="231">
        <f t="shared" si="265"/>
        <v>52</v>
      </c>
      <c r="AT1815" s="239">
        <f>IF(G1815="CERVECERIA Y MALTERIA",(AS1815*AK1815/1000000)*(1-VLOOKUP(N1815,FCST!D:I,6,FALSE)),0)</f>
        <v>18.884736</v>
      </c>
      <c r="AU1815" s="232">
        <v>5.0000000000000001E-3</v>
      </c>
      <c r="AV1815" s="239">
        <f t="shared" si="266"/>
        <v>18.979159679999999</v>
      </c>
      <c r="AW1815" s="239">
        <f>(AS1815*AK1815/1000000)*(VLOOKUP(N1815,FCST!D:I,6,FALSE))</f>
        <v>0</v>
      </c>
      <c r="AX1815" s="239">
        <f t="shared" si="267"/>
        <v>0</v>
      </c>
      <c r="AY1815" s="239">
        <f>IF($G1815="CERVECERIA Y MALTERIA.",($AS1815*$AK1815/1000000)*(1-VLOOKUP($N1815,FCST!D:I,6,FALSE)),0)</f>
        <v>0</v>
      </c>
      <c r="AZ1815" s="239">
        <f t="shared" si="268"/>
        <v>0</v>
      </c>
    </row>
    <row r="1816" spans="1:52" x14ac:dyDescent="0.25">
      <c r="A1816" s="209">
        <v>1163232</v>
      </c>
      <c r="B1816" s="209">
        <v>90</v>
      </c>
      <c r="C1816" s="209" t="s">
        <v>4148</v>
      </c>
      <c r="D1816" s="209">
        <v>10</v>
      </c>
      <c r="E1816" s="209">
        <v>10000002</v>
      </c>
      <c r="F1816" s="209">
        <v>20000335</v>
      </c>
      <c r="G1816" s="209" t="s">
        <v>105</v>
      </c>
      <c r="H1816" s="209">
        <v>20000335</v>
      </c>
      <c r="I1816" s="209">
        <v>2</v>
      </c>
      <c r="J1816" s="209" t="s">
        <v>169</v>
      </c>
      <c r="K1816" s="209" t="s">
        <v>4149</v>
      </c>
      <c r="L1816" s="209" t="s">
        <v>2610</v>
      </c>
      <c r="M1816" s="209" t="s">
        <v>199</v>
      </c>
      <c r="N1816" s="209">
        <v>50021818</v>
      </c>
      <c r="O1816" s="209" t="s">
        <v>2170</v>
      </c>
      <c r="P1816" s="209">
        <v>5121</v>
      </c>
      <c r="Q1816" s="209" t="s">
        <v>200</v>
      </c>
      <c r="R1816" s="209" t="s">
        <v>201</v>
      </c>
      <c r="S1816" s="209" t="s">
        <v>202</v>
      </c>
      <c r="T1816" s="209" t="s">
        <v>203</v>
      </c>
      <c r="U1816" s="209" t="s">
        <v>201</v>
      </c>
      <c r="V1816" s="209" t="s">
        <v>179</v>
      </c>
      <c r="W1816" s="209" t="s">
        <v>179</v>
      </c>
      <c r="X1816" s="209" t="s">
        <v>180</v>
      </c>
      <c r="Y1816" s="209" t="s">
        <v>180</v>
      </c>
      <c r="Z1816" s="209" t="s">
        <v>4150</v>
      </c>
      <c r="AA1816" s="209" t="s">
        <v>4151</v>
      </c>
      <c r="AB1816" s="209" t="s">
        <v>180</v>
      </c>
      <c r="AC1816" s="209" t="s">
        <v>182</v>
      </c>
      <c r="AD1816" s="209">
        <v>1</v>
      </c>
      <c r="AE1816" s="209">
        <v>2026</v>
      </c>
      <c r="AF1816" s="227">
        <v>46045</v>
      </c>
      <c r="AG1816" s="227">
        <v>46052</v>
      </c>
      <c r="AH1816" s="227">
        <v>46052</v>
      </c>
      <c r="AI1816" s="228">
        <v>426816</v>
      </c>
      <c r="AJ1816" s="228">
        <v>52</v>
      </c>
      <c r="AK1816" s="228">
        <v>426816</v>
      </c>
      <c r="AL1816" s="228">
        <v>52</v>
      </c>
      <c r="AM1816" s="228">
        <v>0</v>
      </c>
      <c r="AN1816" s="228">
        <v>0</v>
      </c>
      <c r="AO1816" s="229">
        <v>5</v>
      </c>
      <c r="AP1816" s="231">
        <v>1</v>
      </c>
      <c r="AQ1816" s="231">
        <v>2026</v>
      </c>
      <c r="AR1816" s="231" t="str">
        <f t="shared" si="264"/>
        <v>01/2026</v>
      </c>
      <c r="AS1816" s="231">
        <f t="shared" si="265"/>
        <v>46.6</v>
      </c>
      <c r="AT1816" s="239">
        <f>IF(G1816="CERVECERIA Y MALTERIA",(AS1816*AK1816/1000000)*(1-VLOOKUP(N1816,FCST!D:I,6,FALSE)),0)</f>
        <v>19.889625600000002</v>
      </c>
      <c r="AU1816" s="232">
        <v>5.0000000000000001E-3</v>
      </c>
      <c r="AV1816" s="239">
        <f t="shared" si="266"/>
        <v>19.989073728000001</v>
      </c>
      <c r="AW1816" s="239">
        <f>(AS1816*AK1816/1000000)*(VLOOKUP(N1816,FCST!D:I,6,FALSE))</f>
        <v>0</v>
      </c>
      <c r="AX1816" s="239">
        <f t="shared" si="267"/>
        <v>0</v>
      </c>
      <c r="AY1816" s="239">
        <f>IF($G1816="CERVECERIA Y MALTERIA.",($AS1816*$AK1816/1000000)*(1-VLOOKUP($N1816,FCST!D:I,6,FALSE)),0)</f>
        <v>0</v>
      </c>
      <c r="AZ1816" s="239">
        <f t="shared" si="268"/>
        <v>0</v>
      </c>
    </row>
    <row r="1817" spans="1:52" x14ac:dyDescent="0.25">
      <c r="A1817" s="209">
        <v>1163475</v>
      </c>
      <c r="B1817" s="209">
        <v>20</v>
      </c>
      <c r="C1817" s="209" t="s">
        <v>4152</v>
      </c>
      <c r="D1817" s="209">
        <v>10</v>
      </c>
      <c r="E1817" s="209">
        <v>10000002</v>
      </c>
      <c r="F1817" s="209">
        <v>20000337</v>
      </c>
      <c r="G1817" s="209" t="s">
        <v>105</v>
      </c>
      <c r="H1817" s="209">
        <v>20000337</v>
      </c>
      <c r="I1817" s="209">
        <v>2</v>
      </c>
      <c r="J1817" s="209" t="s">
        <v>169</v>
      </c>
      <c r="K1817" s="209" t="s">
        <v>4153</v>
      </c>
      <c r="L1817" s="209" t="s">
        <v>2610</v>
      </c>
      <c r="M1817" s="209" t="s">
        <v>199</v>
      </c>
      <c r="N1817" s="209">
        <v>50034616</v>
      </c>
      <c r="O1817" s="209" t="s">
        <v>191</v>
      </c>
      <c r="P1817" s="209">
        <v>5121</v>
      </c>
      <c r="Q1817" s="209" t="s">
        <v>200</v>
      </c>
      <c r="R1817" s="209" t="s">
        <v>201</v>
      </c>
      <c r="S1817" s="209" t="s">
        <v>202</v>
      </c>
      <c r="T1817" s="209" t="s">
        <v>203</v>
      </c>
      <c r="U1817" s="209" t="s">
        <v>201</v>
      </c>
      <c r="V1817" s="209" t="s">
        <v>179</v>
      </c>
      <c r="W1817" s="209" t="s">
        <v>179</v>
      </c>
      <c r="X1817" s="209" t="s">
        <v>180</v>
      </c>
      <c r="Y1817" s="209" t="s">
        <v>180</v>
      </c>
      <c r="Z1817" s="209" t="s">
        <v>4154</v>
      </c>
      <c r="AA1817" s="209" t="s">
        <v>4155</v>
      </c>
      <c r="AB1817" s="209" t="s">
        <v>180</v>
      </c>
      <c r="AC1817" s="209" t="s">
        <v>182</v>
      </c>
      <c r="AD1817" s="209">
        <v>1</v>
      </c>
      <c r="AE1817" s="209">
        <v>2026</v>
      </c>
      <c r="AF1817" s="227">
        <v>46048</v>
      </c>
      <c r="AG1817" s="227">
        <v>46048</v>
      </c>
      <c r="AH1817" s="227">
        <v>46048</v>
      </c>
      <c r="AI1817" s="228">
        <v>426816</v>
      </c>
      <c r="AJ1817" s="228">
        <v>52</v>
      </c>
      <c r="AK1817" s="228">
        <v>426816</v>
      </c>
      <c r="AL1817" s="228">
        <v>52</v>
      </c>
      <c r="AM1817" s="228">
        <v>0</v>
      </c>
      <c r="AN1817" s="228">
        <v>0</v>
      </c>
      <c r="AO1817" s="229">
        <v>5</v>
      </c>
      <c r="AP1817" s="231">
        <v>1</v>
      </c>
      <c r="AQ1817" s="231">
        <v>2026</v>
      </c>
      <c r="AR1817" s="231" t="str">
        <f t="shared" si="264"/>
        <v>01/2026</v>
      </c>
      <c r="AS1817" s="231">
        <f t="shared" si="265"/>
        <v>46.6</v>
      </c>
      <c r="AT1817" s="239">
        <f>IF(G1817="CERVECERIA Y MALTERIA",(AS1817*AK1817/1000000)*(1-VLOOKUP(N1817,FCST!D:I,6,FALSE)),0)</f>
        <v>19.889625600000002</v>
      </c>
      <c r="AU1817" s="232">
        <v>5.0000000000000001E-3</v>
      </c>
      <c r="AV1817" s="239">
        <f t="shared" si="266"/>
        <v>19.989073728000001</v>
      </c>
      <c r="AW1817" s="239">
        <f>(AS1817*AK1817/1000000)*(VLOOKUP(N1817,FCST!D:I,6,FALSE))</f>
        <v>0</v>
      </c>
      <c r="AX1817" s="239">
        <f t="shared" si="267"/>
        <v>0</v>
      </c>
      <c r="AY1817" s="239">
        <f>IF($G1817="CERVECERIA Y MALTERIA.",($AS1817*$AK1817/1000000)*(1-VLOOKUP($N1817,FCST!D:I,6,FALSE)),0)</f>
        <v>0</v>
      </c>
      <c r="AZ1817" s="239">
        <f t="shared" si="268"/>
        <v>0</v>
      </c>
    </row>
    <row r="1818" spans="1:52" x14ac:dyDescent="0.25">
      <c r="A1818" s="209">
        <v>1163357</v>
      </c>
      <c r="B1818" s="209">
        <v>10</v>
      </c>
      <c r="C1818" s="209" t="s">
        <v>4156</v>
      </c>
      <c r="D1818" s="209">
        <v>10</v>
      </c>
      <c r="E1818" s="209">
        <v>10000002</v>
      </c>
      <c r="F1818" s="209">
        <v>20000336</v>
      </c>
      <c r="G1818" s="209" t="s">
        <v>105</v>
      </c>
      <c r="H1818" s="209">
        <v>20000336</v>
      </c>
      <c r="I1818" s="209">
        <v>2</v>
      </c>
      <c r="J1818" s="209" t="s">
        <v>169</v>
      </c>
      <c r="K1818" s="209" t="s">
        <v>4157</v>
      </c>
      <c r="L1818" s="209" t="s">
        <v>2610</v>
      </c>
      <c r="M1818" s="209" t="s">
        <v>199</v>
      </c>
      <c r="N1818" s="209">
        <v>50021818</v>
      </c>
      <c r="O1818" s="209" t="s">
        <v>2170</v>
      </c>
      <c r="P1818" s="209">
        <v>5121</v>
      </c>
      <c r="Q1818" s="209" t="s">
        <v>200</v>
      </c>
      <c r="R1818" s="209" t="s">
        <v>201</v>
      </c>
      <c r="S1818" s="209" t="s">
        <v>202</v>
      </c>
      <c r="T1818" s="209" t="s">
        <v>203</v>
      </c>
      <c r="U1818" s="209" t="s">
        <v>201</v>
      </c>
      <c r="V1818" s="209" t="s">
        <v>179</v>
      </c>
      <c r="W1818" s="209" t="s">
        <v>179</v>
      </c>
      <c r="X1818" s="209" t="s">
        <v>180</v>
      </c>
      <c r="Y1818" s="209" t="s">
        <v>180</v>
      </c>
      <c r="Z1818" s="209" t="s">
        <v>4134</v>
      </c>
      <c r="AA1818" s="209" t="s">
        <v>4135</v>
      </c>
      <c r="AB1818" s="209" t="s">
        <v>180</v>
      </c>
      <c r="AC1818" s="209" t="s">
        <v>182</v>
      </c>
      <c r="AD1818" s="209">
        <v>1</v>
      </c>
      <c r="AE1818" s="209">
        <v>2026</v>
      </c>
      <c r="AF1818" s="227">
        <v>46045</v>
      </c>
      <c r="AG1818" s="227">
        <v>46048</v>
      </c>
      <c r="AH1818" s="227">
        <v>46048</v>
      </c>
      <c r="AI1818" s="228">
        <v>426816</v>
      </c>
      <c r="AJ1818" s="228">
        <v>52</v>
      </c>
      <c r="AK1818" s="228">
        <v>426816</v>
      </c>
      <c r="AL1818" s="228">
        <v>52</v>
      </c>
      <c r="AM1818" s="228">
        <v>0</v>
      </c>
      <c r="AN1818" s="228">
        <v>0</v>
      </c>
      <c r="AO1818" s="229">
        <v>5</v>
      </c>
      <c r="AP1818" s="231">
        <v>1</v>
      </c>
      <c r="AQ1818" s="231">
        <v>2026</v>
      </c>
      <c r="AR1818" s="231" t="str">
        <f t="shared" si="264"/>
        <v>01/2026</v>
      </c>
      <c r="AS1818" s="231">
        <f t="shared" si="265"/>
        <v>46.6</v>
      </c>
      <c r="AT1818" s="239">
        <f>IF(G1818="CERVECERIA Y MALTERIA",(AS1818*AK1818/1000000)*(1-VLOOKUP(N1818,FCST!D:I,6,FALSE)),0)</f>
        <v>19.889625600000002</v>
      </c>
      <c r="AU1818" s="232">
        <v>5.0000000000000001E-3</v>
      </c>
      <c r="AV1818" s="239">
        <f t="shared" si="266"/>
        <v>19.989073728000001</v>
      </c>
      <c r="AW1818" s="239">
        <f>(AS1818*AK1818/1000000)*(VLOOKUP(N1818,FCST!D:I,6,FALSE))</f>
        <v>0</v>
      </c>
      <c r="AX1818" s="239">
        <f t="shared" si="267"/>
        <v>0</v>
      </c>
      <c r="AY1818" s="239">
        <f>IF($G1818="CERVECERIA Y MALTERIA.",($AS1818*$AK1818/1000000)*(1-VLOOKUP($N1818,FCST!D:I,6,FALSE)),0)</f>
        <v>0</v>
      </c>
      <c r="AZ1818" s="239">
        <f t="shared" si="268"/>
        <v>0</v>
      </c>
    </row>
    <row r="1819" spans="1:52" x14ac:dyDescent="0.25">
      <c r="A1819" s="209">
        <v>1163237</v>
      </c>
      <c r="B1819" s="209">
        <v>10</v>
      </c>
      <c r="C1819" s="209" t="s">
        <v>4158</v>
      </c>
      <c r="D1819" s="209">
        <v>10</v>
      </c>
      <c r="E1819" s="209">
        <v>10000002</v>
      </c>
      <c r="F1819" s="209">
        <v>20000339</v>
      </c>
      <c r="G1819" s="209" t="s">
        <v>105</v>
      </c>
      <c r="H1819" s="209">
        <v>20000339</v>
      </c>
      <c r="I1819" s="209">
        <v>2</v>
      </c>
      <c r="J1819" s="209" t="s">
        <v>169</v>
      </c>
      <c r="K1819" s="209" t="s">
        <v>4159</v>
      </c>
      <c r="L1819" s="209" t="s">
        <v>2610</v>
      </c>
      <c r="M1819" s="209" t="s">
        <v>227</v>
      </c>
      <c r="N1819" s="209">
        <v>50036287</v>
      </c>
      <c r="O1819" s="209" t="s">
        <v>2191</v>
      </c>
      <c r="P1819" s="209">
        <v>5121</v>
      </c>
      <c r="Q1819" s="209" t="s">
        <v>228</v>
      </c>
      <c r="R1819" s="209" t="s">
        <v>229</v>
      </c>
      <c r="S1819" s="209" t="s">
        <v>230</v>
      </c>
      <c r="T1819" s="209" t="s">
        <v>231</v>
      </c>
      <c r="U1819" s="209" t="s">
        <v>232</v>
      </c>
      <c r="V1819" s="209" t="s">
        <v>179</v>
      </c>
      <c r="W1819" s="209" t="s">
        <v>179</v>
      </c>
      <c r="X1819" s="209" t="s">
        <v>180</v>
      </c>
      <c r="Y1819" s="209" t="s">
        <v>180</v>
      </c>
      <c r="Z1819" s="209" t="s">
        <v>4146</v>
      </c>
      <c r="AA1819" s="209" t="s">
        <v>4147</v>
      </c>
      <c r="AB1819" s="209" t="s">
        <v>180</v>
      </c>
      <c r="AC1819" s="209" t="s">
        <v>182</v>
      </c>
      <c r="AD1819" s="209">
        <v>1</v>
      </c>
      <c r="AE1819" s="209">
        <v>2026</v>
      </c>
      <c r="AF1819" s="227">
        <v>46045</v>
      </c>
      <c r="AG1819" s="227">
        <v>46048</v>
      </c>
      <c r="AH1819" s="227">
        <v>46048</v>
      </c>
      <c r="AI1819" s="228">
        <v>363168</v>
      </c>
      <c r="AJ1819" s="228">
        <v>52</v>
      </c>
      <c r="AK1819" s="228">
        <v>363168</v>
      </c>
      <c r="AL1819" s="228">
        <v>52</v>
      </c>
      <c r="AM1819" s="228">
        <v>0</v>
      </c>
      <c r="AN1819" s="228">
        <v>0</v>
      </c>
      <c r="AO1819" s="229">
        <v>5</v>
      </c>
      <c r="AP1819" s="231">
        <v>1</v>
      </c>
      <c r="AQ1819" s="231">
        <v>2026</v>
      </c>
      <c r="AR1819" s="231" t="str">
        <f t="shared" si="264"/>
        <v>01/2026</v>
      </c>
      <c r="AS1819" s="231">
        <f t="shared" si="265"/>
        <v>52</v>
      </c>
      <c r="AT1819" s="239">
        <f>IF(G1819="CERVECERIA Y MALTERIA",(AS1819*AK1819/1000000)*(1-VLOOKUP(N1819,FCST!D:I,6,FALSE)),0)</f>
        <v>18.884736</v>
      </c>
      <c r="AU1819" s="232">
        <v>5.0000000000000001E-3</v>
      </c>
      <c r="AV1819" s="239">
        <f t="shared" si="266"/>
        <v>18.979159679999999</v>
      </c>
      <c r="AW1819" s="239">
        <f>(AS1819*AK1819/1000000)*(VLOOKUP(N1819,FCST!D:I,6,FALSE))</f>
        <v>0</v>
      </c>
      <c r="AX1819" s="239">
        <f t="shared" si="267"/>
        <v>0</v>
      </c>
      <c r="AY1819" s="239">
        <f>IF($G1819="CERVECERIA Y MALTERIA.",($AS1819*$AK1819/1000000)*(1-VLOOKUP($N1819,FCST!D:I,6,FALSE)),0)</f>
        <v>0</v>
      </c>
      <c r="AZ1819" s="239">
        <f t="shared" si="268"/>
        <v>0</v>
      </c>
    </row>
    <row r="1820" spans="1:52" x14ac:dyDescent="0.25">
      <c r="A1820" s="209">
        <v>1163232</v>
      </c>
      <c r="B1820" s="209">
        <v>60</v>
      </c>
      <c r="C1820" s="209" t="s">
        <v>4160</v>
      </c>
      <c r="D1820" s="209">
        <v>10</v>
      </c>
      <c r="E1820" s="209">
        <v>10000002</v>
      </c>
      <c r="F1820" s="209">
        <v>20000335</v>
      </c>
      <c r="G1820" s="209" t="s">
        <v>105</v>
      </c>
      <c r="H1820" s="209">
        <v>20000335</v>
      </c>
      <c r="I1820" s="209">
        <v>2</v>
      </c>
      <c r="J1820" s="209" t="s">
        <v>169</v>
      </c>
      <c r="K1820" s="209" t="s">
        <v>4161</v>
      </c>
      <c r="L1820" s="209" t="s">
        <v>2610</v>
      </c>
      <c r="M1820" s="209" t="s">
        <v>199</v>
      </c>
      <c r="N1820" s="209">
        <v>50021818</v>
      </c>
      <c r="O1820" s="209" t="s">
        <v>2170</v>
      </c>
      <c r="P1820" s="209">
        <v>5121</v>
      </c>
      <c r="Q1820" s="209" t="s">
        <v>200</v>
      </c>
      <c r="R1820" s="209" t="s">
        <v>201</v>
      </c>
      <c r="S1820" s="209" t="s">
        <v>202</v>
      </c>
      <c r="T1820" s="209" t="s">
        <v>203</v>
      </c>
      <c r="U1820" s="209" t="s">
        <v>201</v>
      </c>
      <c r="V1820" s="209" t="s">
        <v>179</v>
      </c>
      <c r="W1820" s="209" t="s">
        <v>179</v>
      </c>
      <c r="X1820" s="209" t="s">
        <v>180</v>
      </c>
      <c r="Y1820" s="209" t="s">
        <v>180</v>
      </c>
      <c r="Z1820" s="209" t="s">
        <v>4109</v>
      </c>
      <c r="AA1820" s="209" t="s">
        <v>4110</v>
      </c>
      <c r="AB1820" s="209" t="s">
        <v>180</v>
      </c>
      <c r="AC1820" s="209" t="s">
        <v>182</v>
      </c>
      <c r="AD1820" s="209">
        <v>1</v>
      </c>
      <c r="AE1820" s="209">
        <v>2026</v>
      </c>
      <c r="AF1820" s="227">
        <v>46045</v>
      </c>
      <c r="AG1820" s="227">
        <v>46050</v>
      </c>
      <c r="AH1820" s="227">
        <v>46050</v>
      </c>
      <c r="AI1820" s="228">
        <v>426816</v>
      </c>
      <c r="AJ1820" s="228">
        <v>52</v>
      </c>
      <c r="AK1820" s="228">
        <v>426816</v>
      </c>
      <c r="AL1820" s="228">
        <v>52</v>
      </c>
      <c r="AM1820" s="228">
        <v>0</v>
      </c>
      <c r="AN1820" s="228">
        <v>0</v>
      </c>
      <c r="AO1820" s="229">
        <v>5</v>
      </c>
      <c r="AP1820" s="231">
        <v>1</v>
      </c>
      <c r="AQ1820" s="231">
        <v>2026</v>
      </c>
      <c r="AR1820" s="231" t="str">
        <f t="shared" si="264"/>
        <v>01/2026</v>
      </c>
      <c r="AS1820" s="231">
        <f t="shared" si="265"/>
        <v>46.6</v>
      </c>
      <c r="AT1820" s="239">
        <f>IF(G1820="CERVECERIA Y MALTERIA",(AS1820*AK1820/1000000)*(1-VLOOKUP(N1820,FCST!D:I,6,FALSE)),0)</f>
        <v>19.889625600000002</v>
      </c>
      <c r="AU1820" s="232">
        <v>5.0000000000000001E-3</v>
      </c>
      <c r="AV1820" s="239">
        <f t="shared" si="266"/>
        <v>19.989073728000001</v>
      </c>
      <c r="AW1820" s="239">
        <f>(AS1820*AK1820/1000000)*(VLOOKUP(N1820,FCST!D:I,6,FALSE))</f>
        <v>0</v>
      </c>
      <c r="AX1820" s="239">
        <f t="shared" si="267"/>
        <v>0</v>
      </c>
      <c r="AY1820" s="239">
        <f>IF($G1820="CERVECERIA Y MALTERIA.",($AS1820*$AK1820/1000000)*(1-VLOOKUP($N1820,FCST!D:I,6,FALSE)),0)</f>
        <v>0</v>
      </c>
      <c r="AZ1820" s="239">
        <f t="shared" si="268"/>
        <v>0</v>
      </c>
    </row>
    <row r="1821" spans="1:52" x14ac:dyDescent="0.25">
      <c r="A1821" s="209">
        <v>1163237</v>
      </c>
      <c r="B1821" s="209">
        <v>20</v>
      </c>
      <c r="C1821" s="209" t="s">
        <v>4162</v>
      </c>
      <c r="D1821" s="209">
        <v>10</v>
      </c>
      <c r="E1821" s="209">
        <v>10000002</v>
      </c>
      <c r="F1821" s="209">
        <v>20000339</v>
      </c>
      <c r="G1821" s="209" t="s">
        <v>105</v>
      </c>
      <c r="H1821" s="209">
        <v>20000339</v>
      </c>
      <c r="I1821" s="209">
        <v>2</v>
      </c>
      <c r="J1821" s="209" t="s">
        <v>169</v>
      </c>
      <c r="K1821" s="209" t="s">
        <v>4163</v>
      </c>
      <c r="L1821" s="209" t="s">
        <v>2610</v>
      </c>
      <c r="M1821" s="209" t="s">
        <v>227</v>
      </c>
      <c r="N1821" s="209">
        <v>50036287</v>
      </c>
      <c r="O1821" s="209" t="s">
        <v>2191</v>
      </c>
      <c r="P1821" s="209">
        <v>5121</v>
      </c>
      <c r="Q1821" s="209" t="s">
        <v>228</v>
      </c>
      <c r="R1821" s="209" t="s">
        <v>229</v>
      </c>
      <c r="S1821" s="209" t="s">
        <v>230</v>
      </c>
      <c r="T1821" s="209" t="s">
        <v>231</v>
      </c>
      <c r="U1821" s="209" t="s">
        <v>232</v>
      </c>
      <c r="V1821" s="209" t="s">
        <v>179</v>
      </c>
      <c r="W1821" s="209" t="s">
        <v>179</v>
      </c>
      <c r="X1821" s="209" t="s">
        <v>180</v>
      </c>
      <c r="Y1821" s="209" t="s">
        <v>180</v>
      </c>
      <c r="Z1821" s="209" t="s">
        <v>4146</v>
      </c>
      <c r="AA1821" s="209" t="s">
        <v>4147</v>
      </c>
      <c r="AB1821" s="209" t="s">
        <v>180</v>
      </c>
      <c r="AC1821" s="209" t="s">
        <v>182</v>
      </c>
      <c r="AD1821" s="209">
        <v>1</v>
      </c>
      <c r="AE1821" s="209">
        <v>2026</v>
      </c>
      <c r="AF1821" s="227">
        <v>46045</v>
      </c>
      <c r="AG1821" s="227">
        <v>46049</v>
      </c>
      <c r="AH1821" s="227">
        <v>46049</v>
      </c>
      <c r="AI1821" s="228">
        <v>363168</v>
      </c>
      <c r="AJ1821" s="228">
        <v>52</v>
      </c>
      <c r="AK1821" s="228">
        <v>363168</v>
      </c>
      <c r="AL1821" s="228">
        <v>52</v>
      </c>
      <c r="AM1821" s="228">
        <v>0</v>
      </c>
      <c r="AN1821" s="228">
        <v>0</v>
      </c>
      <c r="AO1821" s="229">
        <v>5</v>
      </c>
      <c r="AP1821" s="231">
        <v>1</v>
      </c>
      <c r="AQ1821" s="231">
        <v>2026</v>
      </c>
      <c r="AR1821" s="231" t="str">
        <f t="shared" si="264"/>
        <v>01/2026</v>
      </c>
      <c r="AS1821" s="231">
        <f t="shared" si="265"/>
        <v>52</v>
      </c>
      <c r="AT1821" s="239">
        <f>IF(G1821="CERVECERIA Y MALTERIA",(AS1821*AK1821/1000000)*(1-VLOOKUP(N1821,FCST!D:I,6,FALSE)),0)</f>
        <v>18.884736</v>
      </c>
      <c r="AU1821" s="232">
        <v>5.0000000000000001E-3</v>
      </c>
      <c r="AV1821" s="239">
        <f t="shared" si="266"/>
        <v>18.979159679999999</v>
      </c>
      <c r="AW1821" s="239">
        <f>(AS1821*AK1821/1000000)*(VLOOKUP(N1821,FCST!D:I,6,FALSE))</f>
        <v>0</v>
      </c>
      <c r="AX1821" s="239">
        <f t="shared" si="267"/>
        <v>0</v>
      </c>
      <c r="AY1821" s="239">
        <f>IF($G1821="CERVECERIA Y MALTERIA.",($AS1821*$AK1821/1000000)*(1-VLOOKUP($N1821,FCST!D:I,6,FALSE)),0)</f>
        <v>0</v>
      </c>
      <c r="AZ1821" s="239">
        <f t="shared" si="268"/>
        <v>0</v>
      </c>
    </row>
    <row r="1822" spans="1:52" x14ac:dyDescent="0.25">
      <c r="A1822" s="209">
        <v>1159848</v>
      </c>
      <c r="B1822" s="209">
        <v>10</v>
      </c>
      <c r="C1822" s="209" t="s">
        <v>4164</v>
      </c>
      <c r="D1822" s="209">
        <v>10</v>
      </c>
      <c r="E1822" s="209">
        <v>10000002</v>
      </c>
      <c r="F1822" s="209">
        <v>20000339</v>
      </c>
      <c r="G1822" s="209" t="s">
        <v>105</v>
      </c>
      <c r="H1822" s="209">
        <v>20000339</v>
      </c>
      <c r="I1822" s="209">
        <v>2</v>
      </c>
      <c r="J1822" s="209" t="s">
        <v>169</v>
      </c>
      <c r="K1822" s="209" t="s">
        <v>4165</v>
      </c>
      <c r="L1822" s="209" t="s">
        <v>265</v>
      </c>
      <c r="M1822" s="209" t="s">
        <v>4086</v>
      </c>
      <c r="N1822" s="209">
        <v>50036287</v>
      </c>
      <c r="O1822" s="209" t="s">
        <v>2191</v>
      </c>
      <c r="P1822" s="209">
        <v>5121</v>
      </c>
      <c r="Q1822" s="209" t="s">
        <v>228</v>
      </c>
      <c r="R1822" s="209" t="s">
        <v>229</v>
      </c>
      <c r="S1822" s="209" t="s">
        <v>230</v>
      </c>
      <c r="T1822" s="209" t="s">
        <v>231</v>
      </c>
      <c r="U1822" s="209" t="s">
        <v>232</v>
      </c>
      <c r="V1822" s="209" t="s">
        <v>179</v>
      </c>
      <c r="W1822" s="209" t="s">
        <v>179</v>
      </c>
      <c r="X1822" s="209" t="s">
        <v>180</v>
      </c>
      <c r="Y1822" s="209" t="s">
        <v>180</v>
      </c>
      <c r="Z1822" s="209" t="s">
        <v>4166</v>
      </c>
      <c r="AA1822" s="209" t="s">
        <v>4167</v>
      </c>
      <c r="AB1822" s="209" t="s">
        <v>180</v>
      </c>
      <c r="AC1822" s="209" t="s">
        <v>182</v>
      </c>
      <c r="AD1822" s="209">
        <v>1</v>
      </c>
      <c r="AE1822" s="209">
        <v>2026</v>
      </c>
      <c r="AF1822" s="227">
        <v>46028</v>
      </c>
      <c r="AG1822" s="227">
        <v>46029</v>
      </c>
      <c r="AH1822" s="227">
        <v>46029</v>
      </c>
      <c r="AI1822" s="228">
        <v>363168</v>
      </c>
      <c r="AJ1822" s="228">
        <v>52</v>
      </c>
      <c r="AK1822" s="228">
        <v>363168</v>
      </c>
      <c r="AL1822" s="228">
        <v>52</v>
      </c>
      <c r="AM1822" s="228">
        <v>0</v>
      </c>
      <c r="AN1822" s="228">
        <v>0</v>
      </c>
      <c r="AO1822" s="229">
        <v>2</v>
      </c>
      <c r="AP1822" s="231">
        <v>1</v>
      </c>
      <c r="AQ1822" s="231">
        <v>2026</v>
      </c>
      <c r="AR1822" s="231" t="str">
        <f t="shared" si="264"/>
        <v>01/2026</v>
      </c>
      <c r="AS1822" s="231">
        <f t="shared" si="265"/>
        <v>52</v>
      </c>
      <c r="AT1822" s="239">
        <f>IF(G1822="CERVECERIA Y MALTERIA",(AS1822*AK1822/1000000)*(1-VLOOKUP(N1822,FCST!D:I,6,FALSE)),0)</f>
        <v>18.884736</v>
      </c>
      <c r="AU1822" s="232">
        <v>5.0000000000000001E-3</v>
      </c>
      <c r="AV1822" s="239">
        <f t="shared" si="266"/>
        <v>18.979159679999999</v>
      </c>
      <c r="AW1822" s="239">
        <f>(AS1822*AK1822/1000000)*(VLOOKUP(N1822,FCST!D:I,6,FALSE))</f>
        <v>0</v>
      </c>
      <c r="AX1822" s="239">
        <f t="shared" si="267"/>
        <v>0</v>
      </c>
      <c r="AY1822" s="239">
        <f>IF($G1822="CERVECERIA Y MALTERIA.",($AS1822*$AK1822/1000000)*(1-VLOOKUP($N1822,FCST!D:I,6,FALSE)),0)</f>
        <v>0</v>
      </c>
      <c r="AZ1822" s="239">
        <f t="shared" si="268"/>
        <v>0</v>
      </c>
    </row>
    <row r="1823" spans="1:52" x14ac:dyDescent="0.25">
      <c r="A1823" s="209">
        <v>1159116</v>
      </c>
      <c r="B1823" s="209">
        <v>100</v>
      </c>
      <c r="C1823" s="209" t="s">
        <v>4168</v>
      </c>
      <c r="D1823" s="209">
        <v>10</v>
      </c>
      <c r="E1823" s="209">
        <v>10000002</v>
      </c>
      <c r="F1823" s="209">
        <v>20000335</v>
      </c>
      <c r="G1823" s="209" t="s">
        <v>105</v>
      </c>
      <c r="H1823" s="209">
        <v>20000335</v>
      </c>
      <c r="I1823" s="209">
        <v>2</v>
      </c>
      <c r="J1823" s="209" t="s">
        <v>169</v>
      </c>
      <c r="K1823" s="209" t="s">
        <v>4169</v>
      </c>
      <c r="L1823" s="209" t="s">
        <v>2610</v>
      </c>
      <c r="M1823" s="209" t="s">
        <v>4086</v>
      </c>
      <c r="N1823" s="209">
        <v>50021818</v>
      </c>
      <c r="O1823" s="209" t="s">
        <v>2170</v>
      </c>
      <c r="P1823" s="209">
        <v>5121</v>
      </c>
      <c r="Q1823" s="209" t="s">
        <v>200</v>
      </c>
      <c r="R1823" s="209" t="s">
        <v>201</v>
      </c>
      <c r="S1823" s="209" t="s">
        <v>202</v>
      </c>
      <c r="T1823" s="209" t="s">
        <v>203</v>
      </c>
      <c r="U1823" s="209" t="s">
        <v>201</v>
      </c>
      <c r="V1823" s="209" t="s">
        <v>179</v>
      </c>
      <c r="W1823" s="209" t="s">
        <v>179</v>
      </c>
      <c r="X1823" s="209" t="s">
        <v>180</v>
      </c>
      <c r="Y1823" s="209" t="s">
        <v>180</v>
      </c>
      <c r="Z1823" s="209" t="s">
        <v>4099</v>
      </c>
      <c r="AA1823" s="209" t="s">
        <v>4100</v>
      </c>
      <c r="AB1823" s="209" t="s">
        <v>180</v>
      </c>
      <c r="AC1823" s="209" t="s">
        <v>182</v>
      </c>
      <c r="AD1823" s="209">
        <v>1</v>
      </c>
      <c r="AE1823" s="209">
        <v>2026</v>
      </c>
      <c r="AF1823" s="227">
        <v>46024</v>
      </c>
      <c r="AG1823" s="227">
        <v>46029</v>
      </c>
      <c r="AH1823" s="227">
        <v>46029</v>
      </c>
      <c r="AI1823" s="228">
        <v>426816</v>
      </c>
      <c r="AJ1823" s="228">
        <v>52</v>
      </c>
      <c r="AK1823" s="228">
        <v>426816</v>
      </c>
      <c r="AL1823" s="228">
        <v>52</v>
      </c>
      <c r="AM1823" s="228">
        <v>0</v>
      </c>
      <c r="AN1823" s="228">
        <v>0</v>
      </c>
      <c r="AO1823" s="229">
        <v>2</v>
      </c>
      <c r="AP1823" s="231">
        <v>1</v>
      </c>
      <c r="AQ1823" s="231">
        <v>2026</v>
      </c>
      <c r="AR1823" s="231" t="str">
        <f t="shared" si="264"/>
        <v>01/2026</v>
      </c>
      <c r="AS1823" s="231">
        <f t="shared" si="265"/>
        <v>46.6</v>
      </c>
      <c r="AT1823" s="239">
        <f>IF(G1823="CERVECERIA Y MALTERIA",(AS1823*AK1823/1000000)*(1-VLOOKUP(N1823,FCST!D:I,6,FALSE)),0)</f>
        <v>19.889625600000002</v>
      </c>
      <c r="AU1823" s="232">
        <v>5.0000000000000001E-3</v>
      </c>
      <c r="AV1823" s="239">
        <f t="shared" si="266"/>
        <v>19.989073728000001</v>
      </c>
      <c r="AW1823" s="239">
        <f>(AS1823*AK1823/1000000)*(VLOOKUP(N1823,FCST!D:I,6,FALSE))</f>
        <v>0</v>
      </c>
      <c r="AX1823" s="239">
        <f t="shared" si="267"/>
        <v>0</v>
      </c>
      <c r="AY1823" s="239">
        <f>IF($G1823="CERVECERIA Y MALTERIA.",($AS1823*$AK1823/1000000)*(1-VLOOKUP($N1823,FCST!D:I,6,FALSE)),0)</f>
        <v>0</v>
      </c>
      <c r="AZ1823" s="239">
        <f t="shared" si="268"/>
        <v>0</v>
      </c>
    </row>
    <row r="1824" spans="1:52" x14ac:dyDescent="0.25">
      <c r="A1824" s="209">
        <v>1159116</v>
      </c>
      <c r="B1824" s="209">
        <v>40</v>
      </c>
      <c r="C1824" s="209" t="s">
        <v>4170</v>
      </c>
      <c r="D1824" s="209">
        <v>10</v>
      </c>
      <c r="E1824" s="209">
        <v>10000002</v>
      </c>
      <c r="F1824" s="209">
        <v>20000335</v>
      </c>
      <c r="G1824" s="209" t="s">
        <v>105</v>
      </c>
      <c r="H1824" s="209">
        <v>20000335</v>
      </c>
      <c r="I1824" s="209">
        <v>2</v>
      </c>
      <c r="J1824" s="209" t="s">
        <v>169</v>
      </c>
      <c r="K1824" s="209" t="s">
        <v>4171</v>
      </c>
      <c r="L1824" s="209" t="s">
        <v>2610</v>
      </c>
      <c r="M1824" s="209" t="s">
        <v>4086</v>
      </c>
      <c r="N1824" s="209">
        <v>50037887</v>
      </c>
      <c r="O1824" s="209" t="s">
        <v>679</v>
      </c>
      <c r="P1824" s="209">
        <v>5121</v>
      </c>
      <c r="Q1824" s="209" t="s">
        <v>200</v>
      </c>
      <c r="R1824" s="209" t="s">
        <v>201</v>
      </c>
      <c r="S1824" s="209" t="s">
        <v>202</v>
      </c>
      <c r="T1824" s="209" t="s">
        <v>203</v>
      </c>
      <c r="U1824" s="209" t="s">
        <v>201</v>
      </c>
      <c r="V1824" s="209" t="s">
        <v>179</v>
      </c>
      <c r="W1824" s="209" t="s">
        <v>179</v>
      </c>
      <c r="X1824" s="209" t="s">
        <v>180</v>
      </c>
      <c r="Y1824" s="209" t="s">
        <v>180</v>
      </c>
      <c r="Z1824" s="209" t="s">
        <v>4095</v>
      </c>
      <c r="AA1824" s="209" t="s">
        <v>4096</v>
      </c>
      <c r="AB1824" s="209" t="s">
        <v>180</v>
      </c>
      <c r="AC1824" s="209" t="s">
        <v>182</v>
      </c>
      <c r="AD1824" s="209">
        <v>1</v>
      </c>
      <c r="AE1824" s="209">
        <v>2026</v>
      </c>
      <c r="AF1824" s="227">
        <v>46024</v>
      </c>
      <c r="AG1824" s="227">
        <v>46029</v>
      </c>
      <c r="AH1824" s="227">
        <v>46029</v>
      </c>
      <c r="AI1824" s="228">
        <v>531648</v>
      </c>
      <c r="AJ1824" s="228">
        <v>52</v>
      </c>
      <c r="AK1824" s="228">
        <v>531648</v>
      </c>
      <c r="AL1824" s="228">
        <v>52</v>
      </c>
      <c r="AM1824" s="228">
        <v>0</v>
      </c>
      <c r="AN1824" s="228">
        <v>0</v>
      </c>
      <c r="AO1824" s="229">
        <v>2</v>
      </c>
      <c r="AP1824" s="231">
        <v>1</v>
      </c>
      <c r="AQ1824" s="231">
        <v>2026</v>
      </c>
      <c r="AR1824" s="231" t="str">
        <f t="shared" si="264"/>
        <v>01/2026</v>
      </c>
      <c r="AS1824" s="231">
        <f t="shared" si="265"/>
        <v>37.200000000000003</v>
      </c>
      <c r="AT1824" s="239">
        <f>IF(G1824="CERVECERIA Y MALTERIA",(AS1824*AK1824/1000000)*(1-VLOOKUP(N1824,FCST!D:I,6,FALSE)),0)</f>
        <v>19.777305600000002</v>
      </c>
      <c r="AU1824" s="232">
        <v>5.0000000000000001E-3</v>
      </c>
      <c r="AV1824" s="239">
        <f t="shared" si="266"/>
        <v>19.876192128</v>
      </c>
      <c r="AW1824" s="239">
        <f>(AS1824*AK1824/1000000)*(VLOOKUP(N1824,FCST!D:I,6,FALSE))</f>
        <v>0</v>
      </c>
      <c r="AX1824" s="239">
        <f t="shared" si="267"/>
        <v>0</v>
      </c>
      <c r="AY1824" s="239">
        <f>IF($G1824="CERVECERIA Y MALTERIA.",($AS1824*$AK1824/1000000)*(1-VLOOKUP($N1824,FCST!D:I,6,FALSE)),0)</f>
        <v>0</v>
      </c>
      <c r="AZ1824" s="239">
        <f t="shared" si="268"/>
        <v>0</v>
      </c>
    </row>
    <row r="1825" spans="1:52" x14ac:dyDescent="0.25">
      <c r="A1825" s="209">
        <v>1159116</v>
      </c>
      <c r="B1825" s="209">
        <v>90</v>
      </c>
      <c r="C1825" s="209" t="s">
        <v>4172</v>
      </c>
      <c r="D1825" s="209">
        <v>10</v>
      </c>
      <c r="E1825" s="209">
        <v>10000002</v>
      </c>
      <c r="F1825" s="209">
        <v>20000335</v>
      </c>
      <c r="G1825" s="209" t="s">
        <v>105</v>
      </c>
      <c r="H1825" s="209">
        <v>20000335</v>
      </c>
      <c r="I1825" s="209">
        <v>2</v>
      </c>
      <c r="J1825" s="209" t="s">
        <v>169</v>
      </c>
      <c r="K1825" s="209" t="s">
        <v>4173</v>
      </c>
      <c r="L1825" s="209" t="s">
        <v>2610</v>
      </c>
      <c r="M1825" s="209" t="s">
        <v>4086</v>
      </c>
      <c r="N1825" s="209">
        <v>50021818</v>
      </c>
      <c r="O1825" s="209" t="s">
        <v>2170</v>
      </c>
      <c r="P1825" s="209">
        <v>5121</v>
      </c>
      <c r="Q1825" s="209" t="s">
        <v>200</v>
      </c>
      <c r="R1825" s="209" t="s">
        <v>201</v>
      </c>
      <c r="S1825" s="209" t="s">
        <v>202</v>
      </c>
      <c r="T1825" s="209" t="s">
        <v>203</v>
      </c>
      <c r="U1825" s="209" t="s">
        <v>201</v>
      </c>
      <c r="V1825" s="209" t="s">
        <v>179</v>
      </c>
      <c r="W1825" s="209" t="s">
        <v>179</v>
      </c>
      <c r="X1825" s="209" t="s">
        <v>180</v>
      </c>
      <c r="Y1825" s="209" t="s">
        <v>180</v>
      </c>
      <c r="Z1825" s="209" t="s">
        <v>4099</v>
      </c>
      <c r="AA1825" s="209" t="s">
        <v>4100</v>
      </c>
      <c r="AB1825" s="209" t="s">
        <v>180</v>
      </c>
      <c r="AC1825" s="209" t="s">
        <v>182</v>
      </c>
      <c r="AD1825" s="209">
        <v>1</v>
      </c>
      <c r="AE1825" s="209">
        <v>2026</v>
      </c>
      <c r="AF1825" s="227">
        <v>46024</v>
      </c>
      <c r="AG1825" s="227">
        <v>46029</v>
      </c>
      <c r="AH1825" s="227">
        <v>46029</v>
      </c>
      <c r="AI1825" s="228">
        <v>426816</v>
      </c>
      <c r="AJ1825" s="228">
        <v>52</v>
      </c>
      <c r="AK1825" s="228">
        <v>426816</v>
      </c>
      <c r="AL1825" s="228">
        <v>52</v>
      </c>
      <c r="AM1825" s="228">
        <v>0</v>
      </c>
      <c r="AN1825" s="228">
        <v>0</v>
      </c>
      <c r="AO1825" s="229">
        <v>2</v>
      </c>
      <c r="AP1825" s="231">
        <v>1</v>
      </c>
      <c r="AQ1825" s="231">
        <v>2026</v>
      </c>
      <c r="AR1825" s="231" t="str">
        <f t="shared" si="264"/>
        <v>01/2026</v>
      </c>
      <c r="AS1825" s="231">
        <f t="shared" si="265"/>
        <v>46.6</v>
      </c>
      <c r="AT1825" s="239">
        <f>IF(G1825="CERVECERIA Y MALTERIA",(AS1825*AK1825/1000000)*(1-VLOOKUP(N1825,FCST!D:I,6,FALSE)),0)</f>
        <v>19.889625600000002</v>
      </c>
      <c r="AU1825" s="232">
        <v>5.0000000000000001E-3</v>
      </c>
      <c r="AV1825" s="239">
        <f t="shared" si="266"/>
        <v>19.989073728000001</v>
      </c>
      <c r="AW1825" s="239">
        <f>(AS1825*AK1825/1000000)*(VLOOKUP(N1825,FCST!D:I,6,FALSE))</f>
        <v>0</v>
      </c>
      <c r="AX1825" s="239">
        <f t="shared" si="267"/>
        <v>0</v>
      </c>
      <c r="AY1825" s="239">
        <f>IF($G1825="CERVECERIA Y MALTERIA.",($AS1825*$AK1825/1000000)*(1-VLOOKUP($N1825,FCST!D:I,6,FALSE)),0)</f>
        <v>0</v>
      </c>
      <c r="AZ1825" s="239">
        <f t="shared" si="268"/>
        <v>0</v>
      </c>
    </row>
    <row r="1826" spans="1:52" x14ac:dyDescent="0.25">
      <c r="A1826" s="209">
        <v>1159285</v>
      </c>
      <c r="B1826" s="209">
        <v>20</v>
      </c>
      <c r="C1826" s="209" t="s">
        <v>4174</v>
      </c>
      <c r="D1826" s="209">
        <v>10</v>
      </c>
      <c r="E1826" s="209">
        <v>10000002</v>
      </c>
      <c r="F1826" s="209">
        <v>20000337</v>
      </c>
      <c r="G1826" s="209" t="s">
        <v>105</v>
      </c>
      <c r="H1826" s="209">
        <v>20000337</v>
      </c>
      <c r="I1826" s="209">
        <v>2</v>
      </c>
      <c r="J1826" s="209" t="s">
        <v>169</v>
      </c>
      <c r="K1826" s="209" t="s">
        <v>4175</v>
      </c>
      <c r="L1826" s="209" t="s">
        <v>2610</v>
      </c>
      <c r="M1826" s="209" t="s">
        <v>4086</v>
      </c>
      <c r="N1826" s="209">
        <v>50032583</v>
      </c>
      <c r="O1826" s="209" t="s">
        <v>205</v>
      </c>
      <c r="P1826" s="209">
        <v>5121</v>
      </c>
      <c r="Q1826" s="209" t="s">
        <v>200</v>
      </c>
      <c r="R1826" s="209" t="s">
        <v>201</v>
      </c>
      <c r="S1826" s="209" t="s">
        <v>202</v>
      </c>
      <c r="T1826" s="209" t="s">
        <v>203</v>
      </c>
      <c r="U1826" s="209" t="s">
        <v>201</v>
      </c>
      <c r="V1826" s="209" t="s">
        <v>179</v>
      </c>
      <c r="W1826" s="209" t="s">
        <v>179</v>
      </c>
      <c r="X1826" s="209" t="s">
        <v>180</v>
      </c>
      <c r="Y1826" s="209" t="s">
        <v>180</v>
      </c>
      <c r="Z1826" s="209" t="s">
        <v>4176</v>
      </c>
      <c r="AA1826" s="209" t="s">
        <v>4177</v>
      </c>
      <c r="AB1826" s="209" t="s">
        <v>180</v>
      </c>
      <c r="AC1826" s="209" t="s">
        <v>182</v>
      </c>
      <c r="AD1826" s="209">
        <v>1</v>
      </c>
      <c r="AE1826" s="209">
        <v>2026</v>
      </c>
      <c r="AF1826" s="227">
        <v>46024</v>
      </c>
      <c r="AG1826" s="227">
        <v>46029</v>
      </c>
      <c r="AH1826" s="227">
        <v>46028</v>
      </c>
      <c r="AI1826" s="228">
        <v>351936</v>
      </c>
      <c r="AJ1826" s="228">
        <v>52</v>
      </c>
      <c r="AK1826" s="228">
        <v>351936</v>
      </c>
      <c r="AL1826" s="228">
        <v>52</v>
      </c>
      <c r="AM1826" s="228">
        <v>0</v>
      </c>
      <c r="AN1826" s="228">
        <v>0</v>
      </c>
      <c r="AO1826" s="229">
        <v>2</v>
      </c>
      <c r="AP1826" s="231">
        <v>1</v>
      </c>
      <c r="AQ1826" s="231">
        <v>2026</v>
      </c>
      <c r="AR1826" s="231" t="str">
        <f t="shared" si="264"/>
        <v>01/2026</v>
      </c>
      <c r="AS1826" s="231">
        <f t="shared" si="265"/>
        <v>54.7</v>
      </c>
      <c r="AT1826" s="239">
        <f>IF(G1826="CERVECERIA Y MALTERIA",(AS1826*AK1826/1000000)*(1-VLOOKUP(N1826,FCST!D:I,6,FALSE)),0)</f>
        <v>19.250899199999999</v>
      </c>
      <c r="AU1826" s="232">
        <v>5.0000000000000001E-3</v>
      </c>
      <c r="AV1826" s="239">
        <f t="shared" si="266"/>
        <v>19.347153695999996</v>
      </c>
      <c r="AW1826" s="239">
        <f>(AS1826*AK1826/1000000)*(VLOOKUP(N1826,FCST!D:I,6,FALSE))</f>
        <v>0</v>
      </c>
      <c r="AX1826" s="239">
        <f t="shared" si="267"/>
        <v>0</v>
      </c>
      <c r="AY1826" s="239">
        <f>IF($G1826="CERVECERIA Y MALTERIA.",($AS1826*$AK1826/1000000)*(1-VLOOKUP($N1826,FCST!D:I,6,FALSE)),0)</f>
        <v>0</v>
      </c>
      <c r="AZ1826" s="239">
        <f t="shared" si="268"/>
        <v>0</v>
      </c>
    </row>
    <row r="1827" spans="1:52" x14ac:dyDescent="0.25">
      <c r="A1827" s="209">
        <v>1159116</v>
      </c>
      <c r="B1827" s="209">
        <v>120</v>
      </c>
      <c r="C1827" s="209" t="s">
        <v>4178</v>
      </c>
      <c r="D1827" s="209">
        <v>10</v>
      </c>
      <c r="E1827" s="209">
        <v>10000002</v>
      </c>
      <c r="F1827" s="209">
        <v>20000335</v>
      </c>
      <c r="G1827" s="209" t="s">
        <v>105</v>
      </c>
      <c r="H1827" s="209">
        <v>20000335</v>
      </c>
      <c r="I1827" s="209">
        <v>2</v>
      </c>
      <c r="J1827" s="209" t="s">
        <v>169</v>
      </c>
      <c r="K1827" s="209" t="s">
        <v>4179</v>
      </c>
      <c r="L1827" s="209" t="s">
        <v>2610</v>
      </c>
      <c r="M1827" s="209" t="s">
        <v>4086</v>
      </c>
      <c r="N1827" s="209">
        <v>50025345</v>
      </c>
      <c r="O1827" s="209" t="s">
        <v>1998</v>
      </c>
      <c r="P1827" s="209">
        <v>5121</v>
      </c>
      <c r="Q1827" s="209" t="s">
        <v>200</v>
      </c>
      <c r="R1827" s="209" t="s">
        <v>201</v>
      </c>
      <c r="S1827" s="209" t="s">
        <v>202</v>
      </c>
      <c r="T1827" s="209" t="s">
        <v>203</v>
      </c>
      <c r="U1827" s="209" t="s">
        <v>201</v>
      </c>
      <c r="V1827" s="209" t="s">
        <v>179</v>
      </c>
      <c r="W1827" s="209" t="s">
        <v>179</v>
      </c>
      <c r="X1827" s="209" t="s">
        <v>180</v>
      </c>
      <c r="Y1827" s="209" t="s">
        <v>180</v>
      </c>
      <c r="Z1827" s="209" t="s">
        <v>4099</v>
      </c>
      <c r="AA1827" s="209" t="s">
        <v>4100</v>
      </c>
      <c r="AB1827" s="209" t="s">
        <v>180</v>
      </c>
      <c r="AC1827" s="209" t="s">
        <v>182</v>
      </c>
      <c r="AD1827" s="209">
        <v>1</v>
      </c>
      <c r="AE1827" s="209">
        <v>2026</v>
      </c>
      <c r="AF1827" s="227">
        <v>46024</v>
      </c>
      <c r="AG1827" s="227">
        <v>46031</v>
      </c>
      <c r="AH1827" s="227">
        <v>46031</v>
      </c>
      <c r="AI1827" s="228">
        <v>426816</v>
      </c>
      <c r="AJ1827" s="228">
        <v>52</v>
      </c>
      <c r="AK1827" s="228">
        <v>426816</v>
      </c>
      <c r="AL1827" s="228">
        <v>52</v>
      </c>
      <c r="AM1827" s="228">
        <v>0</v>
      </c>
      <c r="AN1827" s="228">
        <v>0</v>
      </c>
      <c r="AO1827" s="229">
        <v>2</v>
      </c>
      <c r="AP1827" s="231">
        <v>1</v>
      </c>
      <c r="AQ1827" s="231">
        <v>2026</v>
      </c>
      <c r="AR1827" s="231" t="str">
        <f t="shared" si="264"/>
        <v>01/2026</v>
      </c>
      <c r="AS1827" s="231">
        <f t="shared" si="265"/>
        <v>46.6</v>
      </c>
      <c r="AT1827" s="239">
        <f>IF(G1827="CERVECERIA Y MALTERIA",(AS1827*AK1827/1000000)*(1-VLOOKUP(N1827,FCST!D:I,6,FALSE)),0)</f>
        <v>19.889625600000002</v>
      </c>
      <c r="AU1827" s="232">
        <v>5.0000000000000001E-3</v>
      </c>
      <c r="AV1827" s="239">
        <f t="shared" si="266"/>
        <v>19.989073728000001</v>
      </c>
      <c r="AW1827" s="239">
        <f>(AS1827*AK1827/1000000)*(VLOOKUP(N1827,FCST!D:I,6,FALSE))</f>
        <v>0</v>
      </c>
      <c r="AX1827" s="239">
        <f t="shared" si="267"/>
        <v>0</v>
      </c>
      <c r="AY1827" s="239">
        <f>IF($G1827="CERVECERIA Y MALTERIA.",($AS1827*$AK1827/1000000)*(1-VLOOKUP($N1827,FCST!D:I,6,FALSE)),0)</f>
        <v>0</v>
      </c>
      <c r="AZ1827" s="239">
        <f t="shared" si="268"/>
        <v>0</v>
      </c>
    </row>
    <row r="1828" spans="1:52" x14ac:dyDescent="0.25">
      <c r="A1828" s="209">
        <v>1159116</v>
      </c>
      <c r="B1828" s="209">
        <v>110</v>
      </c>
      <c r="C1828" s="209" t="s">
        <v>4180</v>
      </c>
      <c r="D1828" s="209">
        <v>10</v>
      </c>
      <c r="E1828" s="209">
        <v>10000002</v>
      </c>
      <c r="F1828" s="209">
        <v>20000335</v>
      </c>
      <c r="G1828" s="209" t="s">
        <v>105</v>
      </c>
      <c r="H1828" s="209">
        <v>20000335</v>
      </c>
      <c r="I1828" s="209">
        <v>2</v>
      </c>
      <c r="J1828" s="209" t="s">
        <v>169</v>
      </c>
      <c r="K1828" s="209" t="s">
        <v>4181</v>
      </c>
      <c r="L1828" s="209" t="s">
        <v>2610</v>
      </c>
      <c r="M1828" s="209" t="s">
        <v>4086</v>
      </c>
      <c r="N1828" s="209">
        <v>50025345</v>
      </c>
      <c r="O1828" s="209" t="s">
        <v>1998</v>
      </c>
      <c r="P1828" s="209">
        <v>5121</v>
      </c>
      <c r="Q1828" s="209" t="s">
        <v>200</v>
      </c>
      <c r="R1828" s="209" t="s">
        <v>201</v>
      </c>
      <c r="S1828" s="209" t="s">
        <v>202</v>
      </c>
      <c r="T1828" s="209" t="s">
        <v>203</v>
      </c>
      <c r="U1828" s="209" t="s">
        <v>201</v>
      </c>
      <c r="V1828" s="209" t="s">
        <v>179</v>
      </c>
      <c r="W1828" s="209" t="s">
        <v>179</v>
      </c>
      <c r="X1828" s="209" t="s">
        <v>180</v>
      </c>
      <c r="Y1828" s="209" t="s">
        <v>180</v>
      </c>
      <c r="Z1828" s="209" t="s">
        <v>4099</v>
      </c>
      <c r="AA1828" s="209" t="s">
        <v>4100</v>
      </c>
      <c r="AB1828" s="209" t="s">
        <v>180</v>
      </c>
      <c r="AC1828" s="209" t="s">
        <v>182</v>
      </c>
      <c r="AD1828" s="209">
        <v>1</v>
      </c>
      <c r="AE1828" s="209">
        <v>2026</v>
      </c>
      <c r="AF1828" s="227">
        <v>46024</v>
      </c>
      <c r="AG1828" s="227">
        <v>46031</v>
      </c>
      <c r="AH1828" s="227">
        <v>46031</v>
      </c>
      <c r="AI1828" s="228">
        <v>426816</v>
      </c>
      <c r="AJ1828" s="228">
        <v>52</v>
      </c>
      <c r="AK1828" s="228">
        <v>426816</v>
      </c>
      <c r="AL1828" s="228">
        <v>52</v>
      </c>
      <c r="AM1828" s="228">
        <v>0</v>
      </c>
      <c r="AN1828" s="228">
        <v>0</v>
      </c>
      <c r="AO1828" s="229">
        <v>2</v>
      </c>
      <c r="AP1828" s="231">
        <v>1</v>
      </c>
      <c r="AQ1828" s="231">
        <v>2026</v>
      </c>
      <c r="AR1828" s="231" t="str">
        <f t="shared" si="264"/>
        <v>01/2026</v>
      </c>
      <c r="AS1828" s="231">
        <f t="shared" si="265"/>
        <v>46.6</v>
      </c>
      <c r="AT1828" s="239">
        <f>IF(G1828="CERVECERIA Y MALTERIA",(AS1828*AK1828/1000000)*(1-VLOOKUP(N1828,FCST!D:I,6,FALSE)),0)</f>
        <v>19.889625600000002</v>
      </c>
      <c r="AU1828" s="232">
        <v>5.0000000000000001E-3</v>
      </c>
      <c r="AV1828" s="239">
        <f t="shared" si="266"/>
        <v>19.989073728000001</v>
      </c>
      <c r="AW1828" s="239">
        <f>(AS1828*AK1828/1000000)*(VLOOKUP(N1828,FCST!D:I,6,FALSE))</f>
        <v>0</v>
      </c>
      <c r="AX1828" s="239">
        <f t="shared" si="267"/>
        <v>0</v>
      </c>
      <c r="AY1828" s="239">
        <f>IF($G1828="CERVECERIA Y MALTERIA.",($AS1828*$AK1828/1000000)*(1-VLOOKUP($N1828,FCST!D:I,6,FALSE)),0)</f>
        <v>0</v>
      </c>
      <c r="AZ1828" s="239">
        <f t="shared" si="268"/>
        <v>0</v>
      </c>
    </row>
    <row r="1829" spans="1:52" x14ac:dyDescent="0.25">
      <c r="A1829" s="209">
        <v>1159970</v>
      </c>
      <c r="B1829" s="209">
        <v>20</v>
      </c>
      <c r="C1829" s="209" t="s">
        <v>4182</v>
      </c>
      <c r="D1829" s="209">
        <v>10</v>
      </c>
      <c r="E1829" s="209">
        <v>10000002</v>
      </c>
      <c r="F1829" s="209">
        <v>20000339</v>
      </c>
      <c r="G1829" s="209" t="s">
        <v>105</v>
      </c>
      <c r="H1829" s="209">
        <v>20000339</v>
      </c>
      <c r="I1829" s="209">
        <v>2</v>
      </c>
      <c r="J1829" s="209" t="s">
        <v>169</v>
      </c>
      <c r="K1829" s="209" t="s">
        <v>4183</v>
      </c>
      <c r="L1829" s="209" t="s">
        <v>265</v>
      </c>
      <c r="M1829" s="209" t="s">
        <v>4086</v>
      </c>
      <c r="N1829" s="209">
        <v>50036287</v>
      </c>
      <c r="O1829" s="209" t="s">
        <v>2191</v>
      </c>
      <c r="P1829" s="209">
        <v>5121</v>
      </c>
      <c r="Q1829" s="209" t="s">
        <v>228</v>
      </c>
      <c r="R1829" s="209" t="s">
        <v>229</v>
      </c>
      <c r="S1829" s="209" t="s">
        <v>230</v>
      </c>
      <c r="T1829" s="209" t="s">
        <v>231</v>
      </c>
      <c r="U1829" s="209" t="s">
        <v>232</v>
      </c>
      <c r="V1829" s="209" t="s">
        <v>179</v>
      </c>
      <c r="W1829" s="209" t="s">
        <v>179</v>
      </c>
      <c r="X1829" s="209" t="s">
        <v>180</v>
      </c>
      <c r="Y1829" s="209" t="s">
        <v>180</v>
      </c>
      <c r="Z1829" s="209" t="s">
        <v>4166</v>
      </c>
      <c r="AA1829" s="209" t="s">
        <v>4167</v>
      </c>
      <c r="AB1829" s="209" t="s">
        <v>180</v>
      </c>
      <c r="AC1829" s="209" t="s">
        <v>182</v>
      </c>
      <c r="AD1829" s="209">
        <v>1</v>
      </c>
      <c r="AE1829" s="209">
        <v>2026</v>
      </c>
      <c r="AF1829" s="227">
        <v>46029</v>
      </c>
      <c r="AG1829" s="227">
        <v>46031</v>
      </c>
      <c r="AH1829" s="227">
        <v>46031</v>
      </c>
      <c r="AI1829" s="228">
        <v>363168</v>
      </c>
      <c r="AJ1829" s="228">
        <v>52</v>
      </c>
      <c r="AK1829" s="228">
        <v>363168</v>
      </c>
      <c r="AL1829" s="228">
        <v>52</v>
      </c>
      <c r="AM1829" s="228">
        <v>0</v>
      </c>
      <c r="AN1829" s="228">
        <v>0</v>
      </c>
      <c r="AO1829" s="229">
        <v>2</v>
      </c>
      <c r="AP1829" s="231">
        <v>1</v>
      </c>
      <c r="AQ1829" s="231">
        <v>2026</v>
      </c>
      <c r="AR1829" s="231" t="str">
        <f t="shared" si="264"/>
        <v>01/2026</v>
      </c>
      <c r="AS1829" s="231">
        <f t="shared" si="265"/>
        <v>52</v>
      </c>
      <c r="AT1829" s="239">
        <f>IF(G1829="CERVECERIA Y MALTERIA",(AS1829*AK1829/1000000)*(1-VLOOKUP(N1829,FCST!D:I,6,FALSE)),0)</f>
        <v>18.884736</v>
      </c>
      <c r="AU1829" s="232">
        <v>5.0000000000000001E-3</v>
      </c>
      <c r="AV1829" s="239">
        <f t="shared" si="266"/>
        <v>18.979159679999999</v>
      </c>
      <c r="AW1829" s="239">
        <f>(AS1829*AK1829/1000000)*(VLOOKUP(N1829,FCST!D:I,6,FALSE))</f>
        <v>0</v>
      </c>
      <c r="AX1829" s="239">
        <f t="shared" si="267"/>
        <v>0</v>
      </c>
      <c r="AY1829" s="239">
        <f>IF($G1829="CERVECERIA Y MALTERIA.",($AS1829*$AK1829/1000000)*(1-VLOOKUP($N1829,FCST!D:I,6,FALSE)),0)</f>
        <v>0</v>
      </c>
      <c r="AZ1829" s="239">
        <f t="shared" si="268"/>
        <v>0</v>
      </c>
    </row>
    <row r="1830" spans="1:52" x14ac:dyDescent="0.25">
      <c r="A1830" s="209">
        <v>1159848</v>
      </c>
      <c r="B1830" s="209">
        <v>20</v>
      </c>
      <c r="C1830" s="209" t="s">
        <v>4184</v>
      </c>
      <c r="D1830" s="209">
        <v>10</v>
      </c>
      <c r="E1830" s="209">
        <v>10000002</v>
      </c>
      <c r="F1830" s="209">
        <v>20000339</v>
      </c>
      <c r="G1830" s="209" t="s">
        <v>105</v>
      </c>
      <c r="H1830" s="209">
        <v>20000339</v>
      </c>
      <c r="I1830" s="209">
        <v>2</v>
      </c>
      <c r="J1830" s="209" t="s">
        <v>169</v>
      </c>
      <c r="K1830" s="209" t="s">
        <v>4185</v>
      </c>
      <c r="L1830" s="209" t="s">
        <v>265</v>
      </c>
      <c r="M1830" s="209" t="s">
        <v>4086</v>
      </c>
      <c r="N1830" s="209">
        <v>50036287</v>
      </c>
      <c r="O1830" s="209" t="s">
        <v>2191</v>
      </c>
      <c r="P1830" s="209">
        <v>5121</v>
      </c>
      <c r="Q1830" s="209" t="s">
        <v>228</v>
      </c>
      <c r="R1830" s="209" t="s">
        <v>229</v>
      </c>
      <c r="S1830" s="209" t="s">
        <v>230</v>
      </c>
      <c r="T1830" s="209" t="s">
        <v>231</v>
      </c>
      <c r="U1830" s="209" t="s">
        <v>232</v>
      </c>
      <c r="V1830" s="209" t="s">
        <v>179</v>
      </c>
      <c r="W1830" s="209" t="s">
        <v>179</v>
      </c>
      <c r="X1830" s="209" t="s">
        <v>180</v>
      </c>
      <c r="Y1830" s="209" t="s">
        <v>180</v>
      </c>
      <c r="Z1830" s="209" t="s">
        <v>4166</v>
      </c>
      <c r="AA1830" s="209" t="s">
        <v>4167</v>
      </c>
      <c r="AB1830" s="209" t="s">
        <v>180</v>
      </c>
      <c r="AC1830" s="209" t="s">
        <v>182</v>
      </c>
      <c r="AD1830" s="209">
        <v>1</v>
      </c>
      <c r="AE1830" s="209">
        <v>2026</v>
      </c>
      <c r="AF1830" s="227">
        <v>46028</v>
      </c>
      <c r="AG1830" s="227">
        <v>46029</v>
      </c>
      <c r="AH1830" s="227">
        <v>46031</v>
      </c>
      <c r="AI1830" s="228">
        <v>363168</v>
      </c>
      <c r="AJ1830" s="228">
        <v>52</v>
      </c>
      <c r="AK1830" s="228">
        <v>363168</v>
      </c>
      <c r="AL1830" s="228">
        <v>52</v>
      </c>
      <c r="AM1830" s="228">
        <v>0</v>
      </c>
      <c r="AN1830" s="228">
        <v>0</v>
      </c>
      <c r="AO1830" s="229">
        <v>2</v>
      </c>
      <c r="AP1830" s="231">
        <v>1</v>
      </c>
      <c r="AQ1830" s="231">
        <v>2026</v>
      </c>
      <c r="AR1830" s="231" t="str">
        <f t="shared" si="264"/>
        <v>01/2026</v>
      </c>
      <c r="AS1830" s="231">
        <f t="shared" si="265"/>
        <v>52</v>
      </c>
      <c r="AT1830" s="239">
        <f>IF(G1830="CERVECERIA Y MALTERIA",(AS1830*AK1830/1000000)*(1-VLOOKUP(N1830,FCST!D:I,6,FALSE)),0)</f>
        <v>18.884736</v>
      </c>
      <c r="AU1830" s="232">
        <v>5.0000000000000001E-3</v>
      </c>
      <c r="AV1830" s="239">
        <f t="shared" si="266"/>
        <v>18.979159679999999</v>
      </c>
      <c r="AW1830" s="239">
        <f>(AS1830*AK1830/1000000)*(VLOOKUP(N1830,FCST!D:I,6,FALSE))</f>
        <v>0</v>
      </c>
      <c r="AX1830" s="239">
        <f t="shared" si="267"/>
        <v>0</v>
      </c>
      <c r="AY1830" s="239">
        <f>IF($G1830="CERVECERIA Y MALTERIA.",($AS1830*$AK1830/1000000)*(1-VLOOKUP($N1830,FCST!D:I,6,FALSE)),0)</f>
        <v>0</v>
      </c>
      <c r="AZ1830" s="239">
        <f t="shared" si="268"/>
        <v>0</v>
      </c>
    </row>
    <row r="1831" spans="1:52" x14ac:dyDescent="0.25">
      <c r="A1831" s="209">
        <v>1159970</v>
      </c>
      <c r="B1831" s="209">
        <v>10</v>
      </c>
      <c r="C1831" s="209" t="s">
        <v>4186</v>
      </c>
      <c r="D1831" s="209">
        <v>10</v>
      </c>
      <c r="E1831" s="209">
        <v>10000002</v>
      </c>
      <c r="F1831" s="209">
        <v>20000339</v>
      </c>
      <c r="G1831" s="209" t="s">
        <v>105</v>
      </c>
      <c r="H1831" s="209">
        <v>20000339</v>
      </c>
      <c r="I1831" s="209">
        <v>2</v>
      </c>
      <c r="J1831" s="209" t="s">
        <v>169</v>
      </c>
      <c r="K1831" s="209" t="s">
        <v>4187</v>
      </c>
      <c r="L1831" s="209" t="s">
        <v>265</v>
      </c>
      <c r="M1831" s="209" t="s">
        <v>4086</v>
      </c>
      <c r="N1831" s="209">
        <v>50036287</v>
      </c>
      <c r="O1831" s="209" t="s">
        <v>2191</v>
      </c>
      <c r="P1831" s="209">
        <v>5121</v>
      </c>
      <c r="Q1831" s="209" t="s">
        <v>228</v>
      </c>
      <c r="R1831" s="209" t="s">
        <v>229</v>
      </c>
      <c r="S1831" s="209" t="s">
        <v>230</v>
      </c>
      <c r="T1831" s="209" t="s">
        <v>231</v>
      </c>
      <c r="U1831" s="209" t="s">
        <v>232</v>
      </c>
      <c r="V1831" s="209" t="s">
        <v>179</v>
      </c>
      <c r="W1831" s="209" t="s">
        <v>179</v>
      </c>
      <c r="X1831" s="209" t="s">
        <v>180</v>
      </c>
      <c r="Y1831" s="209" t="s">
        <v>180</v>
      </c>
      <c r="Z1831" s="209" t="s">
        <v>4166</v>
      </c>
      <c r="AA1831" s="209" t="s">
        <v>4167</v>
      </c>
      <c r="AB1831" s="209" t="s">
        <v>180</v>
      </c>
      <c r="AC1831" s="209" t="s">
        <v>182</v>
      </c>
      <c r="AD1831" s="209">
        <v>1</v>
      </c>
      <c r="AE1831" s="209">
        <v>2026</v>
      </c>
      <c r="AF1831" s="227">
        <v>46029</v>
      </c>
      <c r="AG1831" s="227">
        <v>46030</v>
      </c>
      <c r="AH1831" s="227">
        <v>46030</v>
      </c>
      <c r="AI1831" s="228">
        <v>363168</v>
      </c>
      <c r="AJ1831" s="228">
        <v>52</v>
      </c>
      <c r="AK1831" s="228">
        <v>363168</v>
      </c>
      <c r="AL1831" s="228">
        <v>52</v>
      </c>
      <c r="AM1831" s="228">
        <v>0</v>
      </c>
      <c r="AN1831" s="228">
        <v>0</v>
      </c>
      <c r="AO1831" s="229">
        <v>2</v>
      </c>
      <c r="AP1831" s="231">
        <v>1</v>
      </c>
      <c r="AQ1831" s="231">
        <v>2026</v>
      </c>
      <c r="AR1831" s="231" t="str">
        <f t="shared" si="264"/>
        <v>01/2026</v>
      </c>
      <c r="AS1831" s="231">
        <f t="shared" si="265"/>
        <v>52</v>
      </c>
      <c r="AT1831" s="239">
        <f>IF(G1831="CERVECERIA Y MALTERIA",(AS1831*AK1831/1000000)*(1-VLOOKUP(N1831,FCST!D:I,6,FALSE)),0)</f>
        <v>18.884736</v>
      </c>
      <c r="AU1831" s="232">
        <v>5.0000000000000001E-3</v>
      </c>
      <c r="AV1831" s="239">
        <f t="shared" si="266"/>
        <v>18.979159679999999</v>
      </c>
      <c r="AW1831" s="239">
        <f>(AS1831*AK1831/1000000)*(VLOOKUP(N1831,FCST!D:I,6,FALSE))</f>
        <v>0</v>
      </c>
      <c r="AX1831" s="239">
        <f t="shared" si="267"/>
        <v>0</v>
      </c>
      <c r="AY1831" s="239">
        <f>IF($G1831="CERVECERIA Y MALTERIA.",($AS1831*$AK1831/1000000)*(1-VLOOKUP($N1831,FCST!D:I,6,FALSE)),0)</f>
        <v>0</v>
      </c>
      <c r="AZ1831" s="239">
        <f t="shared" si="268"/>
        <v>0</v>
      </c>
    </row>
    <row r="1832" spans="1:52" x14ac:dyDescent="0.25">
      <c r="A1832" s="209">
        <v>1159116</v>
      </c>
      <c r="B1832" s="209">
        <v>10</v>
      </c>
      <c r="C1832" s="209" t="s">
        <v>4188</v>
      </c>
      <c r="D1832" s="209">
        <v>10</v>
      </c>
      <c r="E1832" s="209">
        <v>10000002</v>
      </c>
      <c r="F1832" s="209">
        <v>20000335</v>
      </c>
      <c r="G1832" s="209" t="s">
        <v>105</v>
      </c>
      <c r="H1832" s="209">
        <v>20000335</v>
      </c>
      <c r="I1832" s="209">
        <v>2</v>
      </c>
      <c r="J1832" s="209" t="s">
        <v>169</v>
      </c>
      <c r="K1832" s="209" t="s">
        <v>4189</v>
      </c>
      <c r="L1832" s="209" t="s">
        <v>2610</v>
      </c>
      <c r="M1832" s="209" t="s">
        <v>4086</v>
      </c>
      <c r="N1832" s="209">
        <v>50032583</v>
      </c>
      <c r="O1832" s="209" t="s">
        <v>205</v>
      </c>
      <c r="P1832" s="209">
        <v>5121</v>
      </c>
      <c r="Q1832" s="209" t="s">
        <v>200</v>
      </c>
      <c r="R1832" s="209" t="s">
        <v>201</v>
      </c>
      <c r="S1832" s="209" t="s">
        <v>202</v>
      </c>
      <c r="T1832" s="209" t="s">
        <v>203</v>
      </c>
      <c r="U1832" s="209" t="s">
        <v>201</v>
      </c>
      <c r="V1832" s="209" t="s">
        <v>179</v>
      </c>
      <c r="W1832" s="209" t="s">
        <v>179</v>
      </c>
      <c r="X1832" s="209" t="s">
        <v>180</v>
      </c>
      <c r="Y1832" s="209" t="s">
        <v>180</v>
      </c>
      <c r="Z1832" s="209" t="s">
        <v>4091</v>
      </c>
      <c r="AA1832" s="209" t="s">
        <v>4092</v>
      </c>
      <c r="AB1832" s="209" t="s">
        <v>180</v>
      </c>
      <c r="AC1832" s="209" t="s">
        <v>182</v>
      </c>
      <c r="AD1832" s="209">
        <v>1</v>
      </c>
      <c r="AE1832" s="209">
        <v>2026</v>
      </c>
      <c r="AF1832" s="227">
        <v>46024</v>
      </c>
      <c r="AG1832" s="227">
        <v>46027</v>
      </c>
      <c r="AH1832" s="227">
        <v>46027</v>
      </c>
      <c r="AI1832" s="228">
        <v>351936</v>
      </c>
      <c r="AJ1832" s="228">
        <v>52</v>
      </c>
      <c r="AK1832" s="228">
        <v>351936</v>
      </c>
      <c r="AL1832" s="228">
        <v>52</v>
      </c>
      <c r="AM1832" s="228">
        <v>0</v>
      </c>
      <c r="AN1832" s="228">
        <v>0</v>
      </c>
      <c r="AO1832" s="229">
        <v>2</v>
      </c>
      <c r="AP1832" s="231">
        <v>1</v>
      </c>
      <c r="AQ1832" s="231">
        <v>2026</v>
      </c>
      <c r="AR1832" s="231" t="str">
        <f t="shared" si="264"/>
        <v>01/2026</v>
      </c>
      <c r="AS1832" s="231">
        <f t="shared" si="265"/>
        <v>54.7</v>
      </c>
      <c r="AT1832" s="239">
        <f>IF(G1832="CERVECERIA Y MALTERIA",(AS1832*AK1832/1000000)*(1-VLOOKUP(N1832,FCST!D:I,6,FALSE)),0)</f>
        <v>19.250899199999999</v>
      </c>
      <c r="AU1832" s="232">
        <v>5.0000000000000001E-3</v>
      </c>
      <c r="AV1832" s="239">
        <f t="shared" si="266"/>
        <v>19.347153695999996</v>
      </c>
      <c r="AW1832" s="239">
        <f>(AS1832*AK1832/1000000)*(VLOOKUP(N1832,FCST!D:I,6,FALSE))</f>
        <v>0</v>
      </c>
      <c r="AX1832" s="239">
        <f t="shared" si="267"/>
        <v>0</v>
      </c>
      <c r="AY1832" s="239">
        <f>IF($G1832="CERVECERIA Y MALTERIA.",($AS1832*$AK1832/1000000)*(1-VLOOKUP($N1832,FCST!D:I,6,FALSE)),0)</f>
        <v>0</v>
      </c>
      <c r="AZ1832" s="239">
        <f t="shared" si="268"/>
        <v>0</v>
      </c>
    </row>
    <row r="1833" spans="1:52" x14ac:dyDescent="0.25">
      <c r="A1833" s="209">
        <v>1159116</v>
      </c>
      <c r="B1833" s="209">
        <v>20</v>
      </c>
      <c r="C1833" s="209" t="s">
        <v>4190</v>
      </c>
      <c r="D1833" s="209">
        <v>10</v>
      </c>
      <c r="E1833" s="209">
        <v>10000002</v>
      </c>
      <c r="F1833" s="209">
        <v>20000335</v>
      </c>
      <c r="G1833" s="209" t="s">
        <v>105</v>
      </c>
      <c r="H1833" s="209">
        <v>20000335</v>
      </c>
      <c r="I1833" s="209">
        <v>2</v>
      </c>
      <c r="J1833" s="209" t="s">
        <v>169</v>
      </c>
      <c r="K1833" s="209" t="s">
        <v>4191</v>
      </c>
      <c r="L1833" s="209" t="s">
        <v>2610</v>
      </c>
      <c r="M1833" s="209" t="s">
        <v>4086</v>
      </c>
      <c r="N1833" s="209">
        <v>50032583</v>
      </c>
      <c r="O1833" s="209" t="s">
        <v>205</v>
      </c>
      <c r="P1833" s="209">
        <v>5121</v>
      </c>
      <c r="Q1833" s="209" t="s">
        <v>200</v>
      </c>
      <c r="R1833" s="209" t="s">
        <v>201</v>
      </c>
      <c r="S1833" s="209" t="s">
        <v>202</v>
      </c>
      <c r="T1833" s="209" t="s">
        <v>203</v>
      </c>
      <c r="U1833" s="209" t="s">
        <v>201</v>
      </c>
      <c r="V1833" s="209" t="s">
        <v>179</v>
      </c>
      <c r="W1833" s="209" t="s">
        <v>179</v>
      </c>
      <c r="X1833" s="209" t="s">
        <v>180</v>
      </c>
      <c r="Y1833" s="209" t="s">
        <v>180</v>
      </c>
      <c r="Z1833" s="209" t="s">
        <v>4091</v>
      </c>
      <c r="AA1833" s="209" t="s">
        <v>4092</v>
      </c>
      <c r="AB1833" s="209" t="s">
        <v>180</v>
      </c>
      <c r="AC1833" s="209" t="s">
        <v>182</v>
      </c>
      <c r="AD1833" s="209">
        <v>1</v>
      </c>
      <c r="AE1833" s="209">
        <v>2026</v>
      </c>
      <c r="AF1833" s="227">
        <v>46024</v>
      </c>
      <c r="AG1833" s="227">
        <v>46027</v>
      </c>
      <c r="AH1833" s="227">
        <v>46027</v>
      </c>
      <c r="AI1833" s="228">
        <v>351936</v>
      </c>
      <c r="AJ1833" s="228">
        <v>52</v>
      </c>
      <c r="AK1833" s="228">
        <v>351936</v>
      </c>
      <c r="AL1833" s="228">
        <v>52</v>
      </c>
      <c r="AM1833" s="228">
        <v>0</v>
      </c>
      <c r="AN1833" s="228">
        <v>0</v>
      </c>
      <c r="AO1833" s="229">
        <v>2</v>
      </c>
      <c r="AP1833" s="231">
        <v>1</v>
      </c>
      <c r="AQ1833" s="231">
        <v>2026</v>
      </c>
      <c r="AR1833" s="231" t="str">
        <f t="shared" si="264"/>
        <v>01/2026</v>
      </c>
      <c r="AS1833" s="231">
        <f t="shared" si="265"/>
        <v>54.7</v>
      </c>
      <c r="AT1833" s="239">
        <f>IF(G1833="CERVECERIA Y MALTERIA",(AS1833*AK1833/1000000)*(1-VLOOKUP(N1833,FCST!D:I,6,FALSE)),0)</f>
        <v>19.250899199999999</v>
      </c>
      <c r="AU1833" s="232">
        <v>5.0000000000000001E-3</v>
      </c>
      <c r="AV1833" s="239">
        <f t="shared" si="266"/>
        <v>19.347153695999996</v>
      </c>
      <c r="AW1833" s="239">
        <f>(AS1833*AK1833/1000000)*(VLOOKUP(N1833,FCST!D:I,6,FALSE))</f>
        <v>0</v>
      </c>
      <c r="AX1833" s="239">
        <f t="shared" si="267"/>
        <v>0</v>
      </c>
      <c r="AY1833" s="239">
        <f>IF($G1833="CERVECERIA Y MALTERIA.",($AS1833*$AK1833/1000000)*(1-VLOOKUP($N1833,FCST!D:I,6,FALSE)),0)</f>
        <v>0</v>
      </c>
      <c r="AZ1833" s="239">
        <f t="shared" si="268"/>
        <v>0</v>
      </c>
    </row>
    <row r="1834" spans="1:52" x14ac:dyDescent="0.25">
      <c r="A1834" s="209">
        <v>1159116</v>
      </c>
      <c r="B1834" s="209">
        <v>60</v>
      </c>
      <c r="C1834" s="209" t="s">
        <v>4192</v>
      </c>
      <c r="D1834" s="209">
        <v>10</v>
      </c>
      <c r="E1834" s="209">
        <v>10000002</v>
      </c>
      <c r="F1834" s="209">
        <v>20000335</v>
      </c>
      <c r="G1834" s="209" t="s">
        <v>105</v>
      </c>
      <c r="H1834" s="209">
        <v>20000335</v>
      </c>
      <c r="I1834" s="209">
        <v>2</v>
      </c>
      <c r="J1834" s="209" t="s">
        <v>169</v>
      </c>
      <c r="K1834" s="209" t="s">
        <v>4193</v>
      </c>
      <c r="L1834" s="209" t="s">
        <v>2610</v>
      </c>
      <c r="M1834" s="209" t="s">
        <v>4086</v>
      </c>
      <c r="N1834" s="209">
        <v>50021818</v>
      </c>
      <c r="O1834" s="209" t="s">
        <v>2170</v>
      </c>
      <c r="P1834" s="209">
        <v>5121</v>
      </c>
      <c r="Q1834" s="209" t="s">
        <v>200</v>
      </c>
      <c r="R1834" s="209" t="s">
        <v>201</v>
      </c>
      <c r="S1834" s="209" t="s">
        <v>202</v>
      </c>
      <c r="T1834" s="209" t="s">
        <v>203</v>
      </c>
      <c r="U1834" s="209" t="s">
        <v>201</v>
      </c>
      <c r="V1834" s="209" t="s">
        <v>179</v>
      </c>
      <c r="W1834" s="209" t="s">
        <v>179</v>
      </c>
      <c r="X1834" s="209" t="s">
        <v>180</v>
      </c>
      <c r="Y1834" s="209" t="s">
        <v>180</v>
      </c>
      <c r="Z1834" s="209" t="s">
        <v>4099</v>
      </c>
      <c r="AA1834" s="209" t="s">
        <v>4100</v>
      </c>
      <c r="AB1834" s="209" t="s">
        <v>180</v>
      </c>
      <c r="AC1834" s="209" t="s">
        <v>182</v>
      </c>
      <c r="AD1834" s="209">
        <v>1</v>
      </c>
      <c r="AE1834" s="209">
        <v>2026</v>
      </c>
      <c r="AF1834" s="227">
        <v>46024</v>
      </c>
      <c r="AG1834" s="227">
        <v>46027</v>
      </c>
      <c r="AH1834" s="227">
        <v>46027</v>
      </c>
      <c r="AI1834" s="228">
        <v>426816</v>
      </c>
      <c r="AJ1834" s="228">
        <v>52</v>
      </c>
      <c r="AK1834" s="228">
        <v>426816</v>
      </c>
      <c r="AL1834" s="228">
        <v>52</v>
      </c>
      <c r="AM1834" s="228">
        <v>0</v>
      </c>
      <c r="AN1834" s="228">
        <v>0</v>
      </c>
      <c r="AO1834" s="229">
        <v>2</v>
      </c>
      <c r="AP1834" s="231">
        <v>1</v>
      </c>
      <c r="AQ1834" s="231">
        <v>2026</v>
      </c>
      <c r="AR1834" s="231" t="str">
        <f t="shared" si="264"/>
        <v>01/2026</v>
      </c>
      <c r="AS1834" s="231">
        <f t="shared" si="265"/>
        <v>46.6</v>
      </c>
      <c r="AT1834" s="239">
        <f>IF(G1834="CERVECERIA Y MALTERIA",(AS1834*AK1834/1000000)*(1-VLOOKUP(N1834,FCST!D:I,6,FALSE)),0)</f>
        <v>19.889625600000002</v>
      </c>
      <c r="AU1834" s="232">
        <v>5.0000000000000001E-3</v>
      </c>
      <c r="AV1834" s="239">
        <f t="shared" si="266"/>
        <v>19.989073728000001</v>
      </c>
      <c r="AW1834" s="239">
        <f>(AS1834*AK1834/1000000)*(VLOOKUP(N1834,FCST!D:I,6,FALSE))</f>
        <v>0</v>
      </c>
      <c r="AX1834" s="239">
        <f t="shared" si="267"/>
        <v>0</v>
      </c>
      <c r="AY1834" s="239">
        <f>IF($G1834="CERVECERIA Y MALTERIA.",($AS1834*$AK1834/1000000)*(1-VLOOKUP($N1834,FCST!D:I,6,FALSE)),0)</f>
        <v>0</v>
      </c>
      <c r="AZ1834" s="239">
        <f t="shared" si="268"/>
        <v>0</v>
      </c>
    </row>
    <row r="1835" spans="1:52" x14ac:dyDescent="0.25">
      <c r="A1835" s="209">
        <v>1159116</v>
      </c>
      <c r="B1835" s="209">
        <v>80</v>
      </c>
      <c r="C1835" s="209" t="s">
        <v>4194</v>
      </c>
      <c r="D1835" s="209">
        <v>10</v>
      </c>
      <c r="E1835" s="209">
        <v>10000002</v>
      </c>
      <c r="F1835" s="209">
        <v>20000335</v>
      </c>
      <c r="G1835" s="209" t="s">
        <v>105</v>
      </c>
      <c r="H1835" s="209">
        <v>20000335</v>
      </c>
      <c r="I1835" s="209">
        <v>2</v>
      </c>
      <c r="J1835" s="209" t="s">
        <v>169</v>
      </c>
      <c r="K1835" s="209" t="s">
        <v>4195</v>
      </c>
      <c r="L1835" s="209" t="s">
        <v>2610</v>
      </c>
      <c r="M1835" s="209" t="s">
        <v>4086</v>
      </c>
      <c r="N1835" s="209">
        <v>50021818</v>
      </c>
      <c r="O1835" s="209" t="s">
        <v>2170</v>
      </c>
      <c r="P1835" s="209">
        <v>5121</v>
      </c>
      <c r="Q1835" s="209" t="s">
        <v>200</v>
      </c>
      <c r="R1835" s="209" t="s">
        <v>201</v>
      </c>
      <c r="S1835" s="209" t="s">
        <v>202</v>
      </c>
      <c r="T1835" s="209" t="s">
        <v>203</v>
      </c>
      <c r="U1835" s="209" t="s">
        <v>201</v>
      </c>
      <c r="V1835" s="209" t="s">
        <v>179</v>
      </c>
      <c r="W1835" s="209" t="s">
        <v>179</v>
      </c>
      <c r="X1835" s="209" t="s">
        <v>180</v>
      </c>
      <c r="Y1835" s="209" t="s">
        <v>180</v>
      </c>
      <c r="Z1835" s="209" t="s">
        <v>4099</v>
      </c>
      <c r="AA1835" s="209" t="s">
        <v>4100</v>
      </c>
      <c r="AB1835" s="209" t="s">
        <v>180</v>
      </c>
      <c r="AC1835" s="209" t="s">
        <v>182</v>
      </c>
      <c r="AD1835" s="209">
        <v>1</v>
      </c>
      <c r="AE1835" s="209">
        <v>2026</v>
      </c>
      <c r="AF1835" s="227">
        <v>46024</v>
      </c>
      <c r="AG1835" s="227">
        <v>46028</v>
      </c>
      <c r="AH1835" s="227">
        <v>46028</v>
      </c>
      <c r="AI1835" s="228">
        <v>426816</v>
      </c>
      <c r="AJ1835" s="228">
        <v>52</v>
      </c>
      <c r="AK1835" s="228">
        <v>426816</v>
      </c>
      <c r="AL1835" s="228">
        <v>52</v>
      </c>
      <c r="AM1835" s="228">
        <v>0</v>
      </c>
      <c r="AN1835" s="228">
        <v>0</v>
      </c>
      <c r="AO1835" s="229">
        <v>2</v>
      </c>
      <c r="AP1835" s="231">
        <v>1</v>
      </c>
      <c r="AQ1835" s="231">
        <v>2026</v>
      </c>
      <c r="AR1835" s="231" t="str">
        <f t="shared" si="264"/>
        <v>01/2026</v>
      </c>
      <c r="AS1835" s="231">
        <f t="shared" si="265"/>
        <v>46.6</v>
      </c>
      <c r="AT1835" s="239">
        <f>IF(G1835="CERVECERIA Y MALTERIA",(AS1835*AK1835/1000000)*(1-VLOOKUP(N1835,FCST!D:I,6,FALSE)),0)</f>
        <v>19.889625600000002</v>
      </c>
      <c r="AU1835" s="232">
        <v>5.0000000000000001E-3</v>
      </c>
      <c r="AV1835" s="239">
        <f t="shared" si="266"/>
        <v>19.989073728000001</v>
      </c>
      <c r="AW1835" s="239">
        <f>(AS1835*AK1835/1000000)*(VLOOKUP(N1835,FCST!D:I,6,FALSE))</f>
        <v>0</v>
      </c>
      <c r="AX1835" s="239">
        <f t="shared" si="267"/>
        <v>0</v>
      </c>
      <c r="AY1835" s="239">
        <f>IF($G1835="CERVECERIA Y MALTERIA.",($AS1835*$AK1835/1000000)*(1-VLOOKUP($N1835,FCST!D:I,6,FALSE)),0)</f>
        <v>0</v>
      </c>
      <c r="AZ1835" s="239">
        <f t="shared" si="268"/>
        <v>0</v>
      </c>
    </row>
    <row r="1836" spans="1:52" x14ac:dyDescent="0.25">
      <c r="A1836" s="209">
        <v>1159116</v>
      </c>
      <c r="B1836" s="209">
        <v>70</v>
      </c>
      <c r="C1836" s="209" t="s">
        <v>4196</v>
      </c>
      <c r="D1836" s="209">
        <v>10</v>
      </c>
      <c r="E1836" s="209">
        <v>10000002</v>
      </c>
      <c r="F1836" s="209">
        <v>20000335</v>
      </c>
      <c r="G1836" s="209" t="s">
        <v>105</v>
      </c>
      <c r="H1836" s="209">
        <v>20000335</v>
      </c>
      <c r="I1836" s="209">
        <v>2</v>
      </c>
      <c r="J1836" s="209" t="s">
        <v>169</v>
      </c>
      <c r="K1836" s="209" t="s">
        <v>4197</v>
      </c>
      <c r="L1836" s="209" t="s">
        <v>2610</v>
      </c>
      <c r="M1836" s="209" t="s">
        <v>4086</v>
      </c>
      <c r="N1836" s="209">
        <v>50021818</v>
      </c>
      <c r="O1836" s="209" t="s">
        <v>2170</v>
      </c>
      <c r="P1836" s="209">
        <v>5121</v>
      </c>
      <c r="Q1836" s="209" t="s">
        <v>200</v>
      </c>
      <c r="R1836" s="209" t="s">
        <v>201</v>
      </c>
      <c r="S1836" s="209" t="s">
        <v>202</v>
      </c>
      <c r="T1836" s="209" t="s">
        <v>203</v>
      </c>
      <c r="U1836" s="209" t="s">
        <v>201</v>
      </c>
      <c r="V1836" s="209" t="s">
        <v>179</v>
      </c>
      <c r="W1836" s="209" t="s">
        <v>179</v>
      </c>
      <c r="X1836" s="209" t="s">
        <v>180</v>
      </c>
      <c r="Y1836" s="209" t="s">
        <v>180</v>
      </c>
      <c r="Z1836" s="209" t="s">
        <v>4099</v>
      </c>
      <c r="AA1836" s="209" t="s">
        <v>4100</v>
      </c>
      <c r="AB1836" s="209" t="s">
        <v>180</v>
      </c>
      <c r="AC1836" s="209" t="s">
        <v>182</v>
      </c>
      <c r="AD1836" s="209">
        <v>1</v>
      </c>
      <c r="AE1836" s="209">
        <v>2026</v>
      </c>
      <c r="AF1836" s="227">
        <v>46024</v>
      </c>
      <c r="AG1836" s="227">
        <v>46028</v>
      </c>
      <c r="AH1836" s="227">
        <v>46028</v>
      </c>
      <c r="AI1836" s="228">
        <v>426816</v>
      </c>
      <c r="AJ1836" s="228">
        <v>52</v>
      </c>
      <c r="AK1836" s="228">
        <v>426816</v>
      </c>
      <c r="AL1836" s="228">
        <v>52</v>
      </c>
      <c r="AM1836" s="228">
        <v>0</v>
      </c>
      <c r="AN1836" s="228">
        <v>0</v>
      </c>
      <c r="AO1836" s="229">
        <v>2</v>
      </c>
      <c r="AP1836" s="231">
        <v>1</v>
      </c>
      <c r="AQ1836" s="231">
        <v>2026</v>
      </c>
      <c r="AR1836" s="231" t="str">
        <f t="shared" si="264"/>
        <v>01/2026</v>
      </c>
      <c r="AS1836" s="231">
        <f t="shared" si="265"/>
        <v>46.6</v>
      </c>
      <c r="AT1836" s="239">
        <f>IF(G1836="CERVECERIA Y MALTERIA",(AS1836*AK1836/1000000)*(1-VLOOKUP(N1836,FCST!D:I,6,FALSE)),0)</f>
        <v>19.889625600000002</v>
      </c>
      <c r="AU1836" s="232">
        <v>5.0000000000000001E-3</v>
      </c>
      <c r="AV1836" s="239">
        <f t="shared" si="266"/>
        <v>19.989073728000001</v>
      </c>
      <c r="AW1836" s="239">
        <f>(AS1836*AK1836/1000000)*(VLOOKUP(N1836,FCST!D:I,6,FALSE))</f>
        <v>0</v>
      </c>
      <c r="AX1836" s="239">
        <f t="shared" si="267"/>
        <v>0</v>
      </c>
      <c r="AY1836" s="239">
        <f>IF($G1836="CERVECERIA Y MALTERIA.",($AS1836*$AK1836/1000000)*(1-VLOOKUP($N1836,FCST!D:I,6,FALSE)),0)</f>
        <v>0</v>
      </c>
      <c r="AZ1836" s="239">
        <f t="shared" si="268"/>
        <v>0</v>
      </c>
    </row>
    <row r="1837" spans="1:52" x14ac:dyDescent="0.25">
      <c r="A1837" s="209">
        <v>1159116</v>
      </c>
      <c r="B1837" s="209">
        <v>30</v>
      </c>
      <c r="C1837" s="209" t="s">
        <v>4198</v>
      </c>
      <c r="D1837" s="209">
        <v>10</v>
      </c>
      <c r="E1837" s="209">
        <v>10000002</v>
      </c>
      <c r="F1837" s="209">
        <v>20000335</v>
      </c>
      <c r="G1837" s="209" t="s">
        <v>105</v>
      </c>
      <c r="H1837" s="209">
        <v>20000335</v>
      </c>
      <c r="I1837" s="209">
        <v>2</v>
      </c>
      <c r="J1837" s="209" t="s">
        <v>169</v>
      </c>
      <c r="K1837" s="209" t="s">
        <v>4199</v>
      </c>
      <c r="L1837" s="209" t="s">
        <v>2610</v>
      </c>
      <c r="M1837" s="209" t="s">
        <v>4086</v>
      </c>
      <c r="N1837" s="209">
        <v>50037887</v>
      </c>
      <c r="O1837" s="209" t="s">
        <v>679</v>
      </c>
      <c r="P1837" s="209">
        <v>5121</v>
      </c>
      <c r="Q1837" s="209" t="s">
        <v>200</v>
      </c>
      <c r="R1837" s="209" t="s">
        <v>201</v>
      </c>
      <c r="S1837" s="209" t="s">
        <v>202</v>
      </c>
      <c r="T1837" s="209" t="s">
        <v>203</v>
      </c>
      <c r="U1837" s="209" t="s">
        <v>201</v>
      </c>
      <c r="V1837" s="209" t="s">
        <v>179</v>
      </c>
      <c r="W1837" s="209" t="s">
        <v>179</v>
      </c>
      <c r="X1837" s="209" t="s">
        <v>180</v>
      </c>
      <c r="Y1837" s="209" t="s">
        <v>180</v>
      </c>
      <c r="Z1837" s="209" t="s">
        <v>4095</v>
      </c>
      <c r="AA1837" s="209" t="s">
        <v>4096</v>
      </c>
      <c r="AB1837" s="209" t="s">
        <v>180</v>
      </c>
      <c r="AC1837" s="209" t="s">
        <v>182</v>
      </c>
      <c r="AD1837" s="209">
        <v>1</v>
      </c>
      <c r="AE1837" s="209">
        <v>2026</v>
      </c>
      <c r="AF1837" s="227">
        <v>46024</v>
      </c>
      <c r="AG1837" s="227">
        <v>46028</v>
      </c>
      <c r="AH1837" s="227">
        <v>46028</v>
      </c>
      <c r="AI1837" s="228">
        <v>531648</v>
      </c>
      <c r="AJ1837" s="228">
        <v>52</v>
      </c>
      <c r="AK1837" s="228">
        <v>531648</v>
      </c>
      <c r="AL1837" s="228">
        <v>52</v>
      </c>
      <c r="AM1837" s="228">
        <v>0</v>
      </c>
      <c r="AN1837" s="228">
        <v>0</v>
      </c>
      <c r="AO1837" s="229">
        <v>2</v>
      </c>
      <c r="AP1837" s="231">
        <v>1</v>
      </c>
      <c r="AQ1837" s="231">
        <v>2026</v>
      </c>
      <c r="AR1837" s="231" t="str">
        <f t="shared" si="264"/>
        <v>01/2026</v>
      </c>
      <c r="AS1837" s="231">
        <f t="shared" si="265"/>
        <v>37.200000000000003</v>
      </c>
      <c r="AT1837" s="239">
        <f>IF(G1837="CERVECERIA Y MALTERIA",(AS1837*AK1837/1000000)*(1-VLOOKUP(N1837,FCST!D:I,6,FALSE)),0)</f>
        <v>19.777305600000002</v>
      </c>
      <c r="AU1837" s="232">
        <v>5.0000000000000001E-3</v>
      </c>
      <c r="AV1837" s="239">
        <f t="shared" si="266"/>
        <v>19.876192128</v>
      </c>
      <c r="AW1837" s="239">
        <f>(AS1837*AK1837/1000000)*(VLOOKUP(N1837,FCST!D:I,6,FALSE))</f>
        <v>0</v>
      </c>
      <c r="AX1837" s="239">
        <f t="shared" si="267"/>
        <v>0</v>
      </c>
      <c r="AY1837" s="239">
        <f>IF($G1837="CERVECERIA Y MALTERIA.",($AS1837*$AK1837/1000000)*(1-VLOOKUP($N1837,FCST!D:I,6,FALSE)),0)</f>
        <v>0</v>
      </c>
      <c r="AZ1837" s="239">
        <f t="shared" si="268"/>
        <v>0</v>
      </c>
    </row>
    <row r="1838" spans="1:52" x14ac:dyDescent="0.25">
      <c r="A1838" s="209">
        <v>1159285</v>
      </c>
      <c r="B1838" s="209">
        <v>10</v>
      </c>
      <c r="C1838" s="209" t="s">
        <v>4200</v>
      </c>
      <c r="D1838" s="209">
        <v>10</v>
      </c>
      <c r="E1838" s="209">
        <v>10000002</v>
      </c>
      <c r="F1838" s="209">
        <v>20000337</v>
      </c>
      <c r="G1838" s="209" t="s">
        <v>105</v>
      </c>
      <c r="H1838" s="209">
        <v>20000337</v>
      </c>
      <c r="I1838" s="209">
        <v>2</v>
      </c>
      <c r="J1838" s="209" t="s">
        <v>169</v>
      </c>
      <c r="K1838" s="209" t="s">
        <v>4201</v>
      </c>
      <c r="L1838" s="209" t="s">
        <v>2610</v>
      </c>
      <c r="M1838" s="209" t="s">
        <v>4086</v>
      </c>
      <c r="N1838" s="209">
        <v>50024497</v>
      </c>
      <c r="O1838" s="209" t="s">
        <v>1352</v>
      </c>
      <c r="P1838" s="209">
        <v>5121</v>
      </c>
      <c r="Q1838" s="209" t="s">
        <v>200</v>
      </c>
      <c r="R1838" s="209" t="s">
        <v>201</v>
      </c>
      <c r="S1838" s="209" t="s">
        <v>202</v>
      </c>
      <c r="T1838" s="209" t="s">
        <v>203</v>
      </c>
      <c r="U1838" s="209" t="s">
        <v>201</v>
      </c>
      <c r="V1838" s="209" t="s">
        <v>179</v>
      </c>
      <c r="W1838" s="209" t="s">
        <v>179</v>
      </c>
      <c r="X1838" s="209" t="s">
        <v>180</v>
      </c>
      <c r="Y1838" s="209" t="s">
        <v>180</v>
      </c>
      <c r="Z1838" s="209" t="s">
        <v>4176</v>
      </c>
      <c r="AA1838" s="209" t="s">
        <v>4177</v>
      </c>
      <c r="AB1838" s="209" t="s">
        <v>180</v>
      </c>
      <c r="AC1838" s="209" t="s">
        <v>182</v>
      </c>
      <c r="AD1838" s="209">
        <v>1</v>
      </c>
      <c r="AE1838" s="209">
        <v>2026</v>
      </c>
      <c r="AF1838" s="227">
        <v>46024</v>
      </c>
      <c r="AG1838" s="227">
        <v>46027</v>
      </c>
      <c r="AH1838" s="227">
        <v>46027</v>
      </c>
      <c r="AI1838" s="228">
        <v>351936</v>
      </c>
      <c r="AJ1838" s="228">
        <v>52</v>
      </c>
      <c r="AK1838" s="228">
        <v>351936</v>
      </c>
      <c r="AL1838" s="228">
        <v>52</v>
      </c>
      <c r="AM1838" s="228">
        <v>0</v>
      </c>
      <c r="AN1838" s="228">
        <v>0</v>
      </c>
      <c r="AO1838" s="229">
        <v>2</v>
      </c>
      <c r="AP1838" s="231">
        <v>1</v>
      </c>
      <c r="AQ1838" s="231">
        <v>2026</v>
      </c>
      <c r="AR1838" s="231" t="str">
        <f t="shared" si="264"/>
        <v>01/2026</v>
      </c>
      <c r="AS1838" s="231">
        <f t="shared" si="265"/>
        <v>54.7</v>
      </c>
      <c r="AT1838" s="239">
        <f>IF(G1838="CERVECERIA Y MALTERIA",(AS1838*AK1838/1000000)*(1-VLOOKUP(N1838,FCST!D:I,6,FALSE)),0)</f>
        <v>19.250899199999999</v>
      </c>
      <c r="AU1838" s="232">
        <v>5.0000000000000001E-3</v>
      </c>
      <c r="AV1838" s="239">
        <f t="shared" si="266"/>
        <v>19.347153695999996</v>
      </c>
      <c r="AW1838" s="239">
        <f>(AS1838*AK1838/1000000)*(VLOOKUP(N1838,FCST!D:I,6,FALSE))</f>
        <v>0</v>
      </c>
      <c r="AX1838" s="239">
        <f t="shared" si="267"/>
        <v>0</v>
      </c>
      <c r="AY1838" s="239">
        <f>IF($G1838="CERVECERIA Y MALTERIA.",($AS1838*$AK1838/1000000)*(1-VLOOKUP($N1838,FCST!D:I,6,FALSE)),0)</f>
        <v>0</v>
      </c>
      <c r="AZ1838" s="239">
        <f t="shared" si="268"/>
        <v>0</v>
      </c>
    </row>
    <row r="1839" spans="1:52" x14ac:dyDescent="0.25">
      <c r="A1839" s="209">
        <v>1160641</v>
      </c>
      <c r="B1839" s="209">
        <v>20</v>
      </c>
      <c r="C1839" s="209" t="s">
        <v>4202</v>
      </c>
      <c r="D1839" s="209">
        <v>10</v>
      </c>
      <c r="E1839" s="209">
        <v>10000002</v>
      </c>
      <c r="F1839" s="209">
        <v>20000336</v>
      </c>
      <c r="G1839" s="209" t="s">
        <v>105</v>
      </c>
      <c r="H1839" s="209">
        <v>20000336</v>
      </c>
      <c r="I1839" s="209">
        <v>2</v>
      </c>
      <c r="J1839" s="209" t="s">
        <v>169</v>
      </c>
      <c r="K1839" s="209" t="s">
        <v>4203</v>
      </c>
      <c r="L1839" s="209" t="s">
        <v>265</v>
      </c>
      <c r="M1839" s="209" t="s">
        <v>4086</v>
      </c>
      <c r="N1839" s="209">
        <v>50037887</v>
      </c>
      <c r="O1839" s="209" t="s">
        <v>679</v>
      </c>
      <c r="P1839" s="209">
        <v>5121</v>
      </c>
      <c r="Q1839" s="209" t="s">
        <v>200</v>
      </c>
      <c r="R1839" s="209" t="s">
        <v>201</v>
      </c>
      <c r="S1839" s="209" t="s">
        <v>202</v>
      </c>
      <c r="T1839" s="209" t="s">
        <v>203</v>
      </c>
      <c r="U1839" s="209" t="s">
        <v>201</v>
      </c>
      <c r="V1839" s="209" t="s">
        <v>179</v>
      </c>
      <c r="W1839" s="209" t="s">
        <v>179</v>
      </c>
      <c r="X1839" s="209" t="s">
        <v>180</v>
      </c>
      <c r="Y1839" s="209" t="s">
        <v>180</v>
      </c>
      <c r="Z1839" s="209" t="s">
        <v>4204</v>
      </c>
      <c r="AA1839" s="209" t="s">
        <v>4205</v>
      </c>
      <c r="AB1839" s="209" t="s">
        <v>180</v>
      </c>
      <c r="AC1839" s="209" t="s">
        <v>182</v>
      </c>
      <c r="AD1839" s="209">
        <v>1</v>
      </c>
      <c r="AE1839" s="209">
        <v>2026</v>
      </c>
      <c r="AF1839" s="227">
        <v>46031</v>
      </c>
      <c r="AG1839" s="227">
        <v>46037</v>
      </c>
      <c r="AH1839" s="227">
        <v>46037</v>
      </c>
      <c r="AI1839" s="228">
        <v>531648</v>
      </c>
      <c r="AJ1839" s="228">
        <v>52</v>
      </c>
      <c r="AK1839" s="228">
        <v>531648</v>
      </c>
      <c r="AL1839" s="228">
        <v>52</v>
      </c>
      <c r="AM1839" s="228">
        <v>0</v>
      </c>
      <c r="AN1839" s="228">
        <v>0</v>
      </c>
      <c r="AO1839" s="229">
        <v>3</v>
      </c>
      <c r="AP1839" s="231">
        <v>1</v>
      </c>
      <c r="AQ1839" s="231">
        <v>2026</v>
      </c>
      <c r="AR1839" s="231" t="str">
        <f t="shared" si="264"/>
        <v>01/2026</v>
      </c>
      <c r="AS1839" s="231">
        <f t="shared" si="265"/>
        <v>37.200000000000003</v>
      </c>
      <c r="AT1839" s="239">
        <f>IF(G1839="CERVECERIA Y MALTERIA",(AS1839*AK1839/1000000)*(1-VLOOKUP(N1839,FCST!D:I,6,FALSE)),0)</f>
        <v>19.777305600000002</v>
      </c>
      <c r="AU1839" s="232">
        <v>5.0000000000000001E-3</v>
      </c>
      <c r="AV1839" s="239">
        <f t="shared" si="266"/>
        <v>19.876192128</v>
      </c>
      <c r="AW1839" s="239">
        <f>(AS1839*AK1839/1000000)*(VLOOKUP(N1839,FCST!D:I,6,FALSE))</f>
        <v>0</v>
      </c>
      <c r="AX1839" s="239">
        <f t="shared" si="267"/>
        <v>0</v>
      </c>
      <c r="AY1839" s="239">
        <f>IF($G1839="CERVECERIA Y MALTERIA.",($AS1839*$AK1839/1000000)*(1-VLOOKUP($N1839,FCST!D:I,6,FALSE)),0)</f>
        <v>0</v>
      </c>
      <c r="AZ1839" s="239">
        <f t="shared" si="268"/>
        <v>0</v>
      </c>
    </row>
    <row r="1840" spans="1:52" x14ac:dyDescent="0.25">
      <c r="A1840" s="209">
        <v>1160951</v>
      </c>
      <c r="B1840" s="209">
        <v>30</v>
      </c>
      <c r="C1840" s="209" t="s">
        <v>4084</v>
      </c>
      <c r="D1840" s="209">
        <v>10</v>
      </c>
      <c r="E1840" s="209">
        <v>10000002</v>
      </c>
      <c r="F1840" s="209">
        <v>20000337</v>
      </c>
      <c r="G1840" s="209" t="s">
        <v>105</v>
      </c>
      <c r="H1840" s="209">
        <v>20000337</v>
      </c>
      <c r="I1840" s="209">
        <v>2</v>
      </c>
      <c r="J1840" s="209" t="s">
        <v>169</v>
      </c>
      <c r="K1840" s="209" t="s">
        <v>4085</v>
      </c>
      <c r="L1840" s="209" t="s">
        <v>265</v>
      </c>
      <c r="M1840" s="209" t="s">
        <v>4086</v>
      </c>
      <c r="N1840" s="209">
        <v>50036915</v>
      </c>
      <c r="O1840" s="209" t="s">
        <v>541</v>
      </c>
      <c r="P1840" s="209">
        <v>5121</v>
      </c>
      <c r="Q1840" s="209" t="s">
        <v>200</v>
      </c>
      <c r="R1840" s="209" t="s">
        <v>201</v>
      </c>
      <c r="S1840" s="209" t="s">
        <v>202</v>
      </c>
      <c r="T1840" s="209" t="s">
        <v>203</v>
      </c>
      <c r="U1840" s="209" t="s">
        <v>201</v>
      </c>
      <c r="V1840" s="209" t="s">
        <v>179</v>
      </c>
      <c r="W1840" s="209" t="s">
        <v>179</v>
      </c>
      <c r="X1840" s="209" t="s">
        <v>180</v>
      </c>
      <c r="Y1840" s="209" t="s">
        <v>180</v>
      </c>
      <c r="Z1840" s="209" t="s">
        <v>4087</v>
      </c>
      <c r="AA1840" s="209" t="s">
        <v>4088</v>
      </c>
      <c r="AB1840" s="209" t="s">
        <v>180</v>
      </c>
      <c r="AC1840" s="209" t="s">
        <v>182</v>
      </c>
      <c r="AD1840" s="209">
        <v>1</v>
      </c>
      <c r="AE1840" s="209">
        <v>2026</v>
      </c>
      <c r="AF1840" s="227">
        <v>46034</v>
      </c>
      <c r="AG1840" s="227">
        <v>46036</v>
      </c>
      <c r="AH1840" s="227">
        <v>46036</v>
      </c>
      <c r="AI1840" s="228">
        <v>369360</v>
      </c>
      <c r="AJ1840" s="228">
        <v>45</v>
      </c>
      <c r="AK1840" s="228">
        <v>369360</v>
      </c>
      <c r="AL1840" s="228">
        <v>45</v>
      </c>
      <c r="AM1840" s="228">
        <v>0</v>
      </c>
      <c r="AN1840" s="228">
        <v>0</v>
      </c>
      <c r="AO1840" s="229">
        <v>3</v>
      </c>
      <c r="AP1840" s="231">
        <v>1</v>
      </c>
      <c r="AQ1840" s="231">
        <v>2026</v>
      </c>
      <c r="AR1840" s="231" t="str">
        <f t="shared" si="264"/>
        <v>01/2026</v>
      </c>
      <c r="AS1840" s="231">
        <f t="shared" si="265"/>
        <v>46.6</v>
      </c>
      <c r="AT1840" s="239">
        <f>IF(G1840="CERVECERIA Y MALTERIA",(AS1840*AK1840/1000000)*(1-VLOOKUP(N1840,FCST!D:I,6,FALSE)),0)</f>
        <v>13.769740800000001</v>
      </c>
      <c r="AU1840" s="232">
        <v>5.0000000000000001E-3</v>
      </c>
      <c r="AV1840" s="239">
        <f t="shared" si="266"/>
        <v>13.838589504</v>
      </c>
      <c r="AW1840" s="239">
        <f>(AS1840*AK1840/1000000)*(VLOOKUP(N1840,FCST!D:I,6,FALSE))</f>
        <v>3.4424352000000003</v>
      </c>
      <c r="AX1840" s="239">
        <f t="shared" si="267"/>
        <v>3.4596473759999999</v>
      </c>
      <c r="AY1840" s="239">
        <f>IF($G1840="CERVECERIA Y MALTERIA.",($AS1840*$AK1840/1000000)*(1-VLOOKUP($N1840,FCST!D:I,6,FALSE)),0)</f>
        <v>0</v>
      </c>
      <c r="AZ1840" s="239">
        <f t="shared" si="268"/>
        <v>0</v>
      </c>
    </row>
    <row r="1841" spans="1:52" x14ac:dyDescent="0.25">
      <c r="A1841" s="209">
        <v>1160637</v>
      </c>
      <c r="B1841" s="209">
        <v>50</v>
      </c>
      <c r="C1841" s="209" t="s">
        <v>4206</v>
      </c>
      <c r="D1841" s="209">
        <v>10</v>
      </c>
      <c r="E1841" s="209">
        <v>10000002</v>
      </c>
      <c r="F1841" s="209">
        <v>20000335</v>
      </c>
      <c r="G1841" s="209" t="s">
        <v>105</v>
      </c>
      <c r="H1841" s="209">
        <v>20000335</v>
      </c>
      <c r="I1841" s="209">
        <v>2</v>
      </c>
      <c r="J1841" s="209" t="s">
        <v>169</v>
      </c>
      <c r="K1841" s="209" t="s">
        <v>4207</v>
      </c>
      <c r="L1841" s="209" t="s">
        <v>265</v>
      </c>
      <c r="M1841" s="209" t="s">
        <v>4086</v>
      </c>
      <c r="N1841" s="209">
        <v>50021818</v>
      </c>
      <c r="O1841" s="209" t="s">
        <v>2170</v>
      </c>
      <c r="P1841" s="209">
        <v>5121</v>
      </c>
      <c r="Q1841" s="209" t="s">
        <v>200</v>
      </c>
      <c r="R1841" s="209" t="s">
        <v>201</v>
      </c>
      <c r="S1841" s="209" t="s">
        <v>202</v>
      </c>
      <c r="T1841" s="209" t="s">
        <v>203</v>
      </c>
      <c r="U1841" s="209" t="s">
        <v>201</v>
      </c>
      <c r="V1841" s="209" t="s">
        <v>179</v>
      </c>
      <c r="W1841" s="209" t="s">
        <v>179</v>
      </c>
      <c r="X1841" s="209" t="s">
        <v>180</v>
      </c>
      <c r="Y1841" s="209" t="s">
        <v>180</v>
      </c>
      <c r="Z1841" s="209" t="s">
        <v>4099</v>
      </c>
      <c r="AA1841" s="209" t="s">
        <v>4100</v>
      </c>
      <c r="AB1841" s="209" t="s">
        <v>180</v>
      </c>
      <c r="AC1841" s="209" t="s">
        <v>182</v>
      </c>
      <c r="AD1841" s="209">
        <v>1</v>
      </c>
      <c r="AE1841" s="209">
        <v>2026</v>
      </c>
      <c r="AF1841" s="227">
        <v>46031</v>
      </c>
      <c r="AG1841" s="227">
        <v>46036</v>
      </c>
      <c r="AH1841" s="227">
        <v>46036</v>
      </c>
      <c r="AI1841" s="228">
        <v>426816</v>
      </c>
      <c r="AJ1841" s="228">
        <v>52</v>
      </c>
      <c r="AK1841" s="228">
        <v>426816</v>
      </c>
      <c r="AL1841" s="228">
        <v>52</v>
      </c>
      <c r="AM1841" s="228">
        <v>0</v>
      </c>
      <c r="AN1841" s="228">
        <v>0</v>
      </c>
      <c r="AO1841" s="229">
        <v>3</v>
      </c>
      <c r="AP1841" s="231">
        <v>1</v>
      </c>
      <c r="AQ1841" s="231">
        <v>2026</v>
      </c>
      <c r="AR1841" s="231" t="str">
        <f t="shared" si="264"/>
        <v>01/2026</v>
      </c>
      <c r="AS1841" s="231">
        <f t="shared" si="265"/>
        <v>46.6</v>
      </c>
      <c r="AT1841" s="239">
        <f>IF(G1841="CERVECERIA Y MALTERIA",(AS1841*AK1841/1000000)*(1-VLOOKUP(N1841,FCST!D:I,6,FALSE)),0)</f>
        <v>19.889625600000002</v>
      </c>
      <c r="AU1841" s="232">
        <v>5.0000000000000001E-3</v>
      </c>
      <c r="AV1841" s="239">
        <f t="shared" si="266"/>
        <v>19.989073728000001</v>
      </c>
      <c r="AW1841" s="239">
        <f>(AS1841*AK1841/1000000)*(VLOOKUP(N1841,FCST!D:I,6,FALSE))</f>
        <v>0</v>
      </c>
      <c r="AX1841" s="239">
        <f t="shared" si="267"/>
        <v>0</v>
      </c>
      <c r="AY1841" s="239">
        <f>IF($G1841="CERVECERIA Y MALTERIA.",($AS1841*$AK1841/1000000)*(1-VLOOKUP($N1841,FCST!D:I,6,FALSE)),0)</f>
        <v>0</v>
      </c>
      <c r="AZ1841" s="239">
        <f t="shared" si="268"/>
        <v>0</v>
      </c>
    </row>
    <row r="1842" spans="1:52" x14ac:dyDescent="0.25">
      <c r="A1842" s="209">
        <v>1161268</v>
      </c>
      <c r="B1842" s="209">
        <v>30</v>
      </c>
      <c r="C1842" s="209" t="s">
        <v>4208</v>
      </c>
      <c r="D1842" s="209">
        <v>10</v>
      </c>
      <c r="E1842" s="209">
        <v>10000002</v>
      </c>
      <c r="F1842" s="209">
        <v>20000335</v>
      </c>
      <c r="G1842" s="209" t="s">
        <v>105</v>
      </c>
      <c r="H1842" s="209">
        <v>20000335</v>
      </c>
      <c r="I1842" s="209">
        <v>2</v>
      </c>
      <c r="J1842" s="209" t="s">
        <v>169</v>
      </c>
      <c r="K1842" s="209" t="s">
        <v>4209</v>
      </c>
      <c r="L1842" s="209" t="s">
        <v>265</v>
      </c>
      <c r="M1842" s="209" t="s">
        <v>199</v>
      </c>
      <c r="N1842" s="209">
        <v>50025345</v>
      </c>
      <c r="O1842" s="209" t="s">
        <v>1998</v>
      </c>
      <c r="P1842" s="209">
        <v>5121</v>
      </c>
      <c r="Q1842" s="209" t="s">
        <v>200</v>
      </c>
      <c r="R1842" s="209" t="s">
        <v>201</v>
      </c>
      <c r="S1842" s="209" t="s">
        <v>202</v>
      </c>
      <c r="T1842" s="209" t="s">
        <v>203</v>
      </c>
      <c r="U1842" s="209" t="s">
        <v>201</v>
      </c>
      <c r="V1842" s="209" t="s">
        <v>179</v>
      </c>
      <c r="W1842" s="209" t="s">
        <v>179</v>
      </c>
      <c r="X1842" s="209" t="s">
        <v>180</v>
      </c>
      <c r="Y1842" s="209" t="s">
        <v>180</v>
      </c>
      <c r="Z1842" s="209" t="s">
        <v>4099</v>
      </c>
      <c r="AA1842" s="209" t="s">
        <v>4100</v>
      </c>
      <c r="AB1842" s="209" t="s">
        <v>180</v>
      </c>
      <c r="AC1842" s="209" t="s">
        <v>182</v>
      </c>
      <c r="AD1842" s="209">
        <v>1</v>
      </c>
      <c r="AE1842" s="209">
        <v>2026</v>
      </c>
      <c r="AF1842" s="227">
        <v>46035</v>
      </c>
      <c r="AG1842" s="227">
        <v>46041</v>
      </c>
      <c r="AH1842" s="227">
        <v>46041</v>
      </c>
      <c r="AI1842" s="228">
        <v>426816</v>
      </c>
      <c r="AJ1842" s="228">
        <v>52</v>
      </c>
      <c r="AK1842" s="228">
        <v>426816</v>
      </c>
      <c r="AL1842" s="228">
        <v>52</v>
      </c>
      <c r="AM1842" s="228">
        <v>0</v>
      </c>
      <c r="AN1842" s="228">
        <v>0</v>
      </c>
      <c r="AO1842" s="229">
        <v>4</v>
      </c>
      <c r="AP1842" s="231">
        <v>1</v>
      </c>
      <c r="AQ1842" s="231">
        <v>2026</v>
      </c>
      <c r="AR1842" s="231" t="str">
        <f t="shared" si="264"/>
        <v>01/2026</v>
      </c>
      <c r="AS1842" s="231">
        <f t="shared" si="265"/>
        <v>46.6</v>
      </c>
      <c r="AT1842" s="239">
        <f>IF(G1842="CERVECERIA Y MALTERIA",(AS1842*AK1842/1000000)*(1-VLOOKUP(N1842,FCST!D:I,6,FALSE)),0)</f>
        <v>19.889625600000002</v>
      </c>
      <c r="AU1842" s="232">
        <v>5.0000000000000001E-3</v>
      </c>
      <c r="AV1842" s="239">
        <f t="shared" si="266"/>
        <v>19.989073728000001</v>
      </c>
      <c r="AW1842" s="239">
        <f>(AS1842*AK1842/1000000)*(VLOOKUP(N1842,FCST!D:I,6,FALSE))</f>
        <v>0</v>
      </c>
      <c r="AX1842" s="239">
        <f t="shared" si="267"/>
        <v>0</v>
      </c>
      <c r="AY1842" s="239">
        <f>IF($G1842="CERVECERIA Y MALTERIA.",($AS1842*$AK1842/1000000)*(1-VLOOKUP($N1842,FCST!D:I,6,FALSE)),0)</f>
        <v>0</v>
      </c>
      <c r="AZ1842" s="239">
        <f t="shared" si="268"/>
        <v>0</v>
      </c>
    </row>
    <row r="1843" spans="1:52" x14ac:dyDescent="0.25">
      <c r="A1843" s="209">
        <v>1161268</v>
      </c>
      <c r="B1843" s="209">
        <v>20</v>
      </c>
      <c r="C1843" s="209" t="s">
        <v>4210</v>
      </c>
      <c r="D1843" s="209">
        <v>10</v>
      </c>
      <c r="E1843" s="209">
        <v>10000002</v>
      </c>
      <c r="F1843" s="209">
        <v>20000335</v>
      </c>
      <c r="G1843" s="209" t="s">
        <v>105</v>
      </c>
      <c r="H1843" s="209">
        <v>20000335</v>
      </c>
      <c r="I1843" s="209">
        <v>2</v>
      </c>
      <c r="J1843" s="209" t="s">
        <v>169</v>
      </c>
      <c r="K1843" s="209" t="s">
        <v>4211</v>
      </c>
      <c r="L1843" s="209" t="s">
        <v>265</v>
      </c>
      <c r="M1843" s="209" t="s">
        <v>199</v>
      </c>
      <c r="N1843" s="209">
        <v>50037887</v>
      </c>
      <c r="O1843" s="209" t="s">
        <v>679</v>
      </c>
      <c r="P1843" s="209">
        <v>5121</v>
      </c>
      <c r="Q1843" s="209" t="s">
        <v>200</v>
      </c>
      <c r="R1843" s="209" t="s">
        <v>201</v>
      </c>
      <c r="S1843" s="209" t="s">
        <v>202</v>
      </c>
      <c r="T1843" s="209" t="s">
        <v>203</v>
      </c>
      <c r="U1843" s="209" t="s">
        <v>201</v>
      </c>
      <c r="V1843" s="209" t="s">
        <v>179</v>
      </c>
      <c r="W1843" s="209" t="s">
        <v>179</v>
      </c>
      <c r="X1843" s="209" t="s">
        <v>180</v>
      </c>
      <c r="Y1843" s="209" t="s">
        <v>180</v>
      </c>
      <c r="Z1843" s="209" t="s">
        <v>4095</v>
      </c>
      <c r="AA1843" s="209" t="s">
        <v>4096</v>
      </c>
      <c r="AB1843" s="209" t="s">
        <v>180</v>
      </c>
      <c r="AC1843" s="209" t="s">
        <v>182</v>
      </c>
      <c r="AD1843" s="209">
        <v>1</v>
      </c>
      <c r="AE1843" s="209">
        <v>2026</v>
      </c>
      <c r="AF1843" s="227">
        <v>46035</v>
      </c>
      <c r="AG1843" s="227">
        <v>46041</v>
      </c>
      <c r="AH1843" s="227">
        <v>46041</v>
      </c>
      <c r="AI1843" s="228">
        <v>531648</v>
      </c>
      <c r="AJ1843" s="228">
        <v>52</v>
      </c>
      <c r="AK1843" s="228">
        <v>531648</v>
      </c>
      <c r="AL1843" s="228">
        <v>52</v>
      </c>
      <c r="AM1843" s="228">
        <v>0</v>
      </c>
      <c r="AN1843" s="228">
        <v>0</v>
      </c>
      <c r="AO1843" s="229">
        <v>4</v>
      </c>
      <c r="AP1843" s="231">
        <v>1</v>
      </c>
      <c r="AQ1843" s="231">
        <v>2026</v>
      </c>
      <c r="AR1843" s="231" t="str">
        <f t="shared" si="264"/>
        <v>01/2026</v>
      </c>
      <c r="AS1843" s="231">
        <f t="shared" si="265"/>
        <v>37.200000000000003</v>
      </c>
      <c r="AT1843" s="239">
        <f>IF(G1843="CERVECERIA Y MALTERIA",(AS1843*AK1843/1000000)*(1-VLOOKUP(N1843,FCST!D:I,6,FALSE)),0)</f>
        <v>19.777305600000002</v>
      </c>
      <c r="AU1843" s="232">
        <v>5.0000000000000001E-3</v>
      </c>
      <c r="AV1843" s="239">
        <f t="shared" si="266"/>
        <v>19.876192128</v>
      </c>
      <c r="AW1843" s="239">
        <f>(AS1843*AK1843/1000000)*(VLOOKUP(N1843,FCST!D:I,6,FALSE))</f>
        <v>0</v>
      </c>
      <c r="AX1843" s="239">
        <f t="shared" si="267"/>
        <v>0</v>
      </c>
      <c r="AY1843" s="239">
        <f>IF($G1843="CERVECERIA Y MALTERIA.",($AS1843*$AK1843/1000000)*(1-VLOOKUP($N1843,FCST!D:I,6,FALSE)),0)</f>
        <v>0</v>
      </c>
      <c r="AZ1843" s="239">
        <f t="shared" si="268"/>
        <v>0</v>
      </c>
    </row>
    <row r="1844" spans="1:52" x14ac:dyDescent="0.25">
      <c r="A1844" s="209">
        <v>1160951</v>
      </c>
      <c r="B1844" s="209">
        <v>50</v>
      </c>
      <c r="C1844" s="209" t="s">
        <v>4212</v>
      </c>
      <c r="D1844" s="209">
        <v>10</v>
      </c>
      <c r="E1844" s="209">
        <v>10000002</v>
      </c>
      <c r="F1844" s="209">
        <v>20000337</v>
      </c>
      <c r="G1844" s="209" t="s">
        <v>105</v>
      </c>
      <c r="H1844" s="209">
        <v>20000337</v>
      </c>
      <c r="I1844" s="209">
        <v>2</v>
      </c>
      <c r="J1844" s="209" t="s">
        <v>169</v>
      </c>
      <c r="K1844" s="209" t="s">
        <v>4213</v>
      </c>
      <c r="L1844" s="209" t="s">
        <v>265</v>
      </c>
      <c r="M1844" s="209" t="s">
        <v>4086</v>
      </c>
      <c r="N1844" s="209">
        <v>50032583</v>
      </c>
      <c r="O1844" s="209" t="s">
        <v>205</v>
      </c>
      <c r="P1844" s="209">
        <v>5121</v>
      </c>
      <c r="Q1844" s="209" t="s">
        <v>200</v>
      </c>
      <c r="R1844" s="209" t="s">
        <v>201</v>
      </c>
      <c r="S1844" s="209" t="s">
        <v>202</v>
      </c>
      <c r="T1844" s="209" t="s">
        <v>203</v>
      </c>
      <c r="U1844" s="209" t="s">
        <v>201</v>
      </c>
      <c r="V1844" s="209" t="s">
        <v>179</v>
      </c>
      <c r="W1844" s="209" t="s">
        <v>179</v>
      </c>
      <c r="X1844" s="209" t="s">
        <v>180</v>
      </c>
      <c r="Y1844" s="209" t="s">
        <v>180</v>
      </c>
      <c r="Z1844" s="209" t="s">
        <v>4176</v>
      </c>
      <c r="AA1844" s="209" t="s">
        <v>4177</v>
      </c>
      <c r="AB1844" s="209" t="s">
        <v>180</v>
      </c>
      <c r="AC1844" s="209" t="s">
        <v>182</v>
      </c>
      <c r="AD1844" s="209">
        <v>1</v>
      </c>
      <c r="AE1844" s="209">
        <v>2026</v>
      </c>
      <c r="AF1844" s="227">
        <v>46034</v>
      </c>
      <c r="AG1844" s="227">
        <v>46038</v>
      </c>
      <c r="AH1844" s="227">
        <v>46038</v>
      </c>
      <c r="AI1844" s="228">
        <v>351936</v>
      </c>
      <c r="AJ1844" s="228">
        <v>52</v>
      </c>
      <c r="AK1844" s="228">
        <v>351936</v>
      </c>
      <c r="AL1844" s="228">
        <v>52</v>
      </c>
      <c r="AM1844" s="228">
        <v>0</v>
      </c>
      <c r="AN1844" s="228">
        <v>0</v>
      </c>
      <c r="AO1844" s="229">
        <v>3</v>
      </c>
      <c r="AP1844" s="231">
        <v>1</v>
      </c>
      <c r="AQ1844" s="231">
        <v>2026</v>
      </c>
      <c r="AR1844" s="231" t="str">
        <f t="shared" si="264"/>
        <v>01/2026</v>
      </c>
      <c r="AS1844" s="231">
        <f t="shared" si="265"/>
        <v>54.7</v>
      </c>
      <c r="AT1844" s="239">
        <f>IF(G1844="CERVECERIA Y MALTERIA",(AS1844*AK1844/1000000)*(1-VLOOKUP(N1844,FCST!D:I,6,FALSE)),0)</f>
        <v>19.250899199999999</v>
      </c>
      <c r="AU1844" s="232">
        <v>5.0000000000000001E-3</v>
      </c>
      <c r="AV1844" s="239">
        <f t="shared" si="266"/>
        <v>19.347153695999996</v>
      </c>
      <c r="AW1844" s="239">
        <f>(AS1844*AK1844/1000000)*(VLOOKUP(N1844,FCST!D:I,6,FALSE))</f>
        <v>0</v>
      </c>
      <c r="AX1844" s="239">
        <f t="shared" si="267"/>
        <v>0</v>
      </c>
      <c r="AY1844" s="239">
        <f>IF($G1844="CERVECERIA Y MALTERIA.",($AS1844*$AK1844/1000000)*(1-VLOOKUP($N1844,FCST!D:I,6,FALSE)),0)</f>
        <v>0</v>
      </c>
      <c r="AZ1844" s="239">
        <f t="shared" si="268"/>
        <v>0</v>
      </c>
    </row>
    <row r="1845" spans="1:52" x14ac:dyDescent="0.25">
      <c r="A1845" s="209">
        <v>1160637</v>
      </c>
      <c r="B1845" s="209">
        <v>90</v>
      </c>
      <c r="C1845" s="209" t="s">
        <v>4214</v>
      </c>
      <c r="D1845" s="209">
        <v>10</v>
      </c>
      <c r="E1845" s="209">
        <v>10000002</v>
      </c>
      <c r="F1845" s="209">
        <v>20000335</v>
      </c>
      <c r="G1845" s="209" t="s">
        <v>105</v>
      </c>
      <c r="H1845" s="209">
        <v>20000335</v>
      </c>
      <c r="I1845" s="209">
        <v>2</v>
      </c>
      <c r="J1845" s="209" t="s">
        <v>169</v>
      </c>
      <c r="K1845" s="209" t="s">
        <v>4215</v>
      </c>
      <c r="L1845" s="209" t="s">
        <v>265</v>
      </c>
      <c r="M1845" s="209" t="s">
        <v>4086</v>
      </c>
      <c r="N1845" s="209">
        <v>50035184</v>
      </c>
      <c r="O1845" s="209" t="s">
        <v>672</v>
      </c>
      <c r="P1845" s="209">
        <v>5121</v>
      </c>
      <c r="Q1845" s="209" t="s">
        <v>200</v>
      </c>
      <c r="R1845" s="209" t="s">
        <v>201</v>
      </c>
      <c r="S1845" s="209" t="s">
        <v>202</v>
      </c>
      <c r="T1845" s="209" t="s">
        <v>203</v>
      </c>
      <c r="U1845" s="209" t="s">
        <v>201</v>
      </c>
      <c r="V1845" s="209" t="s">
        <v>179</v>
      </c>
      <c r="W1845" s="209" t="s">
        <v>179</v>
      </c>
      <c r="X1845" s="209" t="s">
        <v>180</v>
      </c>
      <c r="Y1845" s="209" t="s">
        <v>180</v>
      </c>
      <c r="Z1845" s="209" t="s">
        <v>4115</v>
      </c>
      <c r="AA1845" s="209" t="s">
        <v>4116</v>
      </c>
      <c r="AB1845" s="209" t="s">
        <v>180</v>
      </c>
      <c r="AC1845" s="209" t="s">
        <v>182</v>
      </c>
      <c r="AD1845" s="209">
        <v>1</v>
      </c>
      <c r="AE1845" s="209">
        <v>2026</v>
      </c>
      <c r="AF1845" s="227">
        <v>46031</v>
      </c>
      <c r="AG1845" s="227">
        <v>46038</v>
      </c>
      <c r="AH1845" s="227">
        <v>46038</v>
      </c>
      <c r="AI1845" s="228">
        <v>977184</v>
      </c>
      <c r="AJ1845" s="228">
        <v>52</v>
      </c>
      <c r="AK1845" s="228">
        <v>977184</v>
      </c>
      <c r="AL1845" s="228">
        <v>52</v>
      </c>
      <c r="AM1845" s="228">
        <v>0</v>
      </c>
      <c r="AN1845" s="228">
        <v>0</v>
      </c>
      <c r="AO1845" s="229">
        <v>3</v>
      </c>
      <c r="AP1845" s="231">
        <v>1</v>
      </c>
      <c r="AQ1845" s="231">
        <v>2026</v>
      </c>
      <c r="AR1845" s="231" t="str">
        <f t="shared" si="264"/>
        <v>01/2026</v>
      </c>
      <c r="AS1845" s="231">
        <f t="shared" si="265"/>
        <v>19.5</v>
      </c>
      <c r="AT1845" s="239">
        <f>IF(G1845="CERVECERIA Y MALTERIA",(AS1845*AK1845/1000000)*(1-VLOOKUP(N1845,FCST!D:I,6,FALSE)),0)</f>
        <v>19.055088000000001</v>
      </c>
      <c r="AU1845" s="232">
        <v>5.0000000000000001E-3</v>
      </c>
      <c r="AV1845" s="239">
        <f t="shared" si="266"/>
        <v>19.15036344</v>
      </c>
      <c r="AW1845" s="239">
        <f>(AS1845*AK1845/1000000)*(VLOOKUP(N1845,FCST!D:I,6,FALSE))</f>
        <v>0</v>
      </c>
      <c r="AX1845" s="239">
        <f t="shared" si="267"/>
        <v>0</v>
      </c>
      <c r="AY1845" s="239">
        <f>IF($G1845="CERVECERIA Y MALTERIA.",($AS1845*$AK1845/1000000)*(1-VLOOKUP($N1845,FCST!D:I,6,FALSE)),0)</f>
        <v>0</v>
      </c>
      <c r="AZ1845" s="239">
        <f t="shared" si="268"/>
        <v>0</v>
      </c>
    </row>
    <row r="1846" spans="1:52" x14ac:dyDescent="0.25">
      <c r="A1846" s="209">
        <v>1160637</v>
      </c>
      <c r="B1846" s="209">
        <v>70</v>
      </c>
      <c r="C1846" s="209" t="s">
        <v>4216</v>
      </c>
      <c r="D1846" s="209">
        <v>10</v>
      </c>
      <c r="E1846" s="209">
        <v>10000002</v>
      </c>
      <c r="F1846" s="209">
        <v>20000335</v>
      </c>
      <c r="G1846" s="209" t="s">
        <v>105</v>
      </c>
      <c r="H1846" s="209">
        <v>20000335</v>
      </c>
      <c r="I1846" s="209">
        <v>2</v>
      </c>
      <c r="J1846" s="209" t="s">
        <v>169</v>
      </c>
      <c r="K1846" s="209" t="s">
        <v>4217</v>
      </c>
      <c r="L1846" s="209" t="s">
        <v>265</v>
      </c>
      <c r="M1846" s="209" t="s">
        <v>4086</v>
      </c>
      <c r="N1846" s="209">
        <v>50021818</v>
      </c>
      <c r="O1846" s="209" t="s">
        <v>2170</v>
      </c>
      <c r="P1846" s="209">
        <v>5121</v>
      </c>
      <c r="Q1846" s="209" t="s">
        <v>200</v>
      </c>
      <c r="R1846" s="209" t="s">
        <v>201</v>
      </c>
      <c r="S1846" s="209" t="s">
        <v>202</v>
      </c>
      <c r="T1846" s="209" t="s">
        <v>203</v>
      </c>
      <c r="U1846" s="209" t="s">
        <v>201</v>
      </c>
      <c r="V1846" s="209" t="s">
        <v>179</v>
      </c>
      <c r="W1846" s="209" t="s">
        <v>179</v>
      </c>
      <c r="X1846" s="209" t="s">
        <v>180</v>
      </c>
      <c r="Y1846" s="209" t="s">
        <v>180</v>
      </c>
      <c r="Z1846" s="209" t="s">
        <v>4099</v>
      </c>
      <c r="AA1846" s="209" t="s">
        <v>4100</v>
      </c>
      <c r="AB1846" s="209" t="s">
        <v>180</v>
      </c>
      <c r="AC1846" s="209" t="s">
        <v>182</v>
      </c>
      <c r="AD1846" s="209">
        <v>1</v>
      </c>
      <c r="AE1846" s="209">
        <v>2026</v>
      </c>
      <c r="AF1846" s="227">
        <v>46031</v>
      </c>
      <c r="AG1846" s="227">
        <v>46038</v>
      </c>
      <c r="AH1846" s="227">
        <v>46038</v>
      </c>
      <c r="AI1846" s="228">
        <v>426816</v>
      </c>
      <c r="AJ1846" s="228">
        <v>52</v>
      </c>
      <c r="AK1846" s="228">
        <v>426816</v>
      </c>
      <c r="AL1846" s="228">
        <v>52</v>
      </c>
      <c r="AM1846" s="228">
        <v>0</v>
      </c>
      <c r="AN1846" s="228">
        <v>0</v>
      </c>
      <c r="AO1846" s="229">
        <v>3</v>
      </c>
      <c r="AP1846" s="231">
        <v>1</v>
      </c>
      <c r="AQ1846" s="231">
        <v>2026</v>
      </c>
      <c r="AR1846" s="231" t="str">
        <f t="shared" si="264"/>
        <v>01/2026</v>
      </c>
      <c r="AS1846" s="231">
        <f t="shared" si="265"/>
        <v>46.6</v>
      </c>
      <c r="AT1846" s="239">
        <f>IF(G1846="CERVECERIA Y MALTERIA",(AS1846*AK1846/1000000)*(1-VLOOKUP(N1846,FCST!D:I,6,FALSE)),0)</f>
        <v>19.889625600000002</v>
      </c>
      <c r="AU1846" s="232">
        <v>5.0000000000000001E-3</v>
      </c>
      <c r="AV1846" s="239">
        <f t="shared" si="266"/>
        <v>19.989073728000001</v>
      </c>
      <c r="AW1846" s="239">
        <f>(AS1846*AK1846/1000000)*(VLOOKUP(N1846,FCST!D:I,6,FALSE))</f>
        <v>0</v>
      </c>
      <c r="AX1846" s="239">
        <f t="shared" si="267"/>
        <v>0</v>
      </c>
      <c r="AY1846" s="239">
        <f>IF($G1846="CERVECERIA Y MALTERIA.",($AS1846*$AK1846/1000000)*(1-VLOOKUP($N1846,FCST!D:I,6,FALSE)),0)</f>
        <v>0</v>
      </c>
      <c r="AZ1846" s="239">
        <f t="shared" si="268"/>
        <v>0</v>
      </c>
    </row>
    <row r="1847" spans="1:52" x14ac:dyDescent="0.25">
      <c r="A1847" s="209">
        <v>1160637</v>
      </c>
      <c r="B1847" s="209">
        <v>80</v>
      </c>
      <c r="C1847" s="209" t="s">
        <v>4218</v>
      </c>
      <c r="D1847" s="209">
        <v>10</v>
      </c>
      <c r="E1847" s="209">
        <v>10000002</v>
      </c>
      <c r="F1847" s="209">
        <v>20000335</v>
      </c>
      <c r="G1847" s="209" t="s">
        <v>105</v>
      </c>
      <c r="H1847" s="209">
        <v>20000335</v>
      </c>
      <c r="I1847" s="209">
        <v>2</v>
      </c>
      <c r="J1847" s="209" t="s">
        <v>169</v>
      </c>
      <c r="K1847" s="209" t="s">
        <v>4219</v>
      </c>
      <c r="L1847" s="209" t="s">
        <v>265</v>
      </c>
      <c r="M1847" s="209" t="s">
        <v>4086</v>
      </c>
      <c r="N1847" s="209">
        <v>50037887</v>
      </c>
      <c r="O1847" s="209" t="s">
        <v>679</v>
      </c>
      <c r="P1847" s="209">
        <v>5121</v>
      </c>
      <c r="Q1847" s="209" t="s">
        <v>200</v>
      </c>
      <c r="R1847" s="209" t="s">
        <v>201</v>
      </c>
      <c r="S1847" s="209" t="s">
        <v>202</v>
      </c>
      <c r="T1847" s="209" t="s">
        <v>203</v>
      </c>
      <c r="U1847" s="209" t="s">
        <v>201</v>
      </c>
      <c r="V1847" s="209" t="s">
        <v>179</v>
      </c>
      <c r="W1847" s="209" t="s">
        <v>179</v>
      </c>
      <c r="X1847" s="209" t="s">
        <v>180</v>
      </c>
      <c r="Y1847" s="209" t="s">
        <v>180</v>
      </c>
      <c r="Z1847" s="209" t="s">
        <v>4095</v>
      </c>
      <c r="AA1847" s="209" t="s">
        <v>4096</v>
      </c>
      <c r="AB1847" s="209" t="s">
        <v>180</v>
      </c>
      <c r="AC1847" s="209" t="s">
        <v>182</v>
      </c>
      <c r="AD1847" s="209">
        <v>1</v>
      </c>
      <c r="AE1847" s="209">
        <v>2026</v>
      </c>
      <c r="AF1847" s="227">
        <v>46031</v>
      </c>
      <c r="AG1847" s="227">
        <v>46037</v>
      </c>
      <c r="AH1847" s="227">
        <v>46037</v>
      </c>
      <c r="AI1847" s="228">
        <v>531648</v>
      </c>
      <c r="AJ1847" s="228">
        <v>52</v>
      </c>
      <c r="AK1847" s="228">
        <v>531648</v>
      </c>
      <c r="AL1847" s="228">
        <v>52</v>
      </c>
      <c r="AM1847" s="228">
        <v>0</v>
      </c>
      <c r="AN1847" s="228">
        <v>0</v>
      </c>
      <c r="AO1847" s="229">
        <v>3</v>
      </c>
      <c r="AP1847" s="231">
        <v>1</v>
      </c>
      <c r="AQ1847" s="231">
        <v>2026</v>
      </c>
      <c r="AR1847" s="231" t="str">
        <f t="shared" si="264"/>
        <v>01/2026</v>
      </c>
      <c r="AS1847" s="231">
        <f t="shared" si="265"/>
        <v>37.200000000000003</v>
      </c>
      <c r="AT1847" s="239">
        <f>IF(G1847="CERVECERIA Y MALTERIA",(AS1847*AK1847/1000000)*(1-VLOOKUP(N1847,FCST!D:I,6,FALSE)),0)</f>
        <v>19.777305600000002</v>
      </c>
      <c r="AU1847" s="232">
        <v>5.0000000000000001E-3</v>
      </c>
      <c r="AV1847" s="239">
        <f t="shared" si="266"/>
        <v>19.876192128</v>
      </c>
      <c r="AW1847" s="239">
        <f>(AS1847*AK1847/1000000)*(VLOOKUP(N1847,FCST!D:I,6,FALSE))</f>
        <v>0</v>
      </c>
      <c r="AX1847" s="239">
        <f t="shared" si="267"/>
        <v>0</v>
      </c>
      <c r="AY1847" s="239">
        <f>IF($G1847="CERVECERIA Y MALTERIA.",($AS1847*$AK1847/1000000)*(1-VLOOKUP($N1847,FCST!D:I,6,FALSE)),0)</f>
        <v>0</v>
      </c>
      <c r="AZ1847" s="239">
        <f t="shared" si="268"/>
        <v>0</v>
      </c>
    </row>
    <row r="1848" spans="1:52" x14ac:dyDescent="0.25">
      <c r="A1848" s="209">
        <v>1160637</v>
      </c>
      <c r="B1848" s="209">
        <v>60</v>
      </c>
      <c r="C1848" s="209" t="s">
        <v>4220</v>
      </c>
      <c r="D1848" s="209">
        <v>10</v>
      </c>
      <c r="E1848" s="209">
        <v>10000002</v>
      </c>
      <c r="F1848" s="209">
        <v>20000335</v>
      </c>
      <c r="G1848" s="209" t="s">
        <v>105</v>
      </c>
      <c r="H1848" s="209">
        <v>20000335</v>
      </c>
      <c r="I1848" s="209">
        <v>2</v>
      </c>
      <c r="J1848" s="209" t="s">
        <v>169</v>
      </c>
      <c r="K1848" s="209" t="s">
        <v>4221</v>
      </c>
      <c r="L1848" s="209" t="s">
        <v>265</v>
      </c>
      <c r="M1848" s="209" t="s">
        <v>4086</v>
      </c>
      <c r="N1848" s="209">
        <v>50021818</v>
      </c>
      <c r="O1848" s="209" t="s">
        <v>2170</v>
      </c>
      <c r="P1848" s="209">
        <v>5121</v>
      </c>
      <c r="Q1848" s="209" t="s">
        <v>200</v>
      </c>
      <c r="R1848" s="209" t="s">
        <v>201</v>
      </c>
      <c r="S1848" s="209" t="s">
        <v>202</v>
      </c>
      <c r="T1848" s="209" t="s">
        <v>203</v>
      </c>
      <c r="U1848" s="209" t="s">
        <v>201</v>
      </c>
      <c r="V1848" s="209" t="s">
        <v>179</v>
      </c>
      <c r="W1848" s="209" t="s">
        <v>179</v>
      </c>
      <c r="X1848" s="209" t="s">
        <v>180</v>
      </c>
      <c r="Y1848" s="209" t="s">
        <v>180</v>
      </c>
      <c r="Z1848" s="209" t="s">
        <v>4099</v>
      </c>
      <c r="AA1848" s="209" t="s">
        <v>4100</v>
      </c>
      <c r="AB1848" s="209" t="s">
        <v>180</v>
      </c>
      <c r="AC1848" s="209" t="s">
        <v>182</v>
      </c>
      <c r="AD1848" s="209">
        <v>1</v>
      </c>
      <c r="AE1848" s="209">
        <v>2026</v>
      </c>
      <c r="AF1848" s="227">
        <v>46031</v>
      </c>
      <c r="AG1848" s="227">
        <v>46037</v>
      </c>
      <c r="AH1848" s="227">
        <v>46037</v>
      </c>
      <c r="AI1848" s="228">
        <v>426816</v>
      </c>
      <c r="AJ1848" s="228">
        <v>52</v>
      </c>
      <c r="AK1848" s="228">
        <v>426816</v>
      </c>
      <c r="AL1848" s="228">
        <v>52</v>
      </c>
      <c r="AM1848" s="228">
        <v>0</v>
      </c>
      <c r="AN1848" s="228">
        <v>0</v>
      </c>
      <c r="AO1848" s="229">
        <v>3</v>
      </c>
      <c r="AP1848" s="231">
        <v>1</v>
      </c>
      <c r="AQ1848" s="231">
        <v>2026</v>
      </c>
      <c r="AR1848" s="231" t="str">
        <f t="shared" si="264"/>
        <v>01/2026</v>
      </c>
      <c r="AS1848" s="231">
        <f t="shared" si="265"/>
        <v>46.6</v>
      </c>
      <c r="AT1848" s="239">
        <f>IF(G1848="CERVECERIA Y MALTERIA",(AS1848*AK1848/1000000)*(1-VLOOKUP(N1848,FCST!D:I,6,FALSE)),0)</f>
        <v>19.889625600000002</v>
      </c>
      <c r="AU1848" s="232">
        <v>5.0000000000000001E-3</v>
      </c>
      <c r="AV1848" s="239">
        <f t="shared" si="266"/>
        <v>19.989073728000001</v>
      </c>
      <c r="AW1848" s="239">
        <f>(AS1848*AK1848/1000000)*(VLOOKUP(N1848,FCST!D:I,6,FALSE))</f>
        <v>0</v>
      </c>
      <c r="AX1848" s="239">
        <f t="shared" si="267"/>
        <v>0</v>
      </c>
      <c r="AY1848" s="239">
        <f>IF($G1848="CERVECERIA Y MALTERIA.",($AS1848*$AK1848/1000000)*(1-VLOOKUP($N1848,FCST!D:I,6,FALSE)),0)</f>
        <v>0</v>
      </c>
      <c r="AZ1848" s="239">
        <f t="shared" si="268"/>
        <v>0</v>
      </c>
    </row>
    <row r="1849" spans="1:52" x14ac:dyDescent="0.25">
      <c r="A1849" s="209">
        <v>1160637</v>
      </c>
      <c r="B1849" s="209">
        <v>30</v>
      </c>
      <c r="C1849" s="209" t="s">
        <v>4222</v>
      </c>
      <c r="D1849" s="209">
        <v>10</v>
      </c>
      <c r="E1849" s="209">
        <v>10000002</v>
      </c>
      <c r="F1849" s="209">
        <v>20000335</v>
      </c>
      <c r="G1849" s="209" t="s">
        <v>105</v>
      </c>
      <c r="H1849" s="209">
        <v>20000335</v>
      </c>
      <c r="I1849" s="209">
        <v>2</v>
      </c>
      <c r="J1849" s="209" t="s">
        <v>169</v>
      </c>
      <c r="K1849" s="209" t="s">
        <v>4223</v>
      </c>
      <c r="L1849" s="209" t="s">
        <v>265</v>
      </c>
      <c r="M1849" s="209" t="s">
        <v>4086</v>
      </c>
      <c r="N1849" s="209">
        <v>50021818</v>
      </c>
      <c r="O1849" s="209" t="s">
        <v>2170</v>
      </c>
      <c r="P1849" s="209">
        <v>5121</v>
      </c>
      <c r="Q1849" s="209" t="s">
        <v>200</v>
      </c>
      <c r="R1849" s="209" t="s">
        <v>201</v>
      </c>
      <c r="S1849" s="209" t="s">
        <v>202</v>
      </c>
      <c r="T1849" s="209" t="s">
        <v>203</v>
      </c>
      <c r="U1849" s="209" t="s">
        <v>201</v>
      </c>
      <c r="V1849" s="209" t="s">
        <v>179</v>
      </c>
      <c r="W1849" s="209" t="s">
        <v>179</v>
      </c>
      <c r="X1849" s="209" t="s">
        <v>180</v>
      </c>
      <c r="Y1849" s="209" t="s">
        <v>180</v>
      </c>
      <c r="Z1849" s="209" t="s">
        <v>4099</v>
      </c>
      <c r="AA1849" s="209" t="s">
        <v>4100</v>
      </c>
      <c r="AB1849" s="209" t="s">
        <v>180</v>
      </c>
      <c r="AC1849" s="209" t="s">
        <v>182</v>
      </c>
      <c r="AD1849" s="209">
        <v>1</v>
      </c>
      <c r="AE1849" s="209">
        <v>2026</v>
      </c>
      <c r="AF1849" s="227">
        <v>46031</v>
      </c>
      <c r="AG1849" s="227">
        <v>46034</v>
      </c>
      <c r="AH1849" s="227">
        <v>46034</v>
      </c>
      <c r="AI1849" s="228">
        <v>426816</v>
      </c>
      <c r="AJ1849" s="228">
        <v>52</v>
      </c>
      <c r="AK1849" s="228">
        <v>426816</v>
      </c>
      <c r="AL1849" s="228">
        <v>52</v>
      </c>
      <c r="AM1849" s="228">
        <v>0</v>
      </c>
      <c r="AN1849" s="228">
        <v>0</v>
      </c>
      <c r="AO1849" s="229">
        <v>3</v>
      </c>
      <c r="AP1849" s="231">
        <v>1</v>
      </c>
      <c r="AQ1849" s="231">
        <v>2026</v>
      </c>
      <c r="AR1849" s="231" t="str">
        <f t="shared" si="264"/>
        <v>01/2026</v>
      </c>
      <c r="AS1849" s="231">
        <f t="shared" si="265"/>
        <v>46.6</v>
      </c>
      <c r="AT1849" s="239">
        <f>IF(G1849="CERVECERIA Y MALTERIA",(AS1849*AK1849/1000000)*(1-VLOOKUP(N1849,FCST!D:I,6,FALSE)),0)</f>
        <v>19.889625600000002</v>
      </c>
      <c r="AU1849" s="232">
        <v>5.0000000000000001E-3</v>
      </c>
      <c r="AV1849" s="239">
        <f t="shared" si="266"/>
        <v>19.989073728000001</v>
      </c>
      <c r="AW1849" s="239">
        <f>(AS1849*AK1849/1000000)*(VLOOKUP(N1849,FCST!D:I,6,FALSE))</f>
        <v>0</v>
      </c>
      <c r="AX1849" s="239">
        <f t="shared" si="267"/>
        <v>0</v>
      </c>
      <c r="AY1849" s="239">
        <f>IF($G1849="CERVECERIA Y MALTERIA.",($AS1849*$AK1849/1000000)*(1-VLOOKUP($N1849,FCST!D:I,6,FALSE)),0)</f>
        <v>0</v>
      </c>
      <c r="AZ1849" s="239">
        <f t="shared" si="268"/>
        <v>0</v>
      </c>
    </row>
    <row r="1850" spans="1:52" x14ac:dyDescent="0.25">
      <c r="A1850" s="209">
        <v>1160637</v>
      </c>
      <c r="B1850" s="209">
        <v>40</v>
      </c>
      <c r="C1850" s="209" t="s">
        <v>4224</v>
      </c>
      <c r="D1850" s="209">
        <v>10</v>
      </c>
      <c r="E1850" s="209">
        <v>10000002</v>
      </c>
      <c r="F1850" s="209">
        <v>20000335</v>
      </c>
      <c r="G1850" s="209" t="s">
        <v>105</v>
      </c>
      <c r="H1850" s="209">
        <v>20000335</v>
      </c>
      <c r="I1850" s="209">
        <v>2</v>
      </c>
      <c r="J1850" s="209" t="s">
        <v>169</v>
      </c>
      <c r="K1850" s="209" t="s">
        <v>4225</v>
      </c>
      <c r="L1850" s="209" t="s">
        <v>265</v>
      </c>
      <c r="M1850" s="209" t="s">
        <v>4086</v>
      </c>
      <c r="N1850" s="209">
        <v>50021818</v>
      </c>
      <c r="O1850" s="209" t="s">
        <v>2170</v>
      </c>
      <c r="P1850" s="209">
        <v>5121</v>
      </c>
      <c r="Q1850" s="209" t="s">
        <v>200</v>
      </c>
      <c r="R1850" s="209" t="s">
        <v>201</v>
      </c>
      <c r="S1850" s="209" t="s">
        <v>202</v>
      </c>
      <c r="T1850" s="209" t="s">
        <v>203</v>
      </c>
      <c r="U1850" s="209" t="s">
        <v>201</v>
      </c>
      <c r="V1850" s="209" t="s">
        <v>179</v>
      </c>
      <c r="W1850" s="209" t="s">
        <v>179</v>
      </c>
      <c r="X1850" s="209" t="s">
        <v>180</v>
      </c>
      <c r="Y1850" s="209" t="s">
        <v>180</v>
      </c>
      <c r="Z1850" s="209" t="s">
        <v>4099</v>
      </c>
      <c r="AA1850" s="209" t="s">
        <v>4100</v>
      </c>
      <c r="AB1850" s="209" t="s">
        <v>180</v>
      </c>
      <c r="AC1850" s="209" t="s">
        <v>182</v>
      </c>
      <c r="AD1850" s="209">
        <v>1</v>
      </c>
      <c r="AE1850" s="209">
        <v>2026</v>
      </c>
      <c r="AF1850" s="227">
        <v>46031</v>
      </c>
      <c r="AG1850" s="227">
        <v>46035</v>
      </c>
      <c r="AH1850" s="227">
        <v>46035</v>
      </c>
      <c r="AI1850" s="228">
        <v>426816</v>
      </c>
      <c r="AJ1850" s="228">
        <v>52</v>
      </c>
      <c r="AK1850" s="228">
        <v>426816</v>
      </c>
      <c r="AL1850" s="228">
        <v>52</v>
      </c>
      <c r="AM1850" s="228">
        <v>0</v>
      </c>
      <c r="AN1850" s="228">
        <v>0</v>
      </c>
      <c r="AO1850" s="229">
        <v>3</v>
      </c>
      <c r="AP1850" s="231">
        <v>1</v>
      </c>
      <c r="AQ1850" s="231">
        <v>2026</v>
      </c>
      <c r="AR1850" s="231" t="str">
        <f t="shared" si="264"/>
        <v>01/2026</v>
      </c>
      <c r="AS1850" s="231">
        <f t="shared" si="265"/>
        <v>46.6</v>
      </c>
      <c r="AT1850" s="239">
        <f>IF(G1850="CERVECERIA Y MALTERIA",(AS1850*AK1850/1000000)*(1-VLOOKUP(N1850,FCST!D:I,6,FALSE)),0)</f>
        <v>19.889625600000002</v>
      </c>
      <c r="AU1850" s="232">
        <v>5.0000000000000001E-3</v>
      </c>
      <c r="AV1850" s="239">
        <f t="shared" si="266"/>
        <v>19.989073728000001</v>
      </c>
      <c r="AW1850" s="239">
        <f>(AS1850*AK1850/1000000)*(VLOOKUP(N1850,FCST!D:I,6,FALSE))</f>
        <v>0</v>
      </c>
      <c r="AX1850" s="239">
        <f t="shared" si="267"/>
        <v>0</v>
      </c>
      <c r="AY1850" s="239">
        <f>IF($G1850="CERVECERIA Y MALTERIA.",($AS1850*$AK1850/1000000)*(1-VLOOKUP($N1850,FCST!D:I,6,FALSE)),0)</f>
        <v>0</v>
      </c>
      <c r="AZ1850" s="239">
        <f t="shared" si="268"/>
        <v>0</v>
      </c>
    </row>
    <row r="1851" spans="1:52" x14ac:dyDescent="0.25">
      <c r="A1851" s="209">
        <v>1160641</v>
      </c>
      <c r="B1851" s="209">
        <v>10</v>
      </c>
      <c r="C1851" s="209" t="s">
        <v>4226</v>
      </c>
      <c r="D1851" s="209">
        <v>10</v>
      </c>
      <c r="E1851" s="209">
        <v>10000002</v>
      </c>
      <c r="F1851" s="209">
        <v>20000336</v>
      </c>
      <c r="G1851" s="209" t="s">
        <v>105</v>
      </c>
      <c r="H1851" s="209">
        <v>20000336</v>
      </c>
      <c r="I1851" s="209">
        <v>2</v>
      </c>
      <c r="J1851" s="209" t="s">
        <v>169</v>
      </c>
      <c r="K1851" s="209" t="s">
        <v>4227</v>
      </c>
      <c r="L1851" s="209" t="s">
        <v>265</v>
      </c>
      <c r="M1851" s="209" t="s">
        <v>4086</v>
      </c>
      <c r="N1851" s="209">
        <v>50037887</v>
      </c>
      <c r="O1851" s="209" t="s">
        <v>679</v>
      </c>
      <c r="P1851" s="209">
        <v>5121</v>
      </c>
      <c r="Q1851" s="209" t="s">
        <v>200</v>
      </c>
      <c r="R1851" s="209" t="s">
        <v>201</v>
      </c>
      <c r="S1851" s="209" t="s">
        <v>202</v>
      </c>
      <c r="T1851" s="209" t="s">
        <v>203</v>
      </c>
      <c r="U1851" s="209" t="s">
        <v>201</v>
      </c>
      <c r="V1851" s="209" t="s">
        <v>179</v>
      </c>
      <c r="W1851" s="209" t="s">
        <v>179</v>
      </c>
      <c r="X1851" s="209" t="s">
        <v>180</v>
      </c>
      <c r="Y1851" s="209" t="s">
        <v>180</v>
      </c>
      <c r="Z1851" s="209" t="s">
        <v>4204</v>
      </c>
      <c r="AA1851" s="209" t="s">
        <v>4205</v>
      </c>
      <c r="AB1851" s="209" t="s">
        <v>180</v>
      </c>
      <c r="AC1851" s="209" t="s">
        <v>182</v>
      </c>
      <c r="AD1851" s="209">
        <v>1</v>
      </c>
      <c r="AE1851" s="209">
        <v>2026</v>
      </c>
      <c r="AF1851" s="227">
        <v>46031</v>
      </c>
      <c r="AG1851" s="227">
        <v>46034</v>
      </c>
      <c r="AH1851" s="227">
        <v>46034</v>
      </c>
      <c r="AI1851" s="228">
        <v>531648</v>
      </c>
      <c r="AJ1851" s="228">
        <v>52</v>
      </c>
      <c r="AK1851" s="228">
        <v>531648</v>
      </c>
      <c r="AL1851" s="228">
        <v>52</v>
      </c>
      <c r="AM1851" s="228">
        <v>0</v>
      </c>
      <c r="AN1851" s="228">
        <v>0</v>
      </c>
      <c r="AO1851" s="229">
        <v>3</v>
      </c>
      <c r="AP1851" s="231">
        <v>1</v>
      </c>
      <c r="AQ1851" s="231">
        <v>2026</v>
      </c>
      <c r="AR1851" s="231" t="str">
        <f t="shared" si="264"/>
        <v>01/2026</v>
      </c>
      <c r="AS1851" s="231">
        <f t="shared" si="265"/>
        <v>37.200000000000003</v>
      </c>
      <c r="AT1851" s="239">
        <f>IF(G1851="CERVECERIA Y MALTERIA",(AS1851*AK1851/1000000)*(1-VLOOKUP(N1851,FCST!D:I,6,FALSE)),0)</f>
        <v>19.777305600000002</v>
      </c>
      <c r="AU1851" s="232">
        <v>5.0000000000000001E-3</v>
      </c>
      <c r="AV1851" s="239">
        <f t="shared" si="266"/>
        <v>19.876192128</v>
      </c>
      <c r="AW1851" s="239">
        <f>(AS1851*AK1851/1000000)*(VLOOKUP(N1851,FCST!D:I,6,FALSE))</f>
        <v>0</v>
      </c>
      <c r="AX1851" s="239">
        <f t="shared" si="267"/>
        <v>0</v>
      </c>
      <c r="AY1851" s="239">
        <f>IF($G1851="CERVECERIA Y MALTERIA.",($AS1851*$AK1851/1000000)*(1-VLOOKUP($N1851,FCST!D:I,6,FALSE)),0)</f>
        <v>0</v>
      </c>
      <c r="AZ1851" s="239">
        <f t="shared" si="268"/>
        <v>0</v>
      </c>
    </row>
    <row r="1852" spans="1:52" x14ac:dyDescent="0.25">
      <c r="A1852" s="209">
        <v>1162095</v>
      </c>
      <c r="B1852" s="209">
        <v>20</v>
      </c>
      <c r="C1852" s="209" t="s">
        <v>4228</v>
      </c>
      <c r="D1852" s="209">
        <v>10</v>
      </c>
      <c r="E1852" s="209">
        <v>10000002</v>
      </c>
      <c r="F1852" s="209">
        <v>20000337</v>
      </c>
      <c r="G1852" s="209" t="s">
        <v>105</v>
      </c>
      <c r="H1852" s="209">
        <v>20000337</v>
      </c>
      <c r="I1852" s="209">
        <v>2</v>
      </c>
      <c r="J1852" s="209" t="s">
        <v>169</v>
      </c>
      <c r="K1852" s="209" t="s">
        <v>4229</v>
      </c>
      <c r="L1852" s="209" t="s">
        <v>2610</v>
      </c>
      <c r="M1852" s="209" t="s">
        <v>172</v>
      </c>
      <c r="N1852" s="209">
        <v>50030381</v>
      </c>
      <c r="O1852" s="209" t="s">
        <v>1791</v>
      </c>
      <c r="P1852" s="209">
        <v>5121</v>
      </c>
      <c r="Q1852" s="209" t="s">
        <v>174</v>
      </c>
      <c r="R1852" s="209" t="s">
        <v>175</v>
      </c>
      <c r="S1852" s="209" t="s">
        <v>176</v>
      </c>
      <c r="T1852" s="209" t="s">
        <v>177</v>
      </c>
      <c r="U1852" s="209" t="s">
        <v>178</v>
      </c>
      <c r="V1852" s="209" t="s">
        <v>180</v>
      </c>
      <c r="W1852" s="209" t="s">
        <v>179</v>
      </c>
      <c r="X1852" s="209" t="s">
        <v>180</v>
      </c>
      <c r="Y1852" s="209" t="s">
        <v>180</v>
      </c>
      <c r="Z1852" s="209" t="s">
        <v>4026</v>
      </c>
      <c r="AA1852" s="209" t="s">
        <v>4027</v>
      </c>
      <c r="AB1852" s="209" t="s">
        <v>180</v>
      </c>
      <c r="AC1852" s="209" t="s">
        <v>182</v>
      </c>
      <c r="AD1852" s="209">
        <v>1</v>
      </c>
      <c r="AE1852" s="209">
        <v>2026</v>
      </c>
      <c r="AF1852" s="227">
        <v>46041</v>
      </c>
      <c r="AG1852" s="227">
        <v>46043</v>
      </c>
      <c r="AH1852" s="227">
        <v>46043</v>
      </c>
      <c r="AI1852" s="228">
        <v>406016</v>
      </c>
      <c r="AJ1852" s="228">
        <v>52</v>
      </c>
      <c r="AK1852" s="228">
        <v>406016</v>
      </c>
      <c r="AL1852" s="228">
        <v>52</v>
      </c>
      <c r="AM1852" s="228">
        <v>0</v>
      </c>
      <c r="AN1852" s="228">
        <v>0</v>
      </c>
      <c r="AO1852" s="229">
        <v>4</v>
      </c>
      <c r="AP1852" s="231">
        <v>1</v>
      </c>
      <c r="AQ1852" s="231">
        <v>2026</v>
      </c>
      <c r="AR1852" s="231" t="str">
        <f t="shared" si="264"/>
        <v>01/2026</v>
      </c>
      <c r="AS1852" s="231">
        <f t="shared" si="265"/>
        <v>46.6</v>
      </c>
      <c r="AT1852" s="239">
        <f>IF(G1852="CERVECERIA Y MALTERIA",(AS1852*AK1852/1000000)*(1-VLOOKUP(N1852,FCST!D:I,6,FALSE)),0)</f>
        <v>18.920345600000001</v>
      </c>
      <c r="AU1852" s="232">
        <v>5.0000000000000001E-3</v>
      </c>
      <c r="AV1852" s="239">
        <f t="shared" si="266"/>
        <v>19.014947327999998</v>
      </c>
      <c r="AW1852" s="239">
        <f>(AS1852*AK1852/1000000)*(VLOOKUP(N1852,FCST!D:I,6,FALSE))</f>
        <v>0</v>
      </c>
      <c r="AX1852" s="239">
        <f t="shared" si="267"/>
        <v>0</v>
      </c>
      <c r="AY1852" s="239">
        <f>IF($G1852="CERVECERIA Y MALTERIA.",($AS1852*$AK1852/1000000)*(1-VLOOKUP($N1852,FCST!D:I,6,FALSE)),0)</f>
        <v>0</v>
      </c>
      <c r="AZ1852" s="239">
        <f t="shared" si="268"/>
        <v>0</v>
      </c>
    </row>
    <row r="1853" spans="1:52" x14ac:dyDescent="0.25">
      <c r="A1853" s="209">
        <v>1162095</v>
      </c>
      <c r="B1853" s="209">
        <v>10</v>
      </c>
      <c r="C1853" s="209" t="s">
        <v>4230</v>
      </c>
      <c r="D1853" s="209">
        <v>10</v>
      </c>
      <c r="E1853" s="209">
        <v>10000002</v>
      </c>
      <c r="F1853" s="209">
        <v>20000337</v>
      </c>
      <c r="G1853" s="209" t="s">
        <v>105</v>
      </c>
      <c r="H1853" s="209">
        <v>20000337</v>
      </c>
      <c r="I1853" s="209">
        <v>2</v>
      </c>
      <c r="J1853" s="209" t="s">
        <v>169</v>
      </c>
      <c r="K1853" s="209" t="s">
        <v>4231</v>
      </c>
      <c r="L1853" s="209" t="s">
        <v>2610</v>
      </c>
      <c r="M1853" s="209" t="s">
        <v>172</v>
      </c>
      <c r="N1853" s="209">
        <v>50030381</v>
      </c>
      <c r="O1853" s="209" t="s">
        <v>1791</v>
      </c>
      <c r="P1853" s="209">
        <v>5121</v>
      </c>
      <c r="Q1853" s="209" t="s">
        <v>174</v>
      </c>
      <c r="R1853" s="209" t="s">
        <v>175</v>
      </c>
      <c r="S1853" s="209" t="s">
        <v>176</v>
      </c>
      <c r="T1853" s="209" t="s">
        <v>177</v>
      </c>
      <c r="U1853" s="209" t="s">
        <v>178</v>
      </c>
      <c r="V1853" s="209" t="s">
        <v>180</v>
      </c>
      <c r="W1853" s="209" t="s">
        <v>179</v>
      </c>
      <c r="X1853" s="209" t="s">
        <v>180</v>
      </c>
      <c r="Y1853" s="209" t="s">
        <v>180</v>
      </c>
      <c r="Z1853" s="209" t="s">
        <v>4026</v>
      </c>
      <c r="AA1853" s="209" t="s">
        <v>4027</v>
      </c>
      <c r="AB1853" s="209" t="s">
        <v>180</v>
      </c>
      <c r="AC1853" s="209" t="s">
        <v>182</v>
      </c>
      <c r="AD1853" s="209">
        <v>1</v>
      </c>
      <c r="AE1853" s="209">
        <v>2026</v>
      </c>
      <c r="AF1853" s="227">
        <v>46041</v>
      </c>
      <c r="AG1853" s="227">
        <v>46042</v>
      </c>
      <c r="AH1853" s="227">
        <v>46042</v>
      </c>
      <c r="AI1853" s="228">
        <v>406016</v>
      </c>
      <c r="AJ1853" s="228">
        <v>52</v>
      </c>
      <c r="AK1853" s="228">
        <v>406016</v>
      </c>
      <c r="AL1853" s="228">
        <v>52</v>
      </c>
      <c r="AM1853" s="228">
        <v>0</v>
      </c>
      <c r="AN1853" s="228">
        <v>0</v>
      </c>
      <c r="AO1853" s="229">
        <v>4</v>
      </c>
      <c r="AP1853" s="231">
        <v>1</v>
      </c>
      <c r="AQ1853" s="231">
        <v>2026</v>
      </c>
      <c r="AR1853" s="231" t="str">
        <f t="shared" si="264"/>
        <v>01/2026</v>
      </c>
      <c r="AS1853" s="231">
        <f t="shared" si="265"/>
        <v>46.6</v>
      </c>
      <c r="AT1853" s="239">
        <f>IF(G1853="CERVECERIA Y MALTERIA",(AS1853*AK1853/1000000)*(1-VLOOKUP(N1853,FCST!D:I,6,FALSE)),0)</f>
        <v>18.920345600000001</v>
      </c>
      <c r="AU1853" s="232">
        <v>5.0000000000000001E-3</v>
      </c>
      <c r="AV1853" s="239">
        <f t="shared" si="266"/>
        <v>19.014947327999998</v>
      </c>
      <c r="AW1853" s="239">
        <f>(AS1853*AK1853/1000000)*(VLOOKUP(N1853,FCST!D:I,6,FALSE))</f>
        <v>0</v>
      </c>
      <c r="AX1853" s="239">
        <f t="shared" si="267"/>
        <v>0</v>
      </c>
      <c r="AY1853" s="239">
        <f>IF($G1853="CERVECERIA Y MALTERIA.",($AS1853*$AK1853/1000000)*(1-VLOOKUP($N1853,FCST!D:I,6,FALSE)),0)</f>
        <v>0</v>
      </c>
      <c r="AZ1853" s="239">
        <f t="shared" si="268"/>
        <v>0</v>
      </c>
    </row>
    <row r="1855" spans="1:52" x14ac:dyDescent="0.25">
      <c r="A1855" s="209" t="s">
        <v>4232</v>
      </c>
      <c r="B1855" s="209" t="s">
        <v>4233</v>
      </c>
      <c r="C1855" s="209" t="s">
        <v>4234</v>
      </c>
      <c r="D1855" s="209" t="s">
        <v>4233</v>
      </c>
      <c r="E1855" s="209" t="s">
        <v>4235</v>
      </c>
      <c r="F1855" s="209" t="s">
        <v>4236</v>
      </c>
      <c r="G1855" s="209" t="s">
        <v>117</v>
      </c>
      <c r="H1855" s="209" t="s">
        <v>4236</v>
      </c>
      <c r="I1855" s="209" t="s">
        <v>4237</v>
      </c>
      <c r="J1855" s="209" t="s">
        <v>169</v>
      </c>
      <c r="K1855" s="209" t="s">
        <v>4238</v>
      </c>
      <c r="L1855" s="209" t="s">
        <v>265</v>
      </c>
      <c r="M1855" s="209" t="s">
        <v>184</v>
      </c>
      <c r="N1855" s="209">
        <v>50038523</v>
      </c>
      <c r="O1855" s="209" t="s">
        <v>249</v>
      </c>
      <c r="P1855" s="209" t="s">
        <v>4239</v>
      </c>
      <c r="Q1855" s="209" t="s">
        <v>186</v>
      </c>
      <c r="R1855" s="209" t="s">
        <v>175</v>
      </c>
      <c r="S1855" s="209" t="s">
        <v>176</v>
      </c>
      <c r="T1855" s="209" t="s">
        <v>187</v>
      </c>
      <c r="U1855" s="209" t="s">
        <v>188</v>
      </c>
      <c r="V1855" s="209" t="s">
        <v>179</v>
      </c>
      <c r="W1855" s="209" t="s">
        <v>179</v>
      </c>
      <c r="X1855" s="209" t="s">
        <v>180</v>
      </c>
      <c r="Y1855" s="209" t="s">
        <v>180</v>
      </c>
      <c r="Z1855" s="209" t="s">
        <v>4240</v>
      </c>
      <c r="AA1855" s="209" t="s">
        <v>4241</v>
      </c>
      <c r="AB1855" s="209" t="s">
        <v>180</v>
      </c>
      <c r="AC1855" s="209" t="s">
        <v>182</v>
      </c>
      <c r="AD1855" s="209" t="s">
        <v>4237</v>
      </c>
      <c r="AE1855" s="209" t="s">
        <v>4242</v>
      </c>
      <c r="AF1855" s="227">
        <v>46073</v>
      </c>
      <c r="AG1855" s="227">
        <v>46076</v>
      </c>
      <c r="AH1855" s="227">
        <v>46076</v>
      </c>
      <c r="AI1855" s="228">
        <v>571536</v>
      </c>
      <c r="AJ1855" s="228">
        <v>49</v>
      </c>
      <c r="AK1855" s="228">
        <v>571536</v>
      </c>
      <c r="AL1855" s="228">
        <v>49</v>
      </c>
      <c r="AM1855" s="228">
        <v>0</v>
      </c>
      <c r="AN1855" s="228">
        <v>0</v>
      </c>
      <c r="AO1855" s="229">
        <v>9</v>
      </c>
      <c r="AP1855" s="231">
        <v>2</v>
      </c>
      <c r="AQ1855" s="231">
        <v>2026</v>
      </c>
      <c r="AR1855" s="231" t="str">
        <f t="shared" ref="AR1855" si="269">+IF(AP1855&lt;10,"0"&amp;AP1855&amp; "/"&amp;AQ1855,AP1855&amp; "/"&amp;AQ1855)</f>
        <v>02/2026</v>
      </c>
      <c r="AS1855" s="231">
        <f t="shared" ref="AS1855" si="270">VALUE(MID(INDEX(_xlfn.TEXTSPLIT(O1855, ","), 1, 3), 1,FIND("G", INDEX(_xlfn.TEXTSPLIT(O1855, ","), 1, 3))-1))</f>
        <v>30</v>
      </c>
      <c r="AT1855" s="239">
        <f>IF(G1855="CERVECERIA Y MALTERIA",(AS1855*AK1855/1000000)*(1-VLOOKUP(N1855,FCST!D:I,6,FALSE)),0)</f>
        <v>0</v>
      </c>
      <c r="AU1855" s="232">
        <v>5.0000000000000001E-3</v>
      </c>
      <c r="AV1855" s="239">
        <f t="shared" ref="AV1855" si="271">+AT1855*(1+AU1855)</f>
        <v>0</v>
      </c>
      <c r="AW1855" s="239">
        <f>(AS1855*AK1855/1000000)*(VLOOKUP(N1855,FCST!D:I,6,FALSE))</f>
        <v>0</v>
      </c>
      <c r="AX1855" s="239">
        <f t="shared" ref="AX1855" si="272">+AW1855*(1+AU1855)</f>
        <v>0</v>
      </c>
      <c r="AY1855" s="239">
        <f>IF($G1855="CERVECERIA Y MALTERIA.",($AS1855*$AK1855/1000000)*(1-VLOOKUP($N1855,FCST!D:I,6,FALSE)),0)</f>
        <v>17.146080000000001</v>
      </c>
      <c r="AZ1855" s="239">
        <f t="shared" ref="AZ1855" si="273">+AY1855*(1+AU1855)</f>
        <v>17.231810400000001</v>
      </c>
    </row>
    <row r="1856" spans="1:52" x14ac:dyDescent="0.25">
      <c r="A1856" s="209" t="s">
        <v>4243</v>
      </c>
      <c r="B1856" s="209" t="s">
        <v>4233</v>
      </c>
      <c r="C1856" s="209" t="s">
        <v>4244</v>
      </c>
      <c r="D1856" s="209" t="s">
        <v>4233</v>
      </c>
      <c r="E1856" s="209" t="s">
        <v>4235</v>
      </c>
      <c r="F1856" s="209" t="s">
        <v>4245</v>
      </c>
      <c r="G1856" s="209" t="s">
        <v>105</v>
      </c>
      <c r="H1856" s="209" t="s">
        <v>4245</v>
      </c>
      <c r="I1856" s="209" t="s">
        <v>4237</v>
      </c>
      <c r="J1856" s="209" t="s">
        <v>169</v>
      </c>
      <c r="K1856" s="209" t="s">
        <v>4246</v>
      </c>
      <c r="L1856" s="209" t="s">
        <v>265</v>
      </c>
      <c r="M1856" s="209" t="s">
        <v>227</v>
      </c>
      <c r="N1856" s="209">
        <v>50036287</v>
      </c>
      <c r="O1856" s="209" t="s">
        <v>2191</v>
      </c>
      <c r="P1856" s="209" t="s">
        <v>4247</v>
      </c>
      <c r="Q1856" s="209" t="s">
        <v>228</v>
      </c>
      <c r="R1856" s="209" t="s">
        <v>229</v>
      </c>
      <c r="S1856" s="209" t="s">
        <v>230</v>
      </c>
      <c r="T1856" s="209" t="s">
        <v>231</v>
      </c>
      <c r="U1856" s="209" t="s">
        <v>232</v>
      </c>
      <c r="V1856" s="209" t="s">
        <v>179</v>
      </c>
      <c r="W1856" s="209" t="s">
        <v>179</v>
      </c>
      <c r="X1856" s="209" t="s">
        <v>180</v>
      </c>
      <c r="Y1856" s="209" t="s">
        <v>180</v>
      </c>
      <c r="Z1856" s="209" t="s">
        <v>4248</v>
      </c>
      <c r="AA1856" s="209" t="s">
        <v>4249</v>
      </c>
      <c r="AB1856" s="209" t="s">
        <v>180</v>
      </c>
      <c r="AC1856" s="209" t="s">
        <v>182</v>
      </c>
      <c r="AD1856" s="209" t="s">
        <v>4237</v>
      </c>
      <c r="AE1856" s="209" t="s">
        <v>4242</v>
      </c>
      <c r="AF1856" s="227">
        <v>46073</v>
      </c>
      <c r="AG1856" s="227">
        <v>46076</v>
      </c>
      <c r="AH1856" s="227">
        <v>46076</v>
      </c>
      <c r="AI1856" s="228">
        <v>364416</v>
      </c>
      <c r="AJ1856" s="228">
        <v>52</v>
      </c>
      <c r="AK1856" s="228">
        <v>363168</v>
      </c>
      <c r="AL1856" s="228">
        <v>52</v>
      </c>
      <c r="AM1856" s="228">
        <v>0</v>
      </c>
      <c r="AN1856" s="228">
        <v>1248</v>
      </c>
      <c r="AO1856" s="229">
        <v>9</v>
      </c>
      <c r="AP1856" s="231">
        <v>2</v>
      </c>
      <c r="AQ1856" s="231">
        <v>2026</v>
      </c>
      <c r="AR1856" s="231" t="str">
        <f t="shared" ref="AR1856:AR1919" si="274">+IF(AP1856&lt;10,"0"&amp;AP1856&amp; "/"&amp;AQ1856,AP1856&amp; "/"&amp;AQ1856)</f>
        <v>02/2026</v>
      </c>
      <c r="AS1856" s="231">
        <f t="shared" ref="AS1856:AS1919" si="275">VALUE(MID(INDEX(_xlfn.TEXTSPLIT(O1856, ","), 1, 3), 1,FIND("G", INDEX(_xlfn.TEXTSPLIT(O1856, ","), 1, 3))-1))</f>
        <v>52</v>
      </c>
      <c r="AT1856" s="239">
        <f>IF(G1856="CERVECERIA Y MALTERIA",(AS1856*AK1856/1000000)*(1-VLOOKUP(N1856,FCST!D:I,6,FALSE)),0)</f>
        <v>18.884736</v>
      </c>
      <c r="AU1856" s="232">
        <v>5.0000000000000001E-3</v>
      </c>
      <c r="AV1856" s="239">
        <f t="shared" ref="AV1856:AV1919" si="276">+AT1856*(1+AU1856)</f>
        <v>18.979159679999999</v>
      </c>
      <c r="AW1856" s="239">
        <f>(AS1856*AK1856/1000000)*(VLOOKUP(N1856,FCST!D:I,6,FALSE))</f>
        <v>0</v>
      </c>
      <c r="AX1856" s="239">
        <f t="shared" ref="AX1856:AX1919" si="277">+AW1856*(1+AU1856)</f>
        <v>0</v>
      </c>
      <c r="AY1856" s="239">
        <f>IF($G1856="CERVECERIA Y MALTERIA.",($AS1856*$AK1856/1000000)*(1-VLOOKUP($N1856,FCST!D:I,6,FALSE)),0)</f>
        <v>0</v>
      </c>
      <c r="AZ1856" s="239">
        <f t="shared" ref="AZ1856:AZ1919" si="278">+AY1856*(1+AU1856)</f>
        <v>0</v>
      </c>
    </row>
    <row r="1857" spans="1:52" x14ac:dyDescent="0.25">
      <c r="A1857" s="209" t="s">
        <v>4250</v>
      </c>
      <c r="B1857" s="209" t="s">
        <v>4251</v>
      </c>
      <c r="C1857" s="209" t="s">
        <v>4252</v>
      </c>
      <c r="D1857" s="209" t="s">
        <v>4233</v>
      </c>
      <c r="E1857" s="209" t="s">
        <v>4235</v>
      </c>
      <c r="F1857" s="209" t="s">
        <v>4253</v>
      </c>
      <c r="G1857" s="209" t="s">
        <v>105</v>
      </c>
      <c r="H1857" s="209" t="s">
        <v>4253</v>
      </c>
      <c r="I1857" s="209" t="s">
        <v>4237</v>
      </c>
      <c r="J1857" s="209" t="s">
        <v>169</v>
      </c>
      <c r="K1857" s="209" t="s">
        <v>4254</v>
      </c>
      <c r="L1857" s="209" t="s">
        <v>265</v>
      </c>
      <c r="M1857" s="209" t="s">
        <v>199</v>
      </c>
      <c r="N1857" s="209">
        <v>50035183</v>
      </c>
      <c r="O1857" s="209" t="s">
        <v>215</v>
      </c>
      <c r="P1857" s="209" t="s">
        <v>4247</v>
      </c>
      <c r="Q1857" s="209" t="s">
        <v>200</v>
      </c>
      <c r="R1857" s="209" t="s">
        <v>201</v>
      </c>
      <c r="S1857" s="209" t="s">
        <v>202</v>
      </c>
      <c r="T1857" s="209" t="s">
        <v>203</v>
      </c>
      <c r="U1857" s="209" t="s">
        <v>201</v>
      </c>
      <c r="V1857" s="209" t="s">
        <v>179</v>
      </c>
      <c r="W1857" s="209" t="s">
        <v>179</v>
      </c>
      <c r="X1857" s="209" t="s">
        <v>180</v>
      </c>
      <c r="Y1857" s="209" t="s">
        <v>180</v>
      </c>
      <c r="Z1857" s="209" t="s">
        <v>4255</v>
      </c>
      <c r="AA1857" s="209" t="s">
        <v>4256</v>
      </c>
      <c r="AB1857" s="209" t="s">
        <v>180</v>
      </c>
      <c r="AC1857" s="209" t="s">
        <v>182</v>
      </c>
      <c r="AD1857" s="209" t="s">
        <v>4237</v>
      </c>
      <c r="AE1857" s="209" t="s">
        <v>4242</v>
      </c>
      <c r="AF1857" s="227">
        <v>46073</v>
      </c>
      <c r="AG1857" s="227">
        <v>46076</v>
      </c>
      <c r="AH1857" s="227">
        <v>46076</v>
      </c>
      <c r="AI1857" s="228">
        <v>426816</v>
      </c>
      <c r="AJ1857" s="228">
        <v>52</v>
      </c>
      <c r="AK1857" s="228">
        <v>426816</v>
      </c>
      <c r="AL1857" s="228">
        <v>52</v>
      </c>
      <c r="AM1857" s="228">
        <v>0</v>
      </c>
      <c r="AN1857" s="228">
        <v>0</v>
      </c>
      <c r="AO1857" s="229">
        <v>9</v>
      </c>
      <c r="AP1857" s="231">
        <v>2</v>
      </c>
      <c r="AQ1857" s="231">
        <v>2026</v>
      </c>
      <c r="AR1857" s="231" t="str">
        <f t="shared" si="274"/>
        <v>02/2026</v>
      </c>
      <c r="AS1857" s="231">
        <f t="shared" si="275"/>
        <v>46.6</v>
      </c>
      <c r="AT1857" s="239">
        <f>IF(G1857="CERVECERIA Y MALTERIA",(AS1857*AK1857/1000000)*(1-VLOOKUP(N1857,FCST!D:I,6,FALSE)),0)</f>
        <v>19.889625600000002</v>
      </c>
      <c r="AU1857" s="232">
        <v>5.0000000000000001E-3</v>
      </c>
      <c r="AV1857" s="239">
        <f t="shared" si="276"/>
        <v>19.989073728000001</v>
      </c>
      <c r="AW1857" s="239">
        <f>(AS1857*AK1857/1000000)*(VLOOKUP(N1857,FCST!D:I,6,FALSE))</f>
        <v>0</v>
      </c>
      <c r="AX1857" s="239">
        <f t="shared" si="277"/>
        <v>0</v>
      </c>
      <c r="AY1857" s="239">
        <f>IF($G1857="CERVECERIA Y MALTERIA.",($AS1857*$AK1857/1000000)*(1-VLOOKUP($N1857,FCST!D:I,6,FALSE)),0)</f>
        <v>0</v>
      </c>
      <c r="AZ1857" s="239">
        <f t="shared" si="278"/>
        <v>0</v>
      </c>
    </row>
    <row r="1858" spans="1:52" x14ac:dyDescent="0.25">
      <c r="A1858" s="209" t="s">
        <v>4250</v>
      </c>
      <c r="B1858" s="209" t="s">
        <v>4233</v>
      </c>
      <c r="C1858" s="209" t="s">
        <v>4257</v>
      </c>
      <c r="D1858" s="209" t="s">
        <v>4233</v>
      </c>
      <c r="E1858" s="209" t="s">
        <v>4235</v>
      </c>
      <c r="F1858" s="209" t="s">
        <v>4253</v>
      </c>
      <c r="G1858" s="209" t="s">
        <v>105</v>
      </c>
      <c r="H1858" s="209" t="s">
        <v>4253</v>
      </c>
      <c r="I1858" s="209" t="s">
        <v>4237</v>
      </c>
      <c r="J1858" s="209" t="s">
        <v>169</v>
      </c>
      <c r="K1858" s="209" t="s">
        <v>4258</v>
      </c>
      <c r="L1858" s="209" t="s">
        <v>265</v>
      </c>
      <c r="M1858" s="209" t="s">
        <v>199</v>
      </c>
      <c r="N1858" s="209">
        <v>50037887</v>
      </c>
      <c r="O1858" s="209" t="s">
        <v>679</v>
      </c>
      <c r="P1858" s="209" t="s">
        <v>4247</v>
      </c>
      <c r="Q1858" s="209" t="s">
        <v>200</v>
      </c>
      <c r="R1858" s="209" t="s">
        <v>201</v>
      </c>
      <c r="S1858" s="209" t="s">
        <v>202</v>
      </c>
      <c r="T1858" s="209" t="s">
        <v>203</v>
      </c>
      <c r="U1858" s="209" t="s">
        <v>201</v>
      </c>
      <c r="V1858" s="209" t="s">
        <v>179</v>
      </c>
      <c r="W1858" s="209" t="s">
        <v>179</v>
      </c>
      <c r="X1858" s="209" t="s">
        <v>180</v>
      </c>
      <c r="Y1858" s="209" t="s">
        <v>180</v>
      </c>
      <c r="Z1858" s="209" t="s">
        <v>4259</v>
      </c>
      <c r="AA1858" s="209" t="s">
        <v>4260</v>
      </c>
      <c r="AB1858" s="209" t="s">
        <v>180</v>
      </c>
      <c r="AC1858" s="209" t="s">
        <v>182</v>
      </c>
      <c r="AD1858" s="209" t="s">
        <v>4237</v>
      </c>
      <c r="AE1858" s="209" t="s">
        <v>4242</v>
      </c>
      <c r="AF1858" s="227">
        <v>46073</v>
      </c>
      <c r="AG1858" s="227">
        <v>46076</v>
      </c>
      <c r="AH1858" s="227">
        <v>46076</v>
      </c>
      <c r="AI1858" s="228">
        <v>531648</v>
      </c>
      <c r="AJ1858" s="228">
        <v>52</v>
      </c>
      <c r="AK1858" s="228">
        <v>531648</v>
      </c>
      <c r="AL1858" s="228">
        <v>52</v>
      </c>
      <c r="AM1858" s="228">
        <v>0</v>
      </c>
      <c r="AN1858" s="228">
        <v>0</v>
      </c>
      <c r="AO1858" s="229">
        <v>9</v>
      </c>
      <c r="AP1858" s="231">
        <v>2</v>
      </c>
      <c r="AQ1858" s="231">
        <v>2026</v>
      </c>
      <c r="AR1858" s="231" t="str">
        <f t="shared" si="274"/>
        <v>02/2026</v>
      </c>
      <c r="AS1858" s="231">
        <f t="shared" si="275"/>
        <v>37.200000000000003</v>
      </c>
      <c r="AT1858" s="239">
        <f>IF(G1858="CERVECERIA Y MALTERIA",(AS1858*AK1858/1000000)*(1-VLOOKUP(N1858,FCST!D:I,6,FALSE)),0)</f>
        <v>19.777305600000002</v>
      </c>
      <c r="AU1858" s="232">
        <v>5.0000000000000001E-3</v>
      </c>
      <c r="AV1858" s="239">
        <f t="shared" si="276"/>
        <v>19.876192128</v>
      </c>
      <c r="AW1858" s="239">
        <f>(AS1858*AK1858/1000000)*(VLOOKUP(N1858,FCST!D:I,6,FALSE))</f>
        <v>0</v>
      </c>
      <c r="AX1858" s="239">
        <f t="shared" si="277"/>
        <v>0</v>
      </c>
      <c r="AY1858" s="239">
        <f>IF($G1858="CERVECERIA Y MALTERIA.",($AS1858*$AK1858/1000000)*(1-VLOOKUP($N1858,FCST!D:I,6,FALSE)),0)</f>
        <v>0</v>
      </c>
      <c r="AZ1858" s="239">
        <f t="shared" si="278"/>
        <v>0</v>
      </c>
    </row>
    <row r="1859" spans="1:52" x14ac:dyDescent="0.25">
      <c r="A1859" s="209" t="s">
        <v>4232</v>
      </c>
      <c r="B1859" s="209" t="s">
        <v>4251</v>
      </c>
      <c r="C1859" s="209" t="s">
        <v>4261</v>
      </c>
      <c r="D1859" s="209" t="s">
        <v>4233</v>
      </c>
      <c r="E1859" s="209" t="s">
        <v>4235</v>
      </c>
      <c r="F1859" s="209" t="s">
        <v>4236</v>
      </c>
      <c r="G1859" s="209" t="s">
        <v>117</v>
      </c>
      <c r="H1859" s="209" t="s">
        <v>4236</v>
      </c>
      <c r="I1859" s="209" t="s">
        <v>4237</v>
      </c>
      <c r="J1859" s="209" t="s">
        <v>169</v>
      </c>
      <c r="K1859" s="209" t="s">
        <v>4262</v>
      </c>
      <c r="L1859" s="209" t="s">
        <v>265</v>
      </c>
      <c r="M1859" s="209" t="s">
        <v>184</v>
      </c>
      <c r="N1859" s="209">
        <v>50025163</v>
      </c>
      <c r="O1859" s="209" t="s">
        <v>185</v>
      </c>
      <c r="P1859" s="209" t="s">
        <v>4239</v>
      </c>
      <c r="Q1859" s="209" t="s">
        <v>186</v>
      </c>
      <c r="R1859" s="209" t="s">
        <v>175</v>
      </c>
      <c r="S1859" s="209" t="s">
        <v>176</v>
      </c>
      <c r="T1859" s="209" t="s">
        <v>187</v>
      </c>
      <c r="U1859" s="209" t="s">
        <v>188</v>
      </c>
      <c r="V1859" s="209" t="s">
        <v>179</v>
      </c>
      <c r="W1859" s="209" t="s">
        <v>179</v>
      </c>
      <c r="X1859" s="209" t="s">
        <v>180</v>
      </c>
      <c r="Y1859" s="209" t="s">
        <v>180</v>
      </c>
      <c r="Z1859" s="209" t="s">
        <v>4240</v>
      </c>
      <c r="AA1859" s="209" t="s">
        <v>4241</v>
      </c>
      <c r="AB1859" s="209" t="s">
        <v>180</v>
      </c>
      <c r="AC1859" s="209" t="s">
        <v>182</v>
      </c>
      <c r="AD1859" s="209" t="s">
        <v>4237</v>
      </c>
      <c r="AE1859" s="209" t="s">
        <v>4242</v>
      </c>
      <c r="AF1859" s="227">
        <v>46073</v>
      </c>
      <c r="AG1859" s="227">
        <v>46077</v>
      </c>
      <c r="AH1859" s="227">
        <v>46077</v>
      </c>
      <c r="AI1859" s="228">
        <v>606528</v>
      </c>
      <c r="AJ1859" s="228">
        <v>52</v>
      </c>
      <c r="AK1859" s="228">
        <v>606528</v>
      </c>
      <c r="AL1859" s="228">
        <v>52</v>
      </c>
      <c r="AM1859" s="228">
        <v>0</v>
      </c>
      <c r="AN1859" s="228">
        <v>0</v>
      </c>
      <c r="AO1859" s="229">
        <v>9</v>
      </c>
      <c r="AP1859" s="231">
        <v>2</v>
      </c>
      <c r="AQ1859" s="231">
        <v>2026</v>
      </c>
      <c r="AR1859" s="231" t="str">
        <f t="shared" si="274"/>
        <v>02/2026</v>
      </c>
      <c r="AS1859" s="231">
        <f t="shared" si="275"/>
        <v>30</v>
      </c>
      <c r="AT1859" s="239">
        <f>IF(G1859="CERVECERIA Y MALTERIA",(AS1859*AK1859/1000000)*(1-VLOOKUP(N1859,FCST!D:I,6,FALSE)),0)</f>
        <v>0</v>
      </c>
      <c r="AU1859" s="232">
        <v>5.0000000000000001E-3</v>
      </c>
      <c r="AV1859" s="239">
        <f t="shared" si="276"/>
        <v>0</v>
      </c>
      <c r="AW1859" s="239">
        <f>(AS1859*AK1859/1000000)*(VLOOKUP(N1859,FCST!D:I,6,FALSE))</f>
        <v>0</v>
      </c>
      <c r="AX1859" s="239">
        <f t="shared" si="277"/>
        <v>0</v>
      </c>
      <c r="AY1859" s="239">
        <f>IF($G1859="CERVECERIA Y MALTERIA.",($AS1859*$AK1859/1000000)*(1-VLOOKUP($N1859,FCST!D:I,6,FALSE)),0)</f>
        <v>18.19584</v>
      </c>
      <c r="AZ1859" s="239">
        <f t="shared" si="278"/>
        <v>18.2868192</v>
      </c>
    </row>
    <row r="1860" spans="1:52" x14ac:dyDescent="0.25">
      <c r="A1860" s="209" t="s">
        <v>4250</v>
      </c>
      <c r="B1860" s="209" t="s">
        <v>4263</v>
      </c>
      <c r="C1860" s="209" t="s">
        <v>4264</v>
      </c>
      <c r="D1860" s="209" t="s">
        <v>4233</v>
      </c>
      <c r="E1860" s="209" t="s">
        <v>4235</v>
      </c>
      <c r="F1860" s="209" t="s">
        <v>4253</v>
      </c>
      <c r="G1860" s="209" t="s">
        <v>105</v>
      </c>
      <c r="H1860" s="209" t="s">
        <v>4253</v>
      </c>
      <c r="I1860" s="209" t="s">
        <v>4237</v>
      </c>
      <c r="J1860" s="209" t="s">
        <v>169</v>
      </c>
      <c r="K1860" s="209" t="s">
        <v>4265</v>
      </c>
      <c r="L1860" s="209" t="s">
        <v>265</v>
      </c>
      <c r="M1860" s="209" t="s">
        <v>199</v>
      </c>
      <c r="N1860" s="209">
        <v>50021818</v>
      </c>
      <c r="O1860" s="209" t="s">
        <v>2170</v>
      </c>
      <c r="P1860" s="209" t="s">
        <v>4247</v>
      </c>
      <c r="Q1860" s="209" t="s">
        <v>200</v>
      </c>
      <c r="R1860" s="209" t="s">
        <v>201</v>
      </c>
      <c r="S1860" s="209" t="s">
        <v>202</v>
      </c>
      <c r="T1860" s="209" t="s">
        <v>203</v>
      </c>
      <c r="U1860" s="209" t="s">
        <v>201</v>
      </c>
      <c r="V1860" s="209" t="s">
        <v>179</v>
      </c>
      <c r="W1860" s="209" t="s">
        <v>179</v>
      </c>
      <c r="X1860" s="209" t="s">
        <v>180</v>
      </c>
      <c r="Y1860" s="209" t="s">
        <v>180</v>
      </c>
      <c r="Z1860" s="209" t="s">
        <v>4255</v>
      </c>
      <c r="AA1860" s="209" t="s">
        <v>4256</v>
      </c>
      <c r="AB1860" s="209" t="s">
        <v>180</v>
      </c>
      <c r="AC1860" s="209" t="s">
        <v>182</v>
      </c>
      <c r="AD1860" s="209" t="s">
        <v>4237</v>
      </c>
      <c r="AE1860" s="209" t="s">
        <v>4242</v>
      </c>
      <c r="AF1860" s="227">
        <v>46073</v>
      </c>
      <c r="AG1860" s="227">
        <v>46077</v>
      </c>
      <c r="AH1860" s="227">
        <v>46077</v>
      </c>
      <c r="AI1860" s="228">
        <v>426816</v>
      </c>
      <c r="AJ1860" s="228">
        <v>52</v>
      </c>
      <c r="AK1860" s="228">
        <v>426816</v>
      </c>
      <c r="AL1860" s="228">
        <v>52</v>
      </c>
      <c r="AM1860" s="228">
        <v>0</v>
      </c>
      <c r="AN1860" s="228">
        <v>0</v>
      </c>
      <c r="AO1860" s="229">
        <v>9</v>
      </c>
      <c r="AP1860" s="231">
        <v>2</v>
      </c>
      <c r="AQ1860" s="231">
        <v>2026</v>
      </c>
      <c r="AR1860" s="231" t="str">
        <f t="shared" si="274"/>
        <v>02/2026</v>
      </c>
      <c r="AS1860" s="231">
        <f t="shared" si="275"/>
        <v>46.6</v>
      </c>
      <c r="AT1860" s="239">
        <f>IF(G1860="CERVECERIA Y MALTERIA",(AS1860*AK1860/1000000)*(1-VLOOKUP(N1860,FCST!D:I,6,FALSE)),0)</f>
        <v>19.889625600000002</v>
      </c>
      <c r="AU1860" s="232">
        <v>5.0000000000000001E-3</v>
      </c>
      <c r="AV1860" s="239">
        <f t="shared" si="276"/>
        <v>19.989073728000001</v>
      </c>
      <c r="AW1860" s="239">
        <f>(AS1860*AK1860/1000000)*(VLOOKUP(N1860,FCST!D:I,6,FALSE))</f>
        <v>0</v>
      </c>
      <c r="AX1860" s="239">
        <f t="shared" si="277"/>
        <v>0</v>
      </c>
      <c r="AY1860" s="239">
        <f>IF($G1860="CERVECERIA Y MALTERIA.",($AS1860*$AK1860/1000000)*(1-VLOOKUP($N1860,FCST!D:I,6,FALSE)),0)</f>
        <v>0</v>
      </c>
      <c r="AZ1860" s="239">
        <f t="shared" si="278"/>
        <v>0</v>
      </c>
    </row>
    <row r="1861" spans="1:52" x14ac:dyDescent="0.25">
      <c r="A1861" s="209" t="s">
        <v>4266</v>
      </c>
      <c r="B1861" s="209" t="s">
        <v>4233</v>
      </c>
      <c r="C1861" s="209" t="s">
        <v>4267</v>
      </c>
      <c r="D1861" s="209" t="s">
        <v>4233</v>
      </c>
      <c r="E1861" s="209" t="s">
        <v>4235</v>
      </c>
      <c r="F1861" s="209" t="s">
        <v>4268</v>
      </c>
      <c r="G1861" s="209" t="s">
        <v>105</v>
      </c>
      <c r="H1861" s="209" t="s">
        <v>4268</v>
      </c>
      <c r="I1861" s="209" t="s">
        <v>4237</v>
      </c>
      <c r="J1861" s="209" t="s">
        <v>169</v>
      </c>
      <c r="K1861" s="209" t="s">
        <v>4269</v>
      </c>
      <c r="L1861" s="209" t="s">
        <v>265</v>
      </c>
      <c r="M1861" s="209" t="s">
        <v>184</v>
      </c>
      <c r="N1861" s="209">
        <v>50035184</v>
      </c>
      <c r="O1861" s="209" t="s">
        <v>672</v>
      </c>
      <c r="P1861" s="209" t="s">
        <v>4247</v>
      </c>
      <c r="Q1861" s="209" t="s">
        <v>174</v>
      </c>
      <c r="R1861" s="209" t="s">
        <v>175</v>
      </c>
      <c r="S1861" s="209" t="s">
        <v>176</v>
      </c>
      <c r="T1861" s="209" t="s">
        <v>177</v>
      </c>
      <c r="U1861" s="209" t="s">
        <v>178</v>
      </c>
      <c r="V1861" s="209" t="s">
        <v>179</v>
      </c>
      <c r="W1861" s="209" t="s">
        <v>179</v>
      </c>
      <c r="X1861" s="209" t="s">
        <v>180</v>
      </c>
      <c r="Y1861" s="209" t="s">
        <v>180</v>
      </c>
      <c r="Z1861" s="209" t="s">
        <v>4270</v>
      </c>
      <c r="AA1861" s="209" t="s">
        <v>4271</v>
      </c>
      <c r="AB1861" s="209" t="s">
        <v>180</v>
      </c>
      <c r="AC1861" s="209" t="s">
        <v>182</v>
      </c>
      <c r="AD1861" s="209" t="s">
        <v>4237</v>
      </c>
      <c r="AE1861" s="209" t="s">
        <v>4242</v>
      </c>
      <c r="AF1861" s="227">
        <v>46073</v>
      </c>
      <c r="AG1861" s="227">
        <v>46077</v>
      </c>
      <c r="AH1861" s="227">
        <v>46077</v>
      </c>
      <c r="AI1861" s="228">
        <v>751680</v>
      </c>
      <c r="AJ1861" s="228">
        <v>40</v>
      </c>
      <c r="AK1861" s="228">
        <v>751680</v>
      </c>
      <c r="AL1861" s="228">
        <v>40</v>
      </c>
      <c r="AM1861" s="228">
        <v>0</v>
      </c>
      <c r="AN1861" s="228">
        <v>0</v>
      </c>
      <c r="AO1861" s="229">
        <v>9</v>
      </c>
      <c r="AP1861" s="231">
        <v>2</v>
      </c>
      <c r="AQ1861" s="231">
        <v>2026</v>
      </c>
      <c r="AR1861" s="231" t="str">
        <f t="shared" si="274"/>
        <v>02/2026</v>
      </c>
      <c r="AS1861" s="231">
        <f t="shared" si="275"/>
        <v>19.5</v>
      </c>
      <c r="AT1861" s="239">
        <f>IF(G1861="CERVECERIA Y MALTERIA",(AS1861*AK1861/1000000)*(1-VLOOKUP(N1861,FCST!D:I,6,FALSE)),0)</f>
        <v>14.65776</v>
      </c>
      <c r="AU1861" s="232">
        <v>5.0000000000000001E-3</v>
      </c>
      <c r="AV1861" s="239">
        <f t="shared" si="276"/>
        <v>14.731048799999998</v>
      </c>
      <c r="AW1861" s="239">
        <f>(AS1861*AK1861/1000000)*(VLOOKUP(N1861,FCST!D:I,6,FALSE))</f>
        <v>0</v>
      </c>
      <c r="AX1861" s="239">
        <f t="shared" si="277"/>
        <v>0</v>
      </c>
      <c r="AY1861" s="239">
        <f>IF($G1861="CERVECERIA Y MALTERIA.",($AS1861*$AK1861/1000000)*(1-VLOOKUP($N1861,FCST!D:I,6,FALSE)),0)</f>
        <v>0</v>
      </c>
      <c r="AZ1861" s="239">
        <f t="shared" si="278"/>
        <v>0</v>
      </c>
    </row>
    <row r="1862" spans="1:52" x14ac:dyDescent="0.25">
      <c r="A1862" s="209" t="s">
        <v>4266</v>
      </c>
      <c r="B1862" s="209" t="s">
        <v>4251</v>
      </c>
      <c r="C1862" s="209" t="s">
        <v>4267</v>
      </c>
      <c r="D1862" s="209" t="s">
        <v>4251</v>
      </c>
      <c r="E1862" s="209" t="s">
        <v>4235</v>
      </c>
      <c r="F1862" s="209" t="s">
        <v>4268</v>
      </c>
      <c r="G1862" s="209" t="s">
        <v>105</v>
      </c>
      <c r="H1862" s="209" t="s">
        <v>4268</v>
      </c>
      <c r="I1862" s="209" t="s">
        <v>4237</v>
      </c>
      <c r="J1862" s="209" t="s">
        <v>169</v>
      </c>
      <c r="K1862" s="209" t="s">
        <v>4269</v>
      </c>
      <c r="L1862" s="209" t="s">
        <v>265</v>
      </c>
      <c r="M1862" s="209" t="s">
        <v>184</v>
      </c>
      <c r="N1862" s="209">
        <v>50032578</v>
      </c>
      <c r="O1862" s="209" t="s">
        <v>329</v>
      </c>
      <c r="P1862" s="209" t="s">
        <v>4247</v>
      </c>
      <c r="Q1862" s="209" t="s">
        <v>174</v>
      </c>
      <c r="R1862" s="209" t="s">
        <v>175</v>
      </c>
      <c r="S1862" s="209" t="s">
        <v>176</v>
      </c>
      <c r="T1862" s="209" t="s">
        <v>177</v>
      </c>
      <c r="U1862" s="209" t="s">
        <v>178</v>
      </c>
      <c r="V1862" s="209" t="s">
        <v>179</v>
      </c>
      <c r="W1862" s="209" t="s">
        <v>179</v>
      </c>
      <c r="X1862" s="209" t="s">
        <v>180</v>
      </c>
      <c r="Y1862" s="209" t="s">
        <v>180</v>
      </c>
      <c r="Z1862" s="209" t="s">
        <v>4270</v>
      </c>
      <c r="AA1862" s="209" t="s">
        <v>4271</v>
      </c>
      <c r="AB1862" s="209" t="s">
        <v>180</v>
      </c>
      <c r="AC1862" s="209" t="s">
        <v>182</v>
      </c>
      <c r="AD1862" s="209" t="s">
        <v>4237</v>
      </c>
      <c r="AE1862" s="209" t="s">
        <v>4242</v>
      </c>
      <c r="AF1862" s="227">
        <v>46073</v>
      </c>
      <c r="AG1862" s="227">
        <v>46077</v>
      </c>
      <c r="AH1862" s="227">
        <v>46077</v>
      </c>
      <c r="AI1862" s="228">
        <v>122688</v>
      </c>
      <c r="AJ1862" s="228">
        <v>12</v>
      </c>
      <c r="AK1862" s="228">
        <v>122688</v>
      </c>
      <c r="AL1862" s="228">
        <v>12</v>
      </c>
      <c r="AM1862" s="228">
        <v>0</v>
      </c>
      <c r="AN1862" s="228">
        <v>0</v>
      </c>
      <c r="AO1862" s="229">
        <v>9</v>
      </c>
      <c r="AP1862" s="231">
        <v>2</v>
      </c>
      <c r="AQ1862" s="231">
        <v>2026</v>
      </c>
      <c r="AR1862" s="231" t="str">
        <f t="shared" si="274"/>
        <v>02/2026</v>
      </c>
      <c r="AS1862" s="231">
        <f t="shared" si="275"/>
        <v>37.200000000000003</v>
      </c>
      <c r="AT1862" s="239">
        <f>IF(G1862="CERVECERIA Y MALTERIA",(AS1862*AK1862/1000000)*(1-VLOOKUP(N1862,FCST!D:I,6,FALSE)),0)</f>
        <v>4.5639936000000008</v>
      </c>
      <c r="AU1862" s="232">
        <v>5.0000000000000001E-3</v>
      </c>
      <c r="AV1862" s="239">
        <f t="shared" si="276"/>
        <v>4.5868135680000002</v>
      </c>
      <c r="AW1862" s="239">
        <f>(AS1862*AK1862/1000000)*(VLOOKUP(N1862,FCST!D:I,6,FALSE))</f>
        <v>0</v>
      </c>
      <c r="AX1862" s="239">
        <f t="shared" si="277"/>
        <v>0</v>
      </c>
      <c r="AY1862" s="239">
        <f>IF($G1862="CERVECERIA Y MALTERIA.",($AS1862*$AK1862/1000000)*(1-VLOOKUP($N1862,FCST!D:I,6,FALSE)),0)</f>
        <v>0</v>
      </c>
      <c r="AZ1862" s="239">
        <f t="shared" si="278"/>
        <v>0</v>
      </c>
    </row>
    <row r="1863" spans="1:52" x14ac:dyDescent="0.25">
      <c r="A1863" s="209" t="s">
        <v>4272</v>
      </c>
      <c r="B1863" s="209" t="s">
        <v>4233</v>
      </c>
      <c r="C1863" s="209" t="s">
        <v>4273</v>
      </c>
      <c r="D1863" s="209" t="s">
        <v>4233</v>
      </c>
      <c r="E1863" s="209" t="s">
        <v>4235</v>
      </c>
      <c r="F1863" s="209" t="s">
        <v>4245</v>
      </c>
      <c r="G1863" s="209" t="s">
        <v>105</v>
      </c>
      <c r="H1863" s="209" t="s">
        <v>4245</v>
      </c>
      <c r="I1863" s="209" t="s">
        <v>4237</v>
      </c>
      <c r="J1863" s="209" t="s">
        <v>169</v>
      </c>
      <c r="K1863" s="209" t="s">
        <v>4274</v>
      </c>
      <c r="L1863" s="209" t="s">
        <v>265</v>
      </c>
      <c r="M1863" s="209" t="s">
        <v>227</v>
      </c>
      <c r="N1863" s="209">
        <v>50036287</v>
      </c>
      <c r="O1863" s="209" t="s">
        <v>2191</v>
      </c>
      <c r="P1863" s="209" t="s">
        <v>4247</v>
      </c>
      <c r="Q1863" s="209" t="s">
        <v>228</v>
      </c>
      <c r="R1863" s="209" t="s">
        <v>229</v>
      </c>
      <c r="S1863" s="209" t="s">
        <v>230</v>
      </c>
      <c r="T1863" s="209" t="s">
        <v>231</v>
      </c>
      <c r="U1863" s="209" t="s">
        <v>232</v>
      </c>
      <c r="V1863" s="209" t="s">
        <v>179</v>
      </c>
      <c r="W1863" s="209" t="s">
        <v>179</v>
      </c>
      <c r="X1863" s="209" t="s">
        <v>180</v>
      </c>
      <c r="Y1863" s="209" t="s">
        <v>180</v>
      </c>
      <c r="Z1863" s="209" t="s">
        <v>4275</v>
      </c>
      <c r="AA1863" s="209" t="s">
        <v>4276</v>
      </c>
      <c r="AB1863" s="209" t="s">
        <v>180</v>
      </c>
      <c r="AC1863" s="209" t="s">
        <v>182</v>
      </c>
      <c r="AD1863" s="209" t="s">
        <v>4237</v>
      </c>
      <c r="AE1863" s="209" t="s">
        <v>4242</v>
      </c>
      <c r="AF1863" s="227">
        <v>46076</v>
      </c>
      <c r="AG1863" s="227">
        <v>46077</v>
      </c>
      <c r="AH1863" s="227">
        <v>46077</v>
      </c>
      <c r="AI1863" s="228">
        <v>195552</v>
      </c>
      <c r="AJ1863" s="228">
        <v>28</v>
      </c>
      <c r="AK1863" s="228">
        <v>195552</v>
      </c>
      <c r="AL1863" s="228">
        <v>28</v>
      </c>
      <c r="AM1863" s="228">
        <v>0</v>
      </c>
      <c r="AN1863" s="228">
        <v>0</v>
      </c>
      <c r="AO1863" s="229">
        <v>9</v>
      </c>
      <c r="AP1863" s="231">
        <v>2</v>
      </c>
      <c r="AQ1863" s="231">
        <v>2026</v>
      </c>
      <c r="AR1863" s="231" t="str">
        <f t="shared" si="274"/>
        <v>02/2026</v>
      </c>
      <c r="AS1863" s="231">
        <f t="shared" si="275"/>
        <v>52</v>
      </c>
      <c r="AT1863" s="239">
        <f>IF(G1863="CERVECERIA Y MALTERIA",(AS1863*AK1863/1000000)*(1-VLOOKUP(N1863,FCST!D:I,6,FALSE)),0)</f>
        <v>10.168704</v>
      </c>
      <c r="AU1863" s="232">
        <v>5.0000000000000001E-3</v>
      </c>
      <c r="AV1863" s="239">
        <f t="shared" si="276"/>
        <v>10.219547519999999</v>
      </c>
      <c r="AW1863" s="239">
        <f>(AS1863*AK1863/1000000)*(VLOOKUP(N1863,FCST!D:I,6,FALSE))</f>
        <v>0</v>
      </c>
      <c r="AX1863" s="239">
        <f t="shared" si="277"/>
        <v>0</v>
      </c>
      <c r="AY1863" s="239">
        <f>IF($G1863="CERVECERIA Y MALTERIA.",($AS1863*$AK1863/1000000)*(1-VLOOKUP($N1863,FCST!D:I,6,FALSE)),0)</f>
        <v>0</v>
      </c>
      <c r="AZ1863" s="239">
        <f t="shared" si="278"/>
        <v>0</v>
      </c>
    </row>
    <row r="1864" spans="1:52" x14ac:dyDescent="0.25">
      <c r="A1864" s="209" t="s">
        <v>4272</v>
      </c>
      <c r="B1864" s="209" t="s">
        <v>4251</v>
      </c>
      <c r="C1864" s="209" t="s">
        <v>4273</v>
      </c>
      <c r="D1864" s="209" t="s">
        <v>4251</v>
      </c>
      <c r="E1864" s="209" t="s">
        <v>4235</v>
      </c>
      <c r="F1864" s="209" t="s">
        <v>4245</v>
      </c>
      <c r="G1864" s="209" t="s">
        <v>105</v>
      </c>
      <c r="H1864" s="209" t="s">
        <v>4245</v>
      </c>
      <c r="I1864" s="209" t="s">
        <v>4237</v>
      </c>
      <c r="J1864" s="209" t="s">
        <v>169</v>
      </c>
      <c r="K1864" s="209" t="s">
        <v>4274</v>
      </c>
      <c r="L1864" s="209" t="s">
        <v>265</v>
      </c>
      <c r="M1864" s="209" t="s">
        <v>227</v>
      </c>
      <c r="N1864" s="209">
        <v>50034194</v>
      </c>
      <c r="O1864" s="209" t="s">
        <v>276</v>
      </c>
      <c r="P1864" s="209" t="s">
        <v>4247</v>
      </c>
      <c r="Q1864" s="209" t="s">
        <v>228</v>
      </c>
      <c r="R1864" s="209" t="s">
        <v>229</v>
      </c>
      <c r="S1864" s="209" t="s">
        <v>230</v>
      </c>
      <c r="T1864" s="209" t="s">
        <v>231</v>
      </c>
      <c r="U1864" s="209" t="s">
        <v>232</v>
      </c>
      <c r="V1864" s="209" t="s">
        <v>179</v>
      </c>
      <c r="W1864" s="209" t="s">
        <v>179</v>
      </c>
      <c r="X1864" s="209" t="s">
        <v>180</v>
      </c>
      <c r="Y1864" s="209" t="s">
        <v>180</v>
      </c>
      <c r="Z1864" s="209" t="s">
        <v>4275</v>
      </c>
      <c r="AA1864" s="209" t="s">
        <v>4276</v>
      </c>
      <c r="AB1864" s="209" t="s">
        <v>180</v>
      </c>
      <c r="AC1864" s="209" t="s">
        <v>182</v>
      </c>
      <c r="AD1864" s="209" t="s">
        <v>4237</v>
      </c>
      <c r="AE1864" s="209" t="s">
        <v>4242</v>
      </c>
      <c r="AF1864" s="227">
        <v>46076</v>
      </c>
      <c r="AG1864" s="227">
        <v>46077</v>
      </c>
      <c r="AH1864" s="227">
        <v>46077</v>
      </c>
      <c r="AI1864" s="228">
        <v>146304</v>
      </c>
      <c r="AJ1864" s="228">
        <v>24</v>
      </c>
      <c r="AK1864" s="228">
        <v>146304</v>
      </c>
      <c r="AL1864" s="228">
        <v>24</v>
      </c>
      <c r="AM1864" s="228">
        <v>0</v>
      </c>
      <c r="AN1864" s="228">
        <v>0</v>
      </c>
      <c r="AO1864" s="229">
        <v>9</v>
      </c>
      <c r="AP1864" s="231">
        <v>2</v>
      </c>
      <c r="AQ1864" s="231">
        <v>2026</v>
      </c>
      <c r="AR1864" s="231" t="str">
        <f t="shared" si="274"/>
        <v>02/2026</v>
      </c>
      <c r="AS1864" s="231">
        <f t="shared" si="275"/>
        <v>62</v>
      </c>
      <c r="AT1864" s="239">
        <f>IF(G1864="CERVECERIA Y MALTERIA",(AS1864*AK1864/1000000)*(1-VLOOKUP(N1864,FCST!D:I,6,FALSE)),0)</f>
        <v>9.0708479999999998</v>
      </c>
      <c r="AU1864" s="232">
        <v>5.0000000000000001E-3</v>
      </c>
      <c r="AV1864" s="239">
        <f t="shared" si="276"/>
        <v>9.116202239999998</v>
      </c>
      <c r="AW1864" s="239">
        <f>(AS1864*AK1864/1000000)*(VLOOKUP(N1864,FCST!D:I,6,FALSE))</f>
        <v>0</v>
      </c>
      <c r="AX1864" s="239">
        <f t="shared" si="277"/>
        <v>0</v>
      </c>
      <c r="AY1864" s="239">
        <f>IF($G1864="CERVECERIA Y MALTERIA.",($AS1864*$AK1864/1000000)*(1-VLOOKUP($N1864,FCST!D:I,6,FALSE)),0)</f>
        <v>0</v>
      </c>
      <c r="AZ1864" s="239">
        <f t="shared" si="278"/>
        <v>0</v>
      </c>
    </row>
    <row r="1865" spans="1:52" x14ac:dyDescent="0.25">
      <c r="A1865" s="209" t="s">
        <v>4277</v>
      </c>
      <c r="B1865" s="209" t="s">
        <v>4233</v>
      </c>
      <c r="C1865" s="209" t="s">
        <v>4278</v>
      </c>
      <c r="D1865" s="209" t="s">
        <v>4233</v>
      </c>
      <c r="E1865" s="209" t="s">
        <v>4235</v>
      </c>
      <c r="F1865" s="209" t="s">
        <v>4279</v>
      </c>
      <c r="G1865" s="209" t="s">
        <v>105</v>
      </c>
      <c r="H1865" s="209" t="s">
        <v>4279</v>
      </c>
      <c r="I1865" s="209" t="s">
        <v>4237</v>
      </c>
      <c r="J1865" s="209" t="s">
        <v>169</v>
      </c>
      <c r="K1865" s="209" t="s">
        <v>4280</v>
      </c>
      <c r="L1865" s="209" t="s">
        <v>265</v>
      </c>
      <c r="M1865" s="209" t="s">
        <v>199</v>
      </c>
      <c r="N1865" s="209">
        <v>50025345</v>
      </c>
      <c r="O1865" s="209" t="s">
        <v>1998</v>
      </c>
      <c r="P1865" s="209" t="s">
        <v>4247</v>
      </c>
      <c r="Q1865" s="209" t="s">
        <v>200</v>
      </c>
      <c r="R1865" s="209" t="s">
        <v>201</v>
      </c>
      <c r="S1865" s="209" t="s">
        <v>202</v>
      </c>
      <c r="T1865" s="209" t="s">
        <v>203</v>
      </c>
      <c r="U1865" s="209" t="s">
        <v>201</v>
      </c>
      <c r="V1865" s="209" t="s">
        <v>179</v>
      </c>
      <c r="W1865" s="209" t="s">
        <v>179</v>
      </c>
      <c r="X1865" s="209" t="s">
        <v>180</v>
      </c>
      <c r="Y1865" s="209" t="s">
        <v>180</v>
      </c>
      <c r="Z1865" s="209" t="s">
        <v>4281</v>
      </c>
      <c r="AA1865" s="209" t="s">
        <v>4282</v>
      </c>
      <c r="AB1865" s="209" t="s">
        <v>180</v>
      </c>
      <c r="AC1865" s="209" t="s">
        <v>182</v>
      </c>
      <c r="AD1865" s="209" t="s">
        <v>4237</v>
      </c>
      <c r="AE1865" s="209" t="s">
        <v>4242</v>
      </c>
      <c r="AF1865" s="227">
        <v>46073</v>
      </c>
      <c r="AG1865" s="227">
        <v>46076</v>
      </c>
      <c r="AH1865" s="227">
        <v>46076</v>
      </c>
      <c r="AI1865" s="228">
        <v>393984</v>
      </c>
      <c r="AJ1865" s="228">
        <v>48</v>
      </c>
      <c r="AK1865" s="228">
        <v>393984</v>
      </c>
      <c r="AL1865" s="228">
        <v>48</v>
      </c>
      <c r="AM1865" s="228">
        <v>0</v>
      </c>
      <c r="AN1865" s="228">
        <v>0</v>
      </c>
      <c r="AO1865" s="229">
        <v>9</v>
      </c>
      <c r="AP1865" s="231">
        <v>2</v>
      </c>
      <c r="AQ1865" s="231">
        <v>2026</v>
      </c>
      <c r="AR1865" s="231" t="str">
        <f t="shared" si="274"/>
        <v>02/2026</v>
      </c>
      <c r="AS1865" s="231">
        <f t="shared" si="275"/>
        <v>46.6</v>
      </c>
      <c r="AT1865" s="239">
        <f>IF(G1865="CERVECERIA Y MALTERIA",(AS1865*AK1865/1000000)*(1-VLOOKUP(N1865,FCST!D:I,6,FALSE)),0)</f>
        <v>18.359654400000004</v>
      </c>
      <c r="AU1865" s="232">
        <v>5.0000000000000001E-3</v>
      </c>
      <c r="AV1865" s="239">
        <f t="shared" si="276"/>
        <v>18.451452672000002</v>
      </c>
      <c r="AW1865" s="239">
        <f>(AS1865*AK1865/1000000)*(VLOOKUP(N1865,FCST!D:I,6,FALSE))</f>
        <v>0</v>
      </c>
      <c r="AX1865" s="239">
        <f t="shared" si="277"/>
        <v>0</v>
      </c>
      <c r="AY1865" s="239">
        <f>IF($G1865="CERVECERIA Y MALTERIA.",($AS1865*$AK1865/1000000)*(1-VLOOKUP($N1865,FCST!D:I,6,FALSE)),0)</f>
        <v>0</v>
      </c>
      <c r="AZ1865" s="239">
        <f t="shared" si="278"/>
        <v>0</v>
      </c>
    </row>
    <row r="1866" spans="1:52" x14ac:dyDescent="0.25">
      <c r="A1866" s="209" t="s">
        <v>4283</v>
      </c>
      <c r="B1866" s="209" t="s">
        <v>4233</v>
      </c>
      <c r="C1866" s="209" t="s">
        <v>4284</v>
      </c>
      <c r="D1866" s="209" t="s">
        <v>4233</v>
      </c>
      <c r="E1866" s="209" t="s">
        <v>4235</v>
      </c>
      <c r="F1866" s="209" t="s">
        <v>4285</v>
      </c>
      <c r="G1866" s="209" t="s">
        <v>105</v>
      </c>
      <c r="H1866" s="209" t="s">
        <v>4285</v>
      </c>
      <c r="I1866" s="209" t="s">
        <v>4237</v>
      </c>
      <c r="J1866" s="209" t="s">
        <v>169</v>
      </c>
      <c r="K1866" s="209" t="s">
        <v>4286</v>
      </c>
      <c r="L1866" s="209" t="s">
        <v>265</v>
      </c>
      <c r="M1866" s="209" t="s">
        <v>199</v>
      </c>
      <c r="N1866" s="209">
        <v>50025345</v>
      </c>
      <c r="O1866" s="209" t="s">
        <v>1998</v>
      </c>
      <c r="P1866" s="209" t="s">
        <v>4247</v>
      </c>
      <c r="Q1866" s="209" t="s">
        <v>200</v>
      </c>
      <c r="R1866" s="209" t="s">
        <v>201</v>
      </c>
      <c r="S1866" s="209" t="s">
        <v>202</v>
      </c>
      <c r="T1866" s="209" t="s">
        <v>203</v>
      </c>
      <c r="U1866" s="209" t="s">
        <v>201</v>
      </c>
      <c r="V1866" s="209" t="s">
        <v>179</v>
      </c>
      <c r="W1866" s="209" t="s">
        <v>179</v>
      </c>
      <c r="X1866" s="209" t="s">
        <v>180</v>
      </c>
      <c r="Y1866" s="209" t="s">
        <v>180</v>
      </c>
      <c r="Z1866" s="209" t="s">
        <v>4287</v>
      </c>
      <c r="AA1866" s="209" t="s">
        <v>4288</v>
      </c>
      <c r="AB1866" s="209" t="s">
        <v>180</v>
      </c>
      <c r="AC1866" s="209" t="s">
        <v>182</v>
      </c>
      <c r="AD1866" s="209" t="s">
        <v>4237</v>
      </c>
      <c r="AE1866" s="209" t="s">
        <v>4242</v>
      </c>
      <c r="AF1866" s="227">
        <v>46073</v>
      </c>
      <c r="AG1866" s="227">
        <v>46076</v>
      </c>
      <c r="AH1866" s="227">
        <v>46076</v>
      </c>
      <c r="AI1866" s="228">
        <v>426816</v>
      </c>
      <c r="AJ1866" s="228">
        <v>52</v>
      </c>
      <c r="AK1866" s="228">
        <v>426816</v>
      </c>
      <c r="AL1866" s="228">
        <v>52</v>
      </c>
      <c r="AM1866" s="228">
        <v>0</v>
      </c>
      <c r="AN1866" s="228">
        <v>0</v>
      </c>
      <c r="AO1866" s="229">
        <v>9</v>
      </c>
      <c r="AP1866" s="231">
        <v>2</v>
      </c>
      <c r="AQ1866" s="231">
        <v>2026</v>
      </c>
      <c r="AR1866" s="231" t="str">
        <f t="shared" si="274"/>
        <v>02/2026</v>
      </c>
      <c r="AS1866" s="231">
        <f t="shared" si="275"/>
        <v>46.6</v>
      </c>
      <c r="AT1866" s="239">
        <f>IF(G1866="CERVECERIA Y MALTERIA",(AS1866*AK1866/1000000)*(1-VLOOKUP(N1866,FCST!D:I,6,FALSE)),0)</f>
        <v>19.889625600000002</v>
      </c>
      <c r="AU1866" s="232">
        <v>5.0000000000000001E-3</v>
      </c>
      <c r="AV1866" s="239">
        <f t="shared" si="276"/>
        <v>19.989073728000001</v>
      </c>
      <c r="AW1866" s="239">
        <f>(AS1866*AK1866/1000000)*(VLOOKUP(N1866,FCST!D:I,6,FALSE))</f>
        <v>0</v>
      </c>
      <c r="AX1866" s="239">
        <f t="shared" si="277"/>
        <v>0</v>
      </c>
      <c r="AY1866" s="239">
        <f>IF($G1866="CERVECERIA Y MALTERIA.",($AS1866*$AK1866/1000000)*(1-VLOOKUP($N1866,FCST!D:I,6,FALSE)),0)</f>
        <v>0</v>
      </c>
      <c r="AZ1866" s="239">
        <f t="shared" si="278"/>
        <v>0</v>
      </c>
    </row>
    <row r="1867" spans="1:52" x14ac:dyDescent="0.25">
      <c r="A1867" s="209" t="s">
        <v>4289</v>
      </c>
      <c r="B1867" s="209" t="s">
        <v>4233</v>
      </c>
      <c r="C1867" s="209" t="s">
        <v>4290</v>
      </c>
      <c r="D1867" s="209" t="s">
        <v>4233</v>
      </c>
      <c r="E1867" s="209" t="s">
        <v>4235</v>
      </c>
      <c r="F1867" s="209" t="s">
        <v>4236</v>
      </c>
      <c r="G1867" s="209" t="s">
        <v>117</v>
      </c>
      <c r="H1867" s="209" t="s">
        <v>4236</v>
      </c>
      <c r="I1867" s="209" t="s">
        <v>4237</v>
      </c>
      <c r="J1867" s="209" t="s">
        <v>169</v>
      </c>
      <c r="K1867" s="209" t="s">
        <v>4291</v>
      </c>
      <c r="L1867" s="209" t="s">
        <v>265</v>
      </c>
      <c r="M1867" s="209" t="s">
        <v>184</v>
      </c>
      <c r="N1867" s="209">
        <v>50038523</v>
      </c>
      <c r="O1867" s="209" t="s">
        <v>249</v>
      </c>
      <c r="P1867" s="209" t="s">
        <v>4239</v>
      </c>
      <c r="Q1867" s="209" t="s">
        <v>186</v>
      </c>
      <c r="R1867" s="209" t="s">
        <v>175</v>
      </c>
      <c r="S1867" s="209" t="s">
        <v>176</v>
      </c>
      <c r="T1867" s="209" t="s">
        <v>187</v>
      </c>
      <c r="U1867" s="209" t="s">
        <v>188</v>
      </c>
      <c r="V1867" s="209" t="s">
        <v>179</v>
      </c>
      <c r="W1867" s="209" t="s">
        <v>179</v>
      </c>
      <c r="X1867" s="209" t="s">
        <v>180</v>
      </c>
      <c r="Y1867" s="209" t="s">
        <v>180</v>
      </c>
      <c r="Z1867" s="209" t="s">
        <v>4292</v>
      </c>
      <c r="AA1867" s="209" t="s">
        <v>4293</v>
      </c>
      <c r="AB1867" s="209" t="s">
        <v>180</v>
      </c>
      <c r="AC1867" s="209" t="s">
        <v>182</v>
      </c>
      <c r="AD1867" s="209" t="s">
        <v>4237</v>
      </c>
      <c r="AE1867" s="209" t="s">
        <v>4242</v>
      </c>
      <c r="AF1867" s="227">
        <v>46065</v>
      </c>
      <c r="AG1867" s="227">
        <v>46071</v>
      </c>
      <c r="AH1867" s="227">
        <v>46071</v>
      </c>
      <c r="AI1867" s="228">
        <v>606528</v>
      </c>
      <c r="AJ1867" s="228">
        <v>52</v>
      </c>
      <c r="AK1867" s="228">
        <v>606528</v>
      </c>
      <c r="AL1867" s="228">
        <v>52</v>
      </c>
      <c r="AM1867" s="228">
        <v>0</v>
      </c>
      <c r="AN1867" s="228">
        <v>0</v>
      </c>
      <c r="AO1867" s="229">
        <v>8</v>
      </c>
      <c r="AP1867" s="231">
        <v>2</v>
      </c>
      <c r="AQ1867" s="231">
        <v>2026</v>
      </c>
      <c r="AR1867" s="231" t="str">
        <f t="shared" si="274"/>
        <v>02/2026</v>
      </c>
      <c r="AS1867" s="231">
        <f t="shared" si="275"/>
        <v>30</v>
      </c>
      <c r="AT1867" s="239">
        <f>IF(G1867="CERVECERIA Y MALTERIA",(AS1867*AK1867/1000000)*(1-VLOOKUP(N1867,FCST!D:I,6,FALSE)),0)</f>
        <v>0</v>
      </c>
      <c r="AU1867" s="232">
        <v>5.0000000000000001E-3</v>
      </c>
      <c r="AV1867" s="239">
        <f t="shared" si="276"/>
        <v>0</v>
      </c>
      <c r="AW1867" s="239">
        <f>(AS1867*AK1867/1000000)*(VLOOKUP(N1867,FCST!D:I,6,FALSE))</f>
        <v>0</v>
      </c>
      <c r="AX1867" s="239">
        <f t="shared" si="277"/>
        <v>0</v>
      </c>
      <c r="AY1867" s="239">
        <f>IF($G1867="CERVECERIA Y MALTERIA.",($AS1867*$AK1867/1000000)*(1-VLOOKUP($N1867,FCST!D:I,6,FALSE)),0)</f>
        <v>18.19584</v>
      </c>
      <c r="AZ1867" s="239">
        <f t="shared" si="278"/>
        <v>18.2868192</v>
      </c>
    </row>
    <row r="1868" spans="1:52" x14ac:dyDescent="0.25">
      <c r="A1868" s="209" t="s">
        <v>4294</v>
      </c>
      <c r="B1868" s="209" t="s">
        <v>4233</v>
      </c>
      <c r="C1868" s="209" t="s">
        <v>4295</v>
      </c>
      <c r="D1868" s="209" t="s">
        <v>4233</v>
      </c>
      <c r="E1868" s="209" t="s">
        <v>4235</v>
      </c>
      <c r="F1868" s="209" t="s">
        <v>4285</v>
      </c>
      <c r="G1868" s="209" t="s">
        <v>105</v>
      </c>
      <c r="H1868" s="209" t="s">
        <v>4285</v>
      </c>
      <c r="I1868" s="209" t="s">
        <v>4237</v>
      </c>
      <c r="J1868" s="209" t="s">
        <v>169</v>
      </c>
      <c r="K1868" s="209" t="s">
        <v>4296</v>
      </c>
      <c r="L1868" s="209" t="s">
        <v>265</v>
      </c>
      <c r="M1868" s="209" t="s">
        <v>199</v>
      </c>
      <c r="N1868" s="209">
        <v>50034616</v>
      </c>
      <c r="O1868" s="209" t="s">
        <v>191</v>
      </c>
      <c r="P1868" s="209" t="s">
        <v>4247</v>
      </c>
      <c r="Q1868" s="209" t="s">
        <v>200</v>
      </c>
      <c r="R1868" s="209" t="s">
        <v>201</v>
      </c>
      <c r="S1868" s="209" t="s">
        <v>202</v>
      </c>
      <c r="T1868" s="209" t="s">
        <v>203</v>
      </c>
      <c r="U1868" s="209" t="s">
        <v>201</v>
      </c>
      <c r="V1868" s="209" t="s">
        <v>179</v>
      </c>
      <c r="W1868" s="209" t="s">
        <v>179</v>
      </c>
      <c r="X1868" s="209" t="s">
        <v>180</v>
      </c>
      <c r="Y1868" s="209" t="s">
        <v>180</v>
      </c>
      <c r="Z1868" s="209" t="s">
        <v>4297</v>
      </c>
      <c r="AA1868" s="209" t="s">
        <v>4298</v>
      </c>
      <c r="AB1868" s="209" t="s">
        <v>180</v>
      </c>
      <c r="AC1868" s="209" t="s">
        <v>182</v>
      </c>
      <c r="AD1868" s="209" t="s">
        <v>4237</v>
      </c>
      <c r="AE1868" s="209" t="s">
        <v>4242</v>
      </c>
      <c r="AF1868" s="227">
        <v>46071</v>
      </c>
      <c r="AG1868" s="227">
        <v>46071</v>
      </c>
      <c r="AH1868" s="227">
        <v>46071</v>
      </c>
      <c r="AI1868" s="228">
        <v>426816</v>
      </c>
      <c r="AJ1868" s="228">
        <v>52</v>
      </c>
      <c r="AK1868" s="228">
        <v>426816</v>
      </c>
      <c r="AL1868" s="228">
        <v>52</v>
      </c>
      <c r="AM1868" s="228">
        <v>0</v>
      </c>
      <c r="AN1868" s="228">
        <v>0</v>
      </c>
      <c r="AO1868" s="229">
        <v>8</v>
      </c>
      <c r="AP1868" s="231">
        <v>2</v>
      </c>
      <c r="AQ1868" s="231">
        <v>2026</v>
      </c>
      <c r="AR1868" s="231" t="str">
        <f t="shared" si="274"/>
        <v>02/2026</v>
      </c>
      <c r="AS1868" s="231">
        <f t="shared" si="275"/>
        <v>46.6</v>
      </c>
      <c r="AT1868" s="239">
        <f>IF(G1868="CERVECERIA Y MALTERIA",(AS1868*AK1868/1000000)*(1-VLOOKUP(N1868,FCST!D:I,6,FALSE)),0)</f>
        <v>19.889625600000002</v>
      </c>
      <c r="AU1868" s="232">
        <v>5.0000000000000001E-3</v>
      </c>
      <c r="AV1868" s="239">
        <f t="shared" si="276"/>
        <v>19.989073728000001</v>
      </c>
      <c r="AW1868" s="239">
        <f>(AS1868*AK1868/1000000)*(VLOOKUP(N1868,FCST!D:I,6,FALSE))</f>
        <v>0</v>
      </c>
      <c r="AX1868" s="239">
        <f t="shared" si="277"/>
        <v>0</v>
      </c>
      <c r="AY1868" s="239">
        <f>IF($G1868="CERVECERIA Y MALTERIA.",($AS1868*$AK1868/1000000)*(1-VLOOKUP($N1868,FCST!D:I,6,FALSE)),0)</f>
        <v>0</v>
      </c>
      <c r="AZ1868" s="239">
        <f t="shared" si="278"/>
        <v>0</v>
      </c>
    </row>
    <row r="1869" spans="1:52" x14ac:dyDescent="0.25">
      <c r="A1869" s="209" t="s">
        <v>4299</v>
      </c>
      <c r="B1869" s="209" t="s">
        <v>4233</v>
      </c>
      <c r="C1869" s="209" t="s">
        <v>4300</v>
      </c>
      <c r="D1869" s="209" t="s">
        <v>4233</v>
      </c>
      <c r="E1869" s="209" t="s">
        <v>4235</v>
      </c>
      <c r="F1869" s="209" t="s">
        <v>4253</v>
      </c>
      <c r="G1869" s="209" t="s">
        <v>105</v>
      </c>
      <c r="H1869" s="209" t="s">
        <v>4253</v>
      </c>
      <c r="I1869" s="209" t="s">
        <v>4237</v>
      </c>
      <c r="J1869" s="209" t="s">
        <v>169</v>
      </c>
      <c r="K1869" s="209" t="s">
        <v>4301</v>
      </c>
      <c r="L1869" s="209" t="s">
        <v>265</v>
      </c>
      <c r="M1869" s="209" t="s">
        <v>199</v>
      </c>
      <c r="N1869" s="209">
        <v>50035184</v>
      </c>
      <c r="O1869" s="209" t="s">
        <v>672</v>
      </c>
      <c r="P1869" s="209" t="s">
        <v>4247</v>
      </c>
      <c r="Q1869" s="209" t="s">
        <v>200</v>
      </c>
      <c r="R1869" s="209" t="s">
        <v>201</v>
      </c>
      <c r="S1869" s="209" t="s">
        <v>202</v>
      </c>
      <c r="T1869" s="209" t="s">
        <v>203</v>
      </c>
      <c r="U1869" s="209" t="s">
        <v>201</v>
      </c>
      <c r="V1869" s="209" t="s">
        <v>179</v>
      </c>
      <c r="W1869" s="209" t="s">
        <v>179</v>
      </c>
      <c r="X1869" s="209" t="s">
        <v>180</v>
      </c>
      <c r="Y1869" s="209" t="s">
        <v>180</v>
      </c>
      <c r="Z1869" s="209" t="s">
        <v>4302</v>
      </c>
      <c r="AA1869" s="209" t="s">
        <v>4303</v>
      </c>
      <c r="AB1869" s="209" t="s">
        <v>180</v>
      </c>
      <c r="AC1869" s="209" t="s">
        <v>182</v>
      </c>
      <c r="AD1869" s="209" t="s">
        <v>4237</v>
      </c>
      <c r="AE1869" s="209" t="s">
        <v>4242</v>
      </c>
      <c r="AF1869" s="227">
        <v>46065</v>
      </c>
      <c r="AG1869" s="227">
        <v>46071</v>
      </c>
      <c r="AH1869" s="227">
        <v>46071</v>
      </c>
      <c r="AI1869" s="228">
        <v>977184</v>
      </c>
      <c r="AJ1869" s="228">
        <v>52</v>
      </c>
      <c r="AK1869" s="228">
        <v>977184</v>
      </c>
      <c r="AL1869" s="228">
        <v>52</v>
      </c>
      <c r="AM1869" s="228">
        <v>0</v>
      </c>
      <c r="AN1869" s="228">
        <v>0</v>
      </c>
      <c r="AO1869" s="229">
        <v>8</v>
      </c>
      <c r="AP1869" s="231">
        <v>2</v>
      </c>
      <c r="AQ1869" s="231">
        <v>2026</v>
      </c>
      <c r="AR1869" s="231" t="str">
        <f t="shared" si="274"/>
        <v>02/2026</v>
      </c>
      <c r="AS1869" s="231">
        <f t="shared" si="275"/>
        <v>19.5</v>
      </c>
      <c r="AT1869" s="239">
        <f>IF(G1869="CERVECERIA Y MALTERIA",(AS1869*AK1869/1000000)*(1-VLOOKUP(N1869,FCST!D:I,6,FALSE)),0)</f>
        <v>19.055088000000001</v>
      </c>
      <c r="AU1869" s="232">
        <v>5.0000000000000001E-3</v>
      </c>
      <c r="AV1869" s="239">
        <f t="shared" si="276"/>
        <v>19.15036344</v>
      </c>
      <c r="AW1869" s="239">
        <f>(AS1869*AK1869/1000000)*(VLOOKUP(N1869,FCST!D:I,6,FALSE))</f>
        <v>0</v>
      </c>
      <c r="AX1869" s="239">
        <f t="shared" si="277"/>
        <v>0</v>
      </c>
      <c r="AY1869" s="239">
        <f>IF($G1869="CERVECERIA Y MALTERIA.",($AS1869*$AK1869/1000000)*(1-VLOOKUP($N1869,FCST!D:I,6,FALSE)),0)</f>
        <v>0</v>
      </c>
      <c r="AZ1869" s="239">
        <f t="shared" si="278"/>
        <v>0</v>
      </c>
    </row>
    <row r="1870" spans="1:52" x14ac:dyDescent="0.25">
      <c r="A1870" s="209" t="s">
        <v>4304</v>
      </c>
      <c r="B1870" s="209" t="s">
        <v>4233</v>
      </c>
      <c r="C1870" s="209" t="s">
        <v>4305</v>
      </c>
      <c r="D1870" s="209" t="s">
        <v>4233</v>
      </c>
      <c r="E1870" s="209" t="s">
        <v>4235</v>
      </c>
      <c r="F1870" s="209" t="s">
        <v>4279</v>
      </c>
      <c r="G1870" s="209" t="s">
        <v>105</v>
      </c>
      <c r="H1870" s="209" t="s">
        <v>4279</v>
      </c>
      <c r="I1870" s="209" t="s">
        <v>4237</v>
      </c>
      <c r="J1870" s="209" t="s">
        <v>169</v>
      </c>
      <c r="K1870" s="209" t="s">
        <v>4306</v>
      </c>
      <c r="L1870" s="209" t="s">
        <v>265</v>
      </c>
      <c r="M1870" s="209" t="s">
        <v>199</v>
      </c>
      <c r="N1870" s="209">
        <v>50037887</v>
      </c>
      <c r="O1870" s="209" t="s">
        <v>679</v>
      </c>
      <c r="P1870" s="209" t="s">
        <v>4247</v>
      </c>
      <c r="Q1870" s="209" t="s">
        <v>200</v>
      </c>
      <c r="R1870" s="209" t="s">
        <v>201</v>
      </c>
      <c r="S1870" s="209" t="s">
        <v>202</v>
      </c>
      <c r="T1870" s="209" t="s">
        <v>203</v>
      </c>
      <c r="U1870" s="209" t="s">
        <v>201</v>
      </c>
      <c r="V1870" s="209" t="s">
        <v>179</v>
      </c>
      <c r="W1870" s="209" t="s">
        <v>179</v>
      </c>
      <c r="X1870" s="209" t="s">
        <v>180</v>
      </c>
      <c r="Y1870" s="209" t="s">
        <v>180</v>
      </c>
      <c r="Z1870" s="209" t="s">
        <v>4307</v>
      </c>
      <c r="AA1870" s="209" t="s">
        <v>4308</v>
      </c>
      <c r="AB1870" s="209" t="s">
        <v>180</v>
      </c>
      <c r="AC1870" s="209" t="s">
        <v>182</v>
      </c>
      <c r="AD1870" s="209" t="s">
        <v>4237</v>
      </c>
      <c r="AE1870" s="209" t="s">
        <v>4242</v>
      </c>
      <c r="AF1870" s="227">
        <v>46066</v>
      </c>
      <c r="AG1870" s="227">
        <v>46071</v>
      </c>
      <c r="AH1870" s="227">
        <v>46071</v>
      </c>
      <c r="AI1870" s="228">
        <v>531648</v>
      </c>
      <c r="AJ1870" s="228">
        <v>52</v>
      </c>
      <c r="AK1870" s="228">
        <v>531648</v>
      </c>
      <c r="AL1870" s="228">
        <v>52</v>
      </c>
      <c r="AM1870" s="228">
        <v>0</v>
      </c>
      <c r="AN1870" s="228">
        <v>0</v>
      </c>
      <c r="AO1870" s="229">
        <v>8</v>
      </c>
      <c r="AP1870" s="231">
        <v>2</v>
      </c>
      <c r="AQ1870" s="231">
        <v>2026</v>
      </c>
      <c r="AR1870" s="231" t="str">
        <f t="shared" si="274"/>
        <v>02/2026</v>
      </c>
      <c r="AS1870" s="231">
        <f t="shared" si="275"/>
        <v>37.200000000000003</v>
      </c>
      <c r="AT1870" s="239">
        <f>IF(G1870="CERVECERIA Y MALTERIA",(AS1870*AK1870/1000000)*(1-VLOOKUP(N1870,FCST!D:I,6,FALSE)),0)</f>
        <v>19.777305600000002</v>
      </c>
      <c r="AU1870" s="232">
        <v>5.0000000000000001E-3</v>
      </c>
      <c r="AV1870" s="239">
        <f t="shared" si="276"/>
        <v>19.876192128</v>
      </c>
      <c r="AW1870" s="239">
        <f>(AS1870*AK1870/1000000)*(VLOOKUP(N1870,FCST!D:I,6,FALSE))</f>
        <v>0</v>
      </c>
      <c r="AX1870" s="239">
        <f t="shared" si="277"/>
        <v>0</v>
      </c>
      <c r="AY1870" s="239">
        <f>IF($G1870="CERVECERIA Y MALTERIA.",($AS1870*$AK1870/1000000)*(1-VLOOKUP($N1870,FCST!D:I,6,FALSE)),0)</f>
        <v>0</v>
      </c>
      <c r="AZ1870" s="239">
        <f t="shared" si="278"/>
        <v>0</v>
      </c>
    </row>
    <row r="1871" spans="1:52" x14ac:dyDescent="0.25">
      <c r="A1871" s="209" t="s">
        <v>4299</v>
      </c>
      <c r="B1871" s="209" t="s">
        <v>4251</v>
      </c>
      <c r="C1871" s="209" t="s">
        <v>4309</v>
      </c>
      <c r="D1871" s="209" t="s">
        <v>4233</v>
      </c>
      <c r="E1871" s="209" t="s">
        <v>4235</v>
      </c>
      <c r="F1871" s="209" t="s">
        <v>4253</v>
      </c>
      <c r="G1871" s="209" t="s">
        <v>105</v>
      </c>
      <c r="H1871" s="209" t="s">
        <v>4253</v>
      </c>
      <c r="I1871" s="209" t="s">
        <v>4237</v>
      </c>
      <c r="J1871" s="209" t="s">
        <v>169</v>
      </c>
      <c r="K1871" s="209" t="s">
        <v>4310</v>
      </c>
      <c r="L1871" s="209" t="s">
        <v>265</v>
      </c>
      <c r="M1871" s="209" t="s">
        <v>199</v>
      </c>
      <c r="N1871" s="209">
        <v>50037887</v>
      </c>
      <c r="O1871" s="209" t="s">
        <v>679</v>
      </c>
      <c r="P1871" s="209" t="s">
        <v>4247</v>
      </c>
      <c r="Q1871" s="209" t="s">
        <v>200</v>
      </c>
      <c r="R1871" s="209" t="s">
        <v>201</v>
      </c>
      <c r="S1871" s="209" t="s">
        <v>202</v>
      </c>
      <c r="T1871" s="209" t="s">
        <v>203</v>
      </c>
      <c r="U1871" s="209" t="s">
        <v>201</v>
      </c>
      <c r="V1871" s="209" t="s">
        <v>179</v>
      </c>
      <c r="W1871" s="209" t="s">
        <v>179</v>
      </c>
      <c r="X1871" s="209" t="s">
        <v>180</v>
      </c>
      <c r="Y1871" s="209" t="s">
        <v>180</v>
      </c>
      <c r="Z1871" s="209" t="s">
        <v>4259</v>
      </c>
      <c r="AA1871" s="209" t="s">
        <v>4260</v>
      </c>
      <c r="AB1871" s="209" t="s">
        <v>180</v>
      </c>
      <c r="AC1871" s="209" t="s">
        <v>182</v>
      </c>
      <c r="AD1871" s="209" t="s">
        <v>4237</v>
      </c>
      <c r="AE1871" s="209" t="s">
        <v>4242</v>
      </c>
      <c r="AF1871" s="227">
        <v>46065</v>
      </c>
      <c r="AG1871" s="227">
        <v>46071</v>
      </c>
      <c r="AH1871" s="227">
        <v>46071</v>
      </c>
      <c r="AI1871" s="228">
        <v>531648</v>
      </c>
      <c r="AJ1871" s="228">
        <v>52</v>
      </c>
      <c r="AK1871" s="228">
        <v>531648</v>
      </c>
      <c r="AL1871" s="228">
        <v>52</v>
      </c>
      <c r="AM1871" s="228">
        <v>0</v>
      </c>
      <c r="AN1871" s="228">
        <v>0</v>
      </c>
      <c r="AO1871" s="229">
        <v>8</v>
      </c>
      <c r="AP1871" s="231">
        <v>2</v>
      </c>
      <c r="AQ1871" s="231">
        <v>2026</v>
      </c>
      <c r="AR1871" s="231" t="str">
        <f t="shared" si="274"/>
        <v>02/2026</v>
      </c>
      <c r="AS1871" s="231">
        <f t="shared" si="275"/>
        <v>37.200000000000003</v>
      </c>
      <c r="AT1871" s="239">
        <f>IF(G1871="CERVECERIA Y MALTERIA",(AS1871*AK1871/1000000)*(1-VLOOKUP(N1871,FCST!D:I,6,FALSE)),0)</f>
        <v>19.777305600000002</v>
      </c>
      <c r="AU1871" s="232">
        <v>5.0000000000000001E-3</v>
      </c>
      <c r="AV1871" s="239">
        <f t="shared" si="276"/>
        <v>19.876192128</v>
      </c>
      <c r="AW1871" s="239">
        <f>(AS1871*AK1871/1000000)*(VLOOKUP(N1871,FCST!D:I,6,FALSE))</f>
        <v>0</v>
      </c>
      <c r="AX1871" s="239">
        <f t="shared" si="277"/>
        <v>0</v>
      </c>
      <c r="AY1871" s="239">
        <f>IF($G1871="CERVECERIA Y MALTERIA.",($AS1871*$AK1871/1000000)*(1-VLOOKUP($N1871,FCST!D:I,6,FALSE)),0)</f>
        <v>0</v>
      </c>
      <c r="AZ1871" s="239">
        <f t="shared" si="278"/>
        <v>0</v>
      </c>
    </row>
    <row r="1872" spans="1:52" x14ac:dyDescent="0.25">
      <c r="A1872" s="209" t="s">
        <v>4311</v>
      </c>
      <c r="B1872" s="209" t="s">
        <v>4233</v>
      </c>
      <c r="C1872" s="209" t="s">
        <v>4312</v>
      </c>
      <c r="D1872" s="209" t="s">
        <v>4233</v>
      </c>
      <c r="E1872" s="209" t="s">
        <v>4235</v>
      </c>
      <c r="F1872" s="209" t="s">
        <v>4245</v>
      </c>
      <c r="G1872" s="209" t="s">
        <v>105</v>
      </c>
      <c r="H1872" s="209" t="s">
        <v>4245</v>
      </c>
      <c r="I1872" s="209" t="s">
        <v>4237</v>
      </c>
      <c r="J1872" s="209" t="s">
        <v>169</v>
      </c>
      <c r="K1872" s="209" t="s">
        <v>4313</v>
      </c>
      <c r="L1872" s="209" t="s">
        <v>265</v>
      </c>
      <c r="M1872" s="209" t="s">
        <v>227</v>
      </c>
      <c r="N1872" s="209">
        <v>50036287</v>
      </c>
      <c r="O1872" s="209" t="s">
        <v>2191</v>
      </c>
      <c r="P1872" s="209" t="s">
        <v>4247</v>
      </c>
      <c r="Q1872" s="209" t="s">
        <v>228</v>
      </c>
      <c r="R1872" s="209" t="s">
        <v>229</v>
      </c>
      <c r="S1872" s="209" t="s">
        <v>230</v>
      </c>
      <c r="T1872" s="209" t="s">
        <v>231</v>
      </c>
      <c r="U1872" s="209" t="s">
        <v>232</v>
      </c>
      <c r="V1872" s="209" t="s">
        <v>179</v>
      </c>
      <c r="W1872" s="209" t="s">
        <v>179</v>
      </c>
      <c r="X1872" s="209" t="s">
        <v>180</v>
      </c>
      <c r="Y1872" s="209" t="s">
        <v>180</v>
      </c>
      <c r="Z1872" s="209" t="s">
        <v>4314</v>
      </c>
      <c r="AA1872" s="209" t="s">
        <v>4315</v>
      </c>
      <c r="AB1872" s="209" t="s">
        <v>180</v>
      </c>
      <c r="AC1872" s="209" t="s">
        <v>182</v>
      </c>
      <c r="AD1872" s="209" t="s">
        <v>4237</v>
      </c>
      <c r="AE1872" s="209" t="s">
        <v>4242</v>
      </c>
      <c r="AF1872" s="227">
        <v>46066</v>
      </c>
      <c r="AG1872" s="227">
        <v>46071</v>
      </c>
      <c r="AH1872" s="227">
        <v>46071</v>
      </c>
      <c r="AI1872" s="228">
        <v>364416</v>
      </c>
      <c r="AJ1872" s="228">
        <v>52</v>
      </c>
      <c r="AK1872" s="228">
        <v>363168</v>
      </c>
      <c r="AL1872" s="228">
        <v>52</v>
      </c>
      <c r="AM1872" s="228">
        <v>0</v>
      </c>
      <c r="AN1872" s="228">
        <v>1248</v>
      </c>
      <c r="AO1872" s="229">
        <v>8</v>
      </c>
      <c r="AP1872" s="231">
        <v>2</v>
      </c>
      <c r="AQ1872" s="231">
        <v>2026</v>
      </c>
      <c r="AR1872" s="231" t="str">
        <f t="shared" si="274"/>
        <v>02/2026</v>
      </c>
      <c r="AS1872" s="231">
        <f t="shared" si="275"/>
        <v>52</v>
      </c>
      <c r="AT1872" s="239">
        <f>IF(G1872="CERVECERIA Y MALTERIA",(AS1872*AK1872/1000000)*(1-VLOOKUP(N1872,FCST!D:I,6,FALSE)),0)</f>
        <v>18.884736</v>
      </c>
      <c r="AU1872" s="232">
        <v>5.0000000000000001E-3</v>
      </c>
      <c r="AV1872" s="239">
        <f t="shared" si="276"/>
        <v>18.979159679999999</v>
      </c>
      <c r="AW1872" s="239">
        <f>(AS1872*AK1872/1000000)*(VLOOKUP(N1872,FCST!D:I,6,FALSE))</f>
        <v>0</v>
      </c>
      <c r="AX1872" s="239">
        <f t="shared" si="277"/>
        <v>0</v>
      </c>
      <c r="AY1872" s="239">
        <f>IF($G1872="CERVECERIA Y MALTERIA.",($AS1872*$AK1872/1000000)*(1-VLOOKUP($N1872,FCST!D:I,6,FALSE)),0)</f>
        <v>0</v>
      </c>
      <c r="AZ1872" s="239">
        <f t="shared" si="278"/>
        <v>0</v>
      </c>
    </row>
    <row r="1873" spans="1:52" x14ac:dyDescent="0.25">
      <c r="A1873" s="209" t="s">
        <v>4294</v>
      </c>
      <c r="B1873" s="209" t="s">
        <v>4316</v>
      </c>
      <c r="C1873" s="209" t="s">
        <v>4317</v>
      </c>
      <c r="D1873" s="209" t="s">
        <v>4233</v>
      </c>
      <c r="E1873" s="209" t="s">
        <v>4235</v>
      </c>
      <c r="F1873" s="209" t="s">
        <v>4285</v>
      </c>
      <c r="G1873" s="209" t="s">
        <v>105</v>
      </c>
      <c r="H1873" s="209" t="s">
        <v>4285</v>
      </c>
      <c r="I1873" s="209" t="s">
        <v>4237</v>
      </c>
      <c r="J1873" s="209" t="s">
        <v>169</v>
      </c>
      <c r="K1873" s="209" t="s">
        <v>4318</v>
      </c>
      <c r="L1873" s="209" t="s">
        <v>265</v>
      </c>
      <c r="M1873" s="209" t="s">
        <v>199</v>
      </c>
      <c r="N1873" s="209">
        <v>50035183</v>
      </c>
      <c r="O1873" s="209" t="s">
        <v>215</v>
      </c>
      <c r="P1873" s="209" t="s">
        <v>4247</v>
      </c>
      <c r="Q1873" s="209" t="s">
        <v>200</v>
      </c>
      <c r="R1873" s="209" t="s">
        <v>201</v>
      </c>
      <c r="S1873" s="209" t="s">
        <v>202</v>
      </c>
      <c r="T1873" s="209" t="s">
        <v>203</v>
      </c>
      <c r="U1873" s="209" t="s">
        <v>201</v>
      </c>
      <c r="V1873" s="209" t="s">
        <v>179</v>
      </c>
      <c r="W1873" s="209" t="s">
        <v>179</v>
      </c>
      <c r="X1873" s="209" t="s">
        <v>180</v>
      </c>
      <c r="Y1873" s="209" t="s">
        <v>180</v>
      </c>
      <c r="Z1873" s="209" t="s">
        <v>4297</v>
      </c>
      <c r="AA1873" s="209" t="s">
        <v>4298</v>
      </c>
      <c r="AB1873" s="209" t="s">
        <v>180</v>
      </c>
      <c r="AC1873" s="209" t="s">
        <v>182</v>
      </c>
      <c r="AD1873" s="209" t="s">
        <v>4237</v>
      </c>
      <c r="AE1873" s="209" t="s">
        <v>4242</v>
      </c>
      <c r="AF1873" s="227">
        <v>46071</v>
      </c>
      <c r="AG1873" s="227">
        <v>46073</v>
      </c>
      <c r="AH1873" s="227">
        <v>46073</v>
      </c>
      <c r="AI1873" s="228">
        <v>393984</v>
      </c>
      <c r="AJ1873" s="228">
        <v>48</v>
      </c>
      <c r="AK1873" s="228">
        <v>393984</v>
      </c>
      <c r="AL1873" s="228">
        <v>48</v>
      </c>
      <c r="AM1873" s="228">
        <v>0</v>
      </c>
      <c r="AN1873" s="228">
        <v>0</v>
      </c>
      <c r="AO1873" s="229">
        <v>8</v>
      </c>
      <c r="AP1873" s="231">
        <v>2</v>
      </c>
      <c r="AQ1873" s="231">
        <v>2026</v>
      </c>
      <c r="AR1873" s="231" t="str">
        <f t="shared" si="274"/>
        <v>02/2026</v>
      </c>
      <c r="AS1873" s="231">
        <f t="shared" si="275"/>
        <v>46.6</v>
      </c>
      <c r="AT1873" s="239">
        <f>IF(G1873="CERVECERIA Y MALTERIA",(AS1873*AK1873/1000000)*(1-VLOOKUP(N1873,FCST!D:I,6,FALSE)),0)</f>
        <v>18.359654400000004</v>
      </c>
      <c r="AU1873" s="232">
        <v>5.0000000000000001E-3</v>
      </c>
      <c r="AV1873" s="239">
        <f t="shared" si="276"/>
        <v>18.451452672000002</v>
      </c>
      <c r="AW1873" s="239">
        <f>(AS1873*AK1873/1000000)*(VLOOKUP(N1873,FCST!D:I,6,FALSE))</f>
        <v>0</v>
      </c>
      <c r="AX1873" s="239">
        <f t="shared" si="277"/>
        <v>0</v>
      </c>
      <c r="AY1873" s="239">
        <f>IF($G1873="CERVECERIA Y MALTERIA.",($AS1873*$AK1873/1000000)*(1-VLOOKUP($N1873,FCST!D:I,6,FALSE)),0)</f>
        <v>0</v>
      </c>
      <c r="AZ1873" s="239">
        <f t="shared" si="278"/>
        <v>0</v>
      </c>
    </row>
    <row r="1874" spans="1:52" x14ac:dyDescent="0.25">
      <c r="A1874" s="209" t="s">
        <v>4289</v>
      </c>
      <c r="B1874" s="209" t="s">
        <v>4316</v>
      </c>
      <c r="C1874" s="209" t="s">
        <v>4319</v>
      </c>
      <c r="D1874" s="209" t="s">
        <v>4233</v>
      </c>
      <c r="E1874" s="209" t="s">
        <v>4235</v>
      </c>
      <c r="F1874" s="209" t="s">
        <v>4236</v>
      </c>
      <c r="G1874" s="209" t="s">
        <v>117</v>
      </c>
      <c r="H1874" s="209" t="s">
        <v>4236</v>
      </c>
      <c r="I1874" s="209" t="s">
        <v>4237</v>
      </c>
      <c r="J1874" s="209" t="s">
        <v>169</v>
      </c>
      <c r="K1874" s="209" t="s">
        <v>4320</v>
      </c>
      <c r="L1874" s="209" t="s">
        <v>265</v>
      </c>
      <c r="M1874" s="209" t="s">
        <v>172</v>
      </c>
      <c r="N1874" s="209">
        <v>50038523</v>
      </c>
      <c r="O1874" s="209" t="s">
        <v>249</v>
      </c>
      <c r="P1874" s="209" t="s">
        <v>4239</v>
      </c>
      <c r="Q1874" s="209" t="s">
        <v>186</v>
      </c>
      <c r="R1874" s="209" t="s">
        <v>175</v>
      </c>
      <c r="S1874" s="209" t="s">
        <v>176</v>
      </c>
      <c r="T1874" s="209" t="s">
        <v>187</v>
      </c>
      <c r="U1874" s="209" t="s">
        <v>188</v>
      </c>
      <c r="V1874" s="209" t="s">
        <v>179</v>
      </c>
      <c r="W1874" s="209" t="s">
        <v>179</v>
      </c>
      <c r="X1874" s="209" t="s">
        <v>180</v>
      </c>
      <c r="Y1874" s="209" t="s">
        <v>180</v>
      </c>
      <c r="Z1874" s="209" t="s">
        <v>4292</v>
      </c>
      <c r="AA1874" s="209" t="s">
        <v>4293</v>
      </c>
      <c r="AB1874" s="209" t="s">
        <v>180</v>
      </c>
      <c r="AC1874" s="209" t="s">
        <v>182</v>
      </c>
      <c r="AD1874" s="209" t="s">
        <v>4237</v>
      </c>
      <c r="AE1874" s="209" t="s">
        <v>4242</v>
      </c>
      <c r="AF1874" s="227">
        <v>46065</v>
      </c>
      <c r="AG1874" s="227">
        <v>46073</v>
      </c>
      <c r="AH1874" s="227">
        <v>46073</v>
      </c>
      <c r="AI1874" s="228">
        <v>606528</v>
      </c>
      <c r="AJ1874" s="228">
        <v>52</v>
      </c>
      <c r="AK1874" s="228">
        <v>606528</v>
      </c>
      <c r="AL1874" s="228">
        <v>52</v>
      </c>
      <c r="AM1874" s="228">
        <v>0</v>
      </c>
      <c r="AN1874" s="228">
        <v>0</v>
      </c>
      <c r="AO1874" s="229">
        <v>8</v>
      </c>
      <c r="AP1874" s="231">
        <v>2</v>
      </c>
      <c r="AQ1874" s="231">
        <v>2026</v>
      </c>
      <c r="AR1874" s="231" t="str">
        <f t="shared" si="274"/>
        <v>02/2026</v>
      </c>
      <c r="AS1874" s="231">
        <f t="shared" si="275"/>
        <v>30</v>
      </c>
      <c r="AT1874" s="239">
        <f>IF(G1874="CERVECERIA Y MALTERIA",(AS1874*AK1874/1000000)*(1-VLOOKUP(N1874,FCST!D:I,6,FALSE)),0)</f>
        <v>0</v>
      </c>
      <c r="AU1874" s="232">
        <v>5.0000000000000001E-3</v>
      </c>
      <c r="AV1874" s="239">
        <f t="shared" si="276"/>
        <v>0</v>
      </c>
      <c r="AW1874" s="239">
        <f>(AS1874*AK1874/1000000)*(VLOOKUP(N1874,FCST!D:I,6,FALSE))</f>
        <v>0</v>
      </c>
      <c r="AX1874" s="239">
        <f t="shared" si="277"/>
        <v>0</v>
      </c>
      <c r="AY1874" s="239">
        <f>IF($G1874="CERVECERIA Y MALTERIA.",($AS1874*$AK1874/1000000)*(1-VLOOKUP($N1874,FCST!D:I,6,FALSE)),0)</f>
        <v>18.19584</v>
      </c>
      <c r="AZ1874" s="239">
        <f t="shared" si="278"/>
        <v>18.2868192</v>
      </c>
    </row>
    <row r="1875" spans="1:52" x14ac:dyDescent="0.25">
      <c r="A1875" s="209" t="s">
        <v>4294</v>
      </c>
      <c r="B1875" s="209" t="s">
        <v>4251</v>
      </c>
      <c r="C1875" s="209" t="s">
        <v>4321</v>
      </c>
      <c r="D1875" s="209" t="s">
        <v>4233</v>
      </c>
      <c r="E1875" s="209" t="s">
        <v>4235</v>
      </c>
      <c r="F1875" s="209" t="s">
        <v>4285</v>
      </c>
      <c r="G1875" s="209" t="s">
        <v>105</v>
      </c>
      <c r="H1875" s="209" t="s">
        <v>4285</v>
      </c>
      <c r="I1875" s="209" t="s">
        <v>4237</v>
      </c>
      <c r="J1875" s="209" t="s">
        <v>169</v>
      </c>
      <c r="K1875" s="209" t="s">
        <v>4322</v>
      </c>
      <c r="L1875" s="209" t="s">
        <v>265</v>
      </c>
      <c r="M1875" s="209" t="s">
        <v>199</v>
      </c>
      <c r="N1875" s="209">
        <v>50034616</v>
      </c>
      <c r="O1875" s="209" t="s">
        <v>191</v>
      </c>
      <c r="P1875" s="209" t="s">
        <v>4247</v>
      </c>
      <c r="Q1875" s="209" t="s">
        <v>200</v>
      </c>
      <c r="R1875" s="209" t="s">
        <v>201</v>
      </c>
      <c r="S1875" s="209" t="s">
        <v>202</v>
      </c>
      <c r="T1875" s="209" t="s">
        <v>203</v>
      </c>
      <c r="U1875" s="209" t="s">
        <v>201</v>
      </c>
      <c r="V1875" s="209" t="s">
        <v>179</v>
      </c>
      <c r="W1875" s="209" t="s">
        <v>179</v>
      </c>
      <c r="X1875" s="209" t="s">
        <v>180</v>
      </c>
      <c r="Y1875" s="209" t="s">
        <v>180</v>
      </c>
      <c r="Z1875" s="209" t="s">
        <v>4297</v>
      </c>
      <c r="AA1875" s="209" t="s">
        <v>4298</v>
      </c>
      <c r="AB1875" s="209" t="s">
        <v>180</v>
      </c>
      <c r="AC1875" s="209" t="s">
        <v>182</v>
      </c>
      <c r="AD1875" s="209" t="s">
        <v>4237</v>
      </c>
      <c r="AE1875" s="209" t="s">
        <v>4242</v>
      </c>
      <c r="AF1875" s="227">
        <v>46071</v>
      </c>
      <c r="AG1875" s="227">
        <v>46073</v>
      </c>
      <c r="AH1875" s="227">
        <v>46073</v>
      </c>
      <c r="AI1875" s="228">
        <v>426816</v>
      </c>
      <c r="AJ1875" s="228">
        <v>52</v>
      </c>
      <c r="AK1875" s="228">
        <v>426816</v>
      </c>
      <c r="AL1875" s="228">
        <v>52</v>
      </c>
      <c r="AM1875" s="228">
        <v>0</v>
      </c>
      <c r="AN1875" s="228">
        <v>0</v>
      </c>
      <c r="AO1875" s="229">
        <v>8</v>
      </c>
      <c r="AP1875" s="231">
        <v>2</v>
      </c>
      <c r="AQ1875" s="231">
        <v>2026</v>
      </c>
      <c r="AR1875" s="231" t="str">
        <f t="shared" si="274"/>
        <v>02/2026</v>
      </c>
      <c r="AS1875" s="231">
        <f t="shared" si="275"/>
        <v>46.6</v>
      </c>
      <c r="AT1875" s="239">
        <f>IF(G1875="CERVECERIA Y MALTERIA",(AS1875*AK1875/1000000)*(1-VLOOKUP(N1875,FCST!D:I,6,FALSE)),0)</f>
        <v>19.889625600000002</v>
      </c>
      <c r="AU1875" s="232">
        <v>5.0000000000000001E-3</v>
      </c>
      <c r="AV1875" s="239">
        <f t="shared" si="276"/>
        <v>19.989073728000001</v>
      </c>
      <c r="AW1875" s="239">
        <f>(AS1875*AK1875/1000000)*(VLOOKUP(N1875,FCST!D:I,6,FALSE))</f>
        <v>0</v>
      </c>
      <c r="AX1875" s="239">
        <f t="shared" si="277"/>
        <v>0</v>
      </c>
      <c r="AY1875" s="239">
        <f>IF($G1875="CERVECERIA Y MALTERIA.",($AS1875*$AK1875/1000000)*(1-VLOOKUP($N1875,FCST!D:I,6,FALSE)),0)</f>
        <v>0</v>
      </c>
      <c r="AZ1875" s="239">
        <f t="shared" si="278"/>
        <v>0</v>
      </c>
    </row>
    <row r="1876" spans="1:52" x14ac:dyDescent="0.25">
      <c r="A1876" s="209" t="s">
        <v>4304</v>
      </c>
      <c r="B1876" s="209" t="s">
        <v>4251</v>
      </c>
      <c r="C1876" s="209" t="s">
        <v>4323</v>
      </c>
      <c r="D1876" s="209" t="s">
        <v>4233</v>
      </c>
      <c r="E1876" s="209" t="s">
        <v>4235</v>
      </c>
      <c r="F1876" s="209" t="s">
        <v>4279</v>
      </c>
      <c r="G1876" s="209" t="s">
        <v>105</v>
      </c>
      <c r="H1876" s="209" t="s">
        <v>4279</v>
      </c>
      <c r="I1876" s="209" t="s">
        <v>4237</v>
      </c>
      <c r="J1876" s="209" t="s">
        <v>169</v>
      </c>
      <c r="K1876" s="209" t="s">
        <v>4324</v>
      </c>
      <c r="L1876" s="209" t="s">
        <v>265</v>
      </c>
      <c r="M1876" s="209" t="s">
        <v>199</v>
      </c>
      <c r="N1876" s="209">
        <v>50021818</v>
      </c>
      <c r="O1876" s="209" t="s">
        <v>2170</v>
      </c>
      <c r="P1876" s="209" t="s">
        <v>4247</v>
      </c>
      <c r="Q1876" s="209" t="s">
        <v>200</v>
      </c>
      <c r="R1876" s="209" t="s">
        <v>201</v>
      </c>
      <c r="S1876" s="209" t="s">
        <v>202</v>
      </c>
      <c r="T1876" s="209" t="s">
        <v>203</v>
      </c>
      <c r="U1876" s="209" t="s">
        <v>201</v>
      </c>
      <c r="V1876" s="209" t="s">
        <v>179</v>
      </c>
      <c r="W1876" s="209" t="s">
        <v>179</v>
      </c>
      <c r="X1876" s="209" t="s">
        <v>180</v>
      </c>
      <c r="Y1876" s="209" t="s">
        <v>180</v>
      </c>
      <c r="Z1876" s="209" t="s">
        <v>4325</v>
      </c>
      <c r="AA1876" s="209" t="s">
        <v>4326</v>
      </c>
      <c r="AB1876" s="209" t="s">
        <v>180</v>
      </c>
      <c r="AC1876" s="209" t="s">
        <v>182</v>
      </c>
      <c r="AD1876" s="209" t="s">
        <v>4237</v>
      </c>
      <c r="AE1876" s="209" t="s">
        <v>4242</v>
      </c>
      <c r="AF1876" s="227">
        <v>46066</v>
      </c>
      <c r="AG1876" s="227">
        <v>46073</v>
      </c>
      <c r="AH1876" s="227">
        <v>46073</v>
      </c>
      <c r="AI1876" s="228">
        <v>426816</v>
      </c>
      <c r="AJ1876" s="228">
        <v>52</v>
      </c>
      <c r="AK1876" s="228">
        <v>426816</v>
      </c>
      <c r="AL1876" s="228">
        <v>52</v>
      </c>
      <c r="AM1876" s="228">
        <v>0</v>
      </c>
      <c r="AN1876" s="228">
        <v>0</v>
      </c>
      <c r="AO1876" s="229">
        <v>8</v>
      </c>
      <c r="AP1876" s="231">
        <v>2</v>
      </c>
      <c r="AQ1876" s="231">
        <v>2026</v>
      </c>
      <c r="AR1876" s="231" t="str">
        <f t="shared" si="274"/>
        <v>02/2026</v>
      </c>
      <c r="AS1876" s="231">
        <f t="shared" si="275"/>
        <v>46.6</v>
      </c>
      <c r="AT1876" s="239">
        <f>IF(G1876="CERVECERIA Y MALTERIA",(AS1876*AK1876/1000000)*(1-VLOOKUP(N1876,FCST!D:I,6,FALSE)),0)</f>
        <v>19.889625600000002</v>
      </c>
      <c r="AU1876" s="232">
        <v>5.0000000000000001E-3</v>
      </c>
      <c r="AV1876" s="239">
        <f t="shared" si="276"/>
        <v>19.989073728000001</v>
      </c>
      <c r="AW1876" s="239">
        <f>(AS1876*AK1876/1000000)*(VLOOKUP(N1876,FCST!D:I,6,FALSE))</f>
        <v>0</v>
      </c>
      <c r="AX1876" s="239">
        <f t="shared" si="277"/>
        <v>0</v>
      </c>
      <c r="AY1876" s="239">
        <f>IF($G1876="CERVECERIA Y MALTERIA.",($AS1876*$AK1876/1000000)*(1-VLOOKUP($N1876,FCST!D:I,6,FALSE)),0)</f>
        <v>0</v>
      </c>
      <c r="AZ1876" s="239">
        <f t="shared" si="278"/>
        <v>0</v>
      </c>
    </row>
    <row r="1877" spans="1:52" x14ac:dyDescent="0.25">
      <c r="A1877" s="209" t="s">
        <v>4299</v>
      </c>
      <c r="B1877" s="209" t="s">
        <v>4327</v>
      </c>
      <c r="C1877" s="209" t="s">
        <v>4328</v>
      </c>
      <c r="D1877" s="209" t="s">
        <v>4233</v>
      </c>
      <c r="E1877" s="209" t="s">
        <v>4235</v>
      </c>
      <c r="F1877" s="209" t="s">
        <v>4253</v>
      </c>
      <c r="G1877" s="209" t="s">
        <v>105</v>
      </c>
      <c r="H1877" s="209" t="s">
        <v>4253</v>
      </c>
      <c r="I1877" s="209" t="s">
        <v>4237</v>
      </c>
      <c r="J1877" s="209" t="s">
        <v>169</v>
      </c>
      <c r="K1877" s="209" t="s">
        <v>4329</v>
      </c>
      <c r="L1877" s="209" t="s">
        <v>265</v>
      </c>
      <c r="M1877" s="209" t="s">
        <v>199</v>
      </c>
      <c r="N1877" s="209">
        <v>50032583</v>
      </c>
      <c r="O1877" s="209" t="s">
        <v>205</v>
      </c>
      <c r="P1877" s="209" t="s">
        <v>4247</v>
      </c>
      <c r="Q1877" s="209" t="s">
        <v>200</v>
      </c>
      <c r="R1877" s="209" t="s">
        <v>201</v>
      </c>
      <c r="S1877" s="209" t="s">
        <v>202</v>
      </c>
      <c r="T1877" s="209" t="s">
        <v>203</v>
      </c>
      <c r="U1877" s="209" t="s">
        <v>201</v>
      </c>
      <c r="V1877" s="209" t="s">
        <v>179</v>
      </c>
      <c r="W1877" s="209" t="s">
        <v>179</v>
      </c>
      <c r="X1877" s="209" t="s">
        <v>180</v>
      </c>
      <c r="Y1877" s="209" t="s">
        <v>180</v>
      </c>
      <c r="Z1877" s="209" t="s">
        <v>4330</v>
      </c>
      <c r="AA1877" s="209" t="s">
        <v>4331</v>
      </c>
      <c r="AB1877" s="209" t="s">
        <v>180</v>
      </c>
      <c r="AC1877" s="209" t="s">
        <v>182</v>
      </c>
      <c r="AD1877" s="209" t="s">
        <v>4237</v>
      </c>
      <c r="AE1877" s="209" t="s">
        <v>4242</v>
      </c>
      <c r="AF1877" s="227">
        <v>46065</v>
      </c>
      <c r="AG1877" s="227">
        <v>46073</v>
      </c>
      <c r="AH1877" s="227">
        <v>46073</v>
      </c>
      <c r="AI1877" s="228">
        <v>351936</v>
      </c>
      <c r="AJ1877" s="228">
        <v>52</v>
      </c>
      <c r="AK1877" s="228">
        <v>351936</v>
      </c>
      <c r="AL1877" s="228">
        <v>52</v>
      </c>
      <c r="AM1877" s="228">
        <v>0</v>
      </c>
      <c r="AN1877" s="228">
        <v>0</v>
      </c>
      <c r="AO1877" s="229">
        <v>8</v>
      </c>
      <c r="AP1877" s="231">
        <v>2</v>
      </c>
      <c r="AQ1877" s="231">
        <v>2026</v>
      </c>
      <c r="AR1877" s="231" t="str">
        <f t="shared" si="274"/>
        <v>02/2026</v>
      </c>
      <c r="AS1877" s="231">
        <f t="shared" si="275"/>
        <v>54.7</v>
      </c>
      <c r="AT1877" s="239">
        <f>IF(G1877="CERVECERIA Y MALTERIA",(AS1877*AK1877/1000000)*(1-VLOOKUP(N1877,FCST!D:I,6,FALSE)),0)</f>
        <v>19.250899199999999</v>
      </c>
      <c r="AU1877" s="232">
        <v>5.0000000000000001E-3</v>
      </c>
      <c r="AV1877" s="239">
        <f t="shared" si="276"/>
        <v>19.347153695999996</v>
      </c>
      <c r="AW1877" s="239">
        <f>(AS1877*AK1877/1000000)*(VLOOKUP(N1877,FCST!D:I,6,FALSE))</f>
        <v>0</v>
      </c>
      <c r="AX1877" s="239">
        <f t="shared" si="277"/>
        <v>0</v>
      </c>
      <c r="AY1877" s="239">
        <f>IF($G1877="CERVECERIA Y MALTERIA.",($AS1877*$AK1877/1000000)*(1-VLOOKUP($N1877,FCST!D:I,6,FALSE)),0)</f>
        <v>0</v>
      </c>
      <c r="AZ1877" s="239">
        <f t="shared" si="278"/>
        <v>0</v>
      </c>
    </row>
    <row r="1878" spans="1:52" x14ac:dyDescent="0.25">
      <c r="A1878" s="209" t="s">
        <v>4299</v>
      </c>
      <c r="B1878" s="209" t="s">
        <v>4332</v>
      </c>
      <c r="C1878" s="209" t="s">
        <v>4333</v>
      </c>
      <c r="D1878" s="209" t="s">
        <v>4233</v>
      </c>
      <c r="E1878" s="209" t="s">
        <v>4235</v>
      </c>
      <c r="F1878" s="209" t="s">
        <v>4253</v>
      </c>
      <c r="G1878" s="209" t="s">
        <v>105</v>
      </c>
      <c r="H1878" s="209" t="s">
        <v>4253</v>
      </c>
      <c r="I1878" s="209" t="s">
        <v>4237</v>
      </c>
      <c r="J1878" s="209" t="s">
        <v>169</v>
      </c>
      <c r="K1878" s="209" t="s">
        <v>4334</v>
      </c>
      <c r="L1878" s="209" t="s">
        <v>265</v>
      </c>
      <c r="M1878" s="209" t="s">
        <v>199</v>
      </c>
      <c r="N1878" s="209">
        <v>50025345</v>
      </c>
      <c r="O1878" s="209" t="s">
        <v>1998</v>
      </c>
      <c r="P1878" s="209" t="s">
        <v>4247</v>
      </c>
      <c r="Q1878" s="209" t="s">
        <v>200</v>
      </c>
      <c r="R1878" s="209" t="s">
        <v>201</v>
      </c>
      <c r="S1878" s="209" t="s">
        <v>202</v>
      </c>
      <c r="T1878" s="209" t="s">
        <v>203</v>
      </c>
      <c r="U1878" s="209" t="s">
        <v>201</v>
      </c>
      <c r="V1878" s="209" t="s">
        <v>179</v>
      </c>
      <c r="W1878" s="209" t="s">
        <v>179</v>
      </c>
      <c r="X1878" s="209" t="s">
        <v>180</v>
      </c>
      <c r="Y1878" s="209" t="s">
        <v>180</v>
      </c>
      <c r="Z1878" s="209" t="s">
        <v>4335</v>
      </c>
      <c r="AA1878" s="209" t="s">
        <v>4336</v>
      </c>
      <c r="AB1878" s="209" t="s">
        <v>180</v>
      </c>
      <c r="AC1878" s="209" t="s">
        <v>182</v>
      </c>
      <c r="AD1878" s="209" t="s">
        <v>4237</v>
      </c>
      <c r="AE1878" s="209" t="s">
        <v>4242</v>
      </c>
      <c r="AF1878" s="227">
        <v>46065</v>
      </c>
      <c r="AG1878" s="227">
        <v>46073</v>
      </c>
      <c r="AH1878" s="227">
        <v>46073</v>
      </c>
      <c r="AI1878" s="228">
        <v>426816</v>
      </c>
      <c r="AJ1878" s="228">
        <v>52</v>
      </c>
      <c r="AK1878" s="228">
        <v>426816</v>
      </c>
      <c r="AL1878" s="228">
        <v>52</v>
      </c>
      <c r="AM1878" s="228">
        <v>0</v>
      </c>
      <c r="AN1878" s="228">
        <v>0</v>
      </c>
      <c r="AO1878" s="229">
        <v>8</v>
      </c>
      <c r="AP1878" s="231">
        <v>2</v>
      </c>
      <c r="AQ1878" s="231">
        <v>2026</v>
      </c>
      <c r="AR1878" s="231" t="str">
        <f t="shared" si="274"/>
        <v>02/2026</v>
      </c>
      <c r="AS1878" s="231">
        <f t="shared" si="275"/>
        <v>46.6</v>
      </c>
      <c r="AT1878" s="239">
        <f>IF(G1878="CERVECERIA Y MALTERIA",(AS1878*AK1878/1000000)*(1-VLOOKUP(N1878,FCST!D:I,6,FALSE)),0)</f>
        <v>19.889625600000002</v>
      </c>
      <c r="AU1878" s="232">
        <v>5.0000000000000001E-3</v>
      </c>
      <c r="AV1878" s="239">
        <f t="shared" si="276"/>
        <v>19.989073728000001</v>
      </c>
      <c r="AW1878" s="239">
        <f>(AS1878*AK1878/1000000)*(VLOOKUP(N1878,FCST!D:I,6,FALSE))</f>
        <v>0</v>
      </c>
      <c r="AX1878" s="239">
        <f t="shared" si="277"/>
        <v>0</v>
      </c>
      <c r="AY1878" s="239">
        <f>IF($G1878="CERVECERIA Y MALTERIA.",($AS1878*$AK1878/1000000)*(1-VLOOKUP($N1878,FCST!D:I,6,FALSE)),0)</f>
        <v>0</v>
      </c>
      <c r="AZ1878" s="239">
        <f t="shared" si="278"/>
        <v>0</v>
      </c>
    </row>
    <row r="1879" spans="1:52" x14ac:dyDescent="0.25">
      <c r="A1879" s="209" t="s">
        <v>4299</v>
      </c>
      <c r="B1879" s="209" t="s">
        <v>4337</v>
      </c>
      <c r="C1879" s="209" t="s">
        <v>4338</v>
      </c>
      <c r="D1879" s="209" t="s">
        <v>4233</v>
      </c>
      <c r="E1879" s="209" t="s">
        <v>4235</v>
      </c>
      <c r="F1879" s="209" t="s">
        <v>4253</v>
      </c>
      <c r="G1879" s="209" t="s">
        <v>105</v>
      </c>
      <c r="H1879" s="209" t="s">
        <v>4253</v>
      </c>
      <c r="I1879" s="209" t="s">
        <v>4237</v>
      </c>
      <c r="J1879" s="209" t="s">
        <v>169</v>
      </c>
      <c r="K1879" s="209" t="s">
        <v>4339</v>
      </c>
      <c r="L1879" s="209" t="s">
        <v>265</v>
      </c>
      <c r="M1879" s="209" t="s">
        <v>199</v>
      </c>
      <c r="N1879" s="209">
        <v>50035184</v>
      </c>
      <c r="O1879" s="209" t="s">
        <v>672</v>
      </c>
      <c r="P1879" s="209" t="s">
        <v>4247</v>
      </c>
      <c r="Q1879" s="209" t="s">
        <v>200</v>
      </c>
      <c r="R1879" s="209" t="s">
        <v>201</v>
      </c>
      <c r="S1879" s="209" t="s">
        <v>202</v>
      </c>
      <c r="T1879" s="209" t="s">
        <v>203</v>
      </c>
      <c r="U1879" s="209" t="s">
        <v>201</v>
      </c>
      <c r="V1879" s="209" t="s">
        <v>179</v>
      </c>
      <c r="W1879" s="209" t="s">
        <v>179</v>
      </c>
      <c r="X1879" s="209" t="s">
        <v>180</v>
      </c>
      <c r="Y1879" s="209" t="s">
        <v>180</v>
      </c>
      <c r="Z1879" s="209" t="s">
        <v>4302</v>
      </c>
      <c r="AA1879" s="209" t="s">
        <v>4303</v>
      </c>
      <c r="AB1879" s="209" t="s">
        <v>180</v>
      </c>
      <c r="AC1879" s="209" t="s">
        <v>182</v>
      </c>
      <c r="AD1879" s="209" t="s">
        <v>4237</v>
      </c>
      <c r="AE1879" s="209" t="s">
        <v>4242</v>
      </c>
      <c r="AF1879" s="227">
        <v>46065</v>
      </c>
      <c r="AG1879" s="227">
        <v>46073</v>
      </c>
      <c r="AH1879" s="227">
        <v>46073</v>
      </c>
      <c r="AI1879" s="228">
        <v>977184</v>
      </c>
      <c r="AJ1879" s="228">
        <v>52</v>
      </c>
      <c r="AK1879" s="228">
        <v>977184</v>
      </c>
      <c r="AL1879" s="228">
        <v>52</v>
      </c>
      <c r="AM1879" s="228">
        <v>0</v>
      </c>
      <c r="AN1879" s="228">
        <v>0</v>
      </c>
      <c r="AO1879" s="229">
        <v>8</v>
      </c>
      <c r="AP1879" s="231">
        <v>2</v>
      </c>
      <c r="AQ1879" s="231">
        <v>2026</v>
      </c>
      <c r="AR1879" s="231" t="str">
        <f t="shared" si="274"/>
        <v>02/2026</v>
      </c>
      <c r="AS1879" s="231">
        <f t="shared" si="275"/>
        <v>19.5</v>
      </c>
      <c r="AT1879" s="239">
        <f>IF(G1879="CERVECERIA Y MALTERIA",(AS1879*AK1879/1000000)*(1-VLOOKUP(N1879,FCST!D:I,6,FALSE)),0)</f>
        <v>19.055088000000001</v>
      </c>
      <c r="AU1879" s="232">
        <v>5.0000000000000001E-3</v>
      </c>
      <c r="AV1879" s="239">
        <f t="shared" si="276"/>
        <v>19.15036344</v>
      </c>
      <c r="AW1879" s="239">
        <f>(AS1879*AK1879/1000000)*(VLOOKUP(N1879,FCST!D:I,6,FALSE))</f>
        <v>0</v>
      </c>
      <c r="AX1879" s="239">
        <f t="shared" si="277"/>
        <v>0</v>
      </c>
      <c r="AY1879" s="239">
        <f>IF($G1879="CERVECERIA Y MALTERIA.",($AS1879*$AK1879/1000000)*(1-VLOOKUP($N1879,FCST!D:I,6,FALSE)),0)</f>
        <v>0</v>
      </c>
      <c r="AZ1879" s="239">
        <f t="shared" si="278"/>
        <v>0</v>
      </c>
    </row>
    <row r="1880" spans="1:52" x14ac:dyDescent="0.25">
      <c r="A1880" s="209" t="s">
        <v>4289</v>
      </c>
      <c r="B1880" s="209" t="s">
        <v>4251</v>
      </c>
      <c r="C1880" s="209" t="s">
        <v>4340</v>
      </c>
      <c r="D1880" s="209" t="s">
        <v>4233</v>
      </c>
      <c r="E1880" s="209" t="s">
        <v>4235</v>
      </c>
      <c r="F1880" s="209" t="s">
        <v>4236</v>
      </c>
      <c r="G1880" s="209" t="s">
        <v>117</v>
      </c>
      <c r="H1880" s="209" t="s">
        <v>4236</v>
      </c>
      <c r="I1880" s="209" t="s">
        <v>4237</v>
      </c>
      <c r="J1880" s="209" t="s">
        <v>169</v>
      </c>
      <c r="K1880" s="209" t="s">
        <v>4341</v>
      </c>
      <c r="L1880" s="209" t="s">
        <v>265</v>
      </c>
      <c r="M1880" s="209" t="s">
        <v>172</v>
      </c>
      <c r="N1880" s="209">
        <v>50038523</v>
      </c>
      <c r="O1880" s="209" t="s">
        <v>249</v>
      </c>
      <c r="P1880" s="209" t="s">
        <v>4239</v>
      </c>
      <c r="Q1880" s="209" t="s">
        <v>186</v>
      </c>
      <c r="R1880" s="209" t="s">
        <v>175</v>
      </c>
      <c r="S1880" s="209" t="s">
        <v>176</v>
      </c>
      <c r="T1880" s="209" t="s">
        <v>187</v>
      </c>
      <c r="U1880" s="209" t="s">
        <v>188</v>
      </c>
      <c r="V1880" s="209" t="s">
        <v>179</v>
      </c>
      <c r="W1880" s="209" t="s">
        <v>179</v>
      </c>
      <c r="X1880" s="209" t="s">
        <v>180</v>
      </c>
      <c r="Y1880" s="209" t="s">
        <v>180</v>
      </c>
      <c r="Z1880" s="209" t="s">
        <v>4292</v>
      </c>
      <c r="AA1880" s="209" t="s">
        <v>4293</v>
      </c>
      <c r="AB1880" s="209" t="s">
        <v>180</v>
      </c>
      <c r="AC1880" s="209" t="s">
        <v>182</v>
      </c>
      <c r="AD1880" s="209" t="s">
        <v>4237</v>
      </c>
      <c r="AE1880" s="209" t="s">
        <v>4242</v>
      </c>
      <c r="AF1880" s="227">
        <v>46065</v>
      </c>
      <c r="AG1880" s="227">
        <v>46073</v>
      </c>
      <c r="AH1880" s="227">
        <v>46073</v>
      </c>
      <c r="AI1880" s="228">
        <v>606528</v>
      </c>
      <c r="AJ1880" s="228">
        <v>52</v>
      </c>
      <c r="AK1880" s="228">
        <v>606528</v>
      </c>
      <c r="AL1880" s="228">
        <v>52</v>
      </c>
      <c r="AM1880" s="228">
        <v>0</v>
      </c>
      <c r="AN1880" s="228">
        <v>0</v>
      </c>
      <c r="AO1880" s="229">
        <v>8</v>
      </c>
      <c r="AP1880" s="231">
        <v>2</v>
      </c>
      <c r="AQ1880" s="231">
        <v>2026</v>
      </c>
      <c r="AR1880" s="231" t="str">
        <f t="shared" si="274"/>
        <v>02/2026</v>
      </c>
      <c r="AS1880" s="231">
        <f t="shared" si="275"/>
        <v>30</v>
      </c>
      <c r="AT1880" s="239">
        <f>IF(G1880="CERVECERIA Y MALTERIA",(AS1880*AK1880/1000000)*(1-VLOOKUP(N1880,FCST!D:I,6,FALSE)),0)</f>
        <v>0</v>
      </c>
      <c r="AU1880" s="232">
        <v>5.0000000000000001E-3</v>
      </c>
      <c r="AV1880" s="239">
        <f t="shared" si="276"/>
        <v>0</v>
      </c>
      <c r="AW1880" s="239">
        <f>(AS1880*AK1880/1000000)*(VLOOKUP(N1880,FCST!D:I,6,FALSE))</f>
        <v>0</v>
      </c>
      <c r="AX1880" s="239">
        <f t="shared" si="277"/>
        <v>0</v>
      </c>
      <c r="AY1880" s="239">
        <f>IF($G1880="CERVECERIA Y MALTERIA.",($AS1880*$AK1880/1000000)*(1-VLOOKUP($N1880,FCST!D:I,6,FALSE)),0)</f>
        <v>18.19584</v>
      </c>
      <c r="AZ1880" s="239">
        <f t="shared" si="278"/>
        <v>18.2868192</v>
      </c>
    </row>
    <row r="1881" spans="1:52" x14ac:dyDescent="0.25">
      <c r="A1881" s="209" t="s">
        <v>4277</v>
      </c>
      <c r="B1881" s="209" t="s">
        <v>4251</v>
      </c>
      <c r="C1881" s="209" t="s">
        <v>4342</v>
      </c>
      <c r="D1881" s="209" t="s">
        <v>4233</v>
      </c>
      <c r="E1881" s="209" t="s">
        <v>4235</v>
      </c>
      <c r="F1881" s="209" t="s">
        <v>4279</v>
      </c>
      <c r="G1881" s="209" t="s">
        <v>105</v>
      </c>
      <c r="H1881" s="209" t="s">
        <v>4279</v>
      </c>
      <c r="I1881" s="209" t="s">
        <v>4237</v>
      </c>
      <c r="J1881" s="209" t="s">
        <v>169</v>
      </c>
      <c r="K1881" s="209" t="s">
        <v>4343</v>
      </c>
      <c r="L1881" s="209" t="s">
        <v>265</v>
      </c>
      <c r="M1881" s="209" t="s">
        <v>199</v>
      </c>
      <c r="N1881" s="209">
        <v>50025345</v>
      </c>
      <c r="O1881" s="209" t="s">
        <v>1998</v>
      </c>
      <c r="P1881" s="209" t="s">
        <v>4247</v>
      </c>
      <c r="Q1881" s="209" t="s">
        <v>200</v>
      </c>
      <c r="R1881" s="209" t="s">
        <v>201</v>
      </c>
      <c r="S1881" s="209" t="s">
        <v>202</v>
      </c>
      <c r="T1881" s="209" t="s">
        <v>203</v>
      </c>
      <c r="U1881" s="209" t="s">
        <v>201</v>
      </c>
      <c r="V1881" s="209" t="s">
        <v>179</v>
      </c>
      <c r="W1881" s="209" t="s">
        <v>179</v>
      </c>
      <c r="X1881" s="209" t="s">
        <v>180</v>
      </c>
      <c r="Y1881" s="209" t="s">
        <v>180</v>
      </c>
      <c r="Z1881" s="209" t="s">
        <v>4281</v>
      </c>
      <c r="AA1881" s="209" t="s">
        <v>4282</v>
      </c>
      <c r="AB1881" s="209" t="s">
        <v>180</v>
      </c>
      <c r="AC1881" s="209" t="s">
        <v>182</v>
      </c>
      <c r="AD1881" s="209" t="s">
        <v>4237</v>
      </c>
      <c r="AE1881" s="209" t="s">
        <v>4242</v>
      </c>
      <c r="AF1881" s="227">
        <v>46073</v>
      </c>
      <c r="AG1881" s="227">
        <v>46079</v>
      </c>
      <c r="AH1881" s="227">
        <v>46080</v>
      </c>
      <c r="AI1881" s="228">
        <v>180576</v>
      </c>
      <c r="AJ1881" s="228">
        <v>22</v>
      </c>
      <c r="AK1881" s="228">
        <v>180576</v>
      </c>
      <c r="AL1881" s="228">
        <v>22</v>
      </c>
      <c r="AM1881" s="228">
        <v>0</v>
      </c>
      <c r="AN1881" s="228">
        <v>0</v>
      </c>
      <c r="AO1881" s="229">
        <v>9</v>
      </c>
      <c r="AP1881" s="231">
        <v>2</v>
      </c>
      <c r="AQ1881" s="231">
        <v>2026</v>
      </c>
      <c r="AR1881" s="231" t="str">
        <f t="shared" si="274"/>
        <v>02/2026</v>
      </c>
      <c r="AS1881" s="231">
        <f t="shared" si="275"/>
        <v>46.6</v>
      </c>
      <c r="AT1881" s="239">
        <f>IF(G1881="CERVECERIA Y MALTERIA",(AS1881*AK1881/1000000)*(1-VLOOKUP(N1881,FCST!D:I,6,FALSE)),0)</f>
        <v>8.414841599999999</v>
      </c>
      <c r="AU1881" s="232">
        <v>5.0000000000000001E-3</v>
      </c>
      <c r="AV1881" s="239">
        <f t="shared" si="276"/>
        <v>8.456915807999998</v>
      </c>
      <c r="AW1881" s="239">
        <f>(AS1881*AK1881/1000000)*(VLOOKUP(N1881,FCST!D:I,6,FALSE))</f>
        <v>0</v>
      </c>
      <c r="AX1881" s="239">
        <f t="shared" si="277"/>
        <v>0</v>
      </c>
      <c r="AY1881" s="239">
        <f>IF($G1881="CERVECERIA Y MALTERIA.",($AS1881*$AK1881/1000000)*(1-VLOOKUP($N1881,FCST!D:I,6,FALSE)),0)</f>
        <v>0</v>
      </c>
      <c r="AZ1881" s="239">
        <f t="shared" si="278"/>
        <v>0</v>
      </c>
    </row>
    <row r="1882" spans="1:52" x14ac:dyDescent="0.25">
      <c r="A1882" s="209" t="s">
        <v>4277</v>
      </c>
      <c r="B1882" s="209" t="s">
        <v>4316</v>
      </c>
      <c r="C1882" s="209" t="s">
        <v>4342</v>
      </c>
      <c r="D1882" s="209" t="s">
        <v>4251</v>
      </c>
      <c r="E1882" s="209" t="s">
        <v>4235</v>
      </c>
      <c r="F1882" s="209" t="s">
        <v>4279</v>
      </c>
      <c r="G1882" s="209" t="s">
        <v>105</v>
      </c>
      <c r="H1882" s="209" t="s">
        <v>4279</v>
      </c>
      <c r="I1882" s="209" t="s">
        <v>4237</v>
      </c>
      <c r="J1882" s="209" t="s">
        <v>169</v>
      </c>
      <c r="K1882" s="209" t="s">
        <v>4343</v>
      </c>
      <c r="L1882" s="209" t="s">
        <v>265</v>
      </c>
      <c r="M1882" s="209" t="s">
        <v>199</v>
      </c>
      <c r="N1882" s="209">
        <v>50024497</v>
      </c>
      <c r="O1882" s="209" t="s">
        <v>1352</v>
      </c>
      <c r="P1882" s="209" t="s">
        <v>4247</v>
      </c>
      <c r="Q1882" s="209" t="s">
        <v>200</v>
      </c>
      <c r="R1882" s="209" t="s">
        <v>201</v>
      </c>
      <c r="S1882" s="209" t="s">
        <v>202</v>
      </c>
      <c r="T1882" s="209" t="s">
        <v>203</v>
      </c>
      <c r="U1882" s="209" t="s">
        <v>201</v>
      </c>
      <c r="V1882" s="209" t="s">
        <v>179</v>
      </c>
      <c r="W1882" s="209" t="s">
        <v>179</v>
      </c>
      <c r="X1882" s="209" t="s">
        <v>180</v>
      </c>
      <c r="Y1882" s="209" t="s">
        <v>180</v>
      </c>
      <c r="Z1882" s="209" t="s">
        <v>4281</v>
      </c>
      <c r="AA1882" s="209" t="s">
        <v>4282</v>
      </c>
      <c r="AB1882" s="209" t="s">
        <v>180</v>
      </c>
      <c r="AC1882" s="209" t="s">
        <v>182</v>
      </c>
      <c r="AD1882" s="209" t="s">
        <v>4237</v>
      </c>
      <c r="AE1882" s="209" t="s">
        <v>4242</v>
      </c>
      <c r="AF1882" s="227">
        <v>46073</v>
      </c>
      <c r="AG1882" s="227">
        <v>46079</v>
      </c>
      <c r="AH1882" s="227">
        <v>46080</v>
      </c>
      <c r="AI1882" s="228">
        <v>203040</v>
      </c>
      <c r="AJ1882" s="228">
        <v>30</v>
      </c>
      <c r="AK1882" s="228">
        <v>203040</v>
      </c>
      <c r="AL1882" s="228">
        <v>30</v>
      </c>
      <c r="AM1882" s="228">
        <v>0</v>
      </c>
      <c r="AN1882" s="228">
        <v>0</v>
      </c>
      <c r="AO1882" s="229">
        <v>9</v>
      </c>
      <c r="AP1882" s="231">
        <v>2</v>
      </c>
      <c r="AQ1882" s="231">
        <v>2026</v>
      </c>
      <c r="AR1882" s="231" t="str">
        <f t="shared" si="274"/>
        <v>02/2026</v>
      </c>
      <c r="AS1882" s="231">
        <f t="shared" si="275"/>
        <v>54.7</v>
      </c>
      <c r="AT1882" s="239">
        <f>IF(G1882="CERVECERIA Y MALTERIA",(AS1882*AK1882/1000000)*(1-VLOOKUP(N1882,FCST!D:I,6,FALSE)),0)</f>
        <v>11.106287999999999</v>
      </c>
      <c r="AU1882" s="232">
        <v>5.0000000000000001E-3</v>
      </c>
      <c r="AV1882" s="239">
        <f t="shared" si="276"/>
        <v>11.161819439999999</v>
      </c>
      <c r="AW1882" s="239">
        <f>(AS1882*AK1882/1000000)*(VLOOKUP(N1882,FCST!D:I,6,FALSE))</f>
        <v>0</v>
      </c>
      <c r="AX1882" s="239">
        <f t="shared" si="277"/>
        <v>0</v>
      </c>
      <c r="AY1882" s="239">
        <f>IF($G1882="CERVECERIA Y MALTERIA.",($AS1882*$AK1882/1000000)*(1-VLOOKUP($N1882,FCST!D:I,6,FALSE)),0)</f>
        <v>0</v>
      </c>
      <c r="AZ1882" s="239">
        <f t="shared" si="278"/>
        <v>0</v>
      </c>
    </row>
    <row r="1883" spans="1:52" x14ac:dyDescent="0.25">
      <c r="A1883" s="209" t="s">
        <v>4344</v>
      </c>
      <c r="B1883" s="209" t="s">
        <v>4233</v>
      </c>
      <c r="C1883" s="209" t="s">
        <v>4345</v>
      </c>
      <c r="D1883" s="209" t="s">
        <v>4233</v>
      </c>
      <c r="E1883" s="209" t="s">
        <v>4235</v>
      </c>
      <c r="F1883" s="209" t="s">
        <v>4268</v>
      </c>
      <c r="G1883" s="209" t="s">
        <v>105</v>
      </c>
      <c r="H1883" s="209" t="s">
        <v>4268</v>
      </c>
      <c r="I1883" s="209" t="s">
        <v>4237</v>
      </c>
      <c r="J1883" s="209" t="s">
        <v>169</v>
      </c>
      <c r="K1883" s="209" t="s">
        <v>4346</v>
      </c>
      <c r="L1883" s="209" t="s">
        <v>265</v>
      </c>
      <c r="M1883" s="209" t="s">
        <v>172</v>
      </c>
      <c r="N1883" s="209">
        <v>50032578</v>
      </c>
      <c r="O1883" s="209" t="s">
        <v>329</v>
      </c>
      <c r="P1883" s="209" t="s">
        <v>4247</v>
      </c>
      <c r="Q1883" s="209" t="s">
        <v>174</v>
      </c>
      <c r="R1883" s="209" t="s">
        <v>175</v>
      </c>
      <c r="S1883" s="209" t="s">
        <v>176</v>
      </c>
      <c r="T1883" s="209" t="s">
        <v>177</v>
      </c>
      <c r="U1883" s="209" t="s">
        <v>178</v>
      </c>
      <c r="V1883" s="209" t="s">
        <v>179</v>
      </c>
      <c r="W1883" s="209" t="s">
        <v>179</v>
      </c>
      <c r="X1883" s="209" t="s">
        <v>180</v>
      </c>
      <c r="Y1883" s="209" t="s">
        <v>180</v>
      </c>
      <c r="Z1883" s="209" t="s">
        <v>4347</v>
      </c>
      <c r="AA1883" s="209" t="s">
        <v>4348</v>
      </c>
      <c r="AB1883" s="209" t="s">
        <v>180</v>
      </c>
      <c r="AC1883" s="209" t="s">
        <v>182</v>
      </c>
      <c r="AD1883" s="209" t="s">
        <v>4237</v>
      </c>
      <c r="AE1883" s="209" t="s">
        <v>4242</v>
      </c>
      <c r="AF1883" s="227">
        <v>46079</v>
      </c>
      <c r="AG1883" s="227">
        <v>46080</v>
      </c>
      <c r="AH1883" s="227">
        <v>46080</v>
      </c>
      <c r="AI1883" s="228">
        <v>92016</v>
      </c>
      <c r="AJ1883" s="228">
        <v>9</v>
      </c>
      <c r="AK1883" s="228">
        <v>92016</v>
      </c>
      <c r="AL1883" s="228">
        <v>9</v>
      </c>
      <c r="AM1883" s="228">
        <v>0</v>
      </c>
      <c r="AN1883" s="228">
        <v>0</v>
      </c>
      <c r="AO1883" s="229">
        <v>9</v>
      </c>
      <c r="AP1883" s="231">
        <v>2</v>
      </c>
      <c r="AQ1883" s="231">
        <v>2026</v>
      </c>
      <c r="AR1883" s="231" t="str">
        <f t="shared" si="274"/>
        <v>02/2026</v>
      </c>
      <c r="AS1883" s="231">
        <f t="shared" si="275"/>
        <v>37.200000000000003</v>
      </c>
      <c r="AT1883" s="239">
        <f>IF(G1883="CERVECERIA Y MALTERIA",(AS1883*AK1883/1000000)*(1-VLOOKUP(N1883,FCST!D:I,6,FALSE)),0)</f>
        <v>3.4229952000000003</v>
      </c>
      <c r="AU1883" s="232">
        <v>5.0000000000000001E-3</v>
      </c>
      <c r="AV1883" s="239">
        <f t="shared" si="276"/>
        <v>3.4401101760000001</v>
      </c>
      <c r="AW1883" s="239">
        <f>(AS1883*AK1883/1000000)*(VLOOKUP(N1883,FCST!D:I,6,FALSE))</f>
        <v>0</v>
      </c>
      <c r="AX1883" s="239">
        <f t="shared" si="277"/>
        <v>0</v>
      </c>
      <c r="AY1883" s="239">
        <f>IF($G1883="CERVECERIA Y MALTERIA.",($AS1883*$AK1883/1000000)*(1-VLOOKUP($N1883,FCST!D:I,6,FALSE)),0)</f>
        <v>0</v>
      </c>
      <c r="AZ1883" s="239">
        <f t="shared" si="278"/>
        <v>0</v>
      </c>
    </row>
    <row r="1884" spans="1:52" x14ac:dyDescent="0.25">
      <c r="A1884" s="209" t="s">
        <v>4344</v>
      </c>
      <c r="B1884" s="209" t="s">
        <v>4251</v>
      </c>
      <c r="C1884" s="209" t="s">
        <v>4345</v>
      </c>
      <c r="D1884" s="209" t="s">
        <v>4251</v>
      </c>
      <c r="E1884" s="209" t="s">
        <v>4235</v>
      </c>
      <c r="F1884" s="209" t="s">
        <v>4268</v>
      </c>
      <c r="G1884" s="209" t="s">
        <v>105</v>
      </c>
      <c r="H1884" s="209" t="s">
        <v>4268</v>
      </c>
      <c r="I1884" s="209" t="s">
        <v>4237</v>
      </c>
      <c r="J1884" s="209" t="s">
        <v>169</v>
      </c>
      <c r="K1884" s="209" t="s">
        <v>4346</v>
      </c>
      <c r="L1884" s="209" t="s">
        <v>265</v>
      </c>
      <c r="M1884" s="209" t="s">
        <v>172</v>
      </c>
      <c r="N1884" s="209">
        <v>50037887</v>
      </c>
      <c r="O1884" s="209" t="s">
        <v>679</v>
      </c>
      <c r="P1884" s="209" t="s">
        <v>4247</v>
      </c>
      <c r="Q1884" s="209" t="s">
        <v>174</v>
      </c>
      <c r="R1884" s="209" t="s">
        <v>175</v>
      </c>
      <c r="S1884" s="209" t="s">
        <v>176</v>
      </c>
      <c r="T1884" s="209" t="s">
        <v>177</v>
      </c>
      <c r="U1884" s="209" t="s">
        <v>178</v>
      </c>
      <c r="V1884" s="209" t="s">
        <v>179</v>
      </c>
      <c r="W1884" s="209" t="s">
        <v>179</v>
      </c>
      <c r="X1884" s="209" t="s">
        <v>180</v>
      </c>
      <c r="Y1884" s="209" t="s">
        <v>180</v>
      </c>
      <c r="Z1884" s="209" t="s">
        <v>4347</v>
      </c>
      <c r="AA1884" s="209" t="s">
        <v>4348</v>
      </c>
      <c r="AB1884" s="209" t="s">
        <v>180</v>
      </c>
      <c r="AC1884" s="209" t="s">
        <v>182</v>
      </c>
      <c r="AD1884" s="209" t="s">
        <v>4237</v>
      </c>
      <c r="AE1884" s="209" t="s">
        <v>4242</v>
      </c>
      <c r="AF1884" s="227">
        <v>46079</v>
      </c>
      <c r="AG1884" s="227">
        <v>46080</v>
      </c>
      <c r="AH1884" s="227">
        <v>46080</v>
      </c>
      <c r="AI1884" s="228">
        <v>214704</v>
      </c>
      <c r="AJ1884" s="228">
        <v>21</v>
      </c>
      <c r="AK1884" s="228">
        <v>214704</v>
      </c>
      <c r="AL1884" s="228">
        <v>21</v>
      </c>
      <c r="AM1884" s="228">
        <v>0</v>
      </c>
      <c r="AN1884" s="228">
        <v>0</v>
      </c>
      <c r="AO1884" s="229">
        <v>9</v>
      </c>
      <c r="AP1884" s="231">
        <v>2</v>
      </c>
      <c r="AQ1884" s="231">
        <v>2026</v>
      </c>
      <c r="AR1884" s="231" t="str">
        <f t="shared" si="274"/>
        <v>02/2026</v>
      </c>
      <c r="AS1884" s="231">
        <f t="shared" si="275"/>
        <v>37.200000000000003</v>
      </c>
      <c r="AT1884" s="239">
        <f>IF(G1884="CERVECERIA Y MALTERIA",(AS1884*AK1884/1000000)*(1-VLOOKUP(N1884,FCST!D:I,6,FALSE)),0)</f>
        <v>7.9869888000000007</v>
      </c>
      <c r="AU1884" s="232">
        <v>5.0000000000000001E-3</v>
      </c>
      <c r="AV1884" s="239">
        <f t="shared" si="276"/>
        <v>8.0269237439999994</v>
      </c>
      <c r="AW1884" s="239">
        <f>(AS1884*AK1884/1000000)*(VLOOKUP(N1884,FCST!D:I,6,FALSE))</f>
        <v>0</v>
      </c>
      <c r="AX1884" s="239">
        <f t="shared" si="277"/>
        <v>0</v>
      </c>
      <c r="AY1884" s="239">
        <f>IF($G1884="CERVECERIA Y MALTERIA.",($AS1884*$AK1884/1000000)*(1-VLOOKUP($N1884,FCST!D:I,6,FALSE)),0)</f>
        <v>0</v>
      </c>
      <c r="AZ1884" s="239">
        <f t="shared" si="278"/>
        <v>0</v>
      </c>
    </row>
    <row r="1885" spans="1:52" x14ac:dyDescent="0.25">
      <c r="A1885" s="209" t="s">
        <v>4344</v>
      </c>
      <c r="B1885" s="209" t="s">
        <v>4316</v>
      </c>
      <c r="C1885" s="209" t="s">
        <v>4345</v>
      </c>
      <c r="D1885" s="209" t="s">
        <v>4316</v>
      </c>
      <c r="E1885" s="209" t="s">
        <v>4235</v>
      </c>
      <c r="F1885" s="209" t="s">
        <v>4268</v>
      </c>
      <c r="G1885" s="209" t="s">
        <v>105</v>
      </c>
      <c r="H1885" s="209" t="s">
        <v>4268</v>
      </c>
      <c r="I1885" s="209" t="s">
        <v>4237</v>
      </c>
      <c r="J1885" s="209" t="s">
        <v>169</v>
      </c>
      <c r="K1885" s="209" t="s">
        <v>4346</v>
      </c>
      <c r="L1885" s="209" t="s">
        <v>265</v>
      </c>
      <c r="M1885" s="209" t="s">
        <v>172</v>
      </c>
      <c r="N1885" s="209">
        <v>50035184</v>
      </c>
      <c r="O1885" s="209" t="s">
        <v>672</v>
      </c>
      <c r="P1885" s="209" t="s">
        <v>4247</v>
      </c>
      <c r="Q1885" s="209" t="s">
        <v>174</v>
      </c>
      <c r="R1885" s="209" t="s">
        <v>175</v>
      </c>
      <c r="S1885" s="209" t="s">
        <v>176</v>
      </c>
      <c r="T1885" s="209" t="s">
        <v>177</v>
      </c>
      <c r="U1885" s="209" t="s">
        <v>178</v>
      </c>
      <c r="V1885" s="209" t="s">
        <v>179</v>
      </c>
      <c r="W1885" s="209" t="s">
        <v>179</v>
      </c>
      <c r="X1885" s="209" t="s">
        <v>180</v>
      </c>
      <c r="Y1885" s="209" t="s">
        <v>180</v>
      </c>
      <c r="Z1885" s="209" t="s">
        <v>4347</v>
      </c>
      <c r="AA1885" s="209" t="s">
        <v>4348</v>
      </c>
      <c r="AB1885" s="209" t="s">
        <v>180</v>
      </c>
      <c r="AC1885" s="209" t="s">
        <v>182</v>
      </c>
      <c r="AD1885" s="209" t="s">
        <v>4237</v>
      </c>
      <c r="AE1885" s="209" t="s">
        <v>4242</v>
      </c>
      <c r="AF1885" s="227">
        <v>46079</v>
      </c>
      <c r="AG1885" s="227">
        <v>46080</v>
      </c>
      <c r="AH1885" s="227">
        <v>46080</v>
      </c>
      <c r="AI1885" s="228">
        <v>413424</v>
      </c>
      <c r="AJ1885" s="228">
        <v>22</v>
      </c>
      <c r="AK1885" s="228">
        <v>413424</v>
      </c>
      <c r="AL1885" s="228">
        <v>22</v>
      </c>
      <c r="AM1885" s="228">
        <v>0</v>
      </c>
      <c r="AN1885" s="228">
        <v>0</v>
      </c>
      <c r="AO1885" s="229">
        <v>9</v>
      </c>
      <c r="AP1885" s="231">
        <v>2</v>
      </c>
      <c r="AQ1885" s="231">
        <v>2026</v>
      </c>
      <c r="AR1885" s="231" t="str">
        <f t="shared" si="274"/>
        <v>02/2026</v>
      </c>
      <c r="AS1885" s="231">
        <f t="shared" si="275"/>
        <v>19.5</v>
      </c>
      <c r="AT1885" s="239">
        <f>IF(G1885="CERVECERIA Y MALTERIA",(AS1885*AK1885/1000000)*(1-VLOOKUP(N1885,FCST!D:I,6,FALSE)),0)</f>
        <v>8.0617680000000007</v>
      </c>
      <c r="AU1885" s="232">
        <v>5.0000000000000001E-3</v>
      </c>
      <c r="AV1885" s="239">
        <f t="shared" si="276"/>
        <v>8.1020768400000005</v>
      </c>
      <c r="AW1885" s="239">
        <f>(AS1885*AK1885/1000000)*(VLOOKUP(N1885,FCST!D:I,6,FALSE))</f>
        <v>0</v>
      </c>
      <c r="AX1885" s="239">
        <f t="shared" si="277"/>
        <v>0</v>
      </c>
      <c r="AY1885" s="239">
        <f>IF($G1885="CERVECERIA Y MALTERIA.",($AS1885*$AK1885/1000000)*(1-VLOOKUP($N1885,FCST!D:I,6,FALSE)),0)</f>
        <v>0</v>
      </c>
      <c r="AZ1885" s="239">
        <f t="shared" si="278"/>
        <v>0</v>
      </c>
    </row>
    <row r="1886" spans="1:52" x14ac:dyDescent="0.25">
      <c r="A1886" s="209" t="s">
        <v>4232</v>
      </c>
      <c r="B1886" s="209" t="s">
        <v>4263</v>
      </c>
      <c r="C1886" s="209" t="s">
        <v>4349</v>
      </c>
      <c r="D1886" s="209" t="s">
        <v>4233</v>
      </c>
      <c r="E1886" s="209" t="s">
        <v>4235</v>
      </c>
      <c r="F1886" s="209" t="s">
        <v>4236</v>
      </c>
      <c r="G1886" s="209" t="s">
        <v>117</v>
      </c>
      <c r="H1886" s="209" t="s">
        <v>4236</v>
      </c>
      <c r="I1886" s="209" t="s">
        <v>4237</v>
      </c>
      <c r="J1886" s="209" t="s">
        <v>169</v>
      </c>
      <c r="K1886" s="209" t="s">
        <v>4350</v>
      </c>
      <c r="L1886" s="209" t="s">
        <v>265</v>
      </c>
      <c r="M1886" s="209" t="s">
        <v>184</v>
      </c>
      <c r="N1886" s="209">
        <v>50025163</v>
      </c>
      <c r="O1886" s="209" t="s">
        <v>185</v>
      </c>
      <c r="P1886" s="209" t="s">
        <v>4239</v>
      </c>
      <c r="Q1886" s="209" t="s">
        <v>186</v>
      </c>
      <c r="R1886" s="209" t="s">
        <v>175</v>
      </c>
      <c r="S1886" s="209" t="s">
        <v>176</v>
      </c>
      <c r="T1886" s="209" t="s">
        <v>187</v>
      </c>
      <c r="U1886" s="209" t="s">
        <v>188</v>
      </c>
      <c r="V1886" s="209" t="s">
        <v>179</v>
      </c>
      <c r="W1886" s="209" t="s">
        <v>179</v>
      </c>
      <c r="X1886" s="209" t="s">
        <v>180</v>
      </c>
      <c r="Y1886" s="209" t="s">
        <v>180</v>
      </c>
      <c r="Z1886" s="209" t="s">
        <v>4240</v>
      </c>
      <c r="AA1886" s="209" t="s">
        <v>4241</v>
      </c>
      <c r="AB1886" s="209" t="s">
        <v>180</v>
      </c>
      <c r="AC1886" s="209" t="s">
        <v>182</v>
      </c>
      <c r="AD1886" s="209" t="s">
        <v>4237</v>
      </c>
      <c r="AE1886" s="209" t="s">
        <v>4242</v>
      </c>
      <c r="AF1886" s="227">
        <v>46073</v>
      </c>
      <c r="AG1886" s="227">
        <v>46080</v>
      </c>
      <c r="AH1886" s="227">
        <v>46080</v>
      </c>
      <c r="AI1886" s="228">
        <v>606528</v>
      </c>
      <c r="AJ1886" s="228">
        <v>52</v>
      </c>
      <c r="AK1886" s="228">
        <v>606528</v>
      </c>
      <c r="AL1886" s="228">
        <v>52</v>
      </c>
      <c r="AM1886" s="228">
        <v>0</v>
      </c>
      <c r="AN1886" s="228">
        <v>0</v>
      </c>
      <c r="AO1886" s="229">
        <v>9</v>
      </c>
      <c r="AP1886" s="231">
        <v>2</v>
      </c>
      <c r="AQ1886" s="231">
        <v>2026</v>
      </c>
      <c r="AR1886" s="231" t="str">
        <f t="shared" si="274"/>
        <v>02/2026</v>
      </c>
      <c r="AS1886" s="231">
        <f t="shared" si="275"/>
        <v>30</v>
      </c>
      <c r="AT1886" s="239">
        <f>IF(G1886="CERVECERIA Y MALTERIA",(AS1886*AK1886/1000000)*(1-VLOOKUP(N1886,FCST!D:I,6,FALSE)),0)</f>
        <v>0</v>
      </c>
      <c r="AU1886" s="232">
        <v>5.0000000000000001E-3</v>
      </c>
      <c r="AV1886" s="239">
        <f t="shared" si="276"/>
        <v>0</v>
      </c>
      <c r="AW1886" s="239">
        <f>(AS1886*AK1886/1000000)*(VLOOKUP(N1886,FCST!D:I,6,FALSE))</f>
        <v>0</v>
      </c>
      <c r="AX1886" s="239">
        <f t="shared" si="277"/>
        <v>0</v>
      </c>
      <c r="AY1886" s="239">
        <f>IF($G1886="CERVECERIA Y MALTERIA.",($AS1886*$AK1886/1000000)*(1-VLOOKUP($N1886,FCST!D:I,6,FALSE)),0)</f>
        <v>18.19584</v>
      </c>
      <c r="AZ1886" s="239">
        <f t="shared" si="278"/>
        <v>18.2868192</v>
      </c>
    </row>
    <row r="1887" spans="1:52" x14ac:dyDescent="0.25">
      <c r="A1887" s="209" t="s">
        <v>4250</v>
      </c>
      <c r="B1887" s="209" t="s">
        <v>4327</v>
      </c>
      <c r="C1887" s="209" t="s">
        <v>4351</v>
      </c>
      <c r="D1887" s="209" t="s">
        <v>4233</v>
      </c>
      <c r="E1887" s="209" t="s">
        <v>4235</v>
      </c>
      <c r="F1887" s="209" t="s">
        <v>4253</v>
      </c>
      <c r="G1887" s="209" t="s">
        <v>105</v>
      </c>
      <c r="H1887" s="209" t="s">
        <v>4253</v>
      </c>
      <c r="I1887" s="209" t="s">
        <v>4237</v>
      </c>
      <c r="J1887" s="209" t="s">
        <v>169</v>
      </c>
      <c r="K1887" s="209" t="s">
        <v>4352</v>
      </c>
      <c r="L1887" s="209" t="s">
        <v>265</v>
      </c>
      <c r="M1887" s="209" t="s">
        <v>199</v>
      </c>
      <c r="N1887" s="209">
        <v>50037887</v>
      </c>
      <c r="O1887" s="209" t="s">
        <v>679</v>
      </c>
      <c r="P1887" s="209" t="s">
        <v>4247</v>
      </c>
      <c r="Q1887" s="209" t="s">
        <v>200</v>
      </c>
      <c r="R1887" s="209" t="s">
        <v>201</v>
      </c>
      <c r="S1887" s="209" t="s">
        <v>202</v>
      </c>
      <c r="T1887" s="209" t="s">
        <v>203</v>
      </c>
      <c r="U1887" s="209" t="s">
        <v>201</v>
      </c>
      <c r="V1887" s="209" t="s">
        <v>179</v>
      </c>
      <c r="W1887" s="209" t="s">
        <v>179</v>
      </c>
      <c r="X1887" s="209" t="s">
        <v>180</v>
      </c>
      <c r="Y1887" s="209" t="s">
        <v>180</v>
      </c>
      <c r="Z1887" s="209" t="s">
        <v>4353</v>
      </c>
      <c r="AA1887" s="209" t="s">
        <v>4354</v>
      </c>
      <c r="AB1887" s="209" t="s">
        <v>180</v>
      </c>
      <c r="AC1887" s="209" t="s">
        <v>182</v>
      </c>
      <c r="AD1887" s="209" t="s">
        <v>4237</v>
      </c>
      <c r="AE1887" s="209" t="s">
        <v>4242</v>
      </c>
      <c r="AF1887" s="227">
        <v>46073</v>
      </c>
      <c r="AG1887" s="227">
        <v>46080</v>
      </c>
      <c r="AH1887" s="227">
        <v>46080</v>
      </c>
      <c r="AI1887" s="228">
        <v>531648</v>
      </c>
      <c r="AJ1887" s="228">
        <v>52</v>
      </c>
      <c r="AK1887" s="228">
        <v>531648</v>
      </c>
      <c r="AL1887" s="228">
        <v>52</v>
      </c>
      <c r="AM1887" s="228">
        <v>0</v>
      </c>
      <c r="AN1887" s="228">
        <v>0</v>
      </c>
      <c r="AO1887" s="229">
        <v>9</v>
      </c>
      <c r="AP1887" s="231">
        <v>2</v>
      </c>
      <c r="AQ1887" s="231">
        <v>2026</v>
      </c>
      <c r="AR1887" s="231" t="str">
        <f t="shared" si="274"/>
        <v>02/2026</v>
      </c>
      <c r="AS1887" s="231">
        <f t="shared" si="275"/>
        <v>37.200000000000003</v>
      </c>
      <c r="AT1887" s="239">
        <f>IF(G1887="CERVECERIA Y MALTERIA",(AS1887*AK1887/1000000)*(1-VLOOKUP(N1887,FCST!D:I,6,FALSE)),0)</f>
        <v>19.777305600000002</v>
      </c>
      <c r="AU1887" s="232">
        <v>5.0000000000000001E-3</v>
      </c>
      <c r="AV1887" s="239">
        <f t="shared" si="276"/>
        <v>19.876192128</v>
      </c>
      <c r="AW1887" s="239">
        <f>(AS1887*AK1887/1000000)*(VLOOKUP(N1887,FCST!D:I,6,FALSE))</f>
        <v>0</v>
      </c>
      <c r="AX1887" s="239">
        <f t="shared" si="277"/>
        <v>0</v>
      </c>
      <c r="AY1887" s="239">
        <f>IF($G1887="CERVECERIA Y MALTERIA.",($AS1887*$AK1887/1000000)*(1-VLOOKUP($N1887,FCST!D:I,6,FALSE)),0)</f>
        <v>0</v>
      </c>
      <c r="AZ1887" s="239">
        <f t="shared" si="278"/>
        <v>0</v>
      </c>
    </row>
    <row r="1888" spans="1:52" x14ac:dyDescent="0.25">
      <c r="A1888" s="209" t="s">
        <v>4250</v>
      </c>
      <c r="B1888" s="209" t="s">
        <v>4355</v>
      </c>
      <c r="C1888" s="209" t="s">
        <v>4356</v>
      </c>
      <c r="D1888" s="209" t="s">
        <v>4233</v>
      </c>
      <c r="E1888" s="209" t="s">
        <v>4235</v>
      </c>
      <c r="F1888" s="209" t="s">
        <v>4253</v>
      </c>
      <c r="G1888" s="209" t="s">
        <v>105</v>
      </c>
      <c r="H1888" s="209" t="s">
        <v>4253</v>
      </c>
      <c r="I1888" s="209" t="s">
        <v>4237</v>
      </c>
      <c r="J1888" s="209" t="s">
        <v>169</v>
      </c>
      <c r="K1888" s="209" t="s">
        <v>4357</v>
      </c>
      <c r="L1888" s="209" t="s">
        <v>265</v>
      </c>
      <c r="M1888" s="209" t="s">
        <v>199</v>
      </c>
      <c r="N1888" s="209">
        <v>50035184</v>
      </c>
      <c r="O1888" s="209" t="s">
        <v>672</v>
      </c>
      <c r="P1888" s="209" t="s">
        <v>4247</v>
      </c>
      <c r="Q1888" s="209" t="s">
        <v>200</v>
      </c>
      <c r="R1888" s="209" t="s">
        <v>201</v>
      </c>
      <c r="S1888" s="209" t="s">
        <v>202</v>
      </c>
      <c r="T1888" s="209" t="s">
        <v>203</v>
      </c>
      <c r="U1888" s="209" t="s">
        <v>201</v>
      </c>
      <c r="V1888" s="209" t="s">
        <v>179</v>
      </c>
      <c r="W1888" s="209" t="s">
        <v>179</v>
      </c>
      <c r="X1888" s="209" t="s">
        <v>180</v>
      </c>
      <c r="Y1888" s="209" t="s">
        <v>180</v>
      </c>
      <c r="Z1888" s="209" t="s">
        <v>4358</v>
      </c>
      <c r="AA1888" s="209" t="s">
        <v>4359</v>
      </c>
      <c r="AB1888" s="209" t="s">
        <v>180</v>
      </c>
      <c r="AC1888" s="209" t="s">
        <v>182</v>
      </c>
      <c r="AD1888" s="209" t="s">
        <v>4237</v>
      </c>
      <c r="AE1888" s="209" t="s">
        <v>4242</v>
      </c>
      <c r="AF1888" s="227">
        <v>46073</v>
      </c>
      <c r="AG1888" s="227">
        <v>46080</v>
      </c>
      <c r="AH1888" s="227">
        <v>46080</v>
      </c>
      <c r="AI1888" s="228">
        <v>977184</v>
      </c>
      <c r="AJ1888" s="228">
        <v>52</v>
      </c>
      <c r="AK1888" s="228">
        <v>977184</v>
      </c>
      <c r="AL1888" s="228">
        <v>52</v>
      </c>
      <c r="AM1888" s="228">
        <v>0</v>
      </c>
      <c r="AN1888" s="228">
        <v>0</v>
      </c>
      <c r="AO1888" s="229">
        <v>9</v>
      </c>
      <c r="AP1888" s="231">
        <v>2</v>
      </c>
      <c r="AQ1888" s="231">
        <v>2026</v>
      </c>
      <c r="AR1888" s="231" t="str">
        <f t="shared" si="274"/>
        <v>02/2026</v>
      </c>
      <c r="AS1888" s="231">
        <f t="shared" si="275"/>
        <v>19.5</v>
      </c>
      <c r="AT1888" s="239">
        <f>IF(G1888="CERVECERIA Y MALTERIA",(AS1888*AK1888/1000000)*(1-VLOOKUP(N1888,FCST!D:I,6,FALSE)),0)</f>
        <v>19.055088000000001</v>
      </c>
      <c r="AU1888" s="232">
        <v>5.0000000000000001E-3</v>
      </c>
      <c r="AV1888" s="239">
        <f t="shared" si="276"/>
        <v>19.15036344</v>
      </c>
      <c r="AW1888" s="239">
        <f>(AS1888*AK1888/1000000)*(VLOOKUP(N1888,FCST!D:I,6,FALSE))</f>
        <v>0</v>
      </c>
      <c r="AX1888" s="239">
        <f t="shared" si="277"/>
        <v>0</v>
      </c>
      <c r="AY1888" s="239">
        <f>IF($G1888="CERVECERIA Y MALTERIA.",($AS1888*$AK1888/1000000)*(1-VLOOKUP($N1888,FCST!D:I,6,FALSE)),0)</f>
        <v>0</v>
      </c>
      <c r="AZ1888" s="239">
        <f t="shared" si="278"/>
        <v>0</v>
      </c>
    </row>
    <row r="1889" spans="1:52" x14ac:dyDescent="0.25">
      <c r="A1889" s="209" t="s">
        <v>4360</v>
      </c>
      <c r="B1889" s="209" t="s">
        <v>4233</v>
      </c>
      <c r="C1889" s="209" t="s">
        <v>4361</v>
      </c>
      <c r="D1889" s="209" t="s">
        <v>4233</v>
      </c>
      <c r="E1889" s="209" t="s">
        <v>4235</v>
      </c>
      <c r="F1889" s="209" t="s">
        <v>4245</v>
      </c>
      <c r="G1889" s="209" t="s">
        <v>105</v>
      </c>
      <c r="H1889" s="209" t="s">
        <v>4245</v>
      </c>
      <c r="I1889" s="209" t="s">
        <v>4237</v>
      </c>
      <c r="J1889" s="209" t="s">
        <v>169</v>
      </c>
      <c r="K1889" s="209" t="s">
        <v>4362</v>
      </c>
      <c r="L1889" s="209" t="s">
        <v>265</v>
      </c>
      <c r="M1889" s="209" t="s">
        <v>227</v>
      </c>
      <c r="N1889" s="209">
        <v>50036287</v>
      </c>
      <c r="O1889" s="209" t="s">
        <v>2191</v>
      </c>
      <c r="P1889" s="209" t="s">
        <v>4247</v>
      </c>
      <c r="Q1889" s="209" t="s">
        <v>228</v>
      </c>
      <c r="R1889" s="209" t="s">
        <v>229</v>
      </c>
      <c r="S1889" s="209" t="s">
        <v>230</v>
      </c>
      <c r="T1889" s="209" t="s">
        <v>231</v>
      </c>
      <c r="U1889" s="209" t="s">
        <v>232</v>
      </c>
      <c r="V1889" s="209" t="s">
        <v>179</v>
      </c>
      <c r="W1889" s="209" t="s">
        <v>179</v>
      </c>
      <c r="X1889" s="209" t="s">
        <v>180</v>
      </c>
      <c r="Y1889" s="209" t="s">
        <v>180</v>
      </c>
      <c r="Z1889" s="209" t="s">
        <v>4363</v>
      </c>
      <c r="AA1889" s="209" t="s">
        <v>4364</v>
      </c>
      <c r="AB1889" s="209" t="s">
        <v>180</v>
      </c>
      <c r="AC1889" s="209" t="s">
        <v>182</v>
      </c>
      <c r="AD1889" s="209" t="s">
        <v>4237</v>
      </c>
      <c r="AE1889" s="209" t="s">
        <v>4242</v>
      </c>
      <c r="AF1889" s="227">
        <v>46079</v>
      </c>
      <c r="AG1889" s="227">
        <v>46080</v>
      </c>
      <c r="AH1889" s="227">
        <v>46080</v>
      </c>
      <c r="AI1889" s="228">
        <v>84096</v>
      </c>
      <c r="AJ1889" s="228">
        <v>12</v>
      </c>
      <c r="AK1889" s="228">
        <v>83808</v>
      </c>
      <c r="AL1889" s="228">
        <v>12</v>
      </c>
      <c r="AM1889" s="228">
        <v>0</v>
      </c>
      <c r="AN1889" s="228">
        <v>288</v>
      </c>
      <c r="AO1889" s="229">
        <v>9</v>
      </c>
      <c r="AP1889" s="231">
        <v>2</v>
      </c>
      <c r="AQ1889" s="231">
        <v>2026</v>
      </c>
      <c r="AR1889" s="231" t="str">
        <f t="shared" si="274"/>
        <v>02/2026</v>
      </c>
      <c r="AS1889" s="231">
        <f t="shared" si="275"/>
        <v>52</v>
      </c>
      <c r="AT1889" s="239">
        <f>IF(G1889="CERVECERIA Y MALTERIA",(AS1889*AK1889/1000000)*(1-VLOOKUP(N1889,FCST!D:I,6,FALSE)),0)</f>
        <v>4.3580160000000001</v>
      </c>
      <c r="AU1889" s="232">
        <v>5.0000000000000001E-3</v>
      </c>
      <c r="AV1889" s="239">
        <f t="shared" si="276"/>
        <v>4.3798060799999998</v>
      </c>
      <c r="AW1889" s="239">
        <f>(AS1889*AK1889/1000000)*(VLOOKUP(N1889,FCST!D:I,6,FALSE))</f>
        <v>0</v>
      </c>
      <c r="AX1889" s="239">
        <f t="shared" si="277"/>
        <v>0</v>
      </c>
      <c r="AY1889" s="239">
        <f>IF($G1889="CERVECERIA Y MALTERIA.",($AS1889*$AK1889/1000000)*(1-VLOOKUP($N1889,FCST!D:I,6,FALSE)),0)</f>
        <v>0</v>
      </c>
      <c r="AZ1889" s="239">
        <f t="shared" si="278"/>
        <v>0</v>
      </c>
    </row>
    <row r="1890" spans="1:52" x14ac:dyDescent="0.25">
      <c r="A1890" s="209" t="s">
        <v>4360</v>
      </c>
      <c r="B1890" s="209" t="s">
        <v>4251</v>
      </c>
      <c r="C1890" s="209" t="s">
        <v>4361</v>
      </c>
      <c r="D1890" s="209" t="s">
        <v>4251</v>
      </c>
      <c r="E1890" s="209" t="s">
        <v>4235</v>
      </c>
      <c r="F1890" s="209" t="s">
        <v>4245</v>
      </c>
      <c r="G1890" s="209" t="s">
        <v>105</v>
      </c>
      <c r="H1890" s="209" t="s">
        <v>4245</v>
      </c>
      <c r="I1890" s="209" t="s">
        <v>4237</v>
      </c>
      <c r="J1890" s="209" t="s">
        <v>169</v>
      </c>
      <c r="K1890" s="209" t="s">
        <v>4362</v>
      </c>
      <c r="L1890" s="209" t="s">
        <v>265</v>
      </c>
      <c r="M1890" s="209" t="s">
        <v>227</v>
      </c>
      <c r="N1890" s="209">
        <v>50034194</v>
      </c>
      <c r="O1890" s="209" t="s">
        <v>276</v>
      </c>
      <c r="P1890" s="209" t="s">
        <v>4247</v>
      </c>
      <c r="Q1890" s="209" t="s">
        <v>228</v>
      </c>
      <c r="R1890" s="209" t="s">
        <v>229</v>
      </c>
      <c r="S1890" s="209" t="s">
        <v>230</v>
      </c>
      <c r="T1890" s="209" t="s">
        <v>231</v>
      </c>
      <c r="U1890" s="209" t="s">
        <v>232</v>
      </c>
      <c r="V1890" s="209" t="s">
        <v>179</v>
      </c>
      <c r="W1890" s="209" t="s">
        <v>179</v>
      </c>
      <c r="X1890" s="209" t="s">
        <v>180</v>
      </c>
      <c r="Y1890" s="209" t="s">
        <v>180</v>
      </c>
      <c r="Z1890" s="209" t="s">
        <v>4363</v>
      </c>
      <c r="AA1890" s="209" t="s">
        <v>4364</v>
      </c>
      <c r="AB1890" s="209" t="s">
        <v>180</v>
      </c>
      <c r="AC1890" s="209" t="s">
        <v>182</v>
      </c>
      <c r="AD1890" s="209" t="s">
        <v>4237</v>
      </c>
      <c r="AE1890" s="209" t="s">
        <v>4242</v>
      </c>
      <c r="AF1890" s="227">
        <v>46079</v>
      </c>
      <c r="AG1890" s="227">
        <v>46080</v>
      </c>
      <c r="AH1890" s="227">
        <v>46080</v>
      </c>
      <c r="AI1890" s="228">
        <v>85344</v>
      </c>
      <c r="AJ1890" s="228">
        <v>14</v>
      </c>
      <c r="AK1890" s="228">
        <v>85344</v>
      </c>
      <c r="AL1890" s="228">
        <v>14</v>
      </c>
      <c r="AM1890" s="228">
        <v>0</v>
      </c>
      <c r="AN1890" s="228">
        <v>0</v>
      </c>
      <c r="AO1890" s="229">
        <v>9</v>
      </c>
      <c r="AP1890" s="231">
        <v>2</v>
      </c>
      <c r="AQ1890" s="231">
        <v>2026</v>
      </c>
      <c r="AR1890" s="231" t="str">
        <f t="shared" si="274"/>
        <v>02/2026</v>
      </c>
      <c r="AS1890" s="231">
        <f t="shared" si="275"/>
        <v>62</v>
      </c>
      <c r="AT1890" s="239">
        <f>IF(G1890="CERVECERIA Y MALTERIA",(AS1890*AK1890/1000000)*(1-VLOOKUP(N1890,FCST!D:I,6,FALSE)),0)</f>
        <v>5.291328</v>
      </c>
      <c r="AU1890" s="232">
        <v>5.0000000000000001E-3</v>
      </c>
      <c r="AV1890" s="239">
        <f t="shared" si="276"/>
        <v>5.3177846399999993</v>
      </c>
      <c r="AW1890" s="239">
        <f>(AS1890*AK1890/1000000)*(VLOOKUP(N1890,FCST!D:I,6,FALSE))</f>
        <v>0</v>
      </c>
      <c r="AX1890" s="239">
        <f t="shared" si="277"/>
        <v>0</v>
      </c>
      <c r="AY1890" s="239">
        <f>IF($G1890="CERVECERIA Y MALTERIA.",($AS1890*$AK1890/1000000)*(1-VLOOKUP($N1890,FCST!D:I,6,FALSE)),0)</f>
        <v>0</v>
      </c>
      <c r="AZ1890" s="239">
        <f t="shared" si="278"/>
        <v>0</v>
      </c>
    </row>
    <row r="1891" spans="1:52" x14ac:dyDescent="0.25">
      <c r="A1891" s="209" t="s">
        <v>4365</v>
      </c>
      <c r="B1891" s="209" t="s">
        <v>4233</v>
      </c>
      <c r="C1891" s="209" t="s">
        <v>4366</v>
      </c>
      <c r="D1891" s="209" t="s">
        <v>4233</v>
      </c>
      <c r="E1891" s="209" t="s">
        <v>4235</v>
      </c>
      <c r="F1891" s="209" t="s">
        <v>4285</v>
      </c>
      <c r="G1891" s="209" t="s">
        <v>105</v>
      </c>
      <c r="H1891" s="209" t="s">
        <v>4285</v>
      </c>
      <c r="I1891" s="209" t="s">
        <v>4237</v>
      </c>
      <c r="J1891" s="209" t="s">
        <v>169</v>
      </c>
      <c r="K1891" s="209" t="s">
        <v>4367</v>
      </c>
      <c r="L1891" s="209" t="s">
        <v>265</v>
      </c>
      <c r="M1891" s="209" t="s">
        <v>199</v>
      </c>
      <c r="N1891" s="209">
        <v>50032583</v>
      </c>
      <c r="O1891" s="209" t="s">
        <v>205</v>
      </c>
      <c r="P1891" s="209" t="s">
        <v>4247</v>
      </c>
      <c r="Q1891" s="209" t="s">
        <v>200</v>
      </c>
      <c r="R1891" s="209" t="s">
        <v>201</v>
      </c>
      <c r="S1891" s="209" t="s">
        <v>202</v>
      </c>
      <c r="T1891" s="209" t="s">
        <v>203</v>
      </c>
      <c r="U1891" s="209" t="s">
        <v>201</v>
      </c>
      <c r="V1891" s="209" t="s">
        <v>179</v>
      </c>
      <c r="W1891" s="209" t="s">
        <v>179</v>
      </c>
      <c r="X1891" s="209" t="s">
        <v>180</v>
      </c>
      <c r="Y1891" s="209" t="s">
        <v>180</v>
      </c>
      <c r="Z1891" s="209" t="s">
        <v>4368</v>
      </c>
      <c r="AA1891" s="209" t="s">
        <v>4369</v>
      </c>
      <c r="AB1891" s="209" t="s">
        <v>180</v>
      </c>
      <c r="AC1891" s="209" t="s">
        <v>182</v>
      </c>
      <c r="AD1891" s="209" t="s">
        <v>4237</v>
      </c>
      <c r="AE1891" s="209" t="s">
        <v>4242</v>
      </c>
      <c r="AF1891" s="227">
        <v>46078</v>
      </c>
      <c r="AG1891" s="227">
        <v>46080</v>
      </c>
      <c r="AH1891" s="227">
        <v>46080</v>
      </c>
      <c r="AI1891" s="228">
        <v>351936</v>
      </c>
      <c r="AJ1891" s="228">
        <v>52</v>
      </c>
      <c r="AK1891" s="228">
        <v>351936</v>
      </c>
      <c r="AL1891" s="228">
        <v>52</v>
      </c>
      <c r="AM1891" s="228">
        <v>0</v>
      </c>
      <c r="AN1891" s="228">
        <v>0</v>
      </c>
      <c r="AO1891" s="229">
        <v>9</v>
      </c>
      <c r="AP1891" s="231">
        <v>2</v>
      </c>
      <c r="AQ1891" s="231">
        <v>2026</v>
      </c>
      <c r="AR1891" s="231" t="str">
        <f t="shared" si="274"/>
        <v>02/2026</v>
      </c>
      <c r="AS1891" s="231">
        <f t="shared" si="275"/>
        <v>54.7</v>
      </c>
      <c r="AT1891" s="239">
        <f>IF(G1891="CERVECERIA Y MALTERIA",(AS1891*AK1891/1000000)*(1-VLOOKUP(N1891,FCST!D:I,6,FALSE)),0)</f>
        <v>19.250899199999999</v>
      </c>
      <c r="AU1891" s="232">
        <v>5.0000000000000001E-3</v>
      </c>
      <c r="AV1891" s="239">
        <f t="shared" si="276"/>
        <v>19.347153695999996</v>
      </c>
      <c r="AW1891" s="239">
        <f>(AS1891*AK1891/1000000)*(VLOOKUP(N1891,FCST!D:I,6,FALSE))</f>
        <v>0</v>
      </c>
      <c r="AX1891" s="239">
        <f t="shared" si="277"/>
        <v>0</v>
      </c>
      <c r="AY1891" s="239">
        <f>IF($G1891="CERVECERIA Y MALTERIA.",($AS1891*$AK1891/1000000)*(1-VLOOKUP($N1891,FCST!D:I,6,FALSE)),0)</f>
        <v>0</v>
      </c>
      <c r="AZ1891" s="239">
        <f t="shared" si="278"/>
        <v>0</v>
      </c>
    </row>
    <row r="1892" spans="1:52" x14ac:dyDescent="0.25">
      <c r="A1892" s="209" t="s">
        <v>4250</v>
      </c>
      <c r="B1892" s="209" t="s">
        <v>4370</v>
      </c>
      <c r="C1892" s="209" t="s">
        <v>4371</v>
      </c>
      <c r="D1892" s="209" t="s">
        <v>4233</v>
      </c>
      <c r="E1892" s="209" t="s">
        <v>4235</v>
      </c>
      <c r="F1892" s="209" t="s">
        <v>4253</v>
      </c>
      <c r="G1892" s="209" t="s">
        <v>105</v>
      </c>
      <c r="H1892" s="209" t="s">
        <v>4253</v>
      </c>
      <c r="I1892" s="209" t="s">
        <v>4237</v>
      </c>
      <c r="J1892" s="209" t="s">
        <v>169</v>
      </c>
      <c r="K1892" s="209" t="s">
        <v>4372</v>
      </c>
      <c r="L1892" s="209" t="s">
        <v>265</v>
      </c>
      <c r="M1892" s="209" t="s">
        <v>199</v>
      </c>
      <c r="N1892" s="209">
        <v>50021818</v>
      </c>
      <c r="O1892" s="209" t="s">
        <v>2170</v>
      </c>
      <c r="P1892" s="209" t="s">
        <v>4247</v>
      </c>
      <c r="Q1892" s="209" t="s">
        <v>200</v>
      </c>
      <c r="R1892" s="209" t="s">
        <v>201</v>
      </c>
      <c r="S1892" s="209" t="s">
        <v>202</v>
      </c>
      <c r="T1892" s="209" t="s">
        <v>203</v>
      </c>
      <c r="U1892" s="209" t="s">
        <v>201</v>
      </c>
      <c r="V1892" s="209" t="s">
        <v>179</v>
      </c>
      <c r="W1892" s="209" t="s">
        <v>179</v>
      </c>
      <c r="X1892" s="209" t="s">
        <v>180</v>
      </c>
      <c r="Y1892" s="209" t="s">
        <v>180</v>
      </c>
      <c r="Z1892" s="209" t="s">
        <v>4255</v>
      </c>
      <c r="AA1892" s="209" t="s">
        <v>4256</v>
      </c>
      <c r="AB1892" s="209" t="s">
        <v>180</v>
      </c>
      <c r="AC1892" s="209" t="s">
        <v>182</v>
      </c>
      <c r="AD1892" s="209" t="s">
        <v>4237</v>
      </c>
      <c r="AE1892" s="209" t="s">
        <v>4242</v>
      </c>
      <c r="AF1892" s="227">
        <v>46073</v>
      </c>
      <c r="AG1892" s="227">
        <v>46078</v>
      </c>
      <c r="AH1892" s="227">
        <v>46078</v>
      </c>
      <c r="AI1892" s="228">
        <v>426816</v>
      </c>
      <c r="AJ1892" s="228">
        <v>52</v>
      </c>
      <c r="AK1892" s="228">
        <v>426816</v>
      </c>
      <c r="AL1892" s="228">
        <v>52</v>
      </c>
      <c r="AM1892" s="228">
        <v>0</v>
      </c>
      <c r="AN1892" s="228">
        <v>0</v>
      </c>
      <c r="AO1892" s="229">
        <v>9</v>
      </c>
      <c r="AP1892" s="231">
        <v>2</v>
      </c>
      <c r="AQ1892" s="231">
        <v>2026</v>
      </c>
      <c r="AR1892" s="231" t="str">
        <f t="shared" si="274"/>
        <v>02/2026</v>
      </c>
      <c r="AS1892" s="231">
        <f t="shared" si="275"/>
        <v>46.6</v>
      </c>
      <c r="AT1892" s="239">
        <f>IF(G1892="CERVECERIA Y MALTERIA",(AS1892*AK1892/1000000)*(1-VLOOKUP(N1892,FCST!D:I,6,FALSE)),0)</f>
        <v>19.889625600000002</v>
      </c>
      <c r="AU1892" s="232">
        <v>5.0000000000000001E-3</v>
      </c>
      <c r="AV1892" s="239">
        <f t="shared" si="276"/>
        <v>19.989073728000001</v>
      </c>
      <c r="AW1892" s="239">
        <f>(AS1892*AK1892/1000000)*(VLOOKUP(N1892,FCST!D:I,6,FALSE))</f>
        <v>0</v>
      </c>
      <c r="AX1892" s="239">
        <f t="shared" si="277"/>
        <v>0</v>
      </c>
      <c r="AY1892" s="239">
        <f>IF($G1892="CERVECERIA Y MALTERIA.",($AS1892*$AK1892/1000000)*(1-VLOOKUP($N1892,FCST!D:I,6,FALSE)),0)</f>
        <v>0</v>
      </c>
      <c r="AZ1892" s="239">
        <f t="shared" si="278"/>
        <v>0</v>
      </c>
    </row>
    <row r="1893" spans="1:52" x14ac:dyDescent="0.25">
      <c r="A1893" s="209" t="s">
        <v>4250</v>
      </c>
      <c r="B1893" s="209" t="s">
        <v>4373</v>
      </c>
      <c r="C1893" s="209" t="s">
        <v>4374</v>
      </c>
      <c r="D1893" s="209" t="s">
        <v>4233</v>
      </c>
      <c r="E1893" s="209" t="s">
        <v>4235</v>
      </c>
      <c r="F1893" s="209" t="s">
        <v>4253</v>
      </c>
      <c r="G1893" s="209" t="s">
        <v>105</v>
      </c>
      <c r="H1893" s="209" t="s">
        <v>4253</v>
      </c>
      <c r="I1893" s="209" t="s">
        <v>4237</v>
      </c>
      <c r="J1893" s="209" t="s">
        <v>169</v>
      </c>
      <c r="K1893" s="209" t="s">
        <v>4375</v>
      </c>
      <c r="L1893" s="209" t="s">
        <v>265</v>
      </c>
      <c r="M1893" s="209" t="s">
        <v>199</v>
      </c>
      <c r="N1893" s="209">
        <v>50037887</v>
      </c>
      <c r="O1893" s="209" t="s">
        <v>679</v>
      </c>
      <c r="P1893" s="209" t="s">
        <v>4247</v>
      </c>
      <c r="Q1893" s="209" t="s">
        <v>200</v>
      </c>
      <c r="R1893" s="209" t="s">
        <v>201</v>
      </c>
      <c r="S1893" s="209" t="s">
        <v>202</v>
      </c>
      <c r="T1893" s="209" t="s">
        <v>203</v>
      </c>
      <c r="U1893" s="209" t="s">
        <v>201</v>
      </c>
      <c r="V1893" s="209" t="s">
        <v>179</v>
      </c>
      <c r="W1893" s="209" t="s">
        <v>179</v>
      </c>
      <c r="X1893" s="209" t="s">
        <v>180</v>
      </c>
      <c r="Y1893" s="209" t="s">
        <v>180</v>
      </c>
      <c r="Z1893" s="209" t="s">
        <v>4353</v>
      </c>
      <c r="AA1893" s="209" t="s">
        <v>4354</v>
      </c>
      <c r="AB1893" s="209" t="s">
        <v>180</v>
      </c>
      <c r="AC1893" s="209" t="s">
        <v>182</v>
      </c>
      <c r="AD1893" s="209" t="s">
        <v>4237</v>
      </c>
      <c r="AE1893" s="209" t="s">
        <v>4242</v>
      </c>
      <c r="AF1893" s="227">
        <v>46073</v>
      </c>
      <c r="AG1893" s="227">
        <v>46078</v>
      </c>
      <c r="AH1893" s="227">
        <v>46078</v>
      </c>
      <c r="AI1893" s="228">
        <v>531648</v>
      </c>
      <c r="AJ1893" s="228">
        <v>52</v>
      </c>
      <c r="AK1893" s="228">
        <v>531648</v>
      </c>
      <c r="AL1893" s="228">
        <v>52</v>
      </c>
      <c r="AM1893" s="228">
        <v>0</v>
      </c>
      <c r="AN1893" s="228">
        <v>0</v>
      </c>
      <c r="AO1893" s="229">
        <v>9</v>
      </c>
      <c r="AP1893" s="231">
        <v>2</v>
      </c>
      <c r="AQ1893" s="231">
        <v>2026</v>
      </c>
      <c r="AR1893" s="231" t="str">
        <f t="shared" si="274"/>
        <v>02/2026</v>
      </c>
      <c r="AS1893" s="231">
        <f t="shared" si="275"/>
        <v>37.200000000000003</v>
      </c>
      <c r="AT1893" s="239">
        <f>IF(G1893="CERVECERIA Y MALTERIA",(AS1893*AK1893/1000000)*(1-VLOOKUP(N1893,FCST!D:I,6,FALSE)),0)</f>
        <v>19.777305600000002</v>
      </c>
      <c r="AU1893" s="232">
        <v>5.0000000000000001E-3</v>
      </c>
      <c r="AV1893" s="239">
        <f t="shared" si="276"/>
        <v>19.876192128</v>
      </c>
      <c r="AW1893" s="239">
        <f>(AS1893*AK1893/1000000)*(VLOOKUP(N1893,FCST!D:I,6,FALSE))</f>
        <v>0</v>
      </c>
      <c r="AX1893" s="239">
        <f t="shared" si="277"/>
        <v>0</v>
      </c>
      <c r="AY1893" s="239">
        <f>IF($G1893="CERVECERIA Y MALTERIA.",($AS1893*$AK1893/1000000)*(1-VLOOKUP($N1893,FCST!D:I,6,FALSE)),0)</f>
        <v>0</v>
      </c>
      <c r="AZ1893" s="239">
        <f t="shared" si="278"/>
        <v>0</v>
      </c>
    </row>
    <row r="1894" spans="1:52" x14ac:dyDescent="0.25">
      <c r="A1894" s="209" t="s">
        <v>4283</v>
      </c>
      <c r="B1894" s="209" t="s">
        <v>4316</v>
      </c>
      <c r="C1894" s="209" t="s">
        <v>4376</v>
      </c>
      <c r="D1894" s="209" t="s">
        <v>4233</v>
      </c>
      <c r="E1894" s="209" t="s">
        <v>4235</v>
      </c>
      <c r="F1894" s="209" t="s">
        <v>4285</v>
      </c>
      <c r="G1894" s="209" t="s">
        <v>105</v>
      </c>
      <c r="H1894" s="209" t="s">
        <v>4285</v>
      </c>
      <c r="I1894" s="209" t="s">
        <v>4237</v>
      </c>
      <c r="J1894" s="209" t="s">
        <v>169</v>
      </c>
      <c r="K1894" s="209" t="s">
        <v>4377</v>
      </c>
      <c r="L1894" s="209" t="s">
        <v>265</v>
      </c>
      <c r="M1894" s="209" t="s">
        <v>199</v>
      </c>
      <c r="N1894" s="209">
        <v>50034616</v>
      </c>
      <c r="O1894" s="209" t="s">
        <v>191</v>
      </c>
      <c r="P1894" s="209" t="s">
        <v>4247</v>
      </c>
      <c r="Q1894" s="209" t="s">
        <v>200</v>
      </c>
      <c r="R1894" s="209" t="s">
        <v>201</v>
      </c>
      <c r="S1894" s="209" t="s">
        <v>202</v>
      </c>
      <c r="T1894" s="209" t="s">
        <v>203</v>
      </c>
      <c r="U1894" s="209" t="s">
        <v>201</v>
      </c>
      <c r="V1894" s="209" t="s">
        <v>179</v>
      </c>
      <c r="W1894" s="209" t="s">
        <v>179</v>
      </c>
      <c r="X1894" s="209" t="s">
        <v>180</v>
      </c>
      <c r="Y1894" s="209" t="s">
        <v>180</v>
      </c>
      <c r="Z1894" s="209" t="s">
        <v>4287</v>
      </c>
      <c r="AA1894" s="209" t="s">
        <v>4288</v>
      </c>
      <c r="AB1894" s="209" t="s">
        <v>180</v>
      </c>
      <c r="AC1894" s="209" t="s">
        <v>182</v>
      </c>
      <c r="AD1894" s="209" t="s">
        <v>4237</v>
      </c>
      <c r="AE1894" s="209" t="s">
        <v>4242</v>
      </c>
      <c r="AF1894" s="227">
        <v>46073</v>
      </c>
      <c r="AG1894" s="227">
        <v>46078</v>
      </c>
      <c r="AH1894" s="227">
        <v>46078</v>
      </c>
      <c r="AI1894" s="228">
        <v>426816</v>
      </c>
      <c r="AJ1894" s="228">
        <v>52</v>
      </c>
      <c r="AK1894" s="228">
        <v>426816</v>
      </c>
      <c r="AL1894" s="228">
        <v>52</v>
      </c>
      <c r="AM1894" s="228">
        <v>0</v>
      </c>
      <c r="AN1894" s="228">
        <v>0</v>
      </c>
      <c r="AO1894" s="229">
        <v>9</v>
      </c>
      <c r="AP1894" s="231">
        <v>2</v>
      </c>
      <c r="AQ1894" s="231">
        <v>2026</v>
      </c>
      <c r="AR1894" s="231" t="str">
        <f t="shared" si="274"/>
        <v>02/2026</v>
      </c>
      <c r="AS1894" s="231">
        <f t="shared" si="275"/>
        <v>46.6</v>
      </c>
      <c r="AT1894" s="239">
        <f>IF(G1894="CERVECERIA Y MALTERIA",(AS1894*AK1894/1000000)*(1-VLOOKUP(N1894,FCST!D:I,6,FALSE)),0)</f>
        <v>19.889625600000002</v>
      </c>
      <c r="AU1894" s="232">
        <v>5.0000000000000001E-3</v>
      </c>
      <c r="AV1894" s="239">
        <f t="shared" si="276"/>
        <v>19.989073728000001</v>
      </c>
      <c r="AW1894" s="239">
        <f>(AS1894*AK1894/1000000)*(VLOOKUP(N1894,FCST!D:I,6,FALSE))</f>
        <v>0</v>
      </c>
      <c r="AX1894" s="239">
        <f t="shared" si="277"/>
        <v>0</v>
      </c>
      <c r="AY1894" s="239">
        <f>IF($G1894="CERVECERIA Y MALTERIA.",($AS1894*$AK1894/1000000)*(1-VLOOKUP($N1894,FCST!D:I,6,FALSE)),0)</f>
        <v>0</v>
      </c>
      <c r="AZ1894" s="239">
        <f t="shared" si="278"/>
        <v>0</v>
      </c>
    </row>
    <row r="1895" spans="1:52" x14ac:dyDescent="0.25">
      <c r="A1895" s="209" t="s">
        <v>4250</v>
      </c>
      <c r="B1895" s="209" t="s">
        <v>4316</v>
      </c>
      <c r="C1895" s="209" t="s">
        <v>4378</v>
      </c>
      <c r="D1895" s="209" t="s">
        <v>4233</v>
      </c>
      <c r="E1895" s="209" t="s">
        <v>4235</v>
      </c>
      <c r="F1895" s="209" t="s">
        <v>4253</v>
      </c>
      <c r="G1895" s="209" t="s">
        <v>105</v>
      </c>
      <c r="H1895" s="209" t="s">
        <v>4253</v>
      </c>
      <c r="I1895" s="209" t="s">
        <v>4237</v>
      </c>
      <c r="J1895" s="209" t="s">
        <v>169</v>
      </c>
      <c r="K1895" s="209" t="s">
        <v>4379</v>
      </c>
      <c r="L1895" s="209" t="s">
        <v>265</v>
      </c>
      <c r="M1895" s="209" t="s">
        <v>199</v>
      </c>
      <c r="N1895" s="209">
        <v>50037887</v>
      </c>
      <c r="O1895" s="209" t="s">
        <v>679</v>
      </c>
      <c r="P1895" s="209" t="s">
        <v>4247</v>
      </c>
      <c r="Q1895" s="209" t="s">
        <v>200</v>
      </c>
      <c r="R1895" s="209" t="s">
        <v>201</v>
      </c>
      <c r="S1895" s="209" t="s">
        <v>202</v>
      </c>
      <c r="T1895" s="209" t="s">
        <v>203</v>
      </c>
      <c r="U1895" s="209" t="s">
        <v>201</v>
      </c>
      <c r="V1895" s="209" t="s">
        <v>179</v>
      </c>
      <c r="W1895" s="209" t="s">
        <v>179</v>
      </c>
      <c r="X1895" s="209" t="s">
        <v>180</v>
      </c>
      <c r="Y1895" s="209" t="s">
        <v>180</v>
      </c>
      <c r="Z1895" s="209" t="s">
        <v>4353</v>
      </c>
      <c r="AA1895" s="209" t="s">
        <v>4354</v>
      </c>
      <c r="AB1895" s="209" t="s">
        <v>180</v>
      </c>
      <c r="AC1895" s="209" t="s">
        <v>182</v>
      </c>
      <c r="AD1895" s="209" t="s">
        <v>4237</v>
      </c>
      <c r="AE1895" s="209" t="s">
        <v>4242</v>
      </c>
      <c r="AF1895" s="227">
        <v>46073</v>
      </c>
      <c r="AG1895" s="227">
        <v>46077</v>
      </c>
      <c r="AH1895" s="227">
        <v>46077</v>
      </c>
      <c r="AI1895" s="228">
        <v>531648</v>
      </c>
      <c r="AJ1895" s="228">
        <v>52</v>
      </c>
      <c r="AK1895" s="228">
        <v>531648</v>
      </c>
      <c r="AL1895" s="228">
        <v>52</v>
      </c>
      <c r="AM1895" s="228">
        <v>0</v>
      </c>
      <c r="AN1895" s="228">
        <v>0</v>
      </c>
      <c r="AO1895" s="229">
        <v>9</v>
      </c>
      <c r="AP1895" s="231">
        <v>2</v>
      </c>
      <c r="AQ1895" s="231">
        <v>2026</v>
      </c>
      <c r="AR1895" s="231" t="str">
        <f t="shared" si="274"/>
        <v>02/2026</v>
      </c>
      <c r="AS1895" s="231">
        <f t="shared" si="275"/>
        <v>37.200000000000003</v>
      </c>
      <c r="AT1895" s="239">
        <f>IF(G1895="CERVECERIA Y MALTERIA",(AS1895*AK1895/1000000)*(1-VLOOKUP(N1895,FCST!D:I,6,FALSE)),0)</f>
        <v>19.777305600000002</v>
      </c>
      <c r="AU1895" s="232">
        <v>5.0000000000000001E-3</v>
      </c>
      <c r="AV1895" s="239">
        <f t="shared" si="276"/>
        <v>19.876192128</v>
      </c>
      <c r="AW1895" s="239">
        <f>(AS1895*AK1895/1000000)*(VLOOKUP(N1895,FCST!D:I,6,FALSE))</f>
        <v>0</v>
      </c>
      <c r="AX1895" s="239">
        <f t="shared" si="277"/>
        <v>0</v>
      </c>
      <c r="AY1895" s="239">
        <f>IF($G1895="CERVECERIA Y MALTERIA.",($AS1895*$AK1895/1000000)*(1-VLOOKUP($N1895,FCST!D:I,6,FALSE)),0)</f>
        <v>0</v>
      </c>
      <c r="AZ1895" s="239">
        <f t="shared" si="278"/>
        <v>0</v>
      </c>
    </row>
    <row r="1896" spans="1:52" x14ac:dyDescent="0.25">
      <c r="A1896" s="209" t="s">
        <v>4283</v>
      </c>
      <c r="B1896" s="209" t="s">
        <v>4251</v>
      </c>
      <c r="C1896" s="209" t="s">
        <v>4380</v>
      </c>
      <c r="D1896" s="209" t="s">
        <v>4233</v>
      </c>
      <c r="E1896" s="209" t="s">
        <v>4235</v>
      </c>
      <c r="F1896" s="209" t="s">
        <v>4285</v>
      </c>
      <c r="G1896" s="209" t="s">
        <v>105</v>
      </c>
      <c r="H1896" s="209" t="s">
        <v>4285</v>
      </c>
      <c r="I1896" s="209" t="s">
        <v>4237</v>
      </c>
      <c r="J1896" s="209" t="s">
        <v>169</v>
      </c>
      <c r="K1896" s="209" t="s">
        <v>4381</v>
      </c>
      <c r="L1896" s="209" t="s">
        <v>265</v>
      </c>
      <c r="M1896" s="209" t="s">
        <v>199</v>
      </c>
      <c r="N1896" s="209">
        <v>50025345</v>
      </c>
      <c r="O1896" s="209" t="s">
        <v>1998</v>
      </c>
      <c r="P1896" s="209" t="s">
        <v>4247</v>
      </c>
      <c r="Q1896" s="209" t="s">
        <v>200</v>
      </c>
      <c r="R1896" s="209" t="s">
        <v>201</v>
      </c>
      <c r="S1896" s="209" t="s">
        <v>202</v>
      </c>
      <c r="T1896" s="209" t="s">
        <v>203</v>
      </c>
      <c r="U1896" s="209" t="s">
        <v>201</v>
      </c>
      <c r="V1896" s="209" t="s">
        <v>179</v>
      </c>
      <c r="W1896" s="209" t="s">
        <v>179</v>
      </c>
      <c r="X1896" s="209" t="s">
        <v>180</v>
      </c>
      <c r="Y1896" s="209" t="s">
        <v>180</v>
      </c>
      <c r="Z1896" s="209" t="s">
        <v>4287</v>
      </c>
      <c r="AA1896" s="209" t="s">
        <v>4288</v>
      </c>
      <c r="AB1896" s="209" t="s">
        <v>180</v>
      </c>
      <c r="AC1896" s="209" t="s">
        <v>182</v>
      </c>
      <c r="AD1896" s="209" t="s">
        <v>4237</v>
      </c>
      <c r="AE1896" s="209" t="s">
        <v>4242</v>
      </c>
      <c r="AF1896" s="227">
        <v>46073</v>
      </c>
      <c r="AG1896" s="227">
        <v>46077</v>
      </c>
      <c r="AH1896" s="227">
        <v>46077</v>
      </c>
      <c r="AI1896" s="228">
        <v>426816</v>
      </c>
      <c r="AJ1896" s="228">
        <v>52</v>
      </c>
      <c r="AK1896" s="228">
        <v>426816</v>
      </c>
      <c r="AL1896" s="228">
        <v>52</v>
      </c>
      <c r="AM1896" s="228">
        <v>0</v>
      </c>
      <c r="AN1896" s="228">
        <v>0</v>
      </c>
      <c r="AO1896" s="229">
        <v>9</v>
      </c>
      <c r="AP1896" s="231">
        <v>2</v>
      </c>
      <c r="AQ1896" s="231">
        <v>2026</v>
      </c>
      <c r="AR1896" s="231" t="str">
        <f t="shared" si="274"/>
        <v>02/2026</v>
      </c>
      <c r="AS1896" s="231">
        <f t="shared" si="275"/>
        <v>46.6</v>
      </c>
      <c r="AT1896" s="239">
        <f>IF(G1896="CERVECERIA Y MALTERIA",(AS1896*AK1896/1000000)*(1-VLOOKUP(N1896,FCST!D:I,6,FALSE)),0)</f>
        <v>19.889625600000002</v>
      </c>
      <c r="AU1896" s="232">
        <v>5.0000000000000001E-3</v>
      </c>
      <c r="AV1896" s="239">
        <f t="shared" si="276"/>
        <v>19.989073728000001</v>
      </c>
      <c r="AW1896" s="239">
        <f>(AS1896*AK1896/1000000)*(VLOOKUP(N1896,FCST!D:I,6,FALSE))</f>
        <v>0</v>
      </c>
      <c r="AX1896" s="239">
        <f t="shared" si="277"/>
        <v>0</v>
      </c>
      <c r="AY1896" s="239">
        <f>IF($G1896="CERVECERIA Y MALTERIA.",($AS1896*$AK1896/1000000)*(1-VLOOKUP($N1896,FCST!D:I,6,FALSE)),0)</f>
        <v>0</v>
      </c>
      <c r="AZ1896" s="239">
        <f t="shared" si="278"/>
        <v>0</v>
      </c>
    </row>
    <row r="1897" spans="1:52" x14ac:dyDescent="0.25">
      <c r="A1897" s="209" t="s">
        <v>4250</v>
      </c>
      <c r="B1897" s="209" t="s">
        <v>4332</v>
      </c>
      <c r="C1897" s="209" t="s">
        <v>4382</v>
      </c>
      <c r="D1897" s="209" t="s">
        <v>4233</v>
      </c>
      <c r="E1897" s="209" t="s">
        <v>4235</v>
      </c>
      <c r="F1897" s="209" t="s">
        <v>4253</v>
      </c>
      <c r="G1897" s="209" t="s">
        <v>105</v>
      </c>
      <c r="H1897" s="209" t="s">
        <v>4253</v>
      </c>
      <c r="I1897" s="209" t="s">
        <v>4237</v>
      </c>
      <c r="J1897" s="209" t="s">
        <v>169</v>
      </c>
      <c r="K1897" s="209" t="s">
        <v>4383</v>
      </c>
      <c r="L1897" s="209" t="s">
        <v>265</v>
      </c>
      <c r="M1897" s="209" t="s">
        <v>199</v>
      </c>
      <c r="N1897" s="209">
        <v>50021818</v>
      </c>
      <c r="O1897" s="209" t="s">
        <v>2170</v>
      </c>
      <c r="P1897" s="209" t="s">
        <v>4247</v>
      </c>
      <c r="Q1897" s="209" t="s">
        <v>200</v>
      </c>
      <c r="R1897" s="209" t="s">
        <v>201</v>
      </c>
      <c r="S1897" s="209" t="s">
        <v>202</v>
      </c>
      <c r="T1897" s="209" t="s">
        <v>203</v>
      </c>
      <c r="U1897" s="209" t="s">
        <v>201</v>
      </c>
      <c r="V1897" s="209" t="s">
        <v>179</v>
      </c>
      <c r="W1897" s="209" t="s">
        <v>179</v>
      </c>
      <c r="X1897" s="209" t="s">
        <v>180</v>
      </c>
      <c r="Y1897" s="209" t="s">
        <v>180</v>
      </c>
      <c r="Z1897" s="209" t="s">
        <v>4255</v>
      </c>
      <c r="AA1897" s="209" t="s">
        <v>4256</v>
      </c>
      <c r="AB1897" s="209" t="s">
        <v>180</v>
      </c>
      <c r="AC1897" s="209" t="s">
        <v>182</v>
      </c>
      <c r="AD1897" s="209" t="s">
        <v>4237</v>
      </c>
      <c r="AE1897" s="209" t="s">
        <v>4242</v>
      </c>
      <c r="AF1897" s="227">
        <v>46073</v>
      </c>
      <c r="AG1897" s="227">
        <v>46079</v>
      </c>
      <c r="AH1897" s="227">
        <v>46079</v>
      </c>
      <c r="AI1897" s="228">
        <v>426816</v>
      </c>
      <c r="AJ1897" s="228">
        <v>52</v>
      </c>
      <c r="AK1897" s="228">
        <v>426816</v>
      </c>
      <c r="AL1897" s="228">
        <v>52</v>
      </c>
      <c r="AM1897" s="228">
        <v>0</v>
      </c>
      <c r="AN1897" s="228">
        <v>0</v>
      </c>
      <c r="AO1897" s="229">
        <v>9</v>
      </c>
      <c r="AP1897" s="231">
        <v>2</v>
      </c>
      <c r="AQ1897" s="231">
        <v>2026</v>
      </c>
      <c r="AR1897" s="231" t="str">
        <f t="shared" si="274"/>
        <v>02/2026</v>
      </c>
      <c r="AS1897" s="231">
        <f t="shared" si="275"/>
        <v>46.6</v>
      </c>
      <c r="AT1897" s="239">
        <f>IF(G1897="CERVECERIA Y MALTERIA",(AS1897*AK1897/1000000)*(1-VLOOKUP(N1897,FCST!D:I,6,FALSE)),0)</f>
        <v>19.889625600000002</v>
      </c>
      <c r="AU1897" s="232">
        <v>5.0000000000000001E-3</v>
      </c>
      <c r="AV1897" s="239">
        <f t="shared" si="276"/>
        <v>19.989073728000001</v>
      </c>
      <c r="AW1897" s="239">
        <f>(AS1897*AK1897/1000000)*(VLOOKUP(N1897,FCST!D:I,6,FALSE))</f>
        <v>0</v>
      </c>
      <c r="AX1897" s="239">
        <f t="shared" si="277"/>
        <v>0</v>
      </c>
      <c r="AY1897" s="239">
        <f>IF($G1897="CERVECERIA Y MALTERIA.",($AS1897*$AK1897/1000000)*(1-VLOOKUP($N1897,FCST!D:I,6,FALSE)),0)</f>
        <v>0</v>
      </c>
      <c r="AZ1897" s="239">
        <f t="shared" si="278"/>
        <v>0</v>
      </c>
    </row>
    <row r="1898" spans="1:52" x14ac:dyDescent="0.25">
      <c r="A1898" s="209" t="s">
        <v>4250</v>
      </c>
      <c r="B1898" s="209" t="s">
        <v>4337</v>
      </c>
      <c r="C1898" s="209" t="s">
        <v>4384</v>
      </c>
      <c r="D1898" s="209" t="s">
        <v>4233</v>
      </c>
      <c r="E1898" s="209" t="s">
        <v>4235</v>
      </c>
      <c r="F1898" s="209" t="s">
        <v>4253</v>
      </c>
      <c r="G1898" s="209" t="s">
        <v>105</v>
      </c>
      <c r="H1898" s="209" t="s">
        <v>4253</v>
      </c>
      <c r="I1898" s="209" t="s">
        <v>4237</v>
      </c>
      <c r="J1898" s="209" t="s">
        <v>169</v>
      </c>
      <c r="K1898" s="209" t="s">
        <v>4385</v>
      </c>
      <c r="L1898" s="209" t="s">
        <v>265</v>
      </c>
      <c r="M1898" s="209" t="s">
        <v>199</v>
      </c>
      <c r="N1898" s="209">
        <v>50037887</v>
      </c>
      <c r="O1898" s="209" t="s">
        <v>679</v>
      </c>
      <c r="P1898" s="209" t="s">
        <v>4247</v>
      </c>
      <c r="Q1898" s="209" t="s">
        <v>200</v>
      </c>
      <c r="R1898" s="209" t="s">
        <v>201</v>
      </c>
      <c r="S1898" s="209" t="s">
        <v>202</v>
      </c>
      <c r="T1898" s="209" t="s">
        <v>203</v>
      </c>
      <c r="U1898" s="209" t="s">
        <v>201</v>
      </c>
      <c r="V1898" s="209" t="s">
        <v>179</v>
      </c>
      <c r="W1898" s="209" t="s">
        <v>179</v>
      </c>
      <c r="X1898" s="209" t="s">
        <v>180</v>
      </c>
      <c r="Y1898" s="209" t="s">
        <v>180</v>
      </c>
      <c r="Z1898" s="209" t="s">
        <v>4353</v>
      </c>
      <c r="AA1898" s="209" t="s">
        <v>4354</v>
      </c>
      <c r="AB1898" s="209" t="s">
        <v>180</v>
      </c>
      <c r="AC1898" s="209" t="s">
        <v>182</v>
      </c>
      <c r="AD1898" s="209" t="s">
        <v>4237</v>
      </c>
      <c r="AE1898" s="209" t="s">
        <v>4242</v>
      </c>
      <c r="AF1898" s="227">
        <v>46073</v>
      </c>
      <c r="AG1898" s="227">
        <v>46079</v>
      </c>
      <c r="AH1898" s="227">
        <v>46079</v>
      </c>
      <c r="AI1898" s="228">
        <v>531648</v>
      </c>
      <c r="AJ1898" s="228">
        <v>52</v>
      </c>
      <c r="AK1898" s="228">
        <v>531648</v>
      </c>
      <c r="AL1898" s="228">
        <v>52</v>
      </c>
      <c r="AM1898" s="228">
        <v>0</v>
      </c>
      <c r="AN1898" s="228">
        <v>0</v>
      </c>
      <c r="AO1898" s="229">
        <v>9</v>
      </c>
      <c r="AP1898" s="231">
        <v>2</v>
      </c>
      <c r="AQ1898" s="231">
        <v>2026</v>
      </c>
      <c r="AR1898" s="231" t="str">
        <f t="shared" si="274"/>
        <v>02/2026</v>
      </c>
      <c r="AS1898" s="231">
        <f t="shared" si="275"/>
        <v>37.200000000000003</v>
      </c>
      <c r="AT1898" s="239">
        <f>IF(G1898="CERVECERIA Y MALTERIA",(AS1898*AK1898/1000000)*(1-VLOOKUP(N1898,FCST!D:I,6,FALSE)),0)</f>
        <v>19.777305600000002</v>
      </c>
      <c r="AU1898" s="232">
        <v>5.0000000000000001E-3</v>
      </c>
      <c r="AV1898" s="239">
        <f t="shared" si="276"/>
        <v>19.876192128</v>
      </c>
      <c r="AW1898" s="239">
        <f>(AS1898*AK1898/1000000)*(VLOOKUP(N1898,FCST!D:I,6,FALSE))</f>
        <v>0</v>
      </c>
      <c r="AX1898" s="239">
        <f t="shared" si="277"/>
        <v>0</v>
      </c>
      <c r="AY1898" s="239">
        <f>IF($G1898="CERVECERIA Y MALTERIA.",($AS1898*$AK1898/1000000)*(1-VLOOKUP($N1898,FCST!D:I,6,FALSE)),0)</f>
        <v>0</v>
      </c>
      <c r="AZ1898" s="239">
        <f t="shared" si="278"/>
        <v>0</v>
      </c>
    </row>
    <row r="1899" spans="1:52" x14ac:dyDescent="0.25">
      <c r="A1899" s="209" t="s">
        <v>4232</v>
      </c>
      <c r="B1899" s="209" t="s">
        <v>4316</v>
      </c>
      <c r="C1899" s="209" t="s">
        <v>4386</v>
      </c>
      <c r="D1899" s="209" t="s">
        <v>4233</v>
      </c>
      <c r="E1899" s="209" t="s">
        <v>4235</v>
      </c>
      <c r="F1899" s="209" t="s">
        <v>4236</v>
      </c>
      <c r="G1899" s="209" t="s">
        <v>117</v>
      </c>
      <c r="H1899" s="209" t="s">
        <v>4236</v>
      </c>
      <c r="I1899" s="209" t="s">
        <v>4237</v>
      </c>
      <c r="J1899" s="209" t="s">
        <v>169</v>
      </c>
      <c r="K1899" s="209" t="s">
        <v>4387</v>
      </c>
      <c r="L1899" s="209" t="s">
        <v>265</v>
      </c>
      <c r="M1899" s="209" t="s">
        <v>172</v>
      </c>
      <c r="N1899" s="209">
        <v>50025163</v>
      </c>
      <c r="O1899" s="209" t="s">
        <v>185</v>
      </c>
      <c r="P1899" s="209" t="s">
        <v>4239</v>
      </c>
      <c r="Q1899" s="209" t="s">
        <v>186</v>
      </c>
      <c r="R1899" s="209" t="s">
        <v>175</v>
      </c>
      <c r="S1899" s="209" t="s">
        <v>176</v>
      </c>
      <c r="T1899" s="209" t="s">
        <v>187</v>
      </c>
      <c r="U1899" s="209" t="s">
        <v>188</v>
      </c>
      <c r="V1899" s="209" t="s">
        <v>179</v>
      </c>
      <c r="W1899" s="209" t="s">
        <v>179</v>
      </c>
      <c r="X1899" s="209" t="s">
        <v>180</v>
      </c>
      <c r="Y1899" s="209" t="s">
        <v>180</v>
      </c>
      <c r="Z1899" s="209" t="s">
        <v>4240</v>
      </c>
      <c r="AA1899" s="209" t="s">
        <v>4241</v>
      </c>
      <c r="AB1899" s="209" t="s">
        <v>180</v>
      </c>
      <c r="AC1899" s="209" t="s">
        <v>182</v>
      </c>
      <c r="AD1899" s="209" t="s">
        <v>4237</v>
      </c>
      <c r="AE1899" s="209" t="s">
        <v>4242</v>
      </c>
      <c r="AF1899" s="227">
        <v>46073</v>
      </c>
      <c r="AG1899" s="227">
        <v>46078</v>
      </c>
      <c r="AH1899" s="227">
        <v>46078</v>
      </c>
      <c r="AI1899" s="228">
        <v>606528</v>
      </c>
      <c r="AJ1899" s="228">
        <v>52</v>
      </c>
      <c r="AK1899" s="228">
        <v>606528</v>
      </c>
      <c r="AL1899" s="228">
        <v>52</v>
      </c>
      <c r="AM1899" s="228">
        <v>0</v>
      </c>
      <c r="AN1899" s="228">
        <v>0</v>
      </c>
      <c r="AO1899" s="229">
        <v>9</v>
      </c>
      <c r="AP1899" s="231">
        <v>2</v>
      </c>
      <c r="AQ1899" s="231">
        <v>2026</v>
      </c>
      <c r="AR1899" s="231" t="str">
        <f t="shared" si="274"/>
        <v>02/2026</v>
      </c>
      <c r="AS1899" s="231">
        <f t="shared" si="275"/>
        <v>30</v>
      </c>
      <c r="AT1899" s="239">
        <f>IF(G1899="CERVECERIA Y MALTERIA",(AS1899*AK1899/1000000)*(1-VLOOKUP(N1899,FCST!D:I,6,FALSE)),0)</f>
        <v>0</v>
      </c>
      <c r="AU1899" s="232">
        <v>5.0000000000000001E-3</v>
      </c>
      <c r="AV1899" s="239">
        <f t="shared" si="276"/>
        <v>0</v>
      </c>
      <c r="AW1899" s="239">
        <f>(AS1899*AK1899/1000000)*(VLOOKUP(N1899,FCST!D:I,6,FALSE))</f>
        <v>0</v>
      </c>
      <c r="AX1899" s="239">
        <f t="shared" si="277"/>
        <v>0</v>
      </c>
      <c r="AY1899" s="239">
        <f>IF($G1899="CERVECERIA Y MALTERIA.",($AS1899*$AK1899/1000000)*(1-VLOOKUP($N1899,FCST!D:I,6,FALSE)),0)</f>
        <v>18.19584</v>
      </c>
      <c r="AZ1899" s="239">
        <f t="shared" si="278"/>
        <v>18.2868192</v>
      </c>
    </row>
    <row r="1900" spans="1:52" x14ac:dyDescent="0.25">
      <c r="A1900" s="209" t="s">
        <v>4250</v>
      </c>
      <c r="B1900" s="209" t="s">
        <v>4388</v>
      </c>
      <c r="C1900" s="209" t="s">
        <v>4389</v>
      </c>
      <c r="D1900" s="209" t="s">
        <v>4233</v>
      </c>
      <c r="E1900" s="209" t="s">
        <v>4235</v>
      </c>
      <c r="F1900" s="209" t="s">
        <v>4253</v>
      </c>
      <c r="G1900" s="209" t="s">
        <v>105</v>
      </c>
      <c r="H1900" s="209" t="s">
        <v>4253</v>
      </c>
      <c r="I1900" s="209" t="s">
        <v>4237</v>
      </c>
      <c r="J1900" s="209" t="s">
        <v>169</v>
      </c>
      <c r="K1900" s="209" t="s">
        <v>4390</v>
      </c>
      <c r="L1900" s="209" t="s">
        <v>265</v>
      </c>
      <c r="M1900" s="209" t="s">
        <v>199</v>
      </c>
      <c r="N1900" s="209">
        <v>50021818</v>
      </c>
      <c r="O1900" s="209" t="s">
        <v>2170</v>
      </c>
      <c r="P1900" s="209" t="s">
        <v>4247</v>
      </c>
      <c r="Q1900" s="209" t="s">
        <v>200</v>
      </c>
      <c r="R1900" s="209" t="s">
        <v>201</v>
      </c>
      <c r="S1900" s="209" t="s">
        <v>202</v>
      </c>
      <c r="T1900" s="209" t="s">
        <v>203</v>
      </c>
      <c r="U1900" s="209" t="s">
        <v>201</v>
      </c>
      <c r="V1900" s="209" t="s">
        <v>179</v>
      </c>
      <c r="W1900" s="209" t="s">
        <v>179</v>
      </c>
      <c r="X1900" s="209" t="s">
        <v>180</v>
      </c>
      <c r="Y1900" s="209" t="s">
        <v>180</v>
      </c>
      <c r="Z1900" s="209" t="s">
        <v>4255</v>
      </c>
      <c r="AA1900" s="209" t="s">
        <v>4256</v>
      </c>
      <c r="AB1900" s="209" t="s">
        <v>180</v>
      </c>
      <c r="AC1900" s="209" t="s">
        <v>182</v>
      </c>
      <c r="AD1900" s="209" t="s">
        <v>4237</v>
      </c>
      <c r="AE1900" s="209" t="s">
        <v>4242</v>
      </c>
      <c r="AF1900" s="227">
        <v>46073</v>
      </c>
      <c r="AG1900" s="227">
        <v>46079</v>
      </c>
      <c r="AH1900" s="227">
        <v>46079</v>
      </c>
      <c r="AI1900" s="228">
        <v>426816</v>
      </c>
      <c r="AJ1900" s="228">
        <v>52</v>
      </c>
      <c r="AK1900" s="228">
        <v>426816</v>
      </c>
      <c r="AL1900" s="228">
        <v>52</v>
      </c>
      <c r="AM1900" s="228">
        <v>0</v>
      </c>
      <c r="AN1900" s="228">
        <v>0</v>
      </c>
      <c r="AO1900" s="229">
        <v>9</v>
      </c>
      <c r="AP1900" s="231">
        <v>2</v>
      </c>
      <c r="AQ1900" s="231">
        <v>2026</v>
      </c>
      <c r="AR1900" s="231" t="str">
        <f t="shared" si="274"/>
        <v>02/2026</v>
      </c>
      <c r="AS1900" s="231">
        <f t="shared" si="275"/>
        <v>46.6</v>
      </c>
      <c r="AT1900" s="239">
        <f>IF(G1900="CERVECERIA Y MALTERIA",(AS1900*AK1900/1000000)*(1-VLOOKUP(N1900,FCST!D:I,6,FALSE)),0)</f>
        <v>19.889625600000002</v>
      </c>
      <c r="AU1900" s="232">
        <v>5.0000000000000001E-3</v>
      </c>
      <c r="AV1900" s="239">
        <f t="shared" si="276"/>
        <v>19.989073728000001</v>
      </c>
      <c r="AW1900" s="239">
        <f>(AS1900*AK1900/1000000)*(VLOOKUP(N1900,FCST!D:I,6,FALSE))</f>
        <v>0</v>
      </c>
      <c r="AX1900" s="239">
        <f t="shared" si="277"/>
        <v>0</v>
      </c>
      <c r="AY1900" s="239">
        <f>IF($G1900="CERVECERIA Y MALTERIA.",($AS1900*$AK1900/1000000)*(1-VLOOKUP($N1900,FCST!D:I,6,FALSE)),0)</f>
        <v>0</v>
      </c>
      <c r="AZ1900" s="239">
        <f t="shared" si="278"/>
        <v>0</v>
      </c>
    </row>
    <row r="1901" spans="1:52" x14ac:dyDescent="0.25">
      <c r="A1901" s="209" t="s">
        <v>4391</v>
      </c>
      <c r="B1901" s="209" t="s">
        <v>4263</v>
      </c>
      <c r="C1901" s="209" t="s">
        <v>4392</v>
      </c>
      <c r="D1901" s="209" t="s">
        <v>4233</v>
      </c>
      <c r="E1901" s="209" t="s">
        <v>4235</v>
      </c>
      <c r="F1901" s="209" t="s">
        <v>4236</v>
      </c>
      <c r="G1901" s="209" t="s">
        <v>117</v>
      </c>
      <c r="H1901" s="209" t="s">
        <v>4236</v>
      </c>
      <c r="I1901" s="209" t="s">
        <v>4237</v>
      </c>
      <c r="J1901" s="209" t="s">
        <v>169</v>
      </c>
      <c r="K1901" s="209" t="s">
        <v>4393</v>
      </c>
      <c r="L1901" s="209" t="s">
        <v>265</v>
      </c>
      <c r="M1901" s="209" t="s">
        <v>172</v>
      </c>
      <c r="N1901" s="209">
        <v>50039856</v>
      </c>
      <c r="O1901" s="209" t="s">
        <v>2871</v>
      </c>
      <c r="P1901" s="209" t="s">
        <v>4239</v>
      </c>
      <c r="Q1901" s="209" t="s">
        <v>186</v>
      </c>
      <c r="R1901" s="209" t="s">
        <v>175</v>
      </c>
      <c r="S1901" s="209" t="s">
        <v>176</v>
      </c>
      <c r="T1901" s="209" t="s">
        <v>187</v>
      </c>
      <c r="U1901" s="209" t="s">
        <v>188</v>
      </c>
      <c r="V1901" s="209" t="s">
        <v>179</v>
      </c>
      <c r="W1901" s="209" t="s">
        <v>179</v>
      </c>
      <c r="X1901" s="209" t="s">
        <v>180</v>
      </c>
      <c r="Y1901" s="209" t="s">
        <v>180</v>
      </c>
      <c r="Z1901" s="209" t="s">
        <v>4394</v>
      </c>
      <c r="AA1901" s="209" t="s">
        <v>4395</v>
      </c>
      <c r="AB1901" s="209" t="s">
        <v>180</v>
      </c>
      <c r="AC1901" s="209" t="s">
        <v>182</v>
      </c>
      <c r="AD1901" s="209" t="s">
        <v>4237</v>
      </c>
      <c r="AE1901" s="209" t="s">
        <v>4242</v>
      </c>
      <c r="AF1901" s="227">
        <v>46051</v>
      </c>
      <c r="AG1901" s="227">
        <v>46058</v>
      </c>
      <c r="AH1901" s="227">
        <v>46058</v>
      </c>
      <c r="AI1901" s="228">
        <v>399360</v>
      </c>
      <c r="AJ1901" s="228">
        <v>52</v>
      </c>
      <c r="AK1901" s="228">
        <v>399360</v>
      </c>
      <c r="AL1901" s="228">
        <v>52</v>
      </c>
      <c r="AM1901" s="228">
        <v>0</v>
      </c>
      <c r="AN1901" s="228">
        <v>0</v>
      </c>
      <c r="AO1901" s="229">
        <v>6</v>
      </c>
      <c r="AP1901" s="231">
        <v>2</v>
      </c>
      <c r="AQ1901" s="231">
        <v>2026</v>
      </c>
      <c r="AR1901" s="231" t="str">
        <f t="shared" si="274"/>
        <v>02/2026</v>
      </c>
      <c r="AS1901" s="231">
        <f t="shared" si="275"/>
        <v>52</v>
      </c>
      <c r="AT1901" s="239">
        <f>IF(G1901="CERVECERIA Y MALTERIA",(AS1901*AK1901/1000000)*(1-VLOOKUP(N1901,FCST!D:I,6,FALSE)),0)</f>
        <v>0</v>
      </c>
      <c r="AU1901" s="232">
        <v>5.0000000000000001E-3</v>
      </c>
      <c r="AV1901" s="239">
        <f t="shared" si="276"/>
        <v>0</v>
      </c>
      <c r="AW1901" s="239">
        <f>(AS1901*AK1901/1000000)*(VLOOKUP(N1901,FCST!D:I,6,FALSE))</f>
        <v>0</v>
      </c>
      <c r="AX1901" s="239">
        <f t="shared" si="277"/>
        <v>0</v>
      </c>
      <c r="AY1901" s="239">
        <f>IF($G1901="CERVECERIA Y MALTERIA.",($AS1901*$AK1901/1000000)*(1-VLOOKUP($N1901,FCST!D:I,6,FALSE)),0)</f>
        <v>20.766719999999999</v>
      </c>
      <c r="AZ1901" s="239">
        <f t="shared" si="278"/>
        <v>20.870553599999997</v>
      </c>
    </row>
    <row r="1902" spans="1:52" x14ac:dyDescent="0.25">
      <c r="A1902" s="209" t="s">
        <v>4396</v>
      </c>
      <c r="B1902" s="209" t="s">
        <v>4388</v>
      </c>
      <c r="C1902" s="209" t="s">
        <v>4397</v>
      </c>
      <c r="D1902" s="209" t="s">
        <v>4233</v>
      </c>
      <c r="E1902" s="209" t="s">
        <v>4235</v>
      </c>
      <c r="F1902" s="209" t="s">
        <v>4253</v>
      </c>
      <c r="G1902" s="209" t="s">
        <v>105</v>
      </c>
      <c r="H1902" s="209" t="s">
        <v>4253</v>
      </c>
      <c r="I1902" s="209" t="s">
        <v>4237</v>
      </c>
      <c r="J1902" s="209" t="s">
        <v>169</v>
      </c>
      <c r="K1902" s="209" t="s">
        <v>4398</v>
      </c>
      <c r="L1902" s="209" t="s">
        <v>265</v>
      </c>
      <c r="M1902" s="209" t="s">
        <v>199</v>
      </c>
      <c r="N1902" s="209">
        <v>50021818</v>
      </c>
      <c r="O1902" s="209" t="s">
        <v>2170</v>
      </c>
      <c r="P1902" s="209" t="s">
        <v>4247</v>
      </c>
      <c r="Q1902" s="209" t="s">
        <v>200</v>
      </c>
      <c r="R1902" s="209" t="s">
        <v>201</v>
      </c>
      <c r="S1902" s="209" t="s">
        <v>202</v>
      </c>
      <c r="T1902" s="209" t="s">
        <v>203</v>
      </c>
      <c r="U1902" s="209" t="s">
        <v>201</v>
      </c>
      <c r="V1902" s="209" t="s">
        <v>179</v>
      </c>
      <c r="W1902" s="209" t="s">
        <v>179</v>
      </c>
      <c r="X1902" s="209" t="s">
        <v>180</v>
      </c>
      <c r="Y1902" s="209" t="s">
        <v>180</v>
      </c>
      <c r="Z1902" s="209" t="s">
        <v>4335</v>
      </c>
      <c r="AA1902" s="209" t="s">
        <v>4336</v>
      </c>
      <c r="AB1902" s="209" t="s">
        <v>180</v>
      </c>
      <c r="AC1902" s="209" t="s">
        <v>182</v>
      </c>
      <c r="AD1902" s="209" t="s">
        <v>4237</v>
      </c>
      <c r="AE1902" s="209" t="s">
        <v>4242</v>
      </c>
      <c r="AF1902" s="227">
        <v>46051</v>
      </c>
      <c r="AG1902" s="227">
        <v>46058</v>
      </c>
      <c r="AH1902" s="227">
        <v>46058</v>
      </c>
      <c r="AI1902" s="228">
        <v>426816</v>
      </c>
      <c r="AJ1902" s="228">
        <v>52</v>
      </c>
      <c r="AK1902" s="228">
        <v>426816</v>
      </c>
      <c r="AL1902" s="228">
        <v>52</v>
      </c>
      <c r="AM1902" s="228">
        <v>0</v>
      </c>
      <c r="AN1902" s="228">
        <v>0</v>
      </c>
      <c r="AO1902" s="229">
        <v>6</v>
      </c>
      <c r="AP1902" s="231">
        <v>2</v>
      </c>
      <c r="AQ1902" s="231">
        <v>2026</v>
      </c>
      <c r="AR1902" s="231" t="str">
        <f t="shared" si="274"/>
        <v>02/2026</v>
      </c>
      <c r="AS1902" s="231">
        <f t="shared" si="275"/>
        <v>46.6</v>
      </c>
      <c r="AT1902" s="239">
        <f>IF(G1902="CERVECERIA Y MALTERIA",(AS1902*AK1902/1000000)*(1-VLOOKUP(N1902,FCST!D:I,6,FALSE)),0)</f>
        <v>19.889625600000002</v>
      </c>
      <c r="AU1902" s="232">
        <v>5.0000000000000001E-3</v>
      </c>
      <c r="AV1902" s="239">
        <f t="shared" si="276"/>
        <v>19.989073728000001</v>
      </c>
      <c r="AW1902" s="239">
        <f>(AS1902*AK1902/1000000)*(VLOOKUP(N1902,FCST!D:I,6,FALSE))</f>
        <v>0</v>
      </c>
      <c r="AX1902" s="239">
        <f t="shared" si="277"/>
        <v>0</v>
      </c>
      <c r="AY1902" s="239">
        <f>IF($G1902="CERVECERIA Y MALTERIA.",($AS1902*$AK1902/1000000)*(1-VLOOKUP($N1902,FCST!D:I,6,FALSE)),0)</f>
        <v>0</v>
      </c>
      <c r="AZ1902" s="239">
        <f t="shared" si="278"/>
        <v>0</v>
      </c>
    </row>
    <row r="1903" spans="1:52" x14ac:dyDescent="0.25">
      <c r="A1903" s="209" t="s">
        <v>4391</v>
      </c>
      <c r="B1903" s="209" t="s">
        <v>4316</v>
      </c>
      <c r="C1903" s="209" t="s">
        <v>4399</v>
      </c>
      <c r="D1903" s="209" t="s">
        <v>4233</v>
      </c>
      <c r="E1903" s="209" t="s">
        <v>4235</v>
      </c>
      <c r="F1903" s="209" t="s">
        <v>4236</v>
      </c>
      <c r="G1903" s="209" t="s">
        <v>117</v>
      </c>
      <c r="H1903" s="209" t="s">
        <v>4236</v>
      </c>
      <c r="I1903" s="209" t="s">
        <v>4237</v>
      </c>
      <c r="J1903" s="209" t="s">
        <v>169</v>
      </c>
      <c r="K1903" s="209" t="s">
        <v>4400</v>
      </c>
      <c r="L1903" s="209" t="s">
        <v>265</v>
      </c>
      <c r="M1903" s="209" t="s">
        <v>172</v>
      </c>
      <c r="N1903" s="209">
        <v>50039856</v>
      </c>
      <c r="O1903" s="209" t="s">
        <v>2871</v>
      </c>
      <c r="P1903" s="209" t="s">
        <v>4239</v>
      </c>
      <c r="Q1903" s="209" t="s">
        <v>186</v>
      </c>
      <c r="R1903" s="209" t="s">
        <v>175</v>
      </c>
      <c r="S1903" s="209" t="s">
        <v>176</v>
      </c>
      <c r="T1903" s="209" t="s">
        <v>187</v>
      </c>
      <c r="U1903" s="209" t="s">
        <v>188</v>
      </c>
      <c r="V1903" s="209" t="s">
        <v>179</v>
      </c>
      <c r="W1903" s="209" t="s">
        <v>179</v>
      </c>
      <c r="X1903" s="209" t="s">
        <v>180</v>
      </c>
      <c r="Y1903" s="209" t="s">
        <v>180</v>
      </c>
      <c r="Z1903" s="209" t="s">
        <v>4394</v>
      </c>
      <c r="AA1903" s="209" t="s">
        <v>4395</v>
      </c>
      <c r="AB1903" s="209" t="s">
        <v>180</v>
      </c>
      <c r="AC1903" s="209" t="s">
        <v>182</v>
      </c>
      <c r="AD1903" s="209" t="s">
        <v>4237</v>
      </c>
      <c r="AE1903" s="209" t="s">
        <v>4242</v>
      </c>
      <c r="AF1903" s="227">
        <v>46051</v>
      </c>
      <c r="AG1903" s="227">
        <v>46058</v>
      </c>
      <c r="AH1903" s="227">
        <v>46058</v>
      </c>
      <c r="AI1903" s="228">
        <v>399360</v>
      </c>
      <c r="AJ1903" s="228">
        <v>52</v>
      </c>
      <c r="AK1903" s="228">
        <v>399360</v>
      </c>
      <c r="AL1903" s="228">
        <v>52</v>
      </c>
      <c r="AM1903" s="228">
        <v>0</v>
      </c>
      <c r="AN1903" s="228">
        <v>0</v>
      </c>
      <c r="AO1903" s="229">
        <v>6</v>
      </c>
      <c r="AP1903" s="231">
        <v>2</v>
      </c>
      <c r="AQ1903" s="231">
        <v>2026</v>
      </c>
      <c r="AR1903" s="231" t="str">
        <f t="shared" si="274"/>
        <v>02/2026</v>
      </c>
      <c r="AS1903" s="231">
        <f t="shared" si="275"/>
        <v>52</v>
      </c>
      <c r="AT1903" s="239">
        <f>IF(G1903="CERVECERIA Y MALTERIA",(AS1903*AK1903/1000000)*(1-VLOOKUP(N1903,FCST!D:I,6,FALSE)),0)</f>
        <v>0</v>
      </c>
      <c r="AU1903" s="232">
        <v>5.0000000000000001E-3</v>
      </c>
      <c r="AV1903" s="239">
        <f t="shared" si="276"/>
        <v>0</v>
      </c>
      <c r="AW1903" s="239">
        <f>(AS1903*AK1903/1000000)*(VLOOKUP(N1903,FCST!D:I,6,FALSE))</f>
        <v>0</v>
      </c>
      <c r="AX1903" s="239">
        <f t="shared" si="277"/>
        <v>0</v>
      </c>
      <c r="AY1903" s="239">
        <f>IF($G1903="CERVECERIA Y MALTERIA.",($AS1903*$AK1903/1000000)*(1-VLOOKUP($N1903,FCST!D:I,6,FALSE)),0)</f>
        <v>20.766719999999999</v>
      </c>
      <c r="AZ1903" s="239">
        <f t="shared" si="278"/>
        <v>20.870553599999997</v>
      </c>
    </row>
    <row r="1904" spans="1:52" x14ac:dyDescent="0.25">
      <c r="A1904" s="209" t="s">
        <v>4396</v>
      </c>
      <c r="B1904" s="209" t="s">
        <v>4337</v>
      </c>
      <c r="C1904" s="209" t="s">
        <v>4401</v>
      </c>
      <c r="D1904" s="209" t="s">
        <v>4233</v>
      </c>
      <c r="E1904" s="209" t="s">
        <v>4235</v>
      </c>
      <c r="F1904" s="209" t="s">
        <v>4253</v>
      </c>
      <c r="G1904" s="209" t="s">
        <v>105</v>
      </c>
      <c r="H1904" s="209" t="s">
        <v>4253</v>
      </c>
      <c r="I1904" s="209" t="s">
        <v>4237</v>
      </c>
      <c r="J1904" s="209" t="s">
        <v>169</v>
      </c>
      <c r="K1904" s="209" t="s">
        <v>4402</v>
      </c>
      <c r="L1904" s="209" t="s">
        <v>265</v>
      </c>
      <c r="M1904" s="209" t="s">
        <v>199</v>
      </c>
      <c r="N1904" s="209">
        <v>50035184</v>
      </c>
      <c r="O1904" s="209" t="s">
        <v>672</v>
      </c>
      <c r="P1904" s="209" t="s">
        <v>4247</v>
      </c>
      <c r="Q1904" s="209" t="s">
        <v>200</v>
      </c>
      <c r="R1904" s="209" t="s">
        <v>201</v>
      </c>
      <c r="S1904" s="209" t="s">
        <v>202</v>
      </c>
      <c r="T1904" s="209" t="s">
        <v>203</v>
      </c>
      <c r="U1904" s="209" t="s">
        <v>201</v>
      </c>
      <c r="V1904" s="209" t="s">
        <v>179</v>
      </c>
      <c r="W1904" s="209" t="s">
        <v>179</v>
      </c>
      <c r="X1904" s="209" t="s">
        <v>180</v>
      </c>
      <c r="Y1904" s="209" t="s">
        <v>180</v>
      </c>
      <c r="Z1904" s="209" t="s">
        <v>4302</v>
      </c>
      <c r="AA1904" s="209" t="s">
        <v>4303</v>
      </c>
      <c r="AB1904" s="209" t="s">
        <v>180</v>
      </c>
      <c r="AC1904" s="209" t="s">
        <v>182</v>
      </c>
      <c r="AD1904" s="209" t="s">
        <v>4237</v>
      </c>
      <c r="AE1904" s="209" t="s">
        <v>4242</v>
      </c>
      <c r="AF1904" s="227">
        <v>46051</v>
      </c>
      <c r="AG1904" s="227">
        <v>46058</v>
      </c>
      <c r="AH1904" s="227">
        <v>46058</v>
      </c>
      <c r="AI1904" s="228">
        <v>732888</v>
      </c>
      <c r="AJ1904" s="228">
        <v>39</v>
      </c>
      <c r="AK1904" s="228">
        <v>732888</v>
      </c>
      <c r="AL1904" s="228">
        <v>39</v>
      </c>
      <c r="AM1904" s="228">
        <v>0</v>
      </c>
      <c r="AN1904" s="228">
        <v>0</v>
      </c>
      <c r="AO1904" s="229">
        <v>6</v>
      </c>
      <c r="AP1904" s="231">
        <v>2</v>
      </c>
      <c r="AQ1904" s="231">
        <v>2026</v>
      </c>
      <c r="AR1904" s="231" t="str">
        <f t="shared" si="274"/>
        <v>02/2026</v>
      </c>
      <c r="AS1904" s="231">
        <f t="shared" si="275"/>
        <v>19.5</v>
      </c>
      <c r="AT1904" s="239">
        <f>IF(G1904="CERVECERIA Y MALTERIA",(AS1904*AK1904/1000000)*(1-VLOOKUP(N1904,FCST!D:I,6,FALSE)),0)</f>
        <v>14.291316</v>
      </c>
      <c r="AU1904" s="232">
        <v>5.0000000000000001E-3</v>
      </c>
      <c r="AV1904" s="239">
        <f t="shared" si="276"/>
        <v>14.362772579999998</v>
      </c>
      <c r="AW1904" s="239">
        <f>(AS1904*AK1904/1000000)*(VLOOKUP(N1904,FCST!D:I,6,FALSE))</f>
        <v>0</v>
      </c>
      <c r="AX1904" s="239">
        <f t="shared" si="277"/>
        <v>0</v>
      </c>
      <c r="AY1904" s="239">
        <f>IF($G1904="CERVECERIA Y MALTERIA.",($AS1904*$AK1904/1000000)*(1-VLOOKUP($N1904,FCST!D:I,6,FALSE)),0)</f>
        <v>0</v>
      </c>
      <c r="AZ1904" s="239">
        <f t="shared" si="278"/>
        <v>0</v>
      </c>
    </row>
    <row r="1905" spans="1:52" x14ac:dyDescent="0.25">
      <c r="A1905" s="209" t="s">
        <v>4403</v>
      </c>
      <c r="B1905" s="209" t="s">
        <v>4316</v>
      </c>
      <c r="C1905" s="209" t="s">
        <v>4404</v>
      </c>
      <c r="D1905" s="209" t="s">
        <v>4233</v>
      </c>
      <c r="E1905" s="209" t="s">
        <v>4235</v>
      </c>
      <c r="F1905" s="209" t="s">
        <v>4253</v>
      </c>
      <c r="G1905" s="209" t="s">
        <v>105</v>
      </c>
      <c r="H1905" s="209" t="s">
        <v>4253</v>
      </c>
      <c r="I1905" s="209" t="s">
        <v>4237</v>
      </c>
      <c r="J1905" s="209" t="s">
        <v>169</v>
      </c>
      <c r="K1905" s="209" t="s">
        <v>4405</v>
      </c>
      <c r="L1905" s="209" t="s">
        <v>265</v>
      </c>
      <c r="M1905" s="209" t="s">
        <v>199</v>
      </c>
      <c r="N1905" s="209">
        <v>50034616</v>
      </c>
      <c r="O1905" s="209" t="s">
        <v>191</v>
      </c>
      <c r="P1905" s="209" t="s">
        <v>4247</v>
      </c>
      <c r="Q1905" s="209" t="s">
        <v>200</v>
      </c>
      <c r="R1905" s="209" t="s">
        <v>201</v>
      </c>
      <c r="S1905" s="209" t="s">
        <v>202</v>
      </c>
      <c r="T1905" s="209" t="s">
        <v>203</v>
      </c>
      <c r="U1905" s="209" t="s">
        <v>201</v>
      </c>
      <c r="V1905" s="209" t="s">
        <v>179</v>
      </c>
      <c r="W1905" s="209" t="s">
        <v>179</v>
      </c>
      <c r="X1905" s="209" t="s">
        <v>180</v>
      </c>
      <c r="Y1905" s="209" t="s">
        <v>180</v>
      </c>
      <c r="Z1905" s="209" t="s">
        <v>4335</v>
      </c>
      <c r="AA1905" s="209" t="s">
        <v>4336</v>
      </c>
      <c r="AB1905" s="209" t="s">
        <v>180</v>
      </c>
      <c r="AC1905" s="209" t="s">
        <v>182</v>
      </c>
      <c r="AD1905" s="209" t="s">
        <v>4237</v>
      </c>
      <c r="AE1905" s="209" t="s">
        <v>4242</v>
      </c>
      <c r="AF1905" s="227">
        <v>46059</v>
      </c>
      <c r="AG1905" s="227">
        <v>46062</v>
      </c>
      <c r="AH1905" s="227">
        <v>46062</v>
      </c>
      <c r="AI1905" s="228">
        <v>426816</v>
      </c>
      <c r="AJ1905" s="228">
        <v>52</v>
      </c>
      <c r="AK1905" s="228">
        <v>426816</v>
      </c>
      <c r="AL1905" s="228">
        <v>52</v>
      </c>
      <c r="AM1905" s="228">
        <v>0</v>
      </c>
      <c r="AN1905" s="228">
        <v>0</v>
      </c>
      <c r="AO1905" s="229">
        <v>7</v>
      </c>
      <c r="AP1905" s="231">
        <v>2</v>
      </c>
      <c r="AQ1905" s="231">
        <v>2026</v>
      </c>
      <c r="AR1905" s="231" t="str">
        <f t="shared" si="274"/>
        <v>02/2026</v>
      </c>
      <c r="AS1905" s="231">
        <f t="shared" si="275"/>
        <v>46.6</v>
      </c>
      <c r="AT1905" s="239">
        <f>IF(G1905="CERVECERIA Y MALTERIA",(AS1905*AK1905/1000000)*(1-VLOOKUP(N1905,FCST!D:I,6,FALSE)),0)</f>
        <v>19.889625600000002</v>
      </c>
      <c r="AU1905" s="232">
        <v>5.0000000000000001E-3</v>
      </c>
      <c r="AV1905" s="239">
        <f t="shared" si="276"/>
        <v>19.989073728000001</v>
      </c>
      <c r="AW1905" s="239">
        <f>(AS1905*AK1905/1000000)*(VLOOKUP(N1905,FCST!D:I,6,FALSE))</f>
        <v>0</v>
      </c>
      <c r="AX1905" s="239">
        <f t="shared" si="277"/>
        <v>0</v>
      </c>
      <c r="AY1905" s="239">
        <f>IF($G1905="CERVECERIA Y MALTERIA.",($AS1905*$AK1905/1000000)*(1-VLOOKUP($N1905,FCST!D:I,6,FALSE)),0)</f>
        <v>0</v>
      </c>
      <c r="AZ1905" s="239">
        <f t="shared" si="278"/>
        <v>0</v>
      </c>
    </row>
    <row r="1906" spans="1:52" x14ac:dyDescent="0.25">
      <c r="A1906" s="209" t="s">
        <v>4403</v>
      </c>
      <c r="B1906" s="209" t="s">
        <v>4233</v>
      </c>
      <c r="C1906" s="209" t="s">
        <v>4406</v>
      </c>
      <c r="D1906" s="209" t="s">
        <v>4233</v>
      </c>
      <c r="E1906" s="209" t="s">
        <v>4235</v>
      </c>
      <c r="F1906" s="209" t="s">
        <v>4253</v>
      </c>
      <c r="G1906" s="209" t="s">
        <v>105</v>
      </c>
      <c r="H1906" s="209" t="s">
        <v>4253</v>
      </c>
      <c r="I1906" s="209" t="s">
        <v>4237</v>
      </c>
      <c r="J1906" s="209" t="s">
        <v>169</v>
      </c>
      <c r="K1906" s="209" t="s">
        <v>4407</v>
      </c>
      <c r="L1906" s="209" t="s">
        <v>265</v>
      </c>
      <c r="M1906" s="209" t="s">
        <v>184</v>
      </c>
      <c r="N1906" s="209">
        <v>50035184</v>
      </c>
      <c r="O1906" s="209" t="s">
        <v>672</v>
      </c>
      <c r="P1906" s="209" t="s">
        <v>4247</v>
      </c>
      <c r="Q1906" s="209" t="s">
        <v>174</v>
      </c>
      <c r="R1906" s="209" t="s">
        <v>175</v>
      </c>
      <c r="S1906" s="209" t="s">
        <v>176</v>
      </c>
      <c r="T1906" s="209" t="s">
        <v>177</v>
      </c>
      <c r="U1906" s="209" t="s">
        <v>178</v>
      </c>
      <c r="V1906" s="209" t="s">
        <v>179</v>
      </c>
      <c r="W1906" s="209" t="s">
        <v>179</v>
      </c>
      <c r="X1906" s="209" t="s">
        <v>180</v>
      </c>
      <c r="Y1906" s="209" t="s">
        <v>180</v>
      </c>
      <c r="Z1906" s="209" t="s">
        <v>4408</v>
      </c>
      <c r="AA1906" s="209" t="s">
        <v>4409</v>
      </c>
      <c r="AB1906" s="209" t="s">
        <v>180</v>
      </c>
      <c r="AC1906" s="209" t="s">
        <v>182</v>
      </c>
      <c r="AD1906" s="209" t="s">
        <v>4237</v>
      </c>
      <c r="AE1906" s="209" t="s">
        <v>4242</v>
      </c>
      <c r="AF1906" s="227">
        <v>46059</v>
      </c>
      <c r="AG1906" s="227">
        <v>46062</v>
      </c>
      <c r="AH1906" s="227">
        <v>46062</v>
      </c>
      <c r="AI1906" s="228">
        <v>977184</v>
      </c>
      <c r="AJ1906" s="228">
        <v>52</v>
      </c>
      <c r="AK1906" s="228">
        <v>977184</v>
      </c>
      <c r="AL1906" s="228">
        <v>52</v>
      </c>
      <c r="AM1906" s="228">
        <v>0</v>
      </c>
      <c r="AN1906" s="228">
        <v>0</v>
      </c>
      <c r="AO1906" s="229">
        <v>7</v>
      </c>
      <c r="AP1906" s="231">
        <v>2</v>
      </c>
      <c r="AQ1906" s="231">
        <v>2026</v>
      </c>
      <c r="AR1906" s="231" t="str">
        <f t="shared" si="274"/>
        <v>02/2026</v>
      </c>
      <c r="AS1906" s="231">
        <f t="shared" si="275"/>
        <v>19.5</v>
      </c>
      <c r="AT1906" s="239">
        <f>IF(G1906="CERVECERIA Y MALTERIA",(AS1906*AK1906/1000000)*(1-VLOOKUP(N1906,FCST!D:I,6,FALSE)),0)</f>
        <v>19.055088000000001</v>
      </c>
      <c r="AU1906" s="232">
        <v>5.0000000000000001E-3</v>
      </c>
      <c r="AV1906" s="239">
        <f t="shared" si="276"/>
        <v>19.15036344</v>
      </c>
      <c r="AW1906" s="239">
        <f>(AS1906*AK1906/1000000)*(VLOOKUP(N1906,FCST!D:I,6,FALSE))</f>
        <v>0</v>
      </c>
      <c r="AX1906" s="239">
        <f t="shared" si="277"/>
        <v>0</v>
      </c>
      <c r="AY1906" s="239">
        <f>IF($G1906="CERVECERIA Y MALTERIA.",($AS1906*$AK1906/1000000)*(1-VLOOKUP($N1906,FCST!D:I,6,FALSE)),0)</f>
        <v>0</v>
      </c>
      <c r="AZ1906" s="239">
        <f t="shared" si="278"/>
        <v>0</v>
      </c>
    </row>
    <row r="1907" spans="1:52" x14ac:dyDescent="0.25">
      <c r="A1907" s="209" t="s">
        <v>4403</v>
      </c>
      <c r="B1907" s="209" t="s">
        <v>4251</v>
      </c>
      <c r="C1907" s="209" t="s">
        <v>4410</v>
      </c>
      <c r="D1907" s="209" t="s">
        <v>4233</v>
      </c>
      <c r="E1907" s="209" t="s">
        <v>4235</v>
      </c>
      <c r="F1907" s="209" t="s">
        <v>4253</v>
      </c>
      <c r="G1907" s="209" t="s">
        <v>105</v>
      </c>
      <c r="H1907" s="209" t="s">
        <v>4253</v>
      </c>
      <c r="I1907" s="209" t="s">
        <v>4237</v>
      </c>
      <c r="J1907" s="209" t="s">
        <v>169</v>
      </c>
      <c r="K1907" s="209" t="s">
        <v>4411</v>
      </c>
      <c r="L1907" s="209" t="s">
        <v>265</v>
      </c>
      <c r="M1907" s="209" t="s">
        <v>199</v>
      </c>
      <c r="N1907" s="209">
        <v>50037887</v>
      </c>
      <c r="O1907" s="209" t="s">
        <v>679</v>
      </c>
      <c r="P1907" s="209" t="s">
        <v>4247</v>
      </c>
      <c r="Q1907" s="209" t="s">
        <v>200</v>
      </c>
      <c r="R1907" s="209" t="s">
        <v>201</v>
      </c>
      <c r="S1907" s="209" t="s">
        <v>202</v>
      </c>
      <c r="T1907" s="209" t="s">
        <v>203</v>
      </c>
      <c r="U1907" s="209" t="s">
        <v>201</v>
      </c>
      <c r="V1907" s="209" t="s">
        <v>179</v>
      </c>
      <c r="W1907" s="209" t="s">
        <v>179</v>
      </c>
      <c r="X1907" s="209" t="s">
        <v>180</v>
      </c>
      <c r="Y1907" s="209" t="s">
        <v>180</v>
      </c>
      <c r="Z1907" s="209" t="s">
        <v>4259</v>
      </c>
      <c r="AA1907" s="209" t="s">
        <v>4260</v>
      </c>
      <c r="AB1907" s="209" t="s">
        <v>180</v>
      </c>
      <c r="AC1907" s="209" t="s">
        <v>182</v>
      </c>
      <c r="AD1907" s="209" t="s">
        <v>4237</v>
      </c>
      <c r="AE1907" s="209" t="s">
        <v>4242</v>
      </c>
      <c r="AF1907" s="227">
        <v>46059</v>
      </c>
      <c r="AG1907" s="227">
        <v>46062</v>
      </c>
      <c r="AH1907" s="227">
        <v>46062</v>
      </c>
      <c r="AI1907" s="228">
        <v>531648</v>
      </c>
      <c r="AJ1907" s="228">
        <v>52</v>
      </c>
      <c r="AK1907" s="228">
        <v>531648</v>
      </c>
      <c r="AL1907" s="228">
        <v>52</v>
      </c>
      <c r="AM1907" s="228">
        <v>0</v>
      </c>
      <c r="AN1907" s="228">
        <v>0</v>
      </c>
      <c r="AO1907" s="229">
        <v>7</v>
      </c>
      <c r="AP1907" s="231">
        <v>2</v>
      </c>
      <c r="AQ1907" s="231">
        <v>2026</v>
      </c>
      <c r="AR1907" s="231" t="str">
        <f t="shared" si="274"/>
        <v>02/2026</v>
      </c>
      <c r="AS1907" s="231">
        <f t="shared" si="275"/>
        <v>37.200000000000003</v>
      </c>
      <c r="AT1907" s="239">
        <f>IF(G1907="CERVECERIA Y MALTERIA",(AS1907*AK1907/1000000)*(1-VLOOKUP(N1907,FCST!D:I,6,FALSE)),0)</f>
        <v>19.777305600000002</v>
      </c>
      <c r="AU1907" s="232">
        <v>5.0000000000000001E-3</v>
      </c>
      <c r="AV1907" s="239">
        <f t="shared" si="276"/>
        <v>19.876192128</v>
      </c>
      <c r="AW1907" s="239">
        <f>(AS1907*AK1907/1000000)*(VLOOKUP(N1907,FCST!D:I,6,FALSE))</f>
        <v>0</v>
      </c>
      <c r="AX1907" s="239">
        <f t="shared" si="277"/>
        <v>0</v>
      </c>
      <c r="AY1907" s="239">
        <f>IF($G1907="CERVECERIA Y MALTERIA.",($AS1907*$AK1907/1000000)*(1-VLOOKUP($N1907,FCST!D:I,6,FALSE)),0)</f>
        <v>0</v>
      </c>
      <c r="AZ1907" s="239">
        <f t="shared" si="278"/>
        <v>0</v>
      </c>
    </row>
    <row r="1908" spans="1:52" x14ac:dyDescent="0.25">
      <c r="A1908" s="209" t="s">
        <v>4396</v>
      </c>
      <c r="B1908" s="209" t="s">
        <v>4332</v>
      </c>
      <c r="C1908" s="209" t="s">
        <v>4412</v>
      </c>
      <c r="D1908" s="209" t="s">
        <v>4233</v>
      </c>
      <c r="E1908" s="209" t="s">
        <v>4235</v>
      </c>
      <c r="F1908" s="209" t="s">
        <v>4253</v>
      </c>
      <c r="G1908" s="209" t="s">
        <v>105</v>
      </c>
      <c r="H1908" s="209" t="s">
        <v>4253</v>
      </c>
      <c r="I1908" s="209" t="s">
        <v>4237</v>
      </c>
      <c r="J1908" s="209" t="s">
        <v>169</v>
      </c>
      <c r="K1908" s="209" t="s">
        <v>4413</v>
      </c>
      <c r="L1908" s="209" t="s">
        <v>265</v>
      </c>
      <c r="M1908" s="209" t="s">
        <v>199</v>
      </c>
      <c r="N1908" s="209">
        <v>50037887</v>
      </c>
      <c r="O1908" s="209" t="s">
        <v>679</v>
      </c>
      <c r="P1908" s="209" t="s">
        <v>4247</v>
      </c>
      <c r="Q1908" s="209" t="s">
        <v>200</v>
      </c>
      <c r="R1908" s="209" t="s">
        <v>201</v>
      </c>
      <c r="S1908" s="209" t="s">
        <v>202</v>
      </c>
      <c r="T1908" s="209" t="s">
        <v>203</v>
      </c>
      <c r="U1908" s="209" t="s">
        <v>201</v>
      </c>
      <c r="V1908" s="209" t="s">
        <v>179</v>
      </c>
      <c r="W1908" s="209" t="s">
        <v>179</v>
      </c>
      <c r="X1908" s="209" t="s">
        <v>180</v>
      </c>
      <c r="Y1908" s="209" t="s">
        <v>180</v>
      </c>
      <c r="Z1908" s="209" t="s">
        <v>4259</v>
      </c>
      <c r="AA1908" s="209" t="s">
        <v>4260</v>
      </c>
      <c r="AB1908" s="209" t="s">
        <v>180</v>
      </c>
      <c r="AC1908" s="209" t="s">
        <v>182</v>
      </c>
      <c r="AD1908" s="209" t="s">
        <v>4237</v>
      </c>
      <c r="AE1908" s="209" t="s">
        <v>4242</v>
      </c>
      <c r="AF1908" s="227">
        <v>46051</v>
      </c>
      <c r="AG1908" s="227">
        <v>46059</v>
      </c>
      <c r="AH1908" s="227">
        <v>46059</v>
      </c>
      <c r="AI1908" s="228">
        <v>531648</v>
      </c>
      <c r="AJ1908" s="228">
        <v>52</v>
      </c>
      <c r="AK1908" s="228">
        <v>531648</v>
      </c>
      <c r="AL1908" s="228">
        <v>52</v>
      </c>
      <c r="AM1908" s="228">
        <v>0</v>
      </c>
      <c r="AN1908" s="228">
        <v>0</v>
      </c>
      <c r="AO1908" s="229">
        <v>6</v>
      </c>
      <c r="AP1908" s="231">
        <v>2</v>
      </c>
      <c r="AQ1908" s="231">
        <v>2026</v>
      </c>
      <c r="AR1908" s="231" t="str">
        <f t="shared" si="274"/>
        <v>02/2026</v>
      </c>
      <c r="AS1908" s="231">
        <f t="shared" si="275"/>
        <v>37.200000000000003</v>
      </c>
      <c r="AT1908" s="239">
        <f>IF(G1908="CERVECERIA Y MALTERIA",(AS1908*AK1908/1000000)*(1-VLOOKUP(N1908,FCST!D:I,6,FALSE)),0)</f>
        <v>19.777305600000002</v>
      </c>
      <c r="AU1908" s="232">
        <v>5.0000000000000001E-3</v>
      </c>
      <c r="AV1908" s="239">
        <f t="shared" si="276"/>
        <v>19.876192128</v>
      </c>
      <c r="AW1908" s="239">
        <f>(AS1908*AK1908/1000000)*(VLOOKUP(N1908,FCST!D:I,6,FALSE))</f>
        <v>0</v>
      </c>
      <c r="AX1908" s="239">
        <f t="shared" si="277"/>
        <v>0</v>
      </c>
      <c r="AY1908" s="239">
        <f>IF($G1908="CERVECERIA Y MALTERIA.",($AS1908*$AK1908/1000000)*(1-VLOOKUP($N1908,FCST!D:I,6,FALSE)),0)</f>
        <v>0</v>
      </c>
      <c r="AZ1908" s="239">
        <f t="shared" si="278"/>
        <v>0</v>
      </c>
    </row>
    <row r="1909" spans="1:52" x14ac:dyDescent="0.25">
      <c r="A1909" s="209" t="s">
        <v>4396</v>
      </c>
      <c r="B1909" s="209" t="s">
        <v>4327</v>
      </c>
      <c r="C1909" s="209" t="s">
        <v>4414</v>
      </c>
      <c r="D1909" s="209" t="s">
        <v>4233</v>
      </c>
      <c r="E1909" s="209" t="s">
        <v>4235</v>
      </c>
      <c r="F1909" s="209" t="s">
        <v>4253</v>
      </c>
      <c r="G1909" s="209" t="s">
        <v>105</v>
      </c>
      <c r="H1909" s="209" t="s">
        <v>4253</v>
      </c>
      <c r="I1909" s="209" t="s">
        <v>4237</v>
      </c>
      <c r="J1909" s="209" t="s">
        <v>169</v>
      </c>
      <c r="K1909" s="209" t="s">
        <v>4415</v>
      </c>
      <c r="L1909" s="209" t="s">
        <v>265</v>
      </c>
      <c r="M1909" s="209" t="s">
        <v>199</v>
      </c>
      <c r="N1909" s="209">
        <v>50021818</v>
      </c>
      <c r="O1909" s="209" t="s">
        <v>2170</v>
      </c>
      <c r="P1909" s="209" t="s">
        <v>4247</v>
      </c>
      <c r="Q1909" s="209" t="s">
        <v>200</v>
      </c>
      <c r="R1909" s="209" t="s">
        <v>201</v>
      </c>
      <c r="S1909" s="209" t="s">
        <v>202</v>
      </c>
      <c r="T1909" s="209" t="s">
        <v>203</v>
      </c>
      <c r="U1909" s="209" t="s">
        <v>201</v>
      </c>
      <c r="V1909" s="209" t="s">
        <v>179</v>
      </c>
      <c r="W1909" s="209" t="s">
        <v>179</v>
      </c>
      <c r="X1909" s="209" t="s">
        <v>180</v>
      </c>
      <c r="Y1909" s="209" t="s">
        <v>180</v>
      </c>
      <c r="Z1909" s="209" t="s">
        <v>4335</v>
      </c>
      <c r="AA1909" s="209" t="s">
        <v>4336</v>
      </c>
      <c r="AB1909" s="209" t="s">
        <v>180</v>
      </c>
      <c r="AC1909" s="209" t="s">
        <v>182</v>
      </c>
      <c r="AD1909" s="209" t="s">
        <v>4237</v>
      </c>
      <c r="AE1909" s="209" t="s">
        <v>4242</v>
      </c>
      <c r="AF1909" s="227">
        <v>46051</v>
      </c>
      <c r="AG1909" s="227">
        <v>46059</v>
      </c>
      <c r="AH1909" s="227">
        <v>46059</v>
      </c>
      <c r="AI1909" s="228">
        <v>426816</v>
      </c>
      <c r="AJ1909" s="228">
        <v>52</v>
      </c>
      <c r="AK1909" s="228">
        <v>426816</v>
      </c>
      <c r="AL1909" s="228">
        <v>52</v>
      </c>
      <c r="AM1909" s="228">
        <v>0</v>
      </c>
      <c r="AN1909" s="228">
        <v>0</v>
      </c>
      <c r="AO1909" s="229">
        <v>6</v>
      </c>
      <c r="AP1909" s="231">
        <v>2</v>
      </c>
      <c r="AQ1909" s="231">
        <v>2026</v>
      </c>
      <c r="AR1909" s="231" t="str">
        <f t="shared" si="274"/>
        <v>02/2026</v>
      </c>
      <c r="AS1909" s="231">
        <f t="shared" si="275"/>
        <v>46.6</v>
      </c>
      <c r="AT1909" s="239">
        <f>IF(G1909="CERVECERIA Y MALTERIA",(AS1909*AK1909/1000000)*(1-VLOOKUP(N1909,FCST!D:I,6,FALSE)),0)</f>
        <v>19.889625600000002</v>
      </c>
      <c r="AU1909" s="232">
        <v>5.0000000000000001E-3</v>
      </c>
      <c r="AV1909" s="239">
        <f t="shared" si="276"/>
        <v>19.989073728000001</v>
      </c>
      <c r="AW1909" s="239">
        <f>(AS1909*AK1909/1000000)*(VLOOKUP(N1909,FCST!D:I,6,FALSE))</f>
        <v>0</v>
      </c>
      <c r="AX1909" s="239">
        <f t="shared" si="277"/>
        <v>0</v>
      </c>
      <c r="AY1909" s="239">
        <f>IF($G1909="CERVECERIA Y MALTERIA.",($AS1909*$AK1909/1000000)*(1-VLOOKUP($N1909,FCST!D:I,6,FALSE)),0)</f>
        <v>0</v>
      </c>
      <c r="AZ1909" s="239">
        <f t="shared" si="278"/>
        <v>0</v>
      </c>
    </row>
    <row r="1910" spans="1:52" x14ac:dyDescent="0.25">
      <c r="A1910" s="209" t="s">
        <v>4416</v>
      </c>
      <c r="B1910" s="209" t="s">
        <v>4233</v>
      </c>
      <c r="C1910" s="209" t="s">
        <v>4417</v>
      </c>
      <c r="D1910" s="209" t="s">
        <v>4233</v>
      </c>
      <c r="E1910" s="209" t="s">
        <v>4235</v>
      </c>
      <c r="F1910" s="209" t="s">
        <v>4268</v>
      </c>
      <c r="G1910" s="209" t="s">
        <v>105</v>
      </c>
      <c r="H1910" s="209" t="s">
        <v>4268</v>
      </c>
      <c r="I1910" s="209" t="s">
        <v>4237</v>
      </c>
      <c r="J1910" s="209" t="s">
        <v>169</v>
      </c>
      <c r="K1910" s="209" t="s">
        <v>4418</v>
      </c>
      <c r="L1910" s="209" t="s">
        <v>265</v>
      </c>
      <c r="M1910" s="209" t="s">
        <v>199</v>
      </c>
      <c r="N1910" s="209">
        <v>50035184</v>
      </c>
      <c r="O1910" s="209" t="s">
        <v>672</v>
      </c>
      <c r="P1910" s="209" t="s">
        <v>4247</v>
      </c>
      <c r="Q1910" s="209" t="s">
        <v>200</v>
      </c>
      <c r="R1910" s="209" t="s">
        <v>201</v>
      </c>
      <c r="S1910" s="209" t="s">
        <v>202</v>
      </c>
      <c r="T1910" s="209" t="s">
        <v>203</v>
      </c>
      <c r="U1910" s="209" t="s">
        <v>201</v>
      </c>
      <c r="V1910" s="209" t="s">
        <v>179</v>
      </c>
      <c r="W1910" s="209" t="s">
        <v>179</v>
      </c>
      <c r="X1910" s="209" t="s">
        <v>180</v>
      </c>
      <c r="Y1910" s="209" t="s">
        <v>180</v>
      </c>
      <c r="Z1910" s="209" t="s">
        <v>4419</v>
      </c>
      <c r="AA1910" s="209" t="s">
        <v>4420</v>
      </c>
      <c r="AB1910" s="209" t="s">
        <v>180</v>
      </c>
      <c r="AC1910" s="209" t="s">
        <v>182</v>
      </c>
      <c r="AD1910" s="209" t="s">
        <v>4237</v>
      </c>
      <c r="AE1910" s="209" t="s">
        <v>4242</v>
      </c>
      <c r="AF1910" s="227">
        <v>46058</v>
      </c>
      <c r="AG1910" s="227">
        <v>46059</v>
      </c>
      <c r="AH1910" s="227">
        <v>46059</v>
      </c>
      <c r="AI1910" s="228">
        <v>977184</v>
      </c>
      <c r="AJ1910" s="228">
        <v>52</v>
      </c>
      <c r="AK1910" s="228">
        <v>977184</v>
      </c>
      <c r="AL1910" s="228">
        <v>52</v>
      </c>
      <c r="AM1910" s="228">
        <v>0</v>
      </c>
      <c r="AN1910" s="228">
        <v>0</v>
      </c>
      <c r="AO1910" s="229">
        <v>6</v>
      </c>
      <c r="AP1910" s="231">
        <v>2</v>
      </c>
      <c r="AQ1910" s="231">
        <v>2026</v>
      </c>
      <c r="AR1910" s="231" t="str">
        <f t="shared" si="274"/>
        <v>02/2026</v>
      </c>
      <c r="AS1910" s="231">
        <f t="shared" si="275"/>
        <v>19.5</v>
      </c>
      <c r="AT1910" s="239">
        <f>IF(G1910="CERVECERIA Y MALTERIA",(AS1910*AK1910/1000000)*(1-VLOOKUP(N1910,FCST!D:I,6,FALSE)),0)</f>
        <v>19.055088000000001</v>
      </c>
      <c r="AU1910" s="232">
        <v>5.0000000000000001E-3</v>
      </c>
      <c r="AV1910" s="239">
        <f t="shared" si="276"/>
        <v>19.15036344</v>
      </c>
      <c r="AW1910" s="239">
        <f>(AS1910*AK1910/1000000)*(VLOOKUP(N1910,FCST!D:I,6,FALSE))</f>
        <v>0</v>
      </c>
      <c r="AX1910" s="239">
        <f t="shared" si="277"/>
        <v>0</v>
      </c>
      <c r="AY1910" s="239">
        <f>IF($G1910="CERVECERIA Y MALTERIA.",($AS1910*$AK1910/1000000)*(1-VLOOKUP($N1910,FCST!D:I,6,FALSE)),0)</f>
        <v>0</v>
      </c>
      <c r="AZ1910" s="239">
        <f t="shared" si="278"/>
        <v>0</v>
      </c>
    </row>
    <row r="1911" spans="1:52" x14ac:dyDescent="0.25">
      <c r="A1911" s="209" t="s">
        <v>4421</v>
      </c>
      <c r="B1911" s="209" t="s">
        <v>4316</v>
      </c>
      <c r="C1911" s="209" t="s">
        <v>4422</v>
      </c>
      <c r="D1911" s="209" t="s">
        <v>4233</v>
      </c>
      <c r="E1911" s="209" t="s">
        <v>4235</v>
      </c>
      <c r="F1911" s="209" t="s">
        <v>4285</v>
      </c>
      <c r="G1911" s="209" t="s">
        <v>105</v>
      </c>
      <c r="H1911" s="209" t="s">
        <v>4285</v>
      </c>
      <c r="I1911" s="209" t="s">
        <v>4237</v>
      </c>
      <c r="J1911" s="209" t="s">
        <v>169</v>
      </c>
      <c r="K1911" s="209" t="s">
        <v>4423</v>
      </c>
      <c r="L1911" s="209" t="s">
        <v>265</v>
      </c>
      <c r="M1911" s="209" t="s">
        <v>172</v>
      </c>
      <c r="N1911" s="209">
        <v>50032583</v>
      </c>
      <c r="O1911" s="209" t="s">
        <v>205</v>
      </c>
      <c r="P1911" s="209" t="s">
        <v>4247</v>
      </c>
      <c r="Q1911" s="209" t="s">
        <v>174</v>
      </c>
      <c r="R1911" s="209" t="s">
        <v>175</v>
      </c>
      <c r="S1911" s="209" t="s">
        <v>176</v>
      </c>
      <c r="T1911" s="209" t="s">
        <v>177</v>
      </c>
      <c r="U1911" s="209" t="s">
        <v>178</v>
      </c>
      <c r="V1911" s="209" t="s">
        <v>179</v>
      </c>
      <c r="W1911" s="209" t="s">
        <v>179</v>
      </c>
      <c r="X1911" s="209" t="s">
        <v>180</v>
      </c>
      <c r="Y1911" s="209" t="s">
        <v>180</v>
      </c>
      <c r="Z1911" s="209" t="s">
        <v>4424</v>
      </c>
      <c r="AA1911" s="209" t="s">
        <v>4425</v>
      </c>
      <c r="AB1911" s="209" t="s">
        <v>180</v>
      </c>
      <c r="AC1911" s="209" t="s">
        <v>182</v>
      </c>
      <c r="AD1911" s="209" t="s">
        <v>4237</v>
      </c>
      <c r="AE1911" s="209" t="s">
        <v>4242</v>
      </c>
      <c r="AF1911" s="227">
        <v>46052</v>
      </c>
      <c r="AG1911" s="227">
        <v>46059</v>
      </c>
      <c r="AH1911" s="227">
        <v>46059</v>
      </c>
      <c r="AI1911" s="228">
        <v>351936</v>
      </c>
      <c r="AJ1911" s="228">
        <v>52</v>
      </c>
      <c r="AK1911" s="228">
        <v>351936</v>
      </c>
      <c r="AL1911" s="228">
        <v>52</v>
      </c>
      <c r="AM1911" s="228">
        <v>0</v>
      </c>
      <c r="AN1911" s="228">
        <v>0</v>
      </c>
      <c r="AO1911" s="229">
        <v>6</v>
      </c>
      <c r="AP1911" s="231">
        <v>2</v>
      </c>
      <c r="AQ1911" s="231">
        <v>2026</v>
      </c>
      <c r="AR1911" s="231" t="str">
        <f t="shared" si="274"/>
        <v>02/2026</v>
      </c>
      <c r="AS1911" s="231">
        <f t="shared" si="275"/>
        <v>54.7</v>
      </c>
      <c r="AT1911" s="239">
        <f>IF(G1911="CERVECERIA Y MALTERIA",(AS1911*AK1911/1000000)*(1-VLOOKUP(N1911,FCST!D:I,6,FALSE)),0)</f>
        <v>19.250899199999999</v>
      </c>
      <c r="AU1911" s="232">
        <v>5.0000000000000001E-3</v>
      </c>
      <c r="AV1911" s="239">
        <f t="shared" si="276"/>
        <v>19.347153695999996</v>
      </c>
      <c r="AW1911" s="239">
        <f>(AS1911*AK1911/1000000)*(VLOOKUP(N1911,FCST!D:I,6,FALSE))</f>
        <v>0</v>
      </c>
      <c r="AX1911" s="239">
        <f t="shared" si="277"/>
        <v>0</v>
      </c>
      <c r="AY1911" s="239">
        <f>IF($G1911="CERVECERIA Y MALTERIA.",($AS1911*$AK1911/1000000)*(1-VLOOKUP($N1911,FCST!D:I,6,FALSE)),0)</f>
        <v>0</v>
      </c>
      <c r="AZ1911" s="239">
        <f t="shared" si="278"/>
        <v>0</v>
      </c>
    </row>
    <row r="1912" spans="1:52" x14ac:dyDescent="0.25">
      <c r="A1912" s="209" t="s">
        <v>4396</v>
      </c>
      <c r="B1912" s="209" t="s">
        <v>4251</v>
      </c>
      <c r="C1912" s="209" t="s">
        <v>4426</v>
      </c>
      <c r="D1912" s="209" t="s">
        <v>4233</v>
      </c>
      <c r="E1912" s="209" t="s">
        <v>4235</v>
      </c>
      <c r="F1912" s="209" t="s">
        <v>4253</v>
      </c>
      <c r="G1912" s="209" t="s">
        <v>105</v>
      </c>
      <c r="H1912" s="209" t="s">
        <v>4253</v>
      </c>
      <c r="I1912" s="209" t="s">
        <v>4237</v>
      </c>
      <c r="J1912" s="209" t="s">
        <v>169</v>
      </c>
      <c r="K1912" s="209" t="s">
        <v>4427</v>
      </c>
      <c r="L1912" s="209" t="s">
        <v>265</v>
      </c>
      <c r="M1912" s="209" t="s">
        <v>199</v>
      </c>
      <c r="N1912" s="209">
        <v>50021818</v>
      </c>
      <c r="O1912" s="209" t="s">
        <v>2170</v>
      </c>
      <c r="P1912" s="209" t="s">
        <v>4247</v>
      </c>
      <c r="Q1912" s="209" t="s">
        <v>200</v>
      </c>
      <c r="R1912" s="209" t="s">
        <v>201</v>
      </c>
      <c r="S1912" s="209" t="s">
        <v>202</v>
      </c>
      <c r="T1912" s="209" t="s">
        <v>203</v>
      </c>
      <c r="U1912" s="209" t="s">
        <v>201</v>
      </c>
      <c r="V1912" s="209" t="s">
        <v>179</v>
      </c>
      <c r="W1912" s="209" t="s">
        <v>179</v>
      </c>
      <c r="X1912" s="209" t="s">
        <v>180</v>
      </c>
      <c r="Y1912" s="209" t="s">
        <v>180</v>
      </c>
      <c r="Z1912" s="209" t="s">
        <v>4335</v>
      </c>
      <c r="AA1912" s="209" t="s">
        <v>4336</v>
      </c>
      <c r="AB1912" s="209" t="s">
        <v>180</v>
      </c>
      <c r="AC1912" s="209" t="s">
        <v>182</v>
      </c>
      <c r="AD1912" s="209" t="s">
        <v>4237</v>
      </c>
      <c r="AE1912" s="209" t="s">
        <v>4242</v>
      </c>
      <c r="AF1912" s="227">
        <v>46051</v>
      </c>
      <c r="AG1912" s="227">
        <v>46055</v>
      </c>
      <c r="AH1912" s="227">
        <v>46055</v>
      </c>
      <c r="AI1912" s="228">
        <v>426816</v>
      </c>
      <c r="AJ1912" s="228">
        <v>52</v>
      </c>
      <c r="AK1912" s="228">
        <v>426816</v>
      </c>
      <c r="AL1912" s="228">
        <v>52</v>
      </c>
      <c r="AM1912" s="228">
        <v>0</v>
      </c>
      <c r="AN1912" s="228">
        <v>0</v>
      </c>
      <c r="AO1912" s="229">
        <v>6</v>
      </c>
      <c r="AP1912" s="231">
        <v>2</v>
      </c>
      <c r="AQ1912" s="231">
        <v>2026</v>
      </c>
      <c r="AR1912" s="231" t="str">
        <f t="shared" si="274"/>
        <v>02/2026</v>
      </c>
      <c r="AS1912" s="231">
        <f t="shared" si="275"/>
        <v>46.6</v>
      </c>
      <c r="AT1912" s="239">
        <f>IF(G1912="CERVECERIA Y MALTERIA",(AS1912*AK1912/1000000)*(1-VLOOKUP(N1912,FCST!D:I,6,FALSE)),0)</f>
        <v>19.889625600000002</v>
      </c>
      <c r="AU1912" s="232">
        <v>5.0000000000000001E-3</v>
      </c>
      <c r="AV1912" s="239">
        <f t="shared" si="276"/>
        <v>19.989073728000001</v>
      </c>
      <c r="AW1912" s="239">
        <f>(AS1912*AK1912/1000000)*(VLOOKUP(N1912,FCST!D:I,6,FALSE))</f>
        <v>0</v>
      </c>
      <c r="AX1912" s="239">
        <f t="shared" si="277"/>
        <v>0</v>
      </c>
      <c r="AY1912" s="239">
        <f>IF($G1912="CERVECERIA Y MALTERIA.",($AS1912*$AK1912/1000000)*(1-VLOOKUP($N1912,FCST!D:I,6,FALSE)),0)</f>
        <v>0</v>
      </c>
      <c r="AZ1912" s="239">
        <f t="shared" si="278"/>
        <v>0</v>
      </c>
    </row>
    <row r="1913" spans="1:52" x14ac:dyDescent="0.25">
      <c r="A1913" s="209" t="s">
        <v>4428</v>
      </c>
      <c r="B1913" s="209" t="s">
        <v>4251</v>
      </c>
      <c r="C1913" s="209" t="s">
        <v>4429</v>
      </c>
      <c r="D1913" s="209" t="s">
        <v>4233</v>
      </c>
      <c r="E1913" s="209" t="s">
        <v>4235</v>
      </c>
      <c r="F1913" s="209" t="s">
        <v>4236</v>
      </c>
      <c r="G1913" s="209" t="s">
        <v>117</v>
      </c>
      <c r="H1913" s="209" t="s">
        <v>4236</v>
      </c>
      <c r="I1913" s="209" t="s">
        <v>4237</v>
      </c>
      <c r="J1913" s="209" t="s">
        <v>169</v>
      </c>
      <c r="K1913" s="209" t="s">
        <v>4430</v>
      </c>
      <c r="L1913" s="209" t="s">
        <v>265</v>
      </c>
      <c r="M1913" s="209" t="s">
        <v>172</v>
      </c>
      <c r="N1913" s="209">
        <v>50032514</v>
      </c>
      <c r="O1913" s="209" t="s">
        <v>2246</v>
      </c>
      <c r="P1913" s="209" t="s">
        <v>4247</v>
      </c>
      <c r="Q1913" s="209" t="s">
        <v>174</v>
      </c>
      <c r="R1913" s="209" t="s">
        <v>175</v>
      </c>
      <c r="S1913" s="209" t="s">
        <v>176</v>
      </c>
      <c r="T1913" s="209" t="s">
        <v>177</v>
      </c>
      <c r="U1913" s="209" t="s">
        <v>178</v>
      </c>
      <c r="V1913" s="209" t="s">
        <v>179</v>
      </c>
      <c r="W1913" s="209" t="s">
        <v>179</v>
      </c>
      <c r="X1913" s="209" t="s">
        <v>180</v>
      </c>
      <c r="Y1913" s="209" t="s">
        <v>180</v>
      </c>
      <c r="Z1913" s="209" t="s">
        <v>4431</v>
      </c>
      <c r="AA1913" s="209" t="s">
        <v>4432</v>
      </c>
      <c r="AB1913" s="209" t="s">
        <v>180</v>
      </c>
      <c r="AC1913" s="209" t="s">
        <v>182</v>
      </c>
      <c r="AD1913" s="209" t="s">
        <v>4237</v>
      </c>
      <c r="AE1913" s="209" t="s">
        <v>4242</v>
      </c>
      <c r="AF1913" s="227">
        <v>46051</v>
      </c>
      <c r="AG1913" s="227">
        <v>46055</v>
      </c>
      <c r="AH1913" s="227">
        <v>46055</v>
      </c>
      <c r="AI1913" s="228">
        <v>419328</v>
      </c>
      <c r="AJ1913" s="228">
        <v>52</v>
      </c>
      <c r="AK1913" s="228">
        <v>419328</v>
      </c>
      <c r="AL1913" s="228">
        <v>52</v>
      </c>
      <c r="AM1913" s="228">
        <v>0</v>
      </c>
      <c r="AN1913" s="228">
        <v>0</v>
      </c>
      <c r="AO1913" s="229">
        <v>6</v>
      </c>
      <c r="AP1913" s="231">
        <v>2</v>
      </c>
      <c r="AQ1913" s="231">
        <v>2026</v>
      </c>
      <c r="AR1913" s="231" t="str">
        <f t="shared" si="274"/>
        <v>02/2026</v>
      </c>
      <c r="AS1913" s="231">
        <f t="shared" si="275"/>
        <v>44.8</v>
      </c>
      <c r="AT1913" s="239">
        <f>IF(G1913="CERVECERIA Y MALTERIA",(AS1913*AK1913/1000000)*(1-VLOOKUP(N1913,FCST!D:I,6,FALSE)),0)</f>
        <v>0</v>
      </c>
      <c r="AU1913" s="232">
        <v>5.0000000000000001E-3</v>
      </c>
      <c r="AV1913" s="239">
        <f t="shared" si="276"/>
        <v>0</v>
      </c>
      <c r="AW1913" s="239">
        <f>(AS1913*AK1913/1000000)*(VLOOKUP(N1913,FCST!D:I,6,FALSE))</f>
        <v>0</v>
      </c>
      <c r="AX1913" s="239">
        <f t="shared" si="277"/>
        <v>0</v>
      </c>
      <c r="AY1913" s="239">
        <f>IF($G1913="CERVECERIA Y MALTERIA.",($AS1913*$AK1913/1000000)*(1-VLOOKUP($N1913,FCST!D:I,6,FALSE)),0)</f>
        <v>18.7858944</v>
      </c>
      <c r="AZ1913" s="239">
        <f t="shared" si="278"/>
        <v>18.879823871999999</v>
      </c>
    </row>
    <row r="1914" spans="1:52" x14ac:dyDescent="0.25">
      <c r="A1914" s="209" t="s">
        <v>4396</v>
      </c>
      <c r="B1914" s="209" t="s">
        <v>4316</v>
      </c>
      <c r="C1914" s="209" t="s">
        <v>4433</v>
      </c>
      <c r="D1914" s="209" t="s">
        <v>4233</v>
      </c>
      <c r="E1914" s="209" t="s">
        <v>4235</v>
      </c>
      <c r="F1914" s="209" t="s">
        <v>4253</v>
      </c>
      <c r="G1914" s="209" t="s">
        <v>105</v>
      </c>
      <c r="H1914" s="209" t="s">
        <v>4253</v>
      </c>
      <c r="I1914" s="209" t="s">
        <v>4237</v>
      </c>
      <c r="J1914" s="209" t="s">
        <v>169</v>
      </c>
      <c r="K1914" s="209" t="s">
        <v>4434</v>
      </c>
      <c r="L1914" s="209" t="s">
        <v>265</v>
      </c>
      <c r="M1914" s="209" t="s">
        <v>199</v>
      </c>
      <c r="N1914" s="209">
        <v>50035184</v>
      </c>
      <c r="O1914" s="209" t="s">
        <v>672</v>
      </c>
      <c r="P1914" s="209" t="s">
        <v>4247</v>
      </c>
      <c r="Q1914" s="209" t="s">
        <v>200</v>
      </c>
      <c r="R1914" s="209" t="s">
        <v>201</v>
      </c>
      <c r="S1914" s="209" t="s">
        <v>202</v>
      </c>
      <c r="T1914" s="209" t="s">
        <v>203</v>
      </c>
      <c r="U1914" s="209" t="s">
        <v>201</v>
      </c>
      <c r="V1914" s="209" t="s">
        <v>179</v>
      </c>
      <c r="W1914" s="209" t="s">
        <v>179</v>
      </c>
      <c r="X1914" s="209" t="s">
        <v>180</v>
      </c>
      <c r="Y1914" s="209" t="s">
        <v>180</v>
      </c>
      <c r="Z1914" s="209" t="s">
        <v>4302</v>
      </c>
      <c r="AA1914" s="209" t="s">
        <v>4303</v>
      </c>
      <c r="AB1914" s="209" t="s">
        <v>180</v>
      </c>
      <c r="AC1914" s="209" t="s">
        <v>182</v>
      </c>
      <c r="AD1914" s="209" t="s">
        <v>4237</v>
      </c>
      <c r="AE1914" s="209" t="s">
        <v>4242</v>
      </c>
      <c r="AF1914" s="227">
        <v>46051</v>
      </c>
      <c r="AG1914" s="227">
        <v>46056</v>
      </c>
      <c r="AH1914" s="227">
        <v>46056</v>
      </c>
      <c r="AI1914" s="228">
        <v>977184</v>
      </c>
      <c r="AJ1914" s="228">
        <v>52</v>
      </c>
      <c r="AK1914" s="228">
        <v>977184</v>
      </c>
      <c r="AL1914" s="228">
        <v>52</v>
      </c>
      <c r="AM1914" s="228">
        <v>0</v>
      </c>
      <c r="AN1914" s="228">
        <v>0</v>
      </c>
      <c r="AO1914" s="229">
        <v>6</v>
      </c>
      <c r="AP1914" s="231">
        <v>2</v>
      </c>
      <c r="AQ1914" s="231">
        <v>2026</v>
      </c>
      <c r="AR1914" s="231" t="str">
        <f t="shared" si="274"/>
        <v>02/2026</v>
      </c>
      <c r="AS1914" s="231">
        <f t="shared" si="275"/>
        <v>19.5</v>
      </c>
      <c r="AT1914" s="239">
        <f>IF(G1914="CERVECERIA Y MALTERIA",(AS1914*AK1914/1000000)*(1-VLOOKUP(N1914,FCST!D:I,6,FALSE)),0)</f>
        <v>19.055088000000001</v>
      </c>
      <c r="AU1914" s="232">
        <v>5.0000000000000001E-3</v>
      </c>
      <c r="AV1914" s="239">
        <f t="shared" si="276"/>
        <v>19.15036344</v>
      </c>
      <c r="AW1914" s="239">
        <f>(AS1914*AK1914/1000000)*(VLOOKUP(N1914,FCST!D:I,6,FALSE))</f>
        <v>0</v>
      </c>
      <c r="AX1914" s="239">
        <f t="shared" si="277"/>
        <v>0</v>
      </c>
      <c r="AY1914" s="239">
        <f>IF($G1914="CERVECERIA Y MALTERIA.",($AS1914*$AK1914/1000000)*(1-VLOOKUP($N1914,FCST!D:I,6,FALSE)),0)</f>
        <v>0</v>
      </c>
      <c r="AZ1914" s="239">
        <f t="shared" si="278"/>
        <v>0</v>
      </c>
    </row>
    <row r="1915" spans="1:52" x14ac:dyDescent="0.25">
      <c r="A1915" s="209" t="s">
        <v>4396</v>
      </c>
      <c r="B1915" s="209" t="s">
        <v>4233</v>
      </c>
      <c r="C1915" s="209" t="s">
        <v>4435</v>
      </c>
      <c r="D1915" s="209" t="s">
        <v>4233</v>
      </c>
      <c r="E1915" s="209" t="s">
        <v>4235</v>
      </c>
      <c r="F1915" s="209" t="s">
        <v>4253</v>
      </c>
      <c r="G1915" s="209" t="s">
        <v>105</v>
      </c>
      <c r="H1915" s="209" t="s">
        <v>4253</v>
      </c>
      <c r="I1915" s="209" t="s">
        <v>4237</v>
      </c>
      <c r="J1915" s="209" t="s">
        <v>169</v>
      </c>
      <c r="K1915" s="209" t="s">
        <v>4436</v>
      </c>
      <c r="L1915" s="209" t="s">
        <v>265</v>
      </c>
      <c r="M1915" s="209" t="s">
        <v>199</v>
      </c>
      <c r="N1915" s="209">
        <v>50021818</v>
      </c>
      <c r="O1915" s="209" t="s">
        <v>2170</v>
      </c>
      <c r="P1915" s="209" t="s">
        <v>4247</v>
      </c>
      <c r="Q1915" s="209" t="s">
        <v>200</v>
      </c>
      <c r="R1915" s="209" t="s">
        <v>201</v>
      </c>
      <c r="S1915" s="209" t="s">
        <v>202</v>
      </c>
      <c r="T1915" s="209" t="s">
        <v>203</v>
      </c>
      <c r="U1915" s="209" t="s">
        <v>201</v>
      </c>
      <c r="V1915" s="209" t="s">
        <v>179</v>
      </c>
      <c r="W1915" s="209" t="s">
        <v>179</v>
      </c>
      <c r="X1915" s="209" t="s">
        <v>180</v>
      </c>
      <c r="Y1915" s="209" t="s">
        <v>180</v>
      </c>
      <c r="Z1915" s="209" t="s">
        <v>4335</v>
      </c>
      <c r="AA1915" s="209" t="s">
        <v>4336</v>
      </c>
      <c r="AB1915" s="209" t="s">
        <v>180</v>
      </c>
      <c r="AC1915" s="209" t="s">
        <v>182</v>
      </c>
      <c r="AD1915" s="209" t="s">
        <v>4237</v>
      </c>
      <c r="AE1915" s="209" t="s">
        <v>4242</v>
      </c>
      <c r="AF1915" s="227">
        <v>46051</v>
      </c>
      <c r="AG1915" s="227">
        <v>46055</v>
      </c>
      <c r="AH1915" s="227">
        <v>46055</v>
      </c>
      <c r="AI1915" s="228">
        <v>426816</v>
      </c>
      <c r="AJ1915" s="228">
        <v>52</v>
      </c>
      <c r="AK1915" s="228">
        <v>426816</v>
      </c>
      <c r="AL1915" s="228">
        <v>52</v>
      </c>
      <c r="AM1915" s="228">
        <v>0</v>
      </c>
      <c r="AN1915" s="228">
        <v>0</v>
      </c>
      <c r="AO1915" s="229">
        <v>6</v>
      </c>
      <c r="AP1915" s="231">
        <v>2</v>
      </c>
      <c r="AQ1915" s="231">
        <v>2026</v>
      </c>
      <c r="AR1915" s="231" t="str">
        <f t="shared" si="274"/>
        <v>02/2026</v>
      </c>
      <c r="AS1915" s="231">
        <f t="shared" si="275"/>
        <v>46.6</v>
      </c>
      <c r="AT1915" s="239">
        <f>IF(G1915="CERVECERIA Y MALTERIA",(AS1915*AK1915/1000000)*(1-VLOOKUP(N1915,FCST!D:I,6,FALSE)),0)</f>
        <v>19.889625600000002</v>
      </c>
      <c r="AU1915" s="232">
        <v>5.0000000000000001E-3</v>
      </c>
      <c r="AV1915" s="239">
        <f t="shared" si="276"/>
        <v>19.989073728000001</v>
      </c>
      <c r="AW1915" s="239">
        <f>(AS1915*AK1915/1000000)*(VLOOKUP(N1915,FCST!D:I,6,FALSE))</f>
        <v>0</v>
      </c>
      <c r="AX1915" s="239">
        <f t="shared" si="277"/>
        <v>0</v>
      </c>
      <c r="AY1915" s="239">
        <f>IF($G1915="CERVECERIA Y MALTERIA.",($AS1915*$AK1915/1000000)*(1-VLOOKUP($N1915,FCST!D:I,6,FALSE)),0)</f>
        <v>0</v>
      </c>
      <c r="AZ1915" s="239">
        <f t="shared" si="278"/>
        <v>0</v>
      </c>
    </row>
    <row r="1916" spans="1:52" x14ac:dyDescent="0.25">
      <c r="A1916" s="209" t="s">
        <v>4421</v>
      </c>
      <c r="B1916" s="209" t="s">
        <v>4233</v>
      </c>
      <c r="C1916" s="209" t="s">
        <v>4437</v>
      </c>
      <c r="D1916" s="209" t="s">
        <v>4233</v>
      </c>
      <c r="E1916" s="209" t="s">
        <v>4235</v>
      </c>
      <c r="F1916" s="209" t="s">
        <v>4285</v>
      </c>
      <c r="G1916" s="209" t="s">
        <v>105</v>
      </c>
      <c r="H1916" s="209" t="s">
        <v>4285</v>
      </c>
      <c r="I1916" s="209" t="s">
        <v>4237</v>
      </c>
      <c r="J1916" s="209" t="s">
        <v>169</v>
      </c>
      <c r="K1916" s="209" t="s">
        <v>4438</v>
      </c>
      <c r="L1916" s="209" t="s">
        <v>265</v>
      </c>
      <c r="M1916" s="209" t="s">
        <v>199</v>
      </c>
      <c r="N1916" s="209">
        <v>50021818</v>
      </c>
      <c r="O1916" s="209" t="s">
        <v>2170</v>
      </c>
      <c r="P1916" s="209" t="s">
        <v>4247</v>
      </c>
      <c r="Q1916" s="209" t="s">
        <v>200</v>
      </c>
      <c r="R1916" s="209" t="s">
        <v>201</v>
      </c>
      <c r="S1916" s="209" t="s">
        <v>202</v>
      </c>
      <c r="T1916" s="209" t="s">
        <v>203</v>
      </c>
      <c r="U1916" s="209" t="s">
        <v>201</v>
      </c>
      <c r="V1916" s="209" t="s">
        <v>179</v>
      </c>
      <c r="W1916" s="209" t="s">
        <v>179</v>
      </c>
      <c r="X1916" s="209" t="s">
        <v>180</v>
      </c>
      <c r="Y1916" s="209" t="s">
        <v>180</v>
      </c>
      <c r="Z1916" s="209" t="s">
        <v>4297</v>
      </c>
      <c r="AA1916" s="209" t="s">
        <v>4298</v>
      </c>
      <c r="AB1916" s="209" t="s">
        <v>180</v>
      </c>
      <c r="AC1916" s="209" t="s">
        <v>182</v>
      </c>
      <c r="AD1916" s="209" t="s">
        <v>4237</v>
      </c>
      <c r="AE1916" s="209" t="s">
        <v>4242</v>
      </c>
      <c r="AF1916" s="227">
        <v>46052</v>
      </c>
      <c r="AG1916" s="227">
        <v>46055</v>
      </c>
      <c r="AH1916" s="227">
        <v>46055</v>
      </c>
      <c r="AI1916" s="228">
        <v>426816</v>
      </c>
      <c r="AJ1916" s="228">
        <v>52</v>
      </c>
      <c r="AK1916" s="228">
        <v>426816</v>
      </c>
      <c r="AL1916" s="228">
        <v>52</v>
      </c>
      <c r="AM1916" s="228">
        <v>0</v>
      </c>
      <c r="AN1916" s="228">
        <v>0</v>
      </c>
      <c r="AO1916" s="229">
        <v>6</v>
      </c>
      <c r="AP1916" s="231">
        <v>2</v>
      </c>
      <c r="AQ1916" s="231">
        <v>2026</v>
      </c>
      <c r="AR1916" s="231" t="str">
        <f t="shared" si="274"/>
        <v>02/2026</v>
      </c>
      <c r="AS1916" s="231">
        <f t="shared" si="275"/>
        <v>46.6</v>
      </c>
      <c r="AT1916" s="239">
        <f>IF(G1916="CERVECERIA Y MALTERIA",(AS1916*AK1916/1000000)*(1-VLOOKUP(N1916,FCST!D:I,6,FALSE)),0)</f>
        <v>19.889625600000002</v>
      </c>
      <c r="AU1916" s="232">
        <v>5.0000000000000001E-3</v>
      </c>
      <c r="AV1916" s="239">
        <f t="shared" si="276"/>
        <v>19.989073728000001</v>
      </c>
      <c r="AW1916" s="239">
        <f>(AS1916*AK1916/1000000)*(VLOOKUP(N1916,FCST!D:I,6,FALSE))</f>
        <v>0</v>
      </c>
      <c r="AX1916" s="239">
        <f t="shared" si="277"/>
        <v>0</v>
      </c>
      <c r="AY1916" s="239">
        <f>IF($G1916="CERVECERIA Y MALTERIA.",($AS1916*$AK1916/1000000)*(1-VLOOKUP($N1916,FCST!D:I,6,FALSE)),0)</f>
        <v>0</v>
      </c>
      <c r="AZ1916" s="239">
        <f t="shared" si="278"/>
        <v>0</v>
      </c>
    </row>
    <row r="1917" spans="1:52" x14ac:dyDescent="0.25">
      <c r="A1917" s="209" t="s">
        <v>4396</v>
      </c>
      <c r="B1917" s="209" t="s">
        <v>4370</v>
      </c>
      <c r="C1917" s="209" t="s">
        <v>4439</v>
      </c>
      <c r="D1917" s="209" t="s">
        <v>4233</v>
      </c>
      <c r="E1917" s="209" t="s">
        <v>4235</v>
      </c>
      <c r="F1917" s="209" t="s">
        <v>4253</v>
      </c>
      <c r="G1917" s="209" t="s">
        <v>105</v>
      </c>
      <c r="H1917" s="209" t="s">
        <v>4253</v>
      </c>
      <c r="I1917" s="209" t="s">
        <v>4237</v>
      </c>
      <c r="J1917" s="209" t="s">
        <v>169</v>
      </c>
      <c r="K1917" s="209" t="s">
        <v>4440</v>
      </c>
      <c r="L1917" s="209" t="s">
        <v>265</v>
      </c>
      <c r="M1917" s="209" t="s">
        <v>199</v>
      </c>
      <c r="N1917" s="209">
        <v>50021818</v>
      </c>
      <c r="O1917" s="209" t="s">
        <v>2170</v>
      </c>
      <c r="P1917" s="209" t="s">
        <v>4247</v>
      </c>
      <c r="Q1917" s="209" t="s">
        <v>200</v>
      </c>
      <c r="R1917" s="209" t="s">
        <v>201</v>
      </c>
      <c r="S1917" s="209" t="s">
        <v>202</v>
      </c>
      <c r="T1917" s="209" t="s">
        <v>203</v>
      </c>
      <c r="U1917" s="209" t="s">
        <v>201</v>
      </c>
      <c r="V1917" s="209" t="s">
        <v>179</v>
      </c>
      <c r="W1917" s="209" t="s">
        <v>179</v>
      </c>
      <c r="X1917" s="209" t="s">
        <v>180</v>
      </c>
      <c r="Y1917" s="209" t="s">
        <v>180</v>
      </c>
      <c r="Z1917" s="209" t="s">
        <v>4335</v>
      </c>
      <c r="AA1917" s="209" t="s">
        <v>4336</v>
      </c>
      <c r="AB1917" s="209" t="s">
        <v>180</v>
      </c>
      <c r="AC1917" s="209" t="s">
        <v>182</v>
      </c>
      <c r="AD1917" s="209" t="s">
        <v>4237</v>
      </c>
      <c r="AE1917" s="209" t="s">
        <v>4242</v>
      </c>
      <c r="AF1917" s="227">
        <v>46051</v>
      </c>
      <c r="AG1917" s="227">
        <v>46057</v>
      </c>
      <c r="AH1917" s="227">
        <v>46057</v>
      </c>
      <c r="AI1917" s="228">
        <v>426816</v>
      </c>
      <c r="AJ1917" s="228">
        <v>52</v>
      </c>
      <c r="AK1917" s="228">
        <v>426816</v>
      </c>
      <c r="AL1917" s="228">
        <v>52</v>
      </c>
      <c r="AM1917" s="228">
        <v>0</v>
      </c>
      <c r="AN1917" s="228">
        <v>0</v>
      </c>
      <c r="AO1917" s="229">
        <v>6</v>
      </c>
      <c r="AP1917" s="231">
        <v>2</v>
      </c>
      <c r="AQ1917" s="231">
        <v>2026</v>
      </c>
      <c r="AR1917" s="231" t="str">
        <f t="shared" si="274"/>
        <v>02/2026</v>
      </c>
      <c r="AS1917" s="231">
        <f t="shared" si="275"/>
        <v>46.6</v>
      </c>
      <c r="AT1917" s="239">
        <f>IF(G1917="CERVECERIA Y MALTERIA",(AS1917*AK1917/1000000)*(1-VLOOKUP(N1917,FCST!D:I,6,FALSE)),0)</f>
        <v>19.889625600000002</v>
      </c>
      <c r="AU1917" s="232">
        <v>5.0000000000000001E-3</v>
      </c>
      <c r="AV1917" s="239">
        <f t="shared" si="276"/>
        <v>19.989073728000001</v>
      </c>
      <c r="AW1917" s="239">
        <f>(AS1917*AK1917/1000000)*(VLOOKUP(N1917,FCST!D:I,6,FALSE))</f>
        <v>0</v>
      </c>
      <c r="AX1917" s="239">
        <f t="shared" si="277"/>
        <v>0</v>
      </c>
      <c r="AY1917" s="239">
        <f>IF($G1917="CERVECERIA Y MALTERIA.",($AS1917*$AK1917/1000000)*(1-VLOOKUP($N1917,FCST!D:I,6,FALSE)),0)</f>
        <v>0</v>
      </c>
      <c r="AZ1917" s="239">
        <f t="shared" si="278"/>
        <v>0</v>
      </c>
    </row>
    <row r="1918" spans="1:52" x14ac:dyDescent="0.25">
      <c r="A1918" s="209" t="s">
        <v>4391</v>
      </c>
      <c r="B1918" s="209" t="s">
        <v>4251</v>
      </c>
      <c r="C1918" s="209" t="s">
        <v>4441</v>
      </c>
      <c r="D1918" s="209" t="s">
        <v>4233</v>
      </c>
      <c r="E1918" s="209" t="s">
        <v>4235</v>
      </c>
      <c r="F1918" s="209" t="s">
        <v>4236</v>
      </c>
      <c r="G1918" s="209" t="s">
        <v>117</v>
      </c>
      <c r="H1918" s="209" t="s">
        <v>4236</v>
      </c>
      <c r="I1918" s="209" t="s">
        <v>4237</v>
      </c>
      <c r="J1918" s="209" t="s">
        <v>169</v>
      </c>
      <c r="K1918" s="209" t="s">
        <v>4442</v>
      </c>
      <c r="L1918" s="209" t="s">
        <v>265</v>
      </c>
      <c r="M1918" s="209" t="s">
        <v>172</v>
      </c>
      <c r="N1918" s="209">
        <v>50039856</v>
      </c>
      <c r="O1918" s="209" t="s">
        <v>2871</v>
      </c>
      <c r="P1918" s="209" t="s">
        <v>4239</v>
      </c>
      <c r="Q1918" s="209" t="s">
        <v>186</v>
      </c>
      <c r="R1918" s="209" t="s">
        <v>175</v>
      </c>
      <c r="S1918" s="209" t="s">
        <v>176</v>
      </c>
      <c r="T1918" s="209" t="s">
        <v>187</v>
      </c>
      <c r="U1918" s="209" t="s">
        <v>188</v>
      </c>
      <c r="V1918" s="209" t="s">
        <v>179</v>
      </c>
      <c r="W1918" s="209" t="s">
        <v>179</v>
      </c>
      <c r="X1918" s="209" t="s">
        <v>180</v>
      </c>
      <c r="Y1918" s="209" t="s">
        <v>180</v>
      </c>
      <c r="Z1918" s="209" t="s">
        <v>4394</v>
      </c>
      <c r="AA1918" s="209" t="s">
        <v>4395</v>
      </c>
      <c r="AB1918" s="209" t="s">
        <v>180</v>
      </c>
      <c r="AC1918" s="209" t="s">
        <v>182</v>
      </c>
      <c r="AD1918" s="209" t="s">
        <v>4237</v>
      </c>
      <c r="AE1918" s="209" t="s">
        <v>4242</v>
      </c>
      <c r="AF1918" s="227">
        <v>46051</v>
      </c>
      <c r="AG1918" s="227">
        <v>46057</v>
      </c>
      <c r="AH1918" s="227">
        <v>46057</v>
      </c>
      <c r="AI1918" s="228">
        <v>399360</v>
      </c>
      <c r="AJ1918" s="228">
        <v>52</v>
      </c>
      <c r="AK1918" s="228">
        <v>399360</v>
      </c>
      <c r="AL1918" s="228">
        <v>52</v>
      </c>
      <c r="AM1918" s="228">
        <v>0</v>
      </c>
      <c r="AN1918" s="228">
        <v>0</v>
      </c>
      <c r="AO1918" s="229">
        <v>6</v>
      </c>
      <c r="AP1918" s="231">
        <v>2</v>
      </c>
      <c r="AQ1918" s="231">
        <v>2026</v>
      </c>
      <c r="AR1918" s="231" t="str">
        <f t="shared" si="274"/>
        <v>02/2026</v>
      </c>
      <c r="AS1918" s="231">
        <f t="shared" si="275"/>
        <v>52</v>
      </c>
      <c r="AT1918" s="239">
        <f>IF(G1918="CERVECERIA Y MALTERIA",(AS1918*AK1918/1000000)*(1-VLOOKUP(N1918,FCST!D:I,6,FALSE)),0)</f>
        <v>0</v>
      </c>
      <c r="AU1918" s="232">
        <v>5.0000000000000001E-3</v>
      </c>
      <c r="AV1918" s="239">
        <f t="shared" si="276"/>
        <v>0</v>
      </c>
      <c r="AW1918" s="239">
        <f>(AS1918*AK1918/1000000)*(VLOOKUP(N1918,FCST!D:I,6,FALSE))</f>
        <v>0</v>
      </c>
      <c r="AX1918" s="239">
        <f t="shared" si="277"/>
        <v>0</v>
      </c>
      <c r="AY1918" s="239">
        <f>IF($G1918="CERVECERIA Y MALTERIA.",($AS1918*$AK1918/1000000)*(1-VLOOKUP($N1918,FCST!D:I,6,FALSE)),0)</f>
        <v>20.766719999999999</v>
      </c>
      <c r="AZ1918" s="239">
        <f t="shared" si="278"/>
        <v>20.870553599999997</v>
      </c>
    </row>
    <row r="1919" spans="1:52" x14ac:dyDescent="0.25">
      <c r="A1919" s="209" t="s">
        <v>4396</v>
      </c>
      <c r="B1919" s="209" t="s">
        <v>4373</v>
      </c>
      <c r="C1919" s="209" t="s">
        <v>4443</v>
      </c>
      <c r="D1919" s="209" t="s">
        <v>4233</v>
      </c>
      <c r="E1919" s="209" t="s">
        <v>4235</v>
      </c>
      <c r="F1919" s="209" t="s">
        <v>4253</v>
      </c>
      <c r="G1919" s="209" t="s">
        <v>105</v>
      </c>
      <c r="H1919" s="209" t="s">
        <v>4253</v>
      </c>
      <c r="I1919" s="209" t="s">
        <v>4237</v>
      </c>
      <c r="J1919" s="209" t="s">
        <v>169</v>
      </c>
      <c r="K1919" s="209" t="s">
        <v>4444</v>
      </c>
      <c r="L1919" s="209" t="s">
        <v>265</v>
      </c>
      <c r="M1919" s="209" t="s">
        <v>199</v>
      </c>
      <c r="N1919" s="209">
        <v>50037887</v>
      </c>
      <c r="O1919" s="209" t="s">
        <v>679</v>
      </c>
      <c r="P1919" s="209" t="s">
        <v>4247</v>
      </c>
      <c r="Q1919" s="209" t="s">
        <v>200</v>
      </c>
      <c r="R1919" s="209" t="s">
        <v>201</v>
      </c>
      <c r="S1919" s="209" t="s">
        <v>202</v>
      </c>
      <c r="T1919" s="209" t="s">
        <v>203</v>
      </c>
      <c r="U1919" s="209" t="s">
        <v>201</v>
      </c>
      <c r="V1919" s="209" t="s">
        <v>179</v>
      </c>
      <c r="W1919" s="209" t="s">
        <v>179</v>
      </c>
      <c r="X1919" s="209" t="s">
        <v>180</v>
      </c>
      <c r="Y1919" s="209" t="s">
        <v>180</v>
      </c>
      <c r="Z1919" s="209" t="s">
        <v>4259</v>
      </c>
      <c r="AA1919" s="209" t="s">
        <v>4260</v>
      </c>
      <c r="AB1919" s="209" t="s">
        <v>180</v>
      </c>
      <c r="AC1919" s="209" t="s">
        <v>182</v>
      </c>
      <c r="AD1919" s="209" t="s">
        <v>4237</v>
      </c>
      <c r="AE1919" s="209" t="s">
        <v>4242</v>
      </c>
      <c r="AF1919" s="227">
        <v>46051</v>
      </c>
      <c r="AG1919" s="227">
        <v>46057</v>
      </c>
      <c r="AH1919" s="227">
        <v>46057</v>
      </c>
      <c r="AI1919" s="228">
        <v>531648</v>
      </c>
      <c r="AJ1919" s="228">
        <v>52</v>
      </c>
      <c r="AK1919" s="228">
        <v>531648</v>
      </c>
      <c r="AL1919" s="228">
        <v>52</v>
      </c>
      <c r="AM1919" s="228">
        <v>0</v>
      </c>
      <c r="AN1919" s="228">
        <v>0</v>
      </c>
      <c r="AO1919" s="229">
        <v>6</v>
      </c>
      <c r="AP1919" s="231">
        <v>2</v>
      </c>
      <c r="AQ1919" s="231">
        <v>2026</v>
      </c>
      <c r="AR1919" s="231" t="str">
        <f t="shared" si="274"/>
        <v>02/2026</v>
      </c>
      <c r="AS1919" s="231">
        <f t="shared" si="275"/>
        <v>37.200000000000003</v>
      </c>
      <c r="AT1919" s="239">
        <f>IF(G1919="CERVECERIA Y MALTERIA",(AS1919*AK1919/1000000)*(1-VLOOKUP(N1919,FCST!D:I,6,FALSE)),0)</f>
        <v>19.777305600000002</v>
      </c>
      <c r="AU1919" s="232">
        <v>5.0000000000000001E-3</v>
      </c>
      <c r="AV1919" s="239">
        <f t="shared" si="276"/>
        <v>19.876192128</v>
      </c>
      <c r="AW1919" s="239">
        <f>(AS1919*AK1919/1000000)*(VLOOKUP(N1919,FCST!D:I,6,FALSE))</f>
        <v>0</v>
      </c>
      <c r="AX1919" s="239">
        <f t="shared" si="277"/>
        <v>0</v>
      </c>
      <c r="AY1919" s="239">
        <f>IF($G1919="CERVECERIA Y MALTERIA.",($AS1919*$AK1919/1000000)*(1-VLOOKUP($N1919,FCST!D:I,6,FALSE)),0)</f>
        <v>0</v>
      </c>
      <c r="AZ1919" s="239">
        <f t="shared" si="278"/>
        <v>0</v>
      </c>
    </row>
    <row r="1920" spans="1:52" x14ac:dyDescent="0.25">
      <c r="A1920" s="209" t="s">
        <v>4445</v>
      </c>
      <c r="B1920" s="209" t="s">
        <v>4233</v>
      </c>
      <c r="C1920" s="209" t="s">
        <v>4446</v>
      </c>
      <c r="D1920" s="209" t="s">
        <v>4233</v>
      </c>
      <c r="E1920" s="209" t="s">
        <v>4235</v>
      </c>
      <c r="F1920" s="209" t="s">
        <v>4279</v>
      </c>
      <c r="G1920" s="209" t="s">
        <v>105</v>
      </c>
      <c r="H1920" s="209" t="s">
        <v>4279</v>
      </c>
      <c r="I1920" s="209" t="s">
        <v>4237</v>
      </c>
      <c r="J1920" s="209" t="s">
        <v>169</v>
      </c>
      <c r="K1920" s="209" t="s">
        <v>4447</v>
      </c>
      <c r="L1920" s="209" t="s">
        <v>265</v>
      </c>
      <c r="M1920" s="209" t="s">
        <v>199</v>
      </c>
      <c r="N1920" s="209">
        <v>50037887</v>
      </c>
      <c r="O1920" s="209" t="s">
        <v>679</v>
      </c>
      <c r="P1920" s="209" t="s">
        <v>4247</v>
      </c>
      <c r="Q1920" s="209" t="s">
        <v>200</v>
      </c>
      <c r="R1920" s="209" t="s">
        <v>201</v>
      </c>
      <c r="S1920" s="209" t="s">
        <v>202</v>
      </c>
      <c r="T1920" s="209" t="s">
        <v>203</v>
      </c>
      <c r="U1920" s="209" t="s">
        <v>201</v>
      </c>
      <c r="V1920" s="209" t="s">
        <v>179</v>
      </c>
      <c r="W1920" s="209" t="s">
        <v>179</v>
      </c>
      <c r="X1920" s="209" t="s">
        <v>180</v>
      </c>
      <c r="Y1920" s="209" t="s">
        <v>180</v>
      </c>
      <c r="Z1920" s="209" t="s">
        <v>4307</v>
      </c>
      <c r="AA1920" s="209" t="s">
        <v>4308</v>
      </c>
      <c r="AB1920" s="209" t="s">
        <v>180</v>
      </c>
      <c r="AC1920" s="209" t="s">
        <v>182</v>
      </c>
      <c r="AD1920" s="209" t="s">
        <v>4237</v>
      </c>
      <c r="AE1920" s="209" t="s">
        <v>4242</v>
      </c>
      <c r="AF1920" s="227">
        <v>46055</v>
      </c>
      <c r="AG1920" s="227">
        <v>46057</v>
      </c>
      <c r="AH1920" s="227">
        <v>46057</v>
      </c>
      <c r="AI1920" s="228">
        <v>531648</v>
      </c>
      <c r="AJ1920" s="228">
        <v>52</v>
      </c>
      <c r="AK1920" s="228">
        <v>531648</v>
      </c>
      <c r="AL1920" s="228">
        <v>52</v>
      </c>
      <c r="AM1920" s="228">
        <v>0</v>
      </c>
      <c r="AN1920" s="228">
        <v>0</v>
      </c>
      <c r="AO1920" s="229">
        <v>6</v>
      </c>
      <c r="AP1920" s="231">
        <v>2</v>
      </c>
      <c r="AQ1920" s="231">
        <v>2026</v>
      </c>
      <c r="AR1920" s="231" t="str">
        <f t="shared" ref="AR1920:AR1951" si="279">+IF(AP1920&lt;10,"0"&amp;AP1920&amp; "/"&amp;AQ1920,AP1920&amp; "/"&amp;AQ1920)</f>
        <v>02/2026</v>
      </c>
      <c r="AS1920" s="231">
        <f t="shared" ref="AS1920:AS1951" si="280">VALUE(MID(INDEX(_xlfn.TEXTSPLIT(O1920, ","), 1, 3), 1,FIND("G", INDEX(_xlfn.TEXTSPLIT(O1920, ","), 1, 3))-1))</f>
        <v>37.200000000000003</v>
      </c>
      <c r="AT1920" s="239">
        <f>IF(G1920="CERVECERIA Y MALTERIA",(AS1920*AK1920/1000000)*(1-VLOOKUP(N1920,FCST!D:I,6,FALSE)),0)</f>
        <v>19.777305600000002</v>
      </c>
      <c r="AU1920" s="232">
        <v>5.0000000000000001E-3</v>
      </c>
      <c r="AV1920" s="239">
        <f t="shared" ref="AV1920:AV1951" si="281">+AT1920*(1+AU1920)</f>
        <v>19.876192128</v>
      </c>
      <c r="AW1920" s="239">
        <f>(AS1920*AK1920/1000000)*(VLOOKUP(N1920,FCST!D:I,6,FALSE))</f>
        <v>0</v>
      </c>
      <c r="AX1920" s="239">
        <f t="shared" ref="AX1920:AX1951" si="282">+AW1920*(1+AU1920)</f>
        <v>0</v>
      </c>
      <c r="AY1920" s="239">
        <f>IF($G1920="CERVECERIA Y MALTERIA.",($AS1920*$AK1920/1000000)*(1-VLOOKUP($N1920,FCST!D:I,6,FALSE)),0)</f>
        <v>0</v>
      </c>
      <c r="AZ1920" s="239">
        <f t="shared" ref="AZ1920:AZ1951" si="283">+AY1920*(1+AU1920)</f>
        <v>0</v>
      </c>
    </row>
    <row r="1921" spans="1:52" x14ac:dyDescent="0.25">
      <c r="A1921" s="209" t="s">
        <v>4396</v>
      </c>
      <c r="B1921" s="209" t="s">
        <v>4263</v>
      </c>
      <c r="C1921" s="209" t="s">
        <v>4448</v>
      </c>
      <c r="D1921" s="209" t="s">
        <v>4233</v>
      </c>
      <c r="E1921" s="209" t="s">
        <v>4235</v>
      </c>
      <c r="F1921" s="209" t="s">
        <v>4253</v>
      </c>
      <c r="G1921" s="209" t="s">
        <v>105</v>
      </c>
      <c r="H1921" s="209" t="s">
        <v>4253</v>
      </c>
      <c r="I1921" s="209" t="s">
        <v>4237</v>
      </c>
      <c r="J1921" s="209" t="s">
        <v>169</v>
      </c>
      <c r="K1921" s="209" t="s">
        <v>4449</v>
      </c>
      <c r="L1921" s="209" t="s">
        <v>265</v>
      </c>
      <c r="M1921" s="209" t="s">
        <v>199</v>
      </c>
      <c r="N1921" s="209">
        <v>50021818</v>
      </c>
      <c r="O1921" s="209" t="s">
        <v>2170</v>
      </c>
      <c r="P1921" s="209" t="s">
        <v>4247</v>
      </c>
      <c r="Q1921" s="209" t="s">
        <v>200</v>
      </c>
      <c r="R1921" s="209" t="s">
        <v>201</v>
      </c>
      <c r="S1921" s="209" t="s">
        <v>202</v>
      </c>
      <c r="T1921" s="209" t="s">
        <v>203</v>
      </c>
      <c r="U1921" s="209" t="s">
        <v>201</v>
      </c>
      <c r="V1921" s="209" t="s">
        <v>179</v>
      </c>
      <c r="W1921" s="209" t="s">
        <v>179</v>
      </c>
      <c r="X1921" s="209" t="s">
        <v>180</v>
      </c>
      <c r="Y1921" s="209" t="s">
        <v>180</v>
      </c>
      <c r="Z1921" s="209" t="s">
        <v>4335</v>
      </c>
      <c r="AA1921" s="209" t="s">
        <v>4336</v>
      </c>
      <c r="AB1921" s="209" t="s">
        <v>180</v>
      </c>
      <c r="AC1921" s="209" t="s">
        <v>182</v>
      </c>
      <c r="AD1921" s="209" t="s">
        <v>4237</v>
      </c>
      <c r="AE1921" s="209" t="s">
        <v>4242</v>
      </c>
      <c r="AF1921" s="227">
        <v>46051</v>
      </c>
      <c r="AG1921" s="227">
        <v>46056</v>
      </c>
      <c r="AH1921" s="227">
        <v>46056</v>
      </c>
      <c r="AI1921" s="228">
        <v>426816</v>
      </c>
      <c r="AJ1921" s="228">
        <v>52</v>
      </c>
      <c r="AK1921" s="228">
        <v>426816</v>
      </c>
      <c r="AL1921" s="228">
        <v>52</v>
      </c>
      <c r="AM1921" s="228">
        <v>0</v>
      </c>
      <c r="AN1921" s="228">
        <v>0</v>
      </c>
      <c r="AO1921" s="229">
        <v>6</v>
      </c>
      <c r="AP1921" s="231">
        <v>2</v>
      </c>
      <c r="AQ1921" s="231">
        <v>2026</v>
      </c>
      <c r="AR1921" s="231" t="str">
        <f t="shared" si="279"/>
        <v>02/2026</v>
      </c>
      <c r="AS1921" s="231">
        <f t="shared" si="280"/>
        <v>46.6</v>
      </c>
      <c r="AT1921" s="239">
        <f>IF(G1921="CERVECERIA Y MALTERIA",(AS1921*AK1921/1000000)*(1-VLOOKUP(N1921,FCST!D:I,6,FALSE)),0)</f>
        <v>19.889625600000002</v>
      </c>
      <c r="AU1921" s="232">
        <v>5.0000000000000001E-3</v>
      </c>
      <c r="AV1921" s="239">
        <f t="shared" si="281"/>
        <v>19.989073728000001</v>
      </c>
      <c r="AW1921" s="239">
        <f>(AS1921*AK1921/1000000)*(VLOOKUP(N1921,FCST!D:I,6,FALSE))</f>
        <v>0</v>
      </c>
      <c r="AX1921" s="239">
        <f t="shared" si="282"/>
        <v>0</v>
      </c>
      <c r="AY1921" s="239">
        <f>IF($G1921="CERVECERIA Y MALTERIA.",($AS1921*$AK1921/1000000)*(1-VLOOKUP($N1921,FCST!D:I,6,FALSE)),0)</f>
        <v>0</v>
      </c>
      <c r="AZ1921" s="239">
        <f t="shared" si="283"/>
        <v>0</v>
      </c>
    </row>
    <row r="1922" spans="1:52" x14ac:dyDescent="0.25">
      <c r="A1922" s="209" t="s">
        <v>4421</v>
      </c>
      <c r="B1922" s="209" t="s">
        <v>4251</v>
      </c>
      <c r="C1922" s="209" t="s">
        <v>4450</v>
      </c>
      <c r="D1922" s="209" t="s">
        <v>4233</v>
      </c>
      <c r="E1922" s="209" t="s">
        <v>4235</v>
      </c>
      <c r="F1922" s="209" t="s">
        <v>4285</v>
      </c>
      <c r="G1922" s="209" t="s">
        <v>105</v>
      </c>
      <c r="H1922" s="209" t="s">
        <v>4285</v>
      </c>
      <c r="I1922" s="209" t="s">
        <v>4237</v>
      </c>
      <c r="J1922" s="209" t="s">
        <v>169</v>
      </c>
      <c r="K1922" s="209" t="s">
        <v>4451</v>
      </c>
      <c r="L1922" s="209" t="s">
        <v>265</v>
      </c>
      <c r="M1922" s="209" t="s">
        <v>172</v>
      </c>
      <c r="N1922" s="209">
        <v>50032583</v>
      </c>
      <c r="O1922" s="209" t="s">
        <v>205</v>
      </c>
      <c r="P1922" s="209" t="s">
        <v>4247</v>
      </c>
      <c r="Q1922" s="209" t="s">
        <v>174</v>
      </c>
      <c r="R1922" s="209" t="s">
        <v>175</v>
      </c>
      <c r="S1922" s="209" t="s">
        <v>176</v>
      </c>
      <c r="T1922" s="209" t="s">
        <v>177</v>
      </c>
      <c r="U1922" s="209" t="s">
        <v>178</v>
      </c>
      <c r="V1922" s="209" t="s">
        <v>179</v>
      </c>
      <c r="W1922" s="209" t="s">
        <v>179</v>
      </c>
      <c r="X1922" s="209" t="s">
        <v>180</v>
      </c>
      <c r="Y1922" s="209" t="s">
        <v>180</v>
      </c>
      <c r="Z1922" s="209" t="s">
        <v>4424</v>
      </c>
      <c r="AA1922" s="209" t="s">
        <v>4425</v>
      </c>
      <c r="AB1922" s="209" t="s">
        <v>180</v>
      </c>
      <c r="AC1922" s="209" t="s">
        <v>182</v>
      </c>
      <c r="AD1922" s="209" t="s">
        <v>4237</v>
      </c>
      <c r="AE1922" s="209" t="s">
        <v>4242</v>
      </c>
      <c r="AF1922" s="227">
        <v>46052</v>
      </c>
      <c r="AG1922" s="227">
        <v>46056</v>
      </c>
      <c r="AH1922" s="227">
        <v>46056</v>
      </c>
      <c r="AI1922" s="228">
        <v>351936</v>
      </c>
      <c r="AJ1922" s="228">
        <v>52</v>
      </c>
      <c r="AK1922" s="228">
        <v>351936</v>
      </c>
      <c r="AL1922" s="228">
        <v>52</v>
      </c>
      <c r="AM1922" s="228">
        <v>0</v>
      </c>
      <c r="AN1922" s="228">
        <v>0</v>
      </c>
      <c r="AO1922" s="229">
        <v>6</v>
      </c>
      <c r="AP1922" s="231">
        <v>2</v>
      </c>
      <c r="AQ1922" s="231">
        <v>2026</v>
      </c>
      <c r="AR1922" s="231" t="str">
        <f t="shared" si="279"/>
        <v>02/2026</v>
      </c>
      <c r="AS1922" s="231">
        <f t="shared" si="280"/>
        <v>54.7</v>
      </c>
      <c r="AT1922" s="239">
        <f>IF(G1922="CERVECERIA Y MALTERIA",(AS1922*AK1922/1000000)*(1-VLOOKUP(N1922,FCST!D:I,6,FALSE)),0)</f>
        <v>19.250899199999999</v>
      </c>
      <c r="AU1922" s="232">
        <v>5.0000000000000001E-3</v>
      </c>
      <c r="AV1922" s="239">
        <f t="shared" si="281"/>
        <v>19.347153695999996</v>
      </c>
      <c r="AW1922" s="239">
        <f>(AS1922*AK1922/1000000)*(VLOOKUP(N1922,FCST!D:I,6,FALSE))</f>
        <v>0</v>
      </c>
      <c r="AX1922" s="239">
        <f t="shared" si="282"/>
        <v>0</v>
      </c>
      <c r="AY1922" s="239">
        <f>IF($G1922="CERVECERIA Y MALTERIA.",($AS1922*$AK1922/1000000)*(1-VLOOKUP($N1922,FCST!D:I,6,FALSE)),0)</f>
        <v>0</v>
      </c>
      <c r="AZ1922" s="239">
        <f t="shared" si="283"/>
        <v>0</v>
      </c>
    </row>
    <row r="1923" spans="1:52" x14ac:dyDescent="0.25">
      <c r="A1923" s="209" t="s">
        <v>4452</v>
      </c>
      <c r="B1923" s="209" t="s">
        <v>4233</v>
      </c>
      <c r="C1923" s="209" t="s">
        <v>4453</v>
      </c>
      <c r="D1923" s="209" t="s">
        <v>4233</v>
      </c>
      <c r="E1923" s="209" t="s">
        <v>4235</v>
      </c>
      <c r="F1923" s="209" t="s">
        <v>4245</v>
      </c>
      <c r="G1923" s="209" t="s">
        <v>105</v>
      </c>
      <c r="H1923" s="209" t="s">
        <v>4245</v>
      </c>
      <c r="I1923" s="209" t="s">
        <v>4237</v>
      </c>
      <c r="J1923" s="209" t="s">
        <v>169</v>
      </c>
      <c r="K1923" s="209" t="s">
        <v>4454</v>
      </c>
      <c r="L1923" s="209" t="s">
        <v>265</v>
      </c>
      <c r="M1923" s="209" t="s">
        <v>172</v>
      </c>
      <c r="N1923" s="209">
        <v>50034194</v>
      </c>
      <c r="O1923" s="209" t="s">
        <v>276</v>
      </c>
      <c r="P1923" s="209" t="s">
        <v>4247</v>
      </c>
      <c r="Q1923" s="209" t="s">
        <v>174</v>
      </c>
      <c r="R1923" s="209" t="s">
        <v>175</v>
      </c>
      <c r="S1923" s="209" t="s">
        <v>176</v>
      </c>
      <c r="T1923" s="209" t="s">
        <v>177</v>
      </c>
      <c r="U1923" s="209" t="s">
        <v>178</v>
      </c>
      <c r="V1923" s="209" t="s">
        <v>179</v>
      </c>
      <c r="W1923" s="209" t="s">
        <v>179</v>
      </c>
      <c r="X1923" s="209" t="s">
        <v>180</v>
      </c>
      <c r="Y1923" s="209" t="s">
        <v>180</v>
      </c>
      <c r="Z1923" s="209" t="s">
        <v>4455</v>
      </c>
      <c r="AA1923" s="209" t="s">
        <v>4456</v>
      </c>
      <c r="AB1923" s="209" t="s">
        <v>180</v>
      </c>
      <c r="AC1923" s="209" t="s">
        <v>182</v>
      </c>
      <c r="AD1923" s="209" t="s">
        <v>4237</v>
      </c>
      <c r="AE1923" s="209" t="s">
        <v>4242</v>
      </c>
      <c r="AF1923" s="227">
        <v>46055</v>
      </c>
      <c r="AG1923" s="227">
        <v>46056</v>
      </c>
      <c r="AH1923" s="227">
        <v>46056</v>
      </c>
      <c r="AI1923" s="228">
        <v>97536</v>
      </c>
      <c r="AJ1923" s="228">
        <v>16</v>
      </c>
      <c r="AK1923" s="228">
        <v>97536</v>
      </c>
      <c r="AL1923" s="228">
        <v>16</v>
      </c>
      <c r="AM1923" s="228">
        <v>0</v>
      </c>
      <c r="AN1923" s="228">
        <v>0</v>
      </c>
      <c r="AO1923" s="229">
        <v>6</v>
      </c>
      <c r="AP1923" s="231">
        <v>2</v>
      </c>
      <c r="AQ1923" s="231">
        <v>2026</v>
      </c>
      <c r="AR1923" s="231" t="str">
        <f t="shared" si="279"/>
        <v>02/2026</v>
      </c>
      <c r="AS1923" s="231">
        <f t="shared" si="280"/>
        <v>62</v>
      </c>
      <c r="AT1923" s="239">
        <f>IF(G1923="CERVECERIA Y MALTERIA",(AS1923*AK1923/1000000)*(1-VLOOKUP(N1923,FCST!D:I,6,FALSE)),0)</f>
        <v>6.0472320000000002</v>
      </c>
      <c r="AU1923" s="232">
        <v>5.0000000000000001E-3</v>
      </c>
      <c r="AV1923" s="239">
        <f t="shared" si="281"/>
        <v>6.0774681599999996</v>
      </c>
      <c r="AW1923" s="239">
        <f>(AS1923*AK1923/1000000)*(VLOOKUP(N1923,FCST!D:I,6,FALSE))</f>
        <v>0</v>
      </c>
      <c r="AX1923" s="239">
        <f t="shared" si="282"/>
        <v>0</v>
      </c>
      <c r="AY1923" s="239">
        <f>IF($G1923="CERVECERIA Y MALTERIA.",($AS1923*$AK1923/1000000)*(1-VLOOKUP($N1923,FCST!D:I,6,FALSE)),0)</f>
        <v>0</v>
      </c>
      <c r="AZ1923" s="239">
        <f t="shared" si="283"/>
        <v>0</v>
      </c>
    </row>
    <row r="1924" spans="1:52" x14ac:dyDescent="0.25">
      <c r="A1924" s="209" t="s">
        <v>4452</v>
      </c>
      <c r="B1924" s="209" t="s">
        <v>4251</v>
      </c>
      <c r="C1924" s="209" t="s">
        <v>4453</v>
      </c>
      <c r="D1924" s="209" t="s">
        <v>4251</v>
      </c>
      <c r="E1924" s="209" t="s">
        <v>4235</v>
      </c>
      <c r="F1924" s="209" t="s">
        <v>4245</v>
      </c>
      <c r="G1924" s="209" t="s">
        <v>105</v>
      </c>
      <c r="H1924" s="209" t="s">
        <v>4245</v>
      </c>
      <c r="I1924" s="209" t="s">
        <v>4237</v>
      </c>
      <c r="J1924" s="209" t="s">
        <v>169</v>
      </c>
      <c r="K1924" s="209" t="s">
        <v>4454</v>
      </c>
      <c r="L1924" s="209" t="s">
        <v>265</v>
      </c>
      <c r="M1924" s="209" t="s">
        <v>172</v>
      </c>
      <c r="N1924" s="209">
        <v>50030542</v>
      </c>
      <c r="O1924" s="209" t="s">
        <v>2453</v>
      </c>
      <c r="P1924" s="209" t="s">
        <v>4247</v>
      </c>
      <c r="Q1924" s="209" t="s">
        <v>174</v>
      </c>
      <c r="R1924" s="209" t="s">
        <v>175</v>
      </c>
      <c r="S1924" s="209" t="s">
        <v>176</v>
      </c>
      <c r="T1924" s="209" t="s">
        <v>177</v>
      </c>
      <c r="U1924" s="209" t="s">
        <v>178</v>
      </c>
      <c r="V1924" s="209" t="s">
        <v>179</v>
      </c>
      <c r="W1924" s="209" t="s">
        <v>179</v>
      </c>
      <c r="X1924" s="209" t="s">
        <v>180</v>
      </c>
      <c r="Y1924" s="209" t="s">
        <v>180</v>
      </c>
      <c r="Z1924" s="209" t="s">
        <v>4455</v>
      </c>
      <c r="AA1924" s="209" t="s">
        <v>4456</v>
      </c>
      <c r="AB1924" s="209" t="s">
        <v>180</v>
      </c>
      <c r="AC1924" s="209" t="s">
        <v>182</v>
      </c>
      <c r="AD1924" s="209" t="s">
        <v>4237</v>
      </c>
      <c r="AE1924" s="209" t="s">
        <v>4242</v>
      </c>
      <c r="AF1924" s="227">
        <v>46055</v>
      </c>
      <c r="AG1924" s="227">
        <v>46056</v>
      </c>
      <c r="AH1924" s="227">
        <v>46056</v>
      </c>
      <c r="AI1924" s="228">
        <v>281664</v>
      </c>
      <c r="AJ1924" s="228">
        <v>36</v>
      </c>
      <c r="AK1924" s="228">
        <v>281664</v>
      </c>
      <c r="AL1924" s="228">
        <v>36</v>
      </c>
      <c r="AM1924" s="228">
        <v>0</v>
      </c>
      <c r="AN1924" s="228">
        <v>0</v>
      </c>
      <c r="AO1924" s="229">
        <v>6</v>
      </c>
      <c r="AP1924" s="231">
        <v>2</v>
      </c>
      <c r="AQ1924" s="231">
        <v>2026</v>
      </c>
      <c r="AR1924" s="231" t="str">
        <f t="shared" si="279"/>
        <v>02/2026</v>
      </c>
      <c r="AS1924" s="231">
        <f t="shared" si="280"/>
        <v>44</v>
      </c>
      <c r="AT1924" s="239">
        <f>IF(G1924="CERVECERIA Y MALTERIA",(AS1924*AK1924/1000000)*(1-VLOOKUP(N1924,FCST!D:I,6,FALSE)),0)</f>
        <v>12.393216000000001</v>
      </c>
      <c r="AU1924" s="232">
        <v>5.0000000000000001E-3</v>
      </c>
      <c r="AV1924" s="239">
        <f t="shared" si="281"/>
        <v>12.45518208</v>
      </c>
      <c r="AW1924" s="239">
        <f>(AS1924*AK1924/1000000)*(VLOOKUP(N1924,FCST!D:I,6,FALSE))</f>
        <v>0</v>
      </c>
      <c r="AX1924" s="239">
        <f t="shared" si="282"/>
        <v>0</v>
      </c>
      <c r="AY1924" s="239">
        <f>IF($G1924="CERVECERIA Y MALTERIA.",($AS1924*$AK1924/1000000)*(1-VLOOKUP($N1924,FCST!D:I,6,FALSE)),0)</f>
        <v>0</v>
      </c>
      <c r="AZ1924" s="239">
        <f t="shared" si="283"/>
        <v>0</v>
      </c>
    </row>
    <row r="1925" spans="1:52" x14ac:dyDescent="0.25">
      <c r="A1925" s="209" t="s">
        <v>4403</v>
      </c>
      <c r="B1925" s="209" t="s">
        <v>4457</v>
      </c>
      <c r="C1925" s="209" t="s">
        <v>4458</v>
      </c>
      <c r="D1925" s="209" t="s">
        <v>4233</v>
      </c>
      <c r="E1925" s="209" t="s">
        <v>4235</v>
      </c>
      <c r="F1925" s="209" t="s">
        <v>4253</v>
      </c>
      <c r="G1925" s="209" t="s">
        <v>105</v>
      </c>
      <c r="H1925" s="209" t="s">
        <v>4253</v>
      </c>
      <c r="I1925" s="209" t="s">
        <v>4237</v>
      </c>
      <c r="J1925" s="209" t="s">
        <v>169</v>
      </c>
      <c r="K1925" s="209" t="s">
        <v>4459</v>
      </c>
      <c r="L1925" s="209" t="s">
        <v>265</v>
      </c>
      <c r="M1925" s="209" t="s">
        <v>199</v>
      </c>
      <c r="N1925" s="209">
        <v>50034616</v>
      </c>
      <c r="O1925" s="209" t="s">
        <v>191</v>
      </c>
      <c r="P1925" s="209" t="s">
        <v>4247</v>
      </c>
      <c r="Q1925" s="209" t="s">
        <v>200</v>
      </c>
      <c r="R1925" s="209" t="s">
        <v>201</v>
      </c>
      <c r="S1925" s="209" t="s">
        <v>202</v>
      </c>
      <c r="T1925" s="209" t="s">
        <v>203</v>
      </c>
      <c r="U1925" s="209" t="s">
        <v>201</v>
      </c>
      <c r="V1925" s="209" t="s">
        <v>179</v>
      </c>
      <c r="W1925" s="209" t="s">
        <v>179</v>
      </c>
      <c r="X1925" s="209" t="s">
        <v>180</v>
      </c>
      <c r="Y1925" s="209" t="s">
        <v>180</v>
      </c>
      <c r="Z1925" s="209" t="s">
        <v>4335</v>
      </c>
      <c r="AA1925" s="209" t="s">
        <v>4336</v>
      </c>
      <c r="AB1925" s="209" t="s">
        <v>180</v>
      </c>
      <c r="AC1925" s="209" t="s">
        <v>182</v>
      </c>
      <c r="AD1925" s="209" t="s">
        <v>4237</v>
      </c>
      <c r="AE1925" s="209" t="s">
        <v>4242</v>
      </c>
      <c r="AF1925" s="227">
        <v>46059</v>
      </c>
      <c r="AG1925" s="227">
        <v>46065</v>
      </c>
      <c r="AH1925" s="227">
        <v>46066</v>
      </c>
      <c r="AI1925" s="228">
        <v>426816</v>
      </c>
      <c r="AJ1925" s="228">
        <v>52</v>
      </c>
      <c r="AK1925" s="228">
        <v>426816</v>
      </c>
      <c r="AL1925" s="228">
        <v>52</v>
      </c>
      <c r="AM1925" s="228">
        <v>0</v>
      </c>
      <c r="AN1925" s="228">
        <v>0</v>
      </c>
      <c r="AO1925" s="229">
        <v>7</v>
      </c>
      <c r="AP1925" s="231">
        <v>2</v>
      </c>
      <c r="AQ1925" s="231">
        <v>2026</v>
      </c>
      <c r="AR1925" s="231" t="str">
        <f t="shared" si="279"/>
        <v>02/2026</v>
      </c>
      <c r="AS1925" s="231">
        <f t="shared" si="280"/>
        <v>46.6</v>
      </c>
      <c r="AT1925" s="239">
        <f>IF(G1925="CERVECERIA Y MALTERIA",(AS1925*AK1925/1000000)*(1-VLOOKUP(N1925,FCST!D:I,6,FALSE)),0)</f>
        <v>19.889625600000002</v>
      </c>
      <c r="AU1925" s="232">
        <v>5.0000000000000001E-3</v>
      </c>
      <c r="AV1925" s="239">
        <f t="shared" si="281"/>
        <v>19.989073728000001</v>
      </c>
      <c r="AW1925" s="239">
        <f>(AS1925*AK1925/1000000)*(VLOOKUP(N1925,FCST!D:I,6,FALSE))</f>
        <v>0</v>
      </c>
      <c r="AX1925" s="239">
        <f t="shared" si="282"/>
        <v>0</v>
      </c>
      <c r="AY1925" s="239">
        <f>IF($G1925="CERVECERIA Y MALTERIA.",($AS1925*$AK1925/1000000)*(1-VLOOKUP($N1925,FCST!D:I,6,FALSE)),0)</f>
        <v>0</v>
      </c>
      <c r="AZ1925" s="239">
        <f t="shared" si="283"/>
        <v>0</v>
      </c>
    </row>
    <row r="1926" spans="1:52" x14ac:dyDescent="0.25">
      <c r="A1926" s="209" t="s">
        <v>4460</v>
      </c>
      <c r="B1926" s="209" t="s">
        <v>4233</v>
      </c>
      <c r="C1926" s="209" t="s">
        <v>4461</v>
      </c>
      <c r="D1926" s="209" t="s">
        <v>4233</v>
      </c>
      <c r="E1926" s="209" t="s">
        <v>4235</v>
      </c>
      <c r="F1926" s="209" t="s">
        <v>4245</v>
      </c>
      <c r="G1926" s="209" t="s">
        <v>105</v>
      </c>
      <c r="H1926" s="209" t="s">
        <v>4245</v>
      </c>
      <c r="I1926" s="209" t="s">
        <v>4237</v>
      </c>
      <c r="J1926" s="209" t="s">
        <v>169</v>
      </c>
      <c r="K1926" s="209" t="s">
        <v>4462</v>
      </c>
      <c r="L1926" s="209" t="s">
        <v>265</v>
      </c>
      <c r="M1926" s="209" t="s">
        <v>227</v>
      </c>
      <c r="N1926" s="209">
        <v>50036287</v>
      </c>
      <c r="O1926" s="209" t="s">
        <v>2191</v>
      </c>
      <c r="P1926" s="209" t="s">
        <v>4247</v>
      </c>
      <c r="Q1926" s="209" t="s">
        <v>228</v>
      </c>
      <c r="R1926" s="209" t="s">
        <v>229</v>
      </c>
      <c r="S1926" s="209" t="s">
        <v>230</v>
      </c>
      <c r="T1926" s="209" t="s">
        <v>231</v>
      </c>
      <c r="U1926" s="209" t="s">
        <v>232</v>
      </c>
      <c r="V1926" s="209" t="s">
        <v>179</v>
      </c>
      <c r="W1926" s="209" t="s">
        <v>179</v>
      </c>
      <c r="X1926" s="209" t="s">
        <v>180</v>
      </c>
      <c r="Y1926" s="209" t="s">
        <v>180</v>
      </c>
      <c r="Z1926" s="209" t="s">
        <v>4314</v>
      </c>
      <c r="AA1926" s="209" t="s">
        <v>4315</v>
      </c>
      <c r="AB1926" s="209" t="s">
        <v>180</v>
      </c>
      <c r="AC1926" s="209" t="s">
        <v>182</v>
      </c>
      <c r="AD1926" s="209" t="s">
        <v>4237</v>
      </c>
      <c r="AE1926" s="209" t="s">
        <v>4242</v>
      </c>
      <c r="AF1926" s="227">
        <v>46064</v>
      </c>
      <c r="AG1926" s="227">
        <v>46065</v>
      </c>
      <c r="AH1926" s="227">
        <v>46065</v>
      </c>
      <c r="AI1926" s="228">
        <v>364416</v>
      </c>
      <c r="AJ1926" s="228">
        <v>52</v>
      </c>
      <c r="AK1926" s="228">
        <v>363168</v>
      </c>
      <c r="AL1926" s="228">
        <v>52</v>
      </c>
      <c r="AM1926" s="228">
        <v>0</v>
      </c>
      <c r="AN1926" s="228">
        <v>1248</v>
      </c>
      <c r="AO1926" s="229">
        <v>7</v>
      </c>
      <c r="AP1926" s="231">
        <v>2</v>
      </c>
      <c r="AQ1926" s="231">
        <v>2026</v>
      </c>
      <c r="AR1926" s="231" t="str">
        <f t="shared" si="279"/>
        <v>02/2026</v>
      </c>
      <c r="AS1926" s="231">
        <f t="shared" si="280"/>
        <v>52</v>
      </c>
      <c r="AT1926" s="239">
        <f>IF(G1926="CERVECERIA Y MALTERIA",(AS1926*AK1926/1000000)*(1-VLOOKUP(N1926,FCST!D:I,6,FALSE)),0)</f>
        <v>18.884736</v>
      </c>
      <c r="AU1926" s="232">
        <v>5.0000000000000001E-3</v>
      </c>
      <c r="AV1926" s="239">
        <f t="shared" si="281"/>
        <v>18.979159679999999</v>
      </c>
      <c r="AW1926" s="239">
        <f>(AS1926*AK1926/1000000)*(VLOOKUP(N1926,FCST!D:I,6,FALSE))</f>
        <v>0</v>
      </c>
      <c r="AX1926" s="239">
        <f t="shared" si="282"/>
        <v>0</v>
      </c>
      <c r="AY1926" s="239">
        <f>IF($G1926="CERVECERIA Y MALTERIA.",($AS1926*$AK1926/1000000)*(1-VLOOKUP($N1926,FCST!D:I,6,FALSE)),0)</f>
        <v>0</v>
      </c>
      <c r="AZ1926" s="239">
        <f t="shared" si="283"/>
        <v>0</v>
      </c>
    </row>
    <row r="1927" spans="1:52" x14ac:dyDescent="0.25">
      <c r="A1927" s="209" t="s">
        <v>4403</v>
      </c>
      <c r="B1927" s="209" t="s">
        <v>4355</v>
      </c>
      <c r="C1927" s="209" t="s">
        <v>4463</v>
      </c>
      <c r="D1927" s="209" t="s">
        <v>4233</v>
      </c>
      <c r="E1927" s="209" t="s">
        <v>4235</v>
      </c>
      <c r="F1927" s="209" t="s">
        <v>4253</v>
      </c>
      <c r="G1927" s="209" t="s">
        <v>105</v>
      </c>
      <c r="H1927" s="209" t="s">
        <v>4253</v>
      </c>
      <c r="I1927" s="209" t="s">
        <v>4237</v>
      </c>
      <c r="J1927" s="209" t="s">
        <v>169</v>
      </c>
      <c r="K1927" s="209" t="s">
        <v>4464</v>
      </c>
      <c r="L1927" s="209" t="s">
        <v>265</v>
      </c>
      <c r="M1927" s="209" t="s">
        <v>199</v>
      </c>
      <c r="N1927" s="209">
        <v>50034616</v>
      </c>
      <c r="O1927" s="209" t="s">
        <v>191</v>
      </c>
      <c r="P1927" s="209" t="s">
        <v>4247</v>
      </c>
      <c r="Q1927" s="209" t="s">
        <v>200</v>
      </c>
      <c r="R1927" s="209" t="s">
        <v>201</v>
      </c>
      <c r="S1927" s="209" t="s">
        <v>202</v>
      </c>
      <c r="T1927" s="209" t="s">
        <v>203</v>
      </c>
      <c r="U1927" s="209" t="s">
        <v>201</v>
      </c>
      <c r="V1927" s="209" t="s">
        <v>179</v>
      </c>
      <c r="W1927" s="209" t="s">
        <v>179</v>
      </c>
      <c r="X1927" s="209" t="s">
        <v>180</v>
      </c>
      <c r="Y1927" s="209" t="s">
        <v>180</v>
      </c>
      <c r="Z1927" s="209" t="s">
        <v>4335</v>
      </c>
      <c r="AA1927" s="209" t="s">
        <v>4336</v>
      </c>
      <c r="AB1927" s="209" t="s">
        <v>180</v>
      </c>
      <c r="AC1927" s="209" t="s">
        <v>182</v>
      </c>
      <c r="AD1927" s="209" t="s">
        <v>4237</v>
      </c>
      <c r="AE1927" s="209" t="s">
        <v>4242</v>
      </c>
      <c r="AF1927" s="227">
        <v>46059</v>
      </c>
      <c r="AG1927" s="227">
        <v>46065</v>
      </c>
      <c r="AH1927" s="227">
        <v>46065</v>
      </c>
      <c r="AI1927" s="228">
        <v>426816</v>
      </c>
      <c r="AJ1927" s="228">
        <v>52</v>
      </c>
      <c r="AK1927" s="228">
        <v>426816</v>
      </c>
      <c r="AL1927" s="228">
        <v>52</v>
      </c>
      <c r="AM1927" s="228">
        <v>0</v>
      </c>
      <c r="AN1927" s="228">
        <v>0</v>
      </c>
      <c r="AO1927" s="229">
        <v>7</v>
      </c>
      <c r="AP1927" s="231">
        <v>2</v>
      </c>
      <c r="AQ1927" s="231">
        <v>2026</v>
      </c>
      <c r="AR1927" s="231" t="str">
        <f t="shared" si="279"/>
        <v>02/2026</v>
      </c>
      <c r="AS1927" s="231">
        <f t="shared" si="280"/>
        <v>46.6</v>
      </c>
      <c r="AT1927" s="239">
        <f>IF(G1927="CERVECERIA Y MALTERIA",(AS1927*AK1927/1000000)*(1-VLOOKUP(N1927,FCST!D:I,6,FALSE)),0)</f>
        <v>19.889625600000002</v>
      </c>
      <c r="AU1927" s="232">
        <v>5.0000000000000001E-3</v>
      </c>
      <c r="AV1927" s="239">
        <f t="shared" si="281"/>
        <v>19.989073728000001</v>
      </c>
      <c r="AW1927" s="239">
        <f>(AS1927*AK1927/1000000)*(VLOOKUP(N1927,FCST!D:I,6,FALSE))</f>
        <v>0</v>
      </c>
      <c r="AX1927" s="239">
        <f t="shared" si="282"/>
        <v>0</v>
      </c>
      <c r="AY1927" s="239">
        <f>IF($G1927="CERVECERIA Y MALTERIA.",($AS1927*$AK1927/1000000)*(1-VLOOKUP($N1927,FCST!D:I,6,FALSE)),0)</f>
        <v>0</v>
      </c>
      <c r="AZ1927" s="239">
        <f t="shared" si="283"/>
        <v>0</v>
      </c>
    </row>
    <row r="1928" spans="1:52" x14ac:dyDescent="0.25">
      <c r="A1928" s="209" t="s">
        <v>4465</v>
      </c>
      <c r="B1928" s="209" t="s">
        <v>4251</v>
      </c>
      <c r="C1928" s="209" t="s">
        <v>4466</v>
      </c>
      <c r="D1928" s="209" t="s">
        <v>4233</v>
      </c>
      <c r="E1928" s="209" t="s">
        <v>4235</v>
      </c>
      <c r="F1928" s="209" t="s">
        <v>4268</v>
      </c>
      <c r="G1928" s="209" t="s">
        <v>105</v>
      </c>
      <c r="H1928" s="209" t="s">
        <v>4268</v>
      </c>
      <c r="I1928" s="209" t="s">
        <v>4237</v>
      </c>
      <c r="J1928" s="209" t="s">
        <v>169</v>
      </c>
      <c r="K1928" s="209" t="s">
        <v>4467</v>
      </c>
      <c r="L1928" s="209" t="s">
        <v>265</v>
      </c>
      <c r="M1928" s="209" t="s">
        <v>199</v>
      </c>
      <c r="N1928" s="209">
        <v>50034616</v>
      </c>
      <c r="O1928" s="209" t="s">
        <v>191</v>
      </c>
      <c r="P1928" s="209" t="s">
        <v>4247</v>
      </c>
      <c r="Q1928" s="209" t="s">
        <v>200</v>
      </c>
      <c r="R1928" s="209" t="s">
        <v>201</v>
      </c>
      <c r="S1928" s="209" t="s">
        <v>202</v>
      </c>
      <c r="T1928" s="209" t="s">
        <v>203</v>
      </c>
      <c r="U1928" s="209" t="s">
        <v>201</v>
      </c>
      <c r="V1928" s="209" t="s">
        <v>179</v>
      </c>
      <c r="W1928" s="209" t="s">
        <v>179</v>
      </c>
      <c r="X1928" s="209" t="s">
        <v>180</v>
      </c>
      <c r="Y1928" s="209" t="s">
        <v>180</v>
      </c>
      <c r="Z1928" s="209" t="s">
        <v>4468</v>
      </c>
      <c r="AA1928" s="209" t="s">
        <v>4469</v>
      </c>
      <c r="AB1928" s="209" t="s">
        <v>180</v>
      </c>
      <c r="AC1928" s="209" t="s">
        <v>182</v>
      </c>
      <c r="AD1928" s="209" t="s">
        <v>4237</v>
      </c>
      <c r="AE1928" s="209" t="s">
        <v>4242</v>
      </c>
      <c r="AF1928" s="227">
        <v>46064</v>
      </c>
      <c r="AG1928" s="227">
        <v>46065</v>
      </c>
      <c r="AH1928" s="227">
        <v>46065</v>
      </c>
      <c r="AI1928" s="228">
        <v>426816</v>
      </c>
      <c r="AJ1928" s="228">
        <v>52</v>
      </c>
      <c r="AK1928" s="228">
        <v>426816</v>
      </c>
      <c r="AL1928" s="228">
        <v>52</v>
      </c>
      <c r="AM1928" s="228">
        <v>0</v>
      </c>
      <c r="AN1928" s="228">
        <v>0</v>
      </c>
      <c r="AO1928" s="229">
        <v>7</v>
      </c>
      <c r="AP1928" s="231">
        <v>2</v>
      </c>
      <c r="AQ1928" s="231">
        <v>2026</v>
      </c>
      <c r="AR1928" s="231" t="str">
        <f t="shared" si="279"/>
        <v>02/2026</v>
      </c>
      <c r="AS1928" s="231">
        <f t="shared" si="280"/>
        <v>46.6</v>
      </c>
      <c r="AT1928" s="239">
        <f>IF(G1928="CERVECERIA Y MALTERIA",(AS1928*AK1928/1000000)*(1-VLOOKUP(N1928,FCST!D:I,6,FALSE)),0)</f>
        <v>19.889625600000002</v>
      </c>
      <c r="AU1928" s="232">
        <v>5.0000000000000001E-3</v>
      </c>
      <c r="AV1928" s="239">
        <f t="shared" si="281"/>
        <v>19.989073728000001</v>
      </c>
      <c r="AW1928" s="239">
        <f>(AS1928*AK1928/1000000)*(VLOOKUP(N1928,FCST!D:I,6,FALSE))</f>
        <v>0</v>
      </c>
      <c r="AX1928" s="239">
        <f t="shared" si="282"/>
        <v>0</v>
      </c>
      <c r="AY1928" s="239">
        <f>IF($G1928="CERVECERIA Y MALTERIA.",($AS1928*$AK1928/1000000)*(1-VLOOKUP($N1928,FCST!D:I,6,FALSE)),0)</f>
        <v>0</v>
      </c>
      <c r="AZ1928" s="239">
        <f t="shared" si="283"/>
        <v>0</v>
      </c>
    </row>
    <row r="1929" spans="1:52" x14ac:dyDescent="0.25">
      <c r="A1929" s="209" t="s">
        <v>4299</v>
      </c>
      <c r="B1929" s="209" t="s">
        <v>4316</v>
      </c>
      <c r="C1929" s="209" t="s">
        <v>4470</v>
      </c>
      <c r="D1929" s="209" t="s">
        <v>4233</v>
      </c>
      <c r="E1929" s="209" t="s">
        <v>4235</v>
      </c>
      <c r="F1929" s="209" t="s">
        <v>4253</v>
      </c>
      <c r="G1929" s="209" t="s">
        <v>105</v>
      </c>
      <c r="H1929" s="209" t="s">
        <v>4253</v>
      </c>
      <c r="I1929" s="209" t="s">
        <v>4237</v>
      </c>
      <c r="J1929" s="209" t="s">
        <v>169</v>
      </c>
      <c r="K1929" s="209" t="s">
        <v>4471</v>
      </c>
      <c r="L1929" s="209" t="s">
        <v>265</v>
      </c>
      <c r="M1929" s="209" t="s">
        <v>199</v>
      </c>
      <c r="N1929" s="209">
        <v>50035183</v>
      </c>
      <c r="O1929" s="209" t="s">
        <v>215</v>
      </c>
      <c r="P1929" s="209" t="s">
        <v>4247</v>
      </c>
      <c r="Q1929" s="209" t="s">
        <v>200</v>
      </c>
      <c r="R1929" s="209" t="s">
        <v>201</v>
      </c>
      <c r="S1929" s="209" t="s">
        <v>202</v>
      </c>
      <c r="T1929" s="209" t="s">
        <v>203</v>
      </c>
      <c r="U1929" s="209" t="s">
        <v>201</v>
      </c>
      <c r="V1929" s="209" t="s">
        <v>179</v>
      </c>
      <c r="W1929" s="209" t="s">
        <v>179</v>
      </c>
      <c r="X1929" s="209" t="s">
        <v>180</v>
      </c>
      <c r="Y1929" s="209" t="s">
        <v>180</v>
      </c>
      <c r="Z1929" s="209" t="s">
        <v>4335</v>
      </c>
      <c r="AA1929" s="209" t="s">
        <v>4336</v>
      </c>
      <c r="AB1929" s="209" t="s">
        <v>180</v>
      </c>
      <c r="AC1929" s="209" t="s">
        <v>182</v>
      </c>
      <c r="AD1929" s="209" t="s">
        <v>4237</v>
      </c>
      <c r="AE1929" s="209" t="s">
        <v>4242</v>
      </c>
      <c r="AF1929" s="227">
        <v>46065</v>
      </c>
      <c r="AG1929" s="227">
        <v>46071</v>
      </c>
      <c r="AH1929" s="227">
        <v>46071</v>
      </c>
      <c r="AI1929" s="228">
        <v>426816</v>
      </c>
      <c r="AJ1929" s="228">
        <v>52</v>
      </c>
      <c r="AK1929" s="228">
        <v>426816</v>
      </c>
      <c r="AL1929" s="228">
        <v>52</v>
      </c>
      <c r="AM1929" s="228">
        <v>0</v>
      </c>
      <c r="AN1929" s="228">
        <v>0</v>
      </c>
      <c r="AO1929" s="229">
        <v>8</v>
      </c>
      <c r="AP1929" s="231">
        <v>2</v>
      </c>
      <c r="AQ1929" s="231">
        <v>2026</v>
      </c>
      <c r="AR1929" s="231" t="str">
        <f t="shared" si="279"/>
        <v>02/2026</v>
      </c>
      <c r="AS1929" s="231">
        <f t="shared" si="280"/>
        <v>46.6</v>
      </c>
      <c r="AT1929" s="239">
        <f>IF(G1929="CERVECERIA Y MALTERIA",(AS1929*AK1929/1000000)*(1-VLOOKUP(N1929,FCST!D:I,6,FALSE)),0)</f>
        <v>19.889625600000002</v>
      </c>
      <c r="AU1929" s="232">
        <v>5.0000000000000001E-3</v>
      </c>
      <c r="AV1929" s="239">
        <f t="shared" si="281"/>
        <v>19.989073728000001</v>
      </c>
      <c r="AW1929" s="239">
        <f>(AS1929*AK1929/1000000)*(VLOOKUP(N1929,FCST!D:I,6,FALSE))</f>
        <v>0</v>
      </c>
      <c r="AX1929" s="239">
        <f t="shared" si="282"/>
        <v>0</v>
      </c>
      <c r="AY1929" s="239">
        <f>IF($G1929="CERVECERIA Y MALTERIA.",($AS1929*$AK1929/1000000)*(1-VLOOKUP($N1929,FCST!D:I,6,FALSE)),0)</f>
        <v>0</v>
      </c>
      <c r="AZ1929" s="239">
        <f t="shared" si="283"/>
        <v>0</v>
      </c>
    </row>
    <row r="1930" spans="1:52" x14ac:dyDescent="0.25">
      <c r="A1930" s="209" t="s">
        <v>4403</v>
      </c>
      <c r="B1930" s="209" t="s">
        <v>4472</v>
      </c>
      <c r="C1930" s="209" t="s">
        <v>4473</v>
      </c>
      <c r="D1930" s="209" t="s">
        <v>4233</v>
      </c>
      <c r="E1930" s="209" t="s">
        <v>4235</v>
      </c>
      <c r="F1930" s="209" t="s">
        <v>4253</v>
      </c>
      <c r="G1930" s="209" t="s">
        <v>105</v>
      </c>
      <c r="H1930" s="209" t="s">
        <v>4253</v>
      </c>
      <c r="I1930" s="209" t="s">
        <v>4237</v>
      </c>
      <c r="J1930" s="209" t="s">
        <v>169</v>
      </c>
      <c r="K1930" s="209" t="s">
        <v>4474</v>
      </c>
      <c r="L1930" s="209" t="s">
        <v>265</v>
      </c>
      <c r="M1930" s="209" t="s">
        <v>199</v>
      </c>
      <c r="N1930" s="209">
        <v>50034616</v>
      </c>
      <c r="O1930" s="209" t="s">
        <v>191</v>
      </c>
      <c r="P1930" s="209" t="s">
        <v>4247</v>
      </c>
      <c r="Q1930" s="209" t="s">
        <v>200</v>
      </c>
      <c r="R1930" s="209" t="s">
        <v>201</v>
      </c>
      <c r="S1930" s="209" t="s">
        <v>202</v>
      </c>
      <c r="T1930" s="209" t="s">
        <v>203</v>
      </c>
      <c r="U1930" s="209" t="s">
        <v>201</v>
      </c>
      <c r="V1930" s="209" t="s">
        <v>179</v>
      </c>
      <c r="W1930" s="209" t="s">
        <v>179</v>
      </c>
      <c r="X1930" s="209" t="s">
        <v>180</v>
      </c>
      <c r="Y1930" s="209" t="s">
        <v>180</v>
      </c>
      <c r="Z1930" s="209" t="s">
        <v>4335</v>
      </c>
      <c r="AA1930" s="209" t="s">
        <v>4336</v>
      </c>
      <c r="AB1930" s="209" t="s">
        <v>180</v>
      </c>
      <c r="AC1930" s="209" t="s">
        <v>182</v>
      </c>
      <c r="AD1930" s="209" t="s">
        <v>4237</v>
      </c>
      <c r="AE1930" s="209" t="s">
        <v>4242</v>
      </c>
      <c r="AF1930" s="227">
        <v>46059</v>
      </c>
      <c r="AG1930" s="227">
        <v>46066</v>
      </c>
      <c r="AH1930" s="227">
        <v>46066</v>
      </c>
      <c r="AI1930" s="228">
        <v>426816</v>
      </c>
      <c r="AJ1930" s="228">
        <v>52</v>
      </c>
      <c r="AK1930" s="228">
        <v>426816</v>
      </c>
      <c r="AL1930" s="228">
        <v>52</v>
      </c>
      <c r="AM1930" s="228">
        <v>0</v>
      </c>
      <c r="AN1930" s="228">
        <v>0</v>
      </c>
      <c r="AO1930" s="229">
        <v>7</v>
      </c>
      <c r="AP1930" s="231">
        <v>2</v>
      </c>
      <c r="AQ1930" s="231">
        <v>2026</v>
      </c>
      <c r="AR1930" s="231" t="str">
        <f t="shared" si="279"/>
        <v>02/2026</v>
      </c>
      <c r="AS1930" s="231">
        <f t="shared" si="280"/>
        <v>46.6</v>
      </c>
      <c r="AT1930" s="239">
        <f>IF(G1930="CERVECERIA Y MALTERIA",(AS1930*AK1930/1000000)*(1-VLOOKUP(N1930,FCST!D:I,6,FALSE)),0)</f>
        <v>19.889625600000002</v>
      </c>
      <c r="AU1930" s="232">
        <v>5.0000000000000001E-3</v>
      </c>
      <c r="AV1930" s="239">
        <f t="shared" si="281"/>
        <v>19.989073728000001</v>
      </c>
      <c r="AW1930" s="239">
        <f>(AS1930*AK1930/1000000)*(VLOOKUP(N1930,FCST!D:I,6,FALSE))</f>
        <v>0</v>
      </c>
      <c r="AX1930" s="239">
        <f t="shared" si="282"/>
        <v>0</v>
      </c>
      <c r="AY1930" s="239">
        <f>IF($G1930="CERVECERIA Y MALTERIA.",($AS1930*$AK1930/1000000)*(1-VLOOKUP($N1930,FCST!D:I,6,FALSE)),0)</f>
        <v>0</v>
      </c>
      <c r="AZ1930" s="239">
        <f t="shared" si="283"/>
        <v>0</v>
      </c>
    </row>
    <row r="1931" spans="1:52" x14ac:dyDescent="0.25">
      <c r="A1931" s="209" t="s">
        <v>4460</v>
      </c>
      <c r="B1931" s="209" t="s">
        <v>4251</v>
      </c>
      <c r="C1931" s="209" t="s">
        <v>4475</v>
      </c>
      <c r="D1931" s="209" t="s">
        <v>4233</v>
      </c>
      <c r="E1931" s="209" t="s">
        <v>4235</v>
      </c>
      <c r="F1931" s="209" t="s">
        <v>4245</v>
      </c>
      <c r="G1931" s="209" t="s">
        <v>105</v>
      </c>
      <c r="H1931" s="209" t="s">
        <v>4245</v>
      </c>
      <c r="I1931" s="209" t="s">
        <v>4237</v>
      </c>
      <c r="J1931" s="209" t="s">
        <v>169</v>
      </c>
      <c r="K1931" s="209" t="s">
        <v>4476</v>
      </c>
      <c r="L1931" s="209" t="s">
        <v>265</v>
      </c>
      <c r="M1931" s="209" t="s">
        <v>227</v>
      </c>
      <c r="N1931" s="209">
        <v>50036287</v>
      </c>
      <c r="O1931" s="209" t="s">
        <v>2191</v>
      </c>
      <c r="P1931" s="209" t="s">
        <v>4247</v>
      </c>
      <c r="Q1931" s="209" t="s">
        <v>228</v>
      </c>
      <c r="R1931" s="209" t="s">
        <v>229</v>
      </c>
      <c r="S1931" s="209" t="s">
        <v>230</v>
      </c>
      <c r="T1931" s="209" t="s">
        <v>231</v>
      </c>
      <c r="U1931" s="209" t="s">
        <v>232</v>
      </c>
      <c r="V1931" s="209" t="s">
        <v>179</v>
      </c>
      <c r="W1931" s="209" t="s">
        <v>179</v>
      </c>
      <c r="X1931" s="209" t="s">
        <v>180</v>
      </c>
      <c r="Y1931" s="209" t="s">
        <v>180</v>
      </c>
      <c r="Z1931" s="209" t="s">
        <v>4314</v>
      </c>
      <c r="AA1931" s="209" t="s">
        <v>4315</v>
      </c>
      <c r="AB1931" s="209" t="s">
        <v>180</v>
      </c>
      <c r="AC1931" s="209" t="s">
        <v>182</v>
      </c>
      <c r="AD1931" s="209" t="s">
        <v>4237</v>
      </c>
      <c r="AE1931" s="209" t="s">
        <v>4242</v>
      </c>
      <c r="AF1931" s="227">
        <v>46064</v>
      </c>
      <c r="AG1931" s="227">
        <v>46065</v>
      </c>
      <c r="AH1931" s="227">
        <v>46066</v>
      </c>
      <c r="AI1931" s="228">
        <v>364416</v>
      </c>
      <c r="AJ1931" s="228">
        <v>52</v>
      </c>
      <c r="AK1931" s="228">
        <v>363168</v>
      </c>
      <c r="AL1931" s="228">
        <v>52</v>
      </c>
      <c r="AM1931" s="228">
        <v>0</v>
      </c>
      <c r="AN1931" s="228">
        <v>1248</v>
      </c>
      <c r="AO1931" s="229">
        <v>7</v>
      </c>
      <c r="AP1931" s="231">
        <v>2</v>
      </c>
      <c r="AQ1931" s="231">
        <v>2026</v>
      </c>
      <c r="AR1931" s="231" t="str">
        <f t="shared" si="279"/>
        <v>02/2026</v>
      </c>
      <c r="AS1931" s="231">
        <f t="shared" si="280"/>
        <v>52</v>
      </c>
      <c r="AT1931" s="239">
        <f>IF(G1931="CERVECERIA Y MALTERIA",(AS1931*AK1931/1000000)*(1-VLOOKUP(N1931,FCST!D:I,6,FALSE)),0)</f>
        <v>18.884736</v>
      </c>
      <c r="AU1931" s="232">
        <v>5.0000000000000001E-3</v>
      </c>
      <c r="AV1931" s="239">
        <f t="shared" si="281"/>
        <v>18.979159679999999</v>
      </c>
      <c r="AW1931" s="239">
        <f>(AS1931*AK1931/1000000)*(VLOOKUP(N1931,FCST!D:I,6,FALSE))</f>
        <v>0</v>
      </c>
      <c r="AX1931" s="239">
        <f t="shared" si="282"/>
        <v>0</v>
      </c>
      <c r="AY1931" s="239">
        <f>IF($G1931="CERVECERIA Y MALTERIA.",($AS1931*$AK1931/1000000)*(1-VLOOKUP($N1931,FCST!D:I,6,FALSE)),0)</f>
        <v>0</v>
      </c>
      <c r="AZ1931" s="239">
        <f t="shared" si="283"/>
        <v>0</v>
      </c>
    </row>
    <row r="1932" spans="1:52" x14ac:dyDescent="0.25">
      <c r="A1932" s="209" t="s">
        <v>4465</v>
      </c>
      <c r="B1932" s="209" t="s">
        <v>4233</v>
      </c>
      <c r="C1932" s="209" t="s">
        <v>4477</v>
      </c>
      <c r="D1932" s="209" t="s">
        <v>4233</v>
      </c>
      <c r="E1932" s="209" t="s">
        <v>4235</v>
      </c>
      <c r="F1932" s="209" t="s">
        <v>4268</v>
      </c>
      <c r="G1932" s="209" t="s">
        <v>105</v>
      </c>
      <c r="H1932" s="209" t="s">
        <v>4268</v>
      </c>
      <c r="I1932" s="209" t="s">
        <v>4237</v>
      </c>
      <c r="J1932" s="209" t="s">
        <v>169</v>
      </c>
      <c r="K1932" s="209" t="s">
        <v>4478</v>
      </c>
      <c r="L1932" s="209" t="s">
        <v>265</v>
      </c>
      <c r="M1932" s="209" t="s">
        <v>199</v>
      </c>
      <c r="N1932" s="209">
        <v>50037887</v>
      </c>
      <c r="O1932" s="209" t="s">
        <v>679</v>
      </c>
      <c r="P1932" s="209" t="s">
        <v>4247</v>
      </c>
      <c r="Q1932" s="209" t="s">
        <v>200</v>
      </c>
      <c r="R1932" s="209" t="s">
        <v>201</v>
      </c>
      <c r="S1932" s="209" t="s">
        <v>202</v>
      </c>
      <c r="T1932" s="209" t="s">
        <v>203</v>
      </c>
      <c r="U1932" s="209" t="s">
        <v>201</v>
      </c>
      <c r="V1932" s="209" t="s">
        <v>179</v>
      </c>
      <c r="W1932" s="209" t="s">
        <v>179</v>
      </c>
      <c r="X1932" s="209" t="s">
        <v>180</v>
      </c>
      <c r="Y1932" s="209" t="s">
        <v>180</v>
      </c>
      <c r="Z1932" s="209" t="s">
        <v>4479</v>
      </c>
      <c r="AA1932" s="209" t="s">
        <v>4480</v>
      </c>
      <c r="AB1932" s="209" t="s">
        <v>180</v>
      </c>
      <c r="AC1932" s="209" t="s">
        <v>182</v>
      </c>
      <c r="AD1932" s="209" t="s">
        <v>4237</v>
      </c>
      <c r="AE1932" s="209" t="s">
        <v>4242</v>
      </c>
      <c r="AF1932" s="227">
        <v>46064</v>
      </c>
      <c r="AG1932" s="227">
        <v>46066</v>
      </c>
      <c r="AH1932" s="227">
        <v>46066</v>
      </c>
      <c r="AI1932" s="228">
        <v>531648</v>
      </c>
      <c r="AJ1932" s="228">
        <v>52</v>
      </c>
      <c r="AK1932" s="228">
        <v>531648</v>
      </c>
      <c r="AL1932" s="228">
        <v>52</v>
      </c>
      <c r="AM1932" s="228">
        <v>0</v>
      </c>
      <c r="AN1932" s="228">
        <v>0</v>
      </c>
      <c r="AO1932" s="229">
        <v>7</v>
      </c>
      <c r="AP1932" s="231">
        <v>2</v>
      </c>
      <c r="AQ1932" s="231">
        <v>2026</v>
      </c>
      <c r="AR1932" s="231" t="str">
        <f t="shared" si="279"/>
        <v>02/2026</v>
      </c>
      <c r="AS1932" s="231">
        <f t="shared" si="280"/>
        <v>37.200000000000003</v>
      </c>
      <c r="AT1932" s="239">
        <f>IF(G1932="CERVECERIA Y MALTERIA",(AS1932*AK1932/1000000)*(1-VLOOKUP(N1932,FCST!D:I,6,FALSE)),0)</f>
        <v>19.777305600000002</v>
      </c>
      <c r="AU1932" s="232">
        <v>5.0000000000000001E-3</v>
      </c>
      <c r="AV1932" s="239">
        <f t="shared" si="281"/>
        <v>19.876192128</v>
      </c>
      <c r="AW1932" s="239">
        <f>(AS1932*AK1932/1000000)*(VLOOKUP(N1932,FCST!D:I,6,FALSE))</f>
        <v>0</v>
      </c>
      <c r="AX1932" s="239">
        <f t="shared" si="282"/>
        <v>0</v>
      </c>
      <c r="AY1932" s="239">
        <f>IF($G1932="CERVECERIA Y MALTERIA.",($AS1932*$AK1932/1000000)*(1-VLOOKUP($N1932,FCST!D:I,6,FALSE)),0)</f>
        <v>0</v>
      </c>
      <c r="AZ1932" s="239">
        <f t="shared" si="283"/>
        <v>0</v>
      </c>
    </row>
    <row r="1933" spans="1:52" x14ac:dyDescent="0.25">
      <c r="A1933" s="209" t="s">
        <v>4403</v>
      </c>
      <c r="B1933" s="209" t="s">
        <v>4481</v>
      </c>
      <c r="C1933" s="209" t="s">
        <v>4482</v>
      </c>
      <c r="D1933" s="209" t="s">
        <v>4233</v>
      </c>
      <c r="E1933" s="209" t="s">
        <v>4235</v>
      </c>
      <c r="F1933" s="209" t="s">
        <v>4253</v>
      </c>
      <c r="G1933" s="209" t="s">
        <v>105</v>
      </c>
      <c r="H1933" s="209" t="s">
        <v>4253</v>
      </c>
      <c r="I1933" s="209" t="s">
        <v>4237</v>
      </c>
      <c r="J1933" s="209" t="s">
        <v>169</v>
      </c>
      <c r="K1933" s="209" t="s">
        <v>4483</v>
      </c>
      <c r="L1933" s="209" t="s">
        <v>265</v>
      </c>
      <c r="M1933" s="209" t="s">
        <v>199</v>
      </c>
      <c r="N1933" s="209">
        <v>50037887</v>
      </c>
      <c r="O1933" s="209" t="s">
        <v>679</v>
      </c>
      <c r="P1933" s="209" t="s">
        <v>4247</v>
      </c>
      <c r="Q1933" s="209" t="s">
        <v>200</v>
      </c>
      <c r="R1933" s="209" t="s">
        <v>201</v>
      </c>
      <c r="S1933" s="209" t="s">
        <v>202</v>
      </c>
      <c r="T1933" s="209" t="s">
        <v>203</v>
      </c>
      <c r="U1933" s="209" t="s">
        <v>201</v>
      </c>
      <c r="V1933" s="209" t="s">
        <v>179</v>
      </c>
      <c r="W1933" s="209" t="s">
        <v>179</v>
      </c>
      <c r="X1933" s="209" t="s">
        <v>180</v>
      </c>
      <c r="Y1933" s="209" t="s">
        <v>180</v>
      </c>
      <c r="Z1933" s="209" t="s">
        <v>4259</v>
      </c>
      <c r="AA1933" s="209" t="s">
        <v>4260</v>
      </c>
      <c r="AB1933" s="209" t="s">
        <v>180</v>
      </c>
      <c r="AC1933" s="209" t="s">
        <v>182</v>
      </c>
      <c r="AD1933" s="209" t="s">
        <v>4237</v>
      </c>
      <c r="AE1933" s="209" t="s">
        <v>4242</v>
      </c>
      <c r="AF1933" s="227">
        <v>46059</v>
      </c>
      <c r="AG1933" s="227">
        <v>46066</v>
      </c>
      <c r="AH1933" s="227">
        <v>46066</v>
      </c>
      <c r="AI1933" s="228">
        <v>531648</v>
      </c>
      <c r="AJ1933" s="228">
        <v>52</v>
      </c>
      <c r="AK1933" s="228">
        <v>531648</v>
      </c>
      <c r="AL1933" s="228">
        <v>52</v>
      </c>
      <c r="AM1933" s="228">
        <v>0</v>
      </c>
      <c r="AN1933" s="228">
        <v>0</v>
      </c>
      <c r="AO1933" s="229">
        <v>7</v>
      </c>
      <c r="AP1933" s="231">
        <v>2</v>
      </c>
      <c r="AQ1933" s="231">
        <v>2026</v>
      </c>
      <c r="AR1933" s="231" t="str">
        <f t="shared" si="279"/>
        <v>02/2026</v>
      </c>
      <c r="AS1933" s="231">
        <f t="shared" si="280"/>
        <v>37.200000000000003</v>
      </c>
      <c r="AT1933" s="239">
        <f>IF(G1933="CERVECERIA Y MALTERIA",(AS1933*AK1933/1000000)*(1-VLOOKUP(N1933,FCST!D:I,6,FALSE)),0)</f>
        <v>19.777305600000002</v>
      </c>
      <c r="AU1933" s="232">
        <v>5.0000000000000001E-3</v>
      </c>
      <c r="AV1933" s="239">
        <f t="shared" si="281"/>
        <v>19.876192128</v>
      </c>
      <c r="AW1933" s="239">
        <f>(AS1933*AK1933/1000000)*(VLOOKUP(N1933,FCST!D:I,6,FALSE))</f>
        <v>0</v>
      </c>
      <c r="AX1933" s="239">
        <f t="shared" si="282"/>
        <v>0</v>
      </c>
      <c r="AY1933" s="239">
        <f>IF($G1933="CERVECERIA Y MALTERIA.",($AS1933*$AK1933/1000000)*(1-VLOOKUP($N1933,FCST!D:I,6,FALSE)),0)</f>
        <v>0</v>
      </c>
      <c r="AZ1933" s="239">
        <f t="shared" si="283"/>
        <v>0</v>
      </c>
    </row>
    <row r="1934" spans="1:52" x14ac:dyDescent="0.25">
      <c r="A1934" s="209" t="s">
        <v>4403</v>
      </c>
      <c r="B1934" s="209" t="s">
        <v>4370</v>
      </c>
      <c r="C1934" s="209" t="s">
        <v>4484</v>
      </c>
      <c r="D1934" s="209" t="s">
        <v>4233</v>
      </c>
      <c r="E1934" s="209" t="s">
        <v>4235</v>
      </c>
      <c r="F1934" s="209" t="s">
        <v>4253</v>
      </c>
      <c r="G1934" s="209" t="s">
        <v>105</v>
      </c>
      <c r="H1934" s="209" t="s">
        <v>4253</v>
      </c>
      <c r="I1934" s="209" t="s">
        <v>4237</v>
      </c>
      <c r="J1934" s="209" t="s">
        <v>169</v>
      </c>
      <c r="K1934" s="209" t="s">
        <v>4485</v>
      </c>
      <c r="L1934" s="209" t="s">
        <v>265</v>
      </c>
      <c r="M1934" s="209" t="s">
        <v>199</v>
      </c>
      <c r="N1934" s="209">
        <v>50034616</v>
      </c>
      <c r="O1934" s="209" t="s">
        <v>191</v>
      </c>
      <c r="P1934" s="209" t="s">
        <v>4247</v>
      </c>
      <c r="Q1934" s="209" t="s">
        <v>200</v>
      </c>
      <c r="R1934" s="209" t="s">
        <v>201</v>
      </c>
      <c r="S1934" s="209" t="s">
        <v>202</v>
      </c>
      <c r="T1934" s="209" t="s">
        <v>203</v>
      </c>
      <c r="U1934" s="209" t="s">
        <v>201</v>
      </c>
      <c r="V1934" s="209" t="s">
        <v>179</v>
      </c>
      <c r="W1934" s="209" t="s">
        <v>179</v>
      </c>
      <c r="X1934" s="209" t="s">
        <v>180</v>
      </c>
      <c r="Y1934" s="209" t="s">
        <v>180</v>
      </c>
      <c r="Z1934" s="209" t="s">
        <v>4335</v>
      </c>
      <c r="AA1934" s="209" t="s">
        <v>4336</v>
      </c>
      <c r="AB1934" s="209" t="s">
        <v>180</v>
      </c>
      <c r="AC1934" s="209" t="s">
        <v>182</v>
      </c>
      <c r="AD1934" s="209" t="s">
        <v>4237</v>
      </c>
      <c r="AE1934" s="209" t="s">
        <v>4242</v>
      </c>
      <c r="AF1934" s="227">
        <v>46059</v>
      </c>
      <c r="AG1934" s="227">
        <v>46063</v>
      </c>
      <c r="AH1934" s="227">
        <v>46063</v>
      </c>
      <c r="AI1934" s="228">
        <v>426816</v>
      </c>
      <c r="AJ1934" s="228">
        <v>52</v>
      </c>
      <c r="AK1934" s="228">
        <v>426816</v>
      </c>
      <c r="AL1934" s="228">
        <v>52</v>
      </c>
      <c r="AM1934" s="228">
        <v>0</v>
      </c>
      <c r="AN1934" s="228">
        <v>0</v>
      </c>
      <c r="AO1934" s="229">
        <v>7</v>
      </c>
      <c r="AP1934" s="231">
        <v>2</v>
      </c>
      <c r="AQ1934" s="231">
        <v>2026</v>
      </c>
      <c r="AR1934" s="231" t="str">
        <f t="shared" si="279"/>
        <v>02/2026</v>
      </c>
      <c r="AS1934" s="231">
        <f t="shared" si="280"/>
        <v>46.6</v>
      </c>
      <c r="AT1934" s="239">
        <f>IF(G1934="CERVECERIA Y MALTERIA",(AS1934*AK1934/1000000)*(1-VLOOKUP(N1934,FCST!D:I,6,FALSE)),0)</f>
        <v>19.889625600000002</v>
      </c>
      <c r="AU1934" s="232">
        <v>5.0000000000000001E-3</v>
      </c>
      <c r="AV1934" s="239">
        <f t="shared" si="281"/>
        <v>19.989073728000001</v>
      </c>
      <c r="AW1934" s="239">
        <f>(AS1934*AK1934/1000000)*(VLOOKUP(N1934,FCST!D:I,6,FALSE))</f>
        <v>0</v>
      </c>
      <c r="AX1934" s="239">
        <f t="shared" si="282"/>
        <v>0</v>
      </c>
      <c r="AY1934" s="239">
        <f>IF($G1934="CERVECERIA Y MALTERIA.",($AS1934*$AK1934/1000000)*(1-VLOOKUP($N1934,FCST!D:I,6,FALSE)),0)</f>
        <v>0</v>
      </c>
      <c r="AZ1934" s="239">
        <f t="shared" si="283"/>
        <v>0</v>
      </c>
    </row>
    <row r="1935" spans="1:52" x14ac:dyDescent="0.25">
      <c r="A1935" s="209" t="s">
        <v>4486</v>
      </c>
      <c r="B1935" s="209" t="s">
        <v>4233</v>
      </c>
      <c r="C1935" s="209" t="s">
        <v>4487</v>
      </c>
      <c r="D1935" s="209" t="s">
        <v>4233</v>
      </c>
      <c r="E1935" s="209" t="s">
        <v>4235</v>
      </c>
      <c r="F1935" s="209" t="s">
        <v>4236</v>
      </c>
      <c r="G1935" s="209" t="s">
        <v>117</v>
      </c>
      <c r="H1935" s="209" t="s">
        <v>4236</v>
      </c>
      <c r="I1935" s="209" t="s">
        <v>4237</v>
      </c>
      <c r="J1935" s="209" t="s">
        <v>169</v>
      </c>
      <c r="K1935" s="209" t="s">
        <v>4488</v>
      </c>
      <c r="L1935" s="209" t="s">
        <v>265</v>
      </c>
      <c r="M1935" s="209" t="s">
        <v>184</v>
      </c>
      <c r="N1935" s="209">
        <v>50039856</v>
      </c>
      <c r="O1935" s="209" t="s">
        <v>2871</v>
      </c>
      <c r="P1935" s="209" t="s">
        <v>4239</v>
      </c>
      <c r="Q1935" s="209" t="s">
        <v>186</v>
      </c>
      <c r="R1935" s="209" t="s">
        <v>175</v>
      </c>
      <c r="S1935" s="209" t="s">
        <v>176</v>
      </c>
      <c r="T1935" s="209" t="s">
        <v>187</v>
      </c>
      <c r="U1935" s="209" t="s">
        <v>188</v>
      </c>
      <c r="V1935" s="209" t="s">
        <v>179</v>
      </c>
      <c r="W1935" s="209" t="s">
        <v>179</v>
      </c>
      <c r="X1935" s="209" t="s">
        <v>180</v>
      </c>
      <c r="Y1935" s="209" t="s">
        <v>180</v>
      </c>
      <c r="Z1935" s="209" t="s">
        <v>4394</v>
      </c>
      <c r="AA1935" s="209" t="s">
        <v>4395</v>
      </c>
      <c r="AB1935" s="209" t="s">
        <v>180</v>
      </c>
      <c r="AC1935" s="209" t="s">
        <v>182</v>
      </c>
      <c r="AD1935" s="209" t="s">
        <v>4237</v>
      </c>
      <c r="AE1935" s="209" t="s">
        <v>4242</v>
      </c>
      <c r="AF1935" s="227">
        <v>46059</v>
      </c>
      <c r="AG1935" s="227">
        <v>46063</v>
      </c>
      <c r="AH1935" s="227">
        <v>46063</v>
      </c>
      <c r="AI1935" s="228">
        <v>399360</v>
      </c>
      <c r="AJ1935" s="228">
        <v>52</v>
      </c>
      <c r="AK1935" s="228">
        <v>399360</v>
      </c>
      <c r="AL1935" s="228">
        <v>52</v>
      </c>
      <c r="AM1935" s="228">
        <v>0</v>
      </c>
      <c r="AN1935" s="228">
        <v>0</v>
      </c>
      <c r="AO1935" s="229">
        <v>7</v>
      </c>
      <c r="AP1935" s="231">
        <v>2</v>
      </c>
      <c r="AQ1935" s="231">
        <v>2026</v>
      </c>
      <c r="AR1935" s="231" t="str">
        <f t="shared" si="279"/>
        <v>02/2026</v>
      </c>
      <c r="AS1935" s="231">
        <f t="shared" si="280"/>
        <v>52</v>
      </c>
      <c r="AT1935" s="239">
        <f>IF(G1935="CERVECERIA Y MALTERIA",(AS1935*AK1935/1000000)*(1-VLOOKUP(N1935,FCST!D:I,6,FALSE)),0)</f>
        <v>0</v>
      </c>
      <c r="AU1935" s="232">
        <v>5.0000000000000001E-3</v>
      </c>
      <c r="AV1935" s="239">
        <f t="shared" si="281"/>
        <v>0</v>
      </c>
      <c r="AW1935" s="239">
        <f>(AS1935*AK1935/1000000)*(VLOOKUP(N1935,FCST!D:I,6,FALSE))</f>
        <v>0</v>
      </c>
      <c r="AX1935" s="239">
        <f t="shared" si="282"/>
        <v>0</v>
      </c>
      <c r="AY1935" s="239">
        <f>IF($G1935="CERVECERIA Y MALTERIA.",($AS1935*$AK1935/1000000)*(1-VLOOKUP($N1935,FCST!D:I,6,FALSE)),0)</f>
        <v>20.766719999999999</v>
      </c>
      <c r="AZ1935" s="239">
        <f t="shared" si="283"/>
        <v>20.870553599999997</v>
      </c>
    </row>
    <row r="1936" spans="1:52" x14ac:dyDescent="0.25">
      <c r="A1936" s="209" t="s">
        <v>4403</v>
      </c>
      <c r="B1936" s="209" t="s">
        <v>4373</v>
      </c>
      <c r="C1936" s="209" t="s">
        <v>4489</v>
      </c>
      <c r="D1936" s="209" t="s">
        <v>4233</v>
      </c>
      <c r="E1936" s="209" t="s">
        <v>4235</v>
      </c>
      <c r="F1936" s="209" t="s">
        <v>4253</v>
      </c>
      <c r="G1936" s="209" t="s">
        <v>105</v>
      </c>
      <c r="H1936" s="209" t="s">
        <v>4253</v>
      </c>
      <c r="I1936" s="209" t="s">
        <v>4237</v>
      </c>
      <c r="J1936" s="209" t="s">
        <v>169</v>
      </c>
      <c r="K1936" s="209" t="s">
        <v>4490</v>
      </c>
      <c r="L1936" s="209" t="s">
        <v>265</v>
      </c>
      <c r="M1936" s="209" t="s">
        <v>199</v>
      </c>
      <c r="N1936" s="209">
        <v>50037887</v>
      </c>
      <c r="O1936" s="209" t="s">
        <v>679</v>
      </c>
      <c r="P1936" s="209" t="s">
        <v>4247</v>
      </c>
      <c r="Q1936" s="209" t="s">
        <v>200</v>
      </c>
      <c r="R1936" s="209" t="s">
        <v>201</v>
      </c>
      <c r="S1936" s="209" t="s">
        <v>202</v>
      </c>
      <c r="T1936" s="209" t="s">
        <v>203</v>
      </c>
      <c r="U1936" s="209" t="s">
        <v>201</v>
      </c>
      <c r="V1936" s="209" t="s">
        <v>179</v>
      </c>
      <c r="W1936" s="209" t="s">
        <v>179</v>
      </c>
      <c r="X1936" s="209" t="s">
        <v>180</v>
      </c>
      <c r="Y1936" s="209" t="s">
        <v>180</v>
      </c>
      <c r="Z1936" s="209" t="s">
        <v>4259</v>
      </c>
      <c r="AA1936" s="209" t="s">
        <v>4260</v>
      </c>
      <c r="AB1936" s="209" t="s">
        <v>180</v>
      </c>
      <c r="AC1936" s="209" t="s">
        <v>182</v>
      </c>
      <c r="AD1936" s="209" t="s">
        <v>4237</v>
      </c>
      <c r="AE1936" s="209" t="s">
        <v>4242</v>
      </c>
      <c r="AF1936" s="227">
        <v>46059</v>
      </c>
      <c r="AG1936" s="227">
        <v>46063</v>
      </c>
      <c r="AH1936" s="227">
        <v>46063</v>
      </c>
      <c r="AI1936" s="228">
        <v>531648</v>
      </c>
      <c r="AJ1936" s="228">
        <v>52</v>
      </c>
      <c r="AK1936" s="228">
        <v>531648</v>
      </c>
      <c r="AL1936" s="228">
        <v>52</v>
      </c>
      <c r="AM1936" s="228">
        <v>0</v>
      </c>
      <c r="AN1936" s="228">
        <v>0</v>
      </c>
      <c r="AO1936" s="229">
        <v>7</v>
      </c>
      <c r="AP1936" s="231">
        <v>2</v>
      </c>
      <c r="AQ1936" s="231">
        <v>2026</v>
      </c>
      <c r="AR1936" s="231" t="str">
        <f t="shared" si="279"/>
        <v>02/2026</v>
      </c>
      <c r="AS1936" s="231">
        <f t="shared" si="280"/>
        <v>37.200000000000003</v>
      </c>
      <c r="AT1936" s="239">
        <f>IF(G1936="CERVECERIA Y MALTERIA",(AS1936*AK1936/1000000)*(1-VLOOKUP(N1936,FCST!D:I,6,FALSE)),0)</f>
        <v>19.777305600000002</v>
      </c>
      <c r="AU1936" s="232">
        <v>5.0000000000000001E-3</v>
      </c>
      <c r="AV1936" s="239">
        <f t="shared" si="281"/>
        <v>19.876192128</v>
      </c>
      <c r="AW1936" s="239">
        <f>(AS1936*AK1936/1000000)*(VLOOKUP(N1936,FCST!D:I,6,FALSE))</f>
        <v>0</v>
      </c>
      <c r="AX1936" s="239">
        <f t="shared" si="282"/>
        <v>0</v>
      </c>
      <c r="AY1936" s="239">
        <f>IF($G1936="CERVECERIA Y MALTERIA.",($AS1936*$AK1936/1000000)*(1-VLOOKUP($N1936,FCST!D:I,6,FALSE)),0)</f>
        <v>0</v>
      </c>
      <c r="AZ1936" s="239">
        <f t="shared" si="283"/>
        <v>0</v>
      </c>
    </row>
    <row r="1937" spans="1:52" x14ac:dyDescent="0.25">
      <c r="A1937" s="209" t="s">
        <v>4491</v>
      </c>
      <c r="B1937" s="209" t="s">
        <v>4233</v>
      </c>
      <c r="C1937" s="209" t="s">
        <v>4492</v>
      </c>
      <c r="D1937" s="209" t="s">
        <v>4233</v>
      </c>
      <c r="E1937" s="209" t="s">
        <v>4235</v>
      </c>
      <c r="F1937" s="209" t="s">
        <v>4285</v>
      </c>
      <c r="G1937" s="209" t="s">
        <v>105</v>
      </c>
      <c r="H1937" s="209" t="s">
        <v>4285</v>
      </c>
      <c r="I1937" s="209" t="s">
        <v>4237</v>
      </c>
      <c r="J1937" s="209" t="s">
        <v>169</v>
      </c>
      <c r="K1937" s="209" t="s">
        <v>4493</v>
      </c>
      <c r="L1937" s="209" t="s">
        <v>265</v>
      </c>
      <c r="M1937" s="209" t="s">
        <v>199</v>
      </c>
      <c r="N1937" s="209">
        <v>50021818</v>
      </c>
      <c r="O1937" s="209" t="s">
        <v>2170</v>
      </c>
      <c r="P1937" s="209" t="s">
        <v>4247</v>
      </c>
      <c r="Q1937" s="209" t="s">
        <v>200</v>
      </c>
      <c r="R1937" s="209" t="s">
        <v>201</v>
      </c>
      <c r="S1937" s="209" t="s">
        <v>202</v>
      </c>
      <c r="T1937" s="209" t="s">
        <v>203</v>
      </c>
      <c r="U1937" s="209" t="s">
        <v>201</v>
      </c>
      <c r="V1937" s="209" t="s">
        <v>179</v>
      </c>
      <c r="W1937" s="209" t="s">
        <v>179</v>
      </c>
      <c r="X1937" s="209" t="s">
        <v>180</v>
      </c>
      <c r="Y1937" s="209" t="s">
        <v>180</v>
      </c>
      <c r="Z1937" s="209" t="s">
        <v>4297</v>
      </c>
      <c r="AA1937" s="209" t="s">
        <v>4298</v>
      </c>
      <c r="AB1937" s="209" t="s">
        <v>180</v>
      </c>
      <c r="AC1937" s="209" t="s">
        <v>182</v>
      </c>
      <c r="AD1937" s="209" t="s">
        <v>4237</v>
      </c>
      <c r="AE1937" s="209" t="s">
        <v>4242</v>
      </c>
      <c r="AF1937" s="227">
        <v>46059</v>
      </c>
      <c r="AG1937" s="227">
        <v>46062</v>
      </c>
      <c r="AH1937" s="227">
        <v>46063</v>
      </c>
      <c r="AI1937" s="228">
        <v>426816</v>
      </c>
      <c r="AJ1937" s="228">
        <v>52</v>
      </c>
      <c r="AK1937" s="228">
        <v>426816</v>
      </c>
      <c r="AL1937" s="228">
        <v>52</v>
      </c>
      <c r="AM1937" s="228">
        <v>0</v>
      </c>
      <c r="AN1937" s="228">
        <v>0</v>
      </c>
      <c r="AO1937" s="229">
        <v>7</v>
      </c>
      <c r="AP1937" s="231">
        <v>2</v>
      </c>
      <c r="AQ1937" s="231">
        <v>2026</v>
      </c>
      <c r="AR1937" s="231" t="str">
        <f t="shared" si="279"/>
        <v>02/2026</v>
      </c>
      <c r="AS1937" s="231">
        <f t="shared" si="280"/>
        <v>46.6</v>
      </c>
      <c r="AT1937" s="239">
        <f>IF(G1937="CERVECERIA Y MALTERIA",(AS1937*AK1937/1000000)*(1-VLOOKUP(N1937,FCST!D:I,6,FALSE)),0)</f>
        <v>19.889625600000002</v>
      </c>
      <c r="AU1937" s="232">
        <v>5.0000000000000001E-3</v>
      </c>
      <c r="AV1937" s="239">
        <f t="shared" si="281"/>
        <v>19.989073728000001</v>
      </c>
      <c r="AW1937" s="239">
        <f>(AS1937*AK1937/1000000)*(VLOOKUP(N1937,FCST!D:I,6,FALSE))</f>
        <v>0</v>
      </c>
      <c r="AX1937" s="239">
        <f t="shared" si="282"/>
        <v>0</v>
      </c>
      <c r="AY1937" s="239">
        <f>IF($G1937="CERVECERIA Y MALTERIA.",($AS1937*$AK1937/1000000)*(1-VLOOKUP($N1937,FCST!D:I,6,FALSE)),0)</f>
        <v>0</v>
      </c>
      <c r="AZ1937" s="239">
        <f t="shared" si="283"/>
        <v>0</v>
      </c>
    </row>
    <row r="1938" spans="1:52" x14ac:dyDescent="0.25">
      <c r="A1938" s="209" t="s">
        <v>4494</v>
      </c>
      <c r="B1938" s="209" t="s">
        <v>4233</v>
      </c>
      <c r="C1938" s="209" t="s">
        <v>4495</v>
      </c>
      <c r="D1938" s="209" t="s">
        <v>4233</v>
      </c>
      <c r="E1938" s="209" t="s">
        <v>4235</v>
      </c>
      <c r="F1938" s="209" t="s">
        <v>4279</v>
      </c>
      <c r="G1938" s="209" t="s">
        <v>105</v>
      </c>
      <c r="H1938" s="209" t="s">
        <v>4279</v>
      </c>
      <c r="I1938" s="209" t="s">
        <v>4237</v>
      </c>
      <c r="J1938" s="209" t="s">
        <v>169</v>
      </c>
      <c r="K1938" s="209" t="s">
        <v>4496</v>
      </c>
      <c r="L1938" s="209" t="s">
        <v>265</v>
      </c>
      <c r="M1938" s="209" t="s">
        <v>184</v>
      </c>
      <c r="N1938" s="209">
        <v>50025345</v>
      </c>
      <c r="O1938" s="209" t="s">
        <v>1998</v>
      </c>
      <c r="P1938" s="209" t="s">
        <v>4247</v>
      </c>
      <c r="Q1938" s="209" t="s">
        <v>174</v>
      </c>
      <c r="R1938" s="209" t="s">
        <v>175</v>
      </c>
      <c r="S1938" s="209" t="s">
        <v>176</v>
      </c>
      <c r="T1938" s="209" t="s">
        <v>177</v>
      </c>
      <c r="U1938" s="209" t="s">
        <v>178</v>
      </c>
      <c r="V1938" s="209" t="s">
        <v>179</v>
      </c>
      <c r="W1938" s="209" t="s">
        <v>179</v>
      </c>
      <c r="X1938" s="209" t="s">
        <v>180</v>
      </c>
      <c r="Y1938" s="209" t="s">
        <v>180</v>
      </c>
      <c r="Z1938" s="209" t="s">
        <v>4497</v>
      </c>
      <c r="AA1938" s="209" t="s">
        <v>4498</v>
      </c>
      <c r="AB1938" s="209" t="s">
        <v>180</v>
      </c>
      <c r="AC1938" s="209" t="s">
        <v>182</v>
      </c>
      <c r="AD1938" s="209" t="s">
        <v>4237</v>
      </c>
      <c r="AE1938" s="209" t="s">
        <v>4242</v>
      </c>
      <c r="AF1938" s="227">
        <v>46059</v>
      </c>
      <c r="AG1938" s="227">
        <v>46062</v>
      </c>
      <c r="AH1938" s="227">
        <v>46063</v>
      </c>
      <c r="AI1938" s="228">
        <v>164160</v>
      </c>
      <c r="AJ1938" s="228">
        <v>20</v>
      </c>
      <c r="AK1938" s="228">
        <v>164160</v>
      </c>
      <c r="AL1938" s="228">
        <v>20</v>
      </c>
      <c r="AM1938" s="228">
        <v>0</v>
      </c>
      <c r="AN1938" s="228">
        <v>0</v>
      </c>
      <c r="AO1938" s="229">
        <v>7</v>
      </c>
      <c r="AP1938" s="231">
        <v>2</v>
      </c>
      <c r="AQ1938" s="231">
        <v>2026</v>
      </c>
      <c r="AR1938" s="231" t="str">
        <f t="shared" si="279"/>
        <v>02/2026</v>
      </c>
      <c r="AS1938" s="231">
        <f t="shared" si="280"/>
        <v>46.6</v>
      </c>
      <c r="AT1938" s="239">
        <f>IF(G1938="CERVECERIA Y MALTERIA",(AS1938*AK1938/1000000)*(1-VLOOKUP(N1938,FCST!D:I,6,FALSE)),0)</f>
        <v>7.6498559999999998</v>
      </c>
      <c r="AU1938" s="232">
        <v>5.0000000000000001E-3</v>
      </c>
      <c r="AV1938" s="239">
        <f t="shared" si="281"/>
        <v>7.6881052799999994</v>
      </c>
      <c r="AW1938" s="239">
        <f>(AS1938*AK1938/1000000)*(VLOOKUP(N1938,FCST!D:I,6,FALSE))</f>
        <v>0</v>
      </c>
      <c r="AX1938" s="239">
        <f t="shared" si="282"/>
        <v>0</v>
      </c>
      <c r="AY1938" s="239">
        <f>IF($G1938="CERVECERIA Y MALTERIA.",($AS1938*$AK1938/1000000)*(1-VLOOKUP($N1938,FCST!D:I,6,FALSE)),0)</f>
        <v>0</v>
      </c>
      <c r="AZ1938" s="239">
        <f t="shared" si="283"/>
        <v>0</v>
      </c>
    </row>
    <row r="1939" spans="1:52" x14ac:dyDescent="0.25">
      <c r="A1939" s="209" t="s">
        <v>4494</v>
      </c>
      <c r="B1939" s="209" t="s">
        <v>4251</v>
      </c>
      <c r="C1939" s="209" t="s">
        <v>4495</v>
      </c>
      <c r="D1939" s="209" t="s">
        <v>4251</v>
      </c>
      <c r="E1939" s="209" t="s">
        <v>4235</v>
      </c>
      <c r="F1939" s="209" t="s">
        <v>4279</v>
      </c>
      <c r="G1939" s="209" t="s">
        <v>105</v>
      </c>
      <c r="H1939" s="209" t="s">
        <v>4279</v>
      </c>
      <c r="I1939" s="209" t="s">
        <v>4237</v>
      </c>
      <c r="J1939" s="209" t="s">
        <v>169</v>
      </c>
      <c r="K1939" s="209" t="s">
        <v>4496</v>
      </c>
      <c r="L1939" s="209" t="s">
        <v>265</v>
      </c>
      <c r="M1939" s="209" t="s">
        <v>184</v>
      </c>
      <c r="N1939" s="209">
        <v>50032583</v>
      </c>
      <c r="O1939" s="209" t="s">
        <v>205</v>
      </c>
      <c r="P1939" s="209" t="s">
        <v>4247</v>
      </c>
      <c r="Q1939" s="209" t="s">
        <v>174</v>
      </c>
      <c r="R1939" s="209" t="s">
        <v>175</v>
      </c>
      <c r="S1939" s="209" t="s">
        <v>176</v>
      </c>
      <c r="T1939" s="209" t="s">
        <v>177</v>
      </c>
      <c r="U1939" s="209" t="s">
        <v>178</v>
      </c>
      <c r="V1939" s="209" t="s">
        <v>179</v>
      </c>
      <c r="W1939" s="209" t="s">
        <v>179</v>
      </c>
      <c r="X1939" s="209" t="s">
        <v>180</v>
      </c>
      <c r="Y1939" s="209" t="s">
        <v>180</v>
      </c>
      <c r="Z1939" s="209" t="s">
        <v>4497</v>
      </c>
      <c r="AA1939" s="209" t="s">
        <v>4498</v>
      </c>
      <c r="AB1939" s="209" t="s">
        <v>180</v>
      </c>
      <c r="AC1939" s="209" t="s">
        <v>182</v>
      </c>
      <c r="AD1939" s="209" t="s">
        <v>4237</v>
      </c>
      <c r="AE1939" s="209" t="s">
        <v>4242</v>
      </c>
      <c r="AF1939" s="227">
        <v>46059</v>
      </c>
      <c r="AG1939" s="227">
        <v>46062</v>
      </c>
      <c r="AH1939" s="227">
        <v>46063</v>
      </c>
      <c r="AI1939" s="228">
        <v>189504</v>
      </c>
      <c r="AJ1939" s="228">
        <v>28</v>
      </c>
      <c r="AK1939" s="228">
        <v>189504</v>
      </c>
      <c r="AL1939" s="228">
        <v>28</v>
      </c>
      <c r="AM1939" s="228">
        <v>0</v>
      </c>
      <c r="AN1939" s="228">
        <v>0</v>
      </c>
      <c r="AO1939" s="229">
        <v>7</v>
      </c>
      <c r="AP1939" s="231">
        <v>2</v>
      </c>
      <c r="AQ1939" s="231">
        <v>2026</v>
      </c>
      <c r="AR1939" s="231" t="str">
        <f t="shared" si="279"/>
        <v>02/2026</v>
      </c>
      <c r="AS1939" s="231">
        <f t="shared" si="280"/>
        <v>54.7</v>
      </c>
      <c r="AT1939" s="239">
        <f>IF(G1939="CERVECERIA Y MALTERIA",(AS1939*AK1939/1000000)*(1-VLOOKUP(N1939,FCST!D:I,6,FALSE)),0)</f>
        <v>10.365868800000001</v>
      </c>
      <c r="AU1939" s="232">
        <v>5.0000000000000001E-3</v>
      </c>
      <c r="AV1939" s="239">
        <f t="shared" si="281"/>
        <v>10.417698144000001</v>
      </c>
      <c r="AW1939" s="239">
        <f>(AS1939*AK1939/1000000)*(VLOOKUP(N1939,FCST!D:I,6,FALSE))</f>
        <v>0</v>
      </c>
      <c r="AX1939" s="239">
        <f t="shared" si="282"/>
        <v>0</v>
      </c>
      <c r="AY1939" s="239">
        <f>IF($G1939="CERVECERIA Y MALTERIA.",($AS1939*$AK1939/1000000)*(1-VLOOKUP($N1939,FCST!D:I,6,FALSE)),0)</f>
        <v>0</v>
      </c>
      <c r="AZ1939" s="239">
        <f t="shared" si="283"/>
        <v>0</v>
      </c>
    </row>
    <row r="1940" spans="1:52" x14ac:dyDescent="0.25">
      <c r="A1940" s="209" t="s">
        <v>4403</v>
      </c>
      <c r="B1940" s="209" t="s">
        <v>4263</v>
      </c>
      <c r="C1940" s="209" t="s">
        <v>4499</v>
      </c>
      <c r="D1940" s="209" t="s">
        <v>4233</v>
      </c>
      <c r="E1940" s="209" t="s">
        <v>4235</v>
      </c>
      <c r="F1940" s="209" t="s">
        <v>4253</v>
      </c>
      <c r="G1940" s="209" t="s">
        <v>105</v>
      </c>
      <c r="H1940" s="209" t="s">
        <v>4253</v>
      </c>
      <c r="I1940" s="209" t="s">
        <v>4237</v>
      </c>
      <c r="J1940" s="209" t="s">
        <v>169</v>
      </c>
      <c r="K1940" s="209" t="s">
        <v>4500</v>
      </c>
      <c r="L1940" s="209" t="s">
        <v>265</v>
      </c>
      <c r="M1940" s="209" t="s">
        <v>199</v>
      </c>
      <c r="N1940" s="209">
        <v>50035184</v>
      </c>
      <c r="O1940" s="209" t="s">
        <v>672</v>
      </c>
      <c r="P1940" s="209" t="s">
        <v>4247</v>
      </c>
      <c r="Q1940" s="209" t="s">
        <v>200</v>
      </c>
      <c r="R1940" s="209" t="s">
        <v>201</v>
      </c>
      <c r="S1940" s="209" t="s">
        <v>202</v>
      </c>
      <c r="T1940" s="209" t="s">
        <v>203</v>
      </c>
      <c r="U1940" s="209" t="s">
        <v>201</v>
      </c>
      <c r="V1940" s="209" t="s">
        <v>179</v>
      </c>
      <c r="W1940" s="209" t="s">
        <v>179</v>
      </c>
      <c r="X1940" s="209" t="s">
        <v>180</v>
      </c>
      <c r="Y1940" s="209" t="s">
        <v>180</v>
      </c>
      <c r="Z1940" s="209" t="s">
        <v>4302</v>
      </c>
      <c r="AA1940" s="209" t="s">
        <v>4303</v>
      </c>
      <c r="AB1940" s="209" t="s">
        <v>180</v>
      </c>
      <c r="AC1940" s="209" t="s">
        <v>182</v>
      </c>
      <c r="AD1940" s="209" t="s">
        <v>4237</v>
      </c>
      <c r="AE1940" s="209" t="s">
        <v>4242</v>
      </c>
      <c r="AF1940" s="227">
        <v>46059</v>
      </c>
      <c r="AG1940" s="227">
        <v>46063</v>
      </c>
      <c r="AH1940" s="227">
        <v>46063</v>
      </c>
      <c r="AI1940" s="228">
        <v>977184</v>
      </c>
      <c r="AJ1940" s="228">
        <v>52</v>
      </c>
      <c r="AK1940" s="228">
        <v>977184</v>
      </c>
      <c r="AL1940" s="228">
        <v>52</v>
      </c>
      <c r="AM1940" s="228">
        <v>0</v>
      </c>
      <c r="AN1940" s="228">
        <v>0</v>
      </c>
      <c r="AO1940" s="229">
        <v>7</v>
      </c>
      <c r="AP1940" s="231">
        <v>2</v>
      </c>
      <c r="AQ1940" s="231">
        <v>2026</v>
      </c>
      <c r="AR1940" s="231" t="str">
        <f t="shared" si="279"/>
        <v>02/2026</v>
      </c>
      <c r="AS1940" s="231">
        <f t="shared" si="280"/>
        <v>19.5</v>
      </c>
      <c r="AT1940" s="239">
        <f>IF(G1940="CERVECERIA Y MALTERIA",(AS1940*AK1940/1000000)*(1-VLOOKUP(N1940,FCST!D:I,6,FALSE)),0)</f>
        <v>19.055088000000001</v>
      </c>
      <c r="AU1940" s="232">
        <v>5.0000000000000001E-3</v>
      </c>
      <c r="AV1940" s="239">
        <f t="shared" si="281"/>
        <v>19.15036344</v>
      </c>
      <c r="AW1940" s="239">
        <f>(AS1940*AK1940/1000000)*(VLOOKUP(N1940,FCST!D:I,6,FALSE))</f>
        <v>0</v>
      </c>
      <c r="AX1940" s="239">
        <f t="shared" si="282"/>
        <v>0</v>
      </c>
      <c r="AY1940" s="239">
        <f>IF($G1940="CERVECERIA Y MALTERIA.",($AS1940*$AK1940/1000000)*(1-VLOOKUP($N1940,FCST!D:I,6,FALSE)),0)</f>
        <v>0</v>
      </c>
      <c r="AZ1940" s="239">
        <f t="shared" si="283"/>
        <v>0</v>
      </c>
    </row>
    <row r="1941" spans="1:52" x14ac:dyDescent="0.25">
      <c r="A1941" s="209" t="s">
        <v>4403</v>
      </c>
      <c r="B1941" s="209" t="s">
        <v>4337</v>
      </c>
      <c r="C1941" s="209" t="s">
        <v>4501</v>
      </c>
      <c r="D1941" s="209" t="s">
        <v>4233</v>
      </c>
      <c r="E1941" s="209" t="s">
        <v>4235</v>
      </c>
      <c r="F1941" s="209" t="s">
        <v>4253</v>
      </c>
      <c r="G1941" s="209" t="s">
        <v>105</v>
      </c>
      <c r="H1941" s="209" t="s">
        <v>4253</v>
      </c>
      <c r="I1941" s="209" t="s">
        <v>4237</v>
      </c>
      <c r="J1941" s="209" t="s">
        <v>169</v>
      </c>
      <c r="K1941" s="209" t="s">
        <v>4502</v>
      </c>
      <c r="L1941" s="209" t="s">
        <v>265</v>
      </c>
      <c r="M1941" s="209" t="s">
        <v>172</v>
      </c>
      <c r="N1941" s="209">
        <v>50034561</v>
      </c>
      <c r="O1941" s="209" t="s">
        <v>307</v>
      </c>
      <c r="P1941" s="209" t="s">
        <v>4247</v>
      </c>
      <c r="Q1941" s="209" t="s">
        <v>174</v>
      </c>
      <c r="R1941" s="209" t="s">
        <v>175</v>
      </c>
      <c r="S1941" s="209" t="s">
        <v>176</v>
      </c>
      <c r="T1941" s="209" t="s">
        <v>177</v>
      </c>
      <c r="U1941" s="209" t="s">
        <v>178</v>
      </c>
      <c r="V1941" s="209" t="s">
        <v>179</v>
      </c>
      <c r="W1941" s="209" t="s">
        <v>179</v>
      </c>
      <c r="X1941" s="209" t="s">
        <v>180</v>
      </c>
      <c r="Y1941" s="209" t="s">
        <v>180</v>
      </c>
      <c r="Z1941" s="209" t="s">
        <v>4408</v>
      </c>
      <c r="AA1941" s="209" t="s">
        <v>4409</v>
      </c>
      <c r="AB1941" s="209" t="s">
        <v>180</v>
      </c>
      <c r="AC1941" s="209" t="s">
        <v>182</v>
      </c>
      <c r="AD1941" s="209" t="s">
        <v>4237</v>
      </c>
      <c r="AE1941" s="209" t="s">
        <v>4242</v>
      </c>
      <c r="AF1941" s="227">
        <v>46059</v>
      </c>
      <c r="AG1941" s="227">
        <v>46064</v>
      </c>
      <c r="AH1941" s="227">
        <v>46064</v>
      </c>
      <c r="AI1941" s="228">
        <v>977184</v>
      </c>
      <c r="AJ1941" s="228">
        <v>52</v>
      </c>
      <c r="AK1941" s="228">
        <v>977184</v>
      </c>
      <c r="AL1941" s="228">
        <v>52</v>
      </c>
      <c r="AM1941" s="228">
        <v>0</v>
      </c>
      <c r="AN1941" s="228">
        <v>0</v>
      </c>
      <c r="AO1941" s="229">
        <v>7</v>
      </c>
      <c r="AP1941" s="231">
        <v>2</v>
      </c>
      <c r="AQ1941" s="231">
        <v>2026</v>
      </c>
      <c r="AR1941" s="231" t="str">
        <f t="shared" si="279"/>
        <v>02/2026</v>
      </c>
      <c r="AS1941" s="231">
        <f t="shared" si="280"/>
        <v>19.5</v>
      </c>
      <c r="AT1941" s="239">
        <f>IF(G1941="CERVECERIA Y MALTERIA",(AS1941*AK1941/1000000)*(1-VLOOKUP(N1941,FCST!D:I,6,FALSE)),0)</f>
        <v>19.055088000000001</v>
      </c>
      <c r="AU1941" s="232">
        <v>5.0000000000000001E-3</v>
      </c>
      <c r="AV1941" s="239">
        <f t="shared" si="281"/>
        <v>19.15036344</v>
      </c>
      <c r="AW1941" s="239">
        <f>(AS1941*AK1941/1000000)*(VLOOKUP(N1941,FCST!D:I,6,FALSE))</f>
        <v>0</v>
      </c>
      <c r="AX1941" s="239">
        <f t="shared" si="282"/>
        <v>0</v>
      </c>
      <c r="AY1941" s="239">
        <f>IF($G1941="CERVECERIA Y MALTERIA.",($AS1941*$AK1941/1000000)*(1-VLOOKUP($N1941,FCST!D:I,6,FALSE)),0)</f>
        <v>0</v>
      </c>
      <c r="AZ1941" s="239">
        <f t="shared" si="283"/>
        <v>0</v>
      </c>
    </row>
    <row r="1942" spans="1:52" x14ac:dyDescent="0.25">
      <c r="A1942" s="209" t="s">
        <v>4491</v>
      </c>
      <c r="B1942" s="209" t="s">
        <v>4316</v>
      </c>
      <c r="C1942" s="209" t="s">
        <v>4503</v>
      </c>
      <c r="D1942" s="209" t="s">
        <v>4233</v>
      </c>
      <c r="E1942" s="209" t="s">
        <v>4235</v>
      </c>
      <c r="F1942" s="209" t="s">
        <v>4285</v>
      </c>
      <c r="G1942" s="209" t="s">
        <v>105</v>
      </c>
      <c r="H1942" s="209" t="s">
        <v>4285</v>
      </c>
      <c r="I1942" s="209" t="s">
        <v>4237</v>
      </c>
      <c r="J1942" s="209" t="s">
        <v>169</v>
      </c>
      <c r="K1942" s="209" t="s">
        <v>4504</v>
      </c>
      <c r="L1942" s="209" t="s">
        <v>265</v>
      </c>
      <c r="M1942" s="209" t="s">
        <v>199</v>
      </c>
      <c r="N1942" s="209">
        <v>50021818</v>
      </c>
      <c r="O1942" s="209" t="s">
        <v>2170</v>
      </c>
      <c r="P1942" s="209" t="s">
        <v>4247</v>
      </c>
      <c r="Q1942" s="209" t="s">
        <v>200</v>
      </c>
      <c r="R1942" s="209" t="s">
        <v>201</v>
      </c>
      <c r="S1942" s="209" t="s">
        <v>202</v>
      </c>
      <c r="T1942" s="209" t="s">
        <v>203</v>
      </c>
      <c r="U1942" s="209" t="s">
        <v>201</v>
      </c>
      <c r="V1942" s="209" t="s">
        <v>179</v>
      </c>
      <c r="W1942" s="209" t="s">
        <v>179</v>
      </c>
      <c r="X1942" s="209" t="s">
        <v>180</v>
      </c>
      <c r="Y1942" s="209" t="s">
        <v>180</v>
      </c>
      <c r="Z1942" s="209" t="s">
        <v>4297</v>
      </c>
      <c r="AA1942" s="209" t="s">
        <v>4298</v>
      </c>
      <c r="AB1942" s="209" t="s">
        <v>180</v>
      </c>
      <c r="AC1942" s="209" t="s">
        <v>182</v>
      </c>
      <c r="AD1942" s="209" t="s">
        <v>4237</v>
      </c>
      <c r="AE1942" s="209" t="s">
        <v>4242</v>
      </c>
      <c r="AF1942" s="227">
        <v>46059</v>
      </c>
      <c r="AG1942" s="227">
        <v>46064</v>
      </c>
      <c r="AH1942" s="227">
        <v>46064</v>
      </c>
      <c r="AI1942" s="228">
        <v>426816</v>
      </c>
      <c r="AJ1942" s="228">
        <v>52</v>
      </c>
      <c r="AK1942" s="228">
        <v>426816</v>
      </c>
      <c r="AL1942" s="228">
        <v>52</v>
      </c>
      <c r="AM1942" s="228">
        <v>0</v>
      </c>
      <c r="AN1942" s="228">
        <v>0</v>
      </c>
      <c r="AO1942" s="229">
        <v>7</v>
      </c>
      <c r="AP1942" s="231">
        <v>2</v>
      </c>
      <c r="AQ1942" s="231">
        <v>2026</v>
      </c>
      <c r="AR1942" s="231" t="str">
        <f t="shared" si="279"/>
        <v>02/2026</v>
      </c>
      <c r="AS1942" s="231">
        <f t="shared" si="280"/>
        <v>46.6</v>
      </c>
      <c r="AT1942" s="239">
        <f>IF(G1942="CERVECERIA Y MALTERIA",(AS1942*AK1942/1000000)*(1-VLOOKUP(N1942,FCST!D:I,6,FALSE)),0)</f>
        <v>19.889625600000002</v>
      </c>
      <c r="AU1942" s="232">
        <v>5.0000000000000001E-3</v>
      </c>
      <c r="AV1942" s="239">
        <f t="shared" si="281"/>
        <v>19.989073728000001</v>
      </c>
      <c r="AW1942" s="239">
        <f>(AS1942*AK1942/1000000)*(VLOOKUP(N1942,FCST!D:I,6,FALSE))</f>
        <v>0</v>
      </c>
      <c r="AX1942" s="239">
        <f t="shared" si="282"/>
        <v>0</v>
      </c>
      <c r="AY1942" s="239">
        <f>IF($G1942="CERVECERIA Y MALTERIA.",($AS1942*$AK1942/1000000)*(1-VLOOKUP($N1942,FCST!D:I,6,FALSE)),0)</f>
        <v>0</v>
      </c>
      <c r="AZ1942" s="239">
        <f t="shared" si="283"/>
        <v>0</v>
      </c>
    </row>
    <row r="1943" spans="1:52" x14ac:dyDescent="0.25">
      <c r="A1943" s="209" t="s">
        <v>4494</v>
      </c>
      <c r="B1943" s="209" t="s">
        <v>4316</v>
      </c>
      <c r="C1943" s="209" t="s">
        <v>4505</v>
      </c>
      <c r="D1943" s="209" t="s">
        <v>4233</v>
      </c>
      <c r="E1943" s="209" t="s">
        <v>4235</v>
      </c>
      <c r="F1943" s="209" t="s">
        <v>4279</v>
      </c>
      <c r="G1943" s="209" t="s">
        <v>105</v>
      </c>
      <c r="H1943" s="209" t="s">
        <v>4279</v>
      </c>
      <c r="I1943" s="209" t="s">
        <v>4237</v>
      </c>
      <c r="J1943" s="209" t="s">
        <v>169</v>
      </c>
      <c r="K1943" s="209" t="s">
        <v>4506</v>
      </c>
      <c r="L1943" s="209" t="s">
        <v>265</v>
      </c>
      <c r="M1943" s="209" t="s">
        <v>199</v>
      </c>
      <c r="N1943" s="209">
        <v>50037887</v>
      </c>
      <c r="O1943" s="209" t="s">
        <v>679</v>
      </c>
      <c r="P1943" s="209" t="s">
        <v>4247</v>
      </c>
      <c r="Q1943" s="209" t="s">
        <v>200</v>
      </c>
      <c r="R1943" s="209" t="s">
        <v>201</v>
      </c>
      <c r="S1943" s="209" t="s">
        <v>202</v>
      </c>
      <c r="T1943" s="209" t="s">
        <v>203</v>
      </c>
      <c r="U1943" s="209" t="s">
        <v>201</v>
      </c>
      <c r="V1943" s="209" t="s">
        <v>179</v>
      </c>
      <c r="W1943" s="209" t="s">
        <v>179</v>
      </c>
      <c r="X1943" s="209" t="s">
        <v>180</v>
      </c>
      <c r="Y1943" s="209" t="s">
        <v>180</v>
      </c>
      <c r="Z1943" s="209" t="s">
        <v>4307</v>
      </c>
      <c r="AA1943" s="209" t="s">
        <v>4308</v>
      </c>
      <c r="AB1943" s="209" t="s">
        <v>180</v>
      </c>
      <c r="AC1943" s="209" t="s">
        <v>182</v>
      </c>
      <c r="AD1943" s="209" t="s">
        <v>4237</v>
      </c>
      <c r="AE1943" s="209" t="s">
        <v>4242</v>
      </c>
      <c r="AF1943" s="227">
        <v>46059</v>
      </c>
      <c r="AG1943" s="227">
        <v>46064</v>
      </c>
      <c r="AH1943" s="227">
        <v>46064</v>
      </c>
      <c r="AI1943" s="228">
        <v>531648</v>
      </c>
      <c r="AJ1943" s="228">
        <v>52</v>
      </c>
      <c r="AK1943" s="228">
        <v>531648</v>
      </c>
      <c r="AL1943" s="228">
        <v>52</v>
      </c>
      <c r="AM1943" s="228">
        <v>0</v>
      </c>
      <c r="AN1943" s="228">
        <v>0</v>
      </c>
      <c r="AO1943" s="229">
        <v>7</v>
      </c>
      <c r="AP1943" s="231">
        <v>2</v>
      </c>
      <c r="AQ1943" s="231">
        <v>2026</v>
      </c>
      <c r="AR1943" s="231" t="str">
        <f t="shared" si="279"/>
        <v>02/2026</v>
      </c>
      <c r="AS1943" s="231">
        <f t="shared" si="280"/>
        <v>37.200000000000003</v>
      </c>
      <c r="AT1943" s="239">
        <f>IF(G1943="CERVECERIA Y MALTERIA",(AS1943*AK1943/1000000)*(1-VLOOKUP(N1943,FCST!D:I,6,FALSE)),0)</f>
        <v>19.777305600000002</v>
      </c>
      <c r="AU1943" s="232">
        <v>5.0000000000000001E-3</v>
      </c>
      <c r="AV1943" s="239">
        <f t="shared" si="281"/>
        <v>19.876192128</v>
      </c>
      <c r="AW1943" s="239">
        <f>(AS1943*AK1943/1000000)*(VLOOKUP(N1943,FCST!D:I,6,FALSE))</f>
        <v>0</v>
      </c>
      <c r="AX1943" s="239">
        <f t="shared" si="282"/>
        <v>0</v>
      </c>
      <c r="AY1943" s="239">
        <f>IF($G1943="CERVECERIA Y MALTERIA.",($AS1943*$AK1943/1000000)*(1-VLOOKUP($N1943,FCST!D:I,6,FALSE)),0)</f>
        <v>0</v>
      </c>
      <c r="AZ1943" s="239">
        <f t="shared" si="283"/>
        <v>0</v>
      </c>
    </row>
    <row r="1944" spans="1:52" x14ac:dyDescent="0.25">
      <c r="A1944" s="209" t="s">
        <v>4403</v>
      </c>
      <c r="B1944" s="209" t="s">
        <v>4507</v>
      </c>
      <c r="C1944" s="209" t="s">
        <v>4508</v>
      </c>
      <c r="D1944" s="209" t="s">
        <v>4233</v>
      </c>
      <c r="E1944" s="209" t="s">
        <v>4235</v>
      </c>
      <c r="F1944" s="209" t="s">
        <v>4253</v>
      </c>
      <c r="G1944" s="209" t="s">
        <v>105</v>
      </c>
      <c r="H1944" s="209" t="s">
        <v>4253</v>
      </c>
      <c r="I1944" s="209" t="s">
        <v>4237</v>
      </c>
      <c r="J1944" s="209" t="s">
        <v>169</v>
      </c>
      <c r="K1944" s="209" t="s">
        <v>4509</v>
      </c>
      <c r="L1944" s="209" t="s">
        <v>265</v>
      </c>
      <c r="M1944" s="209" t="s">
        <v>184</v>
      </c>
      <c r="N1944" s="209">
        <v>50037887</v>
      </c>
      <c r="O1944" s="209" t="s">
        <v>679</v>
      </c>
      <c r="P1944" s="209" t="s">
        <v>4247</v>
      </c>
      <c r="Q1944" s="209" t="s">
        <v>174</v>
      </c>
      <c r="R1944" s="209" t="s">
        <v>175</v>
      </c>
      <c r="S1944" s="209" t="s">
        <v>176</v>
      </c>
      <c r="T1944" s="209" t="s">
        <v>177</v>
      </c>
      <c r="U1944" s="209" t="s">
        <v>178</v>
      </c>
      <c r="V1944" s="209" t="s">
        <v>179</v>
      </c>
      <c r="W1944" s="209" t="s">
        <v>179</v>
      </c>
      <c r="X1944" s="209" t="s">
        <v>180</v>
      </c>
      <c r="Y1944" s="209" t="s">
        <v>180</v>
      </c>
      <c r="Z1944" s="209" t="s">
        <v>4510</v>
      </c>
      <c r="AA1944" s="209" t="s">
        <v>4511</v>
      </c>
      <c r="AB1944" s="209" t="s">
        <v>180</v>
      </c>
      <c r="AC1944" s="209" t="s">
        <v>182</v>
      </c>
      <c r="AD1944" s="209" t="s">
        <v>4237</v>
      </c>
      <c r="AE1944" s="209" t="s">
        <v>4242</v>
      </c>
      <c r="AF1944" s="227">
        <v>46059</v>
      </c>
      <c r="AG1944" s="227">
        <v>46065</v>
      </c>
      <c r="AH1944" s="227">
        <v>46065</v>
      </c>
      <c r="AI1944" s="228">
        <v>368064</v>
      </c>
      <c r="AJ1944" s="228">
        <v>36</v>
      </c>
      <c r="AK1944" s="228">
        <v>368064</v>
      </c>
      <c r="AL1944" s="228">
        <v>36</v>
      </c>
      <c r="AM1944" s="228">
        <v>0</v>
      </c>
      <c r="AN1944" s="228">
        <v>0</v>
      </c>
      <c r="AO1944" s="229">
        <v>7</v>
      </c>
      <c r="AP1944" s="231">
        <v>2</v>
      </c>
      <c r="AQ1944" s="231">
        <v>2026</v>
      </c>
      <c r="AR1944" s="231" t="str">
        <f t="shared" si="279"/>
        <v>02/2026</v>
      </c>
      <c r="AS1944" s="231">
        <f t="shared" si="280"/>
        <v>37.200000000000003</v>
      </c>
      <c r="AT1944" s="239">
        <f>IF(G1944="CERVECERIA Y MALTERIA",(AS1944*AK1944/1000000)*(1-VLOOKUP(N1944,FCST!D:I,6,FALSE)),0)</f>
        <v>13.691980800000001</v>
      </c>
      <c r="AU1944" s="232">
        <v>5.0000000000000001E-3</v>
      </c>
      <c r="AV1944" s="239">
        <f t="shared" si="281"/>
        <v>13.760440704000001</v>
      </c>
      <c r="AW1944" s="239">
        <f>(AS1944*AK1944/1000000)*(VLOOKUP(N1944,FCST!D:I,6,FALSE))</f>
        <v>0</v>
      </c>
      <c r="AX1944" s="239">
        <f t="shared" si="282"/>
        <v>0</v>
      </c>
      <c r="AY1944" s="239">
        <f>IF($G1944="CERVECERIA Y MALTERIA.",($AS1944*$AK1944/1000000)*(1-VLOOKUP($N1944,FCST!D:I,6,FALSE)),0)</f>
        <v>0</v>
      </c>
      <c r="AZ1944" s="239">
        <f t="shared" si="283"/>
        <v>0</v>
      </c>
    </row>
    <row r="1945" spans="1:52" x14ac:dyDescent="0.25">
      <c r="A1945" s="209" t="s">
        <v>4486</v>
      </c>
      <c r="B1945" s="209" t="s">
        <v>4316</v>
      </c>
      <c r="C1945" s="209" t="s">
        <v>4512</v>
      </c>
      <c r="D1945" s="209" t="s">
        <v>4233</v>
      </c>
      <c r="E1945" s="209" t="s">
        <v>4235</v>
      </c>
      <c r="F1945" s="209" t="s">
        <v>4236</v>
      </c>
      <c r="G1945" s="209" t="s">
        <v>117</v>
      </c>
      <c r="H1945" s="209" t="s">
        <v>4236</v>
      </c>
      <c r="I1945" s="209" t="s">
        <v>4237</v>
      </c>
      <c r="J1945" s="209" t="s">
        <v>169</v>
      </c>
      <c r="K1945" s="209" t="s">
        <v>4513</v>
      </c>
      <c r="L1945" s="209" t="s">
        <v>265</v>
      </c>
      <c r="M1945" s="209" t="s">
        <v>184</v>
      </c>
      <c r="N1945" s="209">
        <v>50039856</v>
      </c>
      <c r="O1945" s="209" t="s">
        <v>2871</v>
      </c>
      <c r="P1945" s="209" t="s">
        <v>4239</v>
      </c>
      <c r="Q1945" s="209" t="s">
        <v>186</v>
      </c>
      <c r="R1945" s="209" t="s">
        <v>175</v>
      </c>
      <c r="S1945" s="209" t="s">
        <v>176</v>
      </c>
      <c r="T1945" s="209" t="s">
        <v>187</v>
      </c>
      <c r="U1945" s="209" t="s">
        <v>188</v>
      </c>
      <c r="V1945" s="209" t="s">
        <v>179</v>
      </c>
      <c r="W1945" s="209" t="s">
        <v>179</v>
      </c>
      <c r="X1945" s="209" t="s">
        <v>180</v>
      </c>
      <c r="Y1945" s="209" t="s">
        <v>180</v>
      </c>
      <c r="Z1945" s="209" t="s">
        <v>4394</v>
      </c>
      <c r="AA1945" s="209" t="s">
        <v>4395</v>
      </c>
      <c r="AB1945" s="209" t="s">
        <v>180</v>
      </c>
      <c r="AC1945" s="209" t="s">
        <v>182</v>
      </c>
      <c r="AD1945" s="209" t="s">
        <v>4237</v>
      </c>
      <c r="AE1945" s="209" t="s">
        <v>4242</v>
      </c>
      <c r="AF1945" s="227">
        <v>46059</v>
      </c>
      <c r="AG1945" s="227">
        <v>46065</v>
      </c>
      <c r="AH1945" s="227">
        <v>46065</v>
      </c>
      <c r="AI1945" s="228">
        <v>115200</v>
      </c>
      <c r="AJ1945" s="228">
        <v>15</v>
      </c>
      <c r="AK1945" s="228">
        <v>115200</v>
      </c>
      <c r="AL1945" s="228">
        <v>15</v>
      </c>
      <c r="AM1945" s="228">
        <v>0</v>
      </c>
      <c r="AN1945" s="228">
        <v>0</v>
      </c>
      <c r="AO1945" s="229">
        <v>7</v>
      </c>
      <c r="AP1945" s="231">
        <v>2</v>
      </c>
      <c r="AQ1945" s="231">
        <v>2026</v>
      </c>
      <c r="AR1945" s="231" t="str">
        <f t="shared" si="279"/>
        <v>02/2026</v>
      </c>
      <c r="AS1945" s="231">
        <f t="shared" si="280"/>
        <v>52</v>
      </c>
      <c r="AT1945" s="239">
        <f>IF(G1945="CERVECERIA Y MALTERIA",(AS1945*AK1945/1000000)*(1-VLOOKUP(N1945,FCST!D:I,6,FALSE)),0)</f>
        <v>0</v>
      </c>
      <c r="AU1945" s="232">
        <v>5.0000000000000001E-3</v>
      </c>
      <c r="AV1945" s="239">
        <f t="shared" si="281"/>
        <v>0</v>
      </c>
      <c r="AW1945" s="239">
        <f>(AS1945*AK1945/1000000)*(VLOOKUP(N1945,FCST!D:I,6,FALSE))</f>
        <v>0</v>
      </c>
      <c r="AX1945" s="239">
        <f t="shared" si="282"/>
        <v>0</v>
      </c>
      <c r="AY1945" s="239">
        <f>IF($G1945="CERVECERIA Y MALTERIA.",($AS1945*$AK1945/1000000)*(1-VLOOKUP($N1945,FCST!D:I,6,FALSE)),0)</f>
        <v>5.9904000000000002</v>
      </c>
      <c r="AZ1945" s="239">
        <f t="shared" si="283"/>
        <v>6.0203519999999999</v>
      </c>
    </row>
    <row r="1946" spans="1:52" x14ac:dyDescent="0.25">
      <c r="A1946" s="209" t="s">
        <v>4403</v>
      </c>
      <c r="B1946" s="209" t="s">
        <v>4514</v>
      </c>
      <c r="C1946" s="209" t="s">
        <v>4515</v>
      </c>
      <c r="D1946" s="209" t="s">
        <v>4233</v>
      </c>
      <c r="E1946" s="209" t="s">
        <v>4235</v>
      </c>
      <c r="F1946" s="209" t="s">
        <v>4253</v>
      </c>
      <c r="G1946" s="209" t="s">
        <v>105</v>
      </c>
      <c r="H1946" s="209" t="s">
        <v>4253</v>
      </c>
      <c r="I1946" s="209" t="s">
        <v>4237</v>
      </c>
      <c r="J1946" s="209" t="s">
        <v>169</v>
      </c>
      <c r="K1946" s="209" t="s">
        <v>4516</v>
      </c>
      <c r="L1946" s="209" t="s">
        <v>265</v>
      </c>
      <c r="M1946" s="209" t="s">
        <v>199</v>
      </c>
      <c r="N1946" s="209">
        <v>50032583</v>
      </c>
      <c r="O1946" s="209" t="s">
        <v>205</v>
      </c>
      <c r="P1946" s="209" t="s">
        <v>4247</v>
      </c>
      <c r="Q1946" s="209" t="s">
        <v>200</v>
      </c>
      <c r="R1946" s="209" t="s">
        <v>201</v>
      </c>
      <c r="S1946" s="209" t="s">
        <v>202</v>
      </c>
      <c r="T1946" s="209" t="s">
        <v>203</v>
      </c>
      <c r="U1946" s="209" t="s">
        <v>201</v>
      </c>
      <c r="V1946" s="209" t="s">
        <v>179</v>
      </c>
      <c r="W1946" s="209" t="s">
        <v>179</v>
      </c>
      <c r="X1946" s="209" t="s">
        <v>180</v>
      </c>
      <c r="Y1946" s="209" t="s">
        <v>180</v>
      </c>
      <c r="Z1946" s="209" t="s">
        <v>4330</v>
      </c>
      <c r="AA1946" s="209" t="s">
        <v>4331</v>
      </c>
      <c r="AB1946" s="209" t="s">
        <v>180</v>
      </c>
      <c r="AC1946" s="209" t="s">
        <v>182</v>
      </c>
      <c r="AD1946" s="209" t="s">
        <v>4237</v>
      </c>
      <c r="AE1946" s="209" t="s">
        <v>4242</v>
      </c>
      <c r="AF1946" s="227">
        <v>46059</v>
      </c>
      <c r="AG1946" s="227">
        <v>46065</v>
      </c>
      <c r="AH1946" s="227">
        <v>46065</v>
      </c>
      <c r="AI1946" s="228">
        <v>351936</v>
      </c>
      <c r="AJ1946" s="228">
        <v>52</v>
      </c>
      <c r="AK1946" s="228">
        <v>351936</v>
      </c>
      <c r="AL1946" s="228">
        <v>52</v>
      </c>
      <c r="AM1946" s="228">
        <v>0</v>
      </c>
      <c r="AN1946" s="228">
        <v>0</v>
      </c>
      <c r="AO1946" s="229">
        <v>7</v>
      </c>
      <c r="AP1946" s="231">
        <v>2</v>
      </c>
      <c r="AQ1946" s="231">
        <v>2026</v>
      </c>
      <c r="AR1946" s="231" t="str">
        <f t="shared" si="279"/>
        <v>02/2026</v>
      </c>
      <c r="AS1946" s="231">
        <f t="shared" si="280"/>
        <v>54.7</v>
      </c>
      <c r="AT1946" s="239">
        <f>IF(G1946="CERVECERIA Y MALTERIA",(AS1946*AK1946/1000000)*(1-VLOOKUP(N1946,FCST!D:I,6,FALSE)),0)</f>
        <v>19.250899199999999</v>
      </c>
      <c r="AU1946" s="232">
        <v>5.0000000000000001E-3</v>
      </c>
      <c r="AV1946" s="239">
        <f t="shared" si="281"/>
        <v>19.347153695999996</v>
      </c>
      <c r="AW1946" s="239">
        <f>(AS1946*AK1946/1000000)*(VLOOKUP(N1946,FCST!D:I,6,FALSE))</f>
        <v>0</v>
      </c>
      <c r="AX1946" s="239">
        <f t="shared" si="282"/>
        <v>0</v>
      </c>
      <c r="AY1946" s="239">
        <f>IF($G1946="CERVECERIA Y MALTERIA.",($AS1946*$AK1946/1000000)*(1-VLOOKUP($N1946,FCST!D:I,6,FALSE)),0)</f>
        <v>0</v>
      </c>
      <c r="AZ1946" s="239">
        <f t="shared" si="283"/>
        <v>0</v>
      </c>
    </row>
    <row r="1947" spans="1:52" x14ac:dyDescent="0.25">
      <c r="A1947" s="209" t="s">
        <v>4403</v>
      </c>
      <c r="B1947" s="209" t="s">
        <v>4332</v>
      </c>
      <c r="C1947" s="209" t="s">
        <v>4517</v>
      </c>
      <c r="D1947" s="209" t="s">
        <v>4233</v>
      </c>
      <c r="E1947" s="209" t="s">
        <v>4235</v>
      </c>
      <c r="F1947" s="209" t="s">
        <v>4253</v>
      </c>
      <c r="G1947" s="209" t="s">
        <v>105</v>
      </c>
      <c r="H1947" s="209" t="s">
        <v>4253</v>
      </c>
      <c r="I1947" s="209" t="s">
        <v>4237</v>
      </c>
      <c r="J1947" s="209" t="s">
        <v>169</v>
      </c>
      <c r="K1947" s="209" t="s">
        <v>4518</v>
      </c>
      <c r="L1947" s="209" t="s">
        <v>265</v>
      </c>
      <c r="M1947" s="209" t="s">
        <v>199</v>
      </c>
      <c r="N1947" s="209">
        <v>50034616</v>
      </c>
      <c r="O1947" s="209" t="s">
        <v>191</v>
      </c>
      <c r="P1947" s="209" t="s">
        <v>4247</v>
      </c>
      <c r="Q1947" s="209" t="s">
        <v>200</v>
      </c>
      <c r="R1947" s="209" t="s">
        <v>201</v>
      </c>
      <c r="S1947" s="209" t="s">
        <v>202</v>
      </c>
      <c r="T1947" s="209" t="s">
        <v>203</v>
      </c>
      <c r="U1947" s="209" t="s">
        <v>201</v>
      </c>
      <c r="V1947" s="209" t="s">
        <v>179</v>
      </c>
      <c r="W1947" s="209" t="s">
        <v>179</v>
      </c>
      <c r="X1947" s="209" t="s">
        <v>180</v>
      </c>
      <c r="Y1947" s="209" t="s">
        <v>180</v>
      </c>
      <c r="Z1947" s="209" t="s">
        <v>4335</v>
      </c>
      <c r="AA1947" s="209" t="s">
        <v>4336</v>
      </c>
      <c r="AB1947" s="209" t="s">
        <v>180</v>
      </c>
      <c r="AC1947" s="209" t="s">
        <v>182</v>
      </c>
      <c r="AD1947" s="209" t="s">
        <v>4237</v>
      </c>
      <c r="AE1947" s="209" t="s">
        <v>4242</v>
      </c>
      <c r="AF1947" s="227">
        <v>46059</v>
      </c>
      <c r="AG1947" s="227">
        <v>46064</v>
      </c>
      <c r="AH1947" s="227">
        <v>46064</v>
      </c>
      <c r="AI1947" s="228">
        <v>426816</v>
      </c>
      <c r="AJ1947" s="228">
        <v>52</v>
      </c>
      <c r="AK1947" s="228">
        <v>426816</v>
      </c>
      <c r="AL1947" s="228">
        <v>52</v>
      </c>
      <c r="AM1947" s="228">
        <v>0</v>
      </c>
      <c r="AN1947" s="228">
        <v>0</v>
      </c>
      <c r="AO1947" s="229">
        <v>7</v>
      </c>
      <c r="AP1947" s="231">
        <v>2</v>
      </c>
      <c r="AQ1947" s="231">
        <v>2026</v>
      </c>
      <c r="AR1947" s="231" t="str">
        <f t="shared" si="279"/>
        <v>02/2026</v>
      </c>
      <c r="AS1947" s="231">
        <f t="shared" si="280"/>
        <v>46.6</v>
      </c>
      <c r="AT1947" s="239">
        <f>IF(G1947="CERVECERIA Y MALTERIA",(AS1947*AK1947/1000000)*(1-VLOOKUP(N1947,FCST!D:I,6,FALSE)),0)</f>
        <v>19.889625600000002</v>
      </c>
      <c r="AU1947" s="232">
        <v>5.0000000000000001E-3</v>
      </c>
      <c r="AV1947" s="239">
        <f t="shared" si="281"/>
        <v>19.989073728000001</v>
      </c>
      <c r="AW1947" s="239">
        <f>(AS1947*AK1947/1000000)*(VLOOKUP(N1947,FCST!D:I,6,FALSE))</f>
        <v>0</v>
      </c>
      <c r="AX1947" s="239">
        <f t="shared" si="282"/>
        <v>0</v>
      </c>
      <c r="AY1947" s="239">
        <f>IF($G1947="CERVECERIA Y MALTERIA.",($AS1947*$AK1947/1000000)*(1-VLOOKUP($N1947,FCST!D:I,6,FALSE)),0)</f>
        <v>0</v>
      </c>
      <c r="AZ1947" s="239">
        <f t="shared" si="283"/>
        <v>0</v>
      </c>
    </row>
    <row r="1948" spans="1:52" x14ac:dyDescent="0.25">
      <c r="A1948" s="209" t="s">
        <v>4491</v>
      </c>
      <c r="B1948" s="209" t="s">
        <v>4251</v>
      </c>
      <c r="C1948" s="209" t="s">
        <v>4519</v>
      </c>
      <c r="D1948" s="209" t="s">
        <v>4233</v>
      </c>
      <c r="E1948" s="209" t="s">
        <v>4235</v>
      </c>
      <c r="F1948" s="209" t="s">
        <v>4285</v>
      </c>
      <c r="G1948" s="209" t="s">
        <v>105</v>
      </c>
      <c r="H1948" s="209" t="s">
        <v>4285</v>
      </c>
      <c r="I1948" s="209" t="s">
        <v>4237</v>
      </c>
      <c r="J1948" s="209" t="s">
        <v>169</v>
      </c>
      <c r="K1948" s="209" t="s">
        <v>4520</v>
      </c>
      <c r="L1948" s="209" t="s">
        <v>265</v>
      </c>
      <c r="M1948" s="209" t="s">
        <v>199</v>
      </c>
      <c r="N1948" s="209">
        <v>50021818</v>
      </c>
      <c r="O1948" s="209" t="s">
        <v>2170</v>
      </c>
      <c r="P1948" s="209" t="s">
        <v>4247</v>
      </c>
      <c r="Q1948" s="209" t="s">
        <v>200</v>
      </c>
      <c r="R1948" s="209" t="s">
        <v>201</v>
      </c>
      <c r="S1948" s="209" t="s">
        <v>202</v>
      </c>
      <c r="T1948" s="209" t="s">
        <v>203</v>
      </c>
      <c r="U1948" s="209" t="s">
        <v>201</v>
      </c>
      <c r="V1948" s="209" t="s">
        <v>179</v>
      </c>
      <c r="W1948" s="209" t="s">
        <v>179</v>
      </c>
      <c r="X1948" s="209" t="s">
        <v>180</v>
      </c>
      <c r="Y1948" s="209" t="s">
        <v>180</v>
      </c>
      <c r="Z1948" s="209" t="s">
        <v>4297</v>
      </c>
      <c r="AA1948" s="209" t="s">
        <v>4298</v>
      </c>
      <c r="AB1948" s="209" t="s">
        <v>180</v>
      </c>
      <c r="AC1948" s="209" t="s">
        <v>182</v>
      </c>
      <c r="AD1948" s="209" t="s">
        <v>4237</v>
      </c>
      <c r="AE1948" s="209" t="s">
        <v>4242</v>
      </c>
      <c r="AF1948" s="227">
        <v>46059</v>
      </c>
      <c r="AG1948" s="227">
        <v>46063</v>
      </c>
      <c r="AH1948" s="227">
        <v>46064</v>
      </c>
      <c r="AI1948" s="228">
        <v>426816</v>
      </c>
      <c r="AJ1948" s="228">
        <v>52</v>
      </c>
      <c r="AK1948" s="228">
        <v>426816</v>
      </c>
      <c r="AL1948" s="228">
        <v>52</v>
      </c>
      <c r="AM1948" s="228">
        <v>0</v>
      </c>
      <c r="AN1948" s="228">
        <v>0</v>
      </c>
      <c r="AO1948" s="229">
        <v>7</v>
      </c>
      <c r="AP1948" s="231">
        <v>2</v>
      </c>
      <c r="AQ1948" s="231">
        <v>2026</v>
      </c>
      <c r="AR1948" s="231" t="str">
        <f t="shared" si="279"/>
        <v>02/2026</v>
      </c>
      <c r="AS1948" s="231">
        <f t="shared" si="280"/>
        <v>46.6</v>
      </c>
      <c r="AT1948" s="239">
        <f>IF(G1948="CERVECERIA Y MALTERIA",(AS1948*AK1948/1000000)*(1-VLOOKUP(N1948,FCST!D:I,6,FALSE)),0)</f>
        <v>19.889625600000002</v>
      </c>
      <c r="AU1948" s="232">
        <v>5.0000000000000001E-3</v>
      </c>
      <c r="AV1948" s="239">
        <f t="shared" si="281"/>
        <v>19.989073728000001</v>
      </c>
      <c r="AW1948" s="239">
        <f>(AS1948*AK1948/1000000)*(VLOOKUP(N1948,FCST!D:I,6,FALSE))</f>
        <v>0</v>
      </c>
      <c r="AX1948" s="239">
        <f t="shared" si="282"/>
        <v>0</v>
      </c>
      <c r="AY1948" s="239">
        <f>IF($G1948="CERVECERIA Y MALTERIA.",($AS1948*$AK1948/1000000)*(1-VLOOKUP($N1948,FCST!D:I,6,FALSE)),0)</f>
        <v>0</v>
      </c>
      <c r="AZ1948" s="239">
        <f t="shared" si="283"/>
        <v>0</v>
      </c>
    </row>
    <row r="1949" spans="1:52" x14ac:dyDescent="0.25">
      <c r="A1949" s="209" t="s">
        <v>4403</v>
      </c>
      <c r="B1949" s="209" t="s">
        <v>4521</v>
      </c>
      <c r="C1949" s="209" t="s">
        <v>4522</v>
      </c>
      <c r="D1949" s="209" t="s">
        <v>4233</v>
      </c>
      <c r="E1949" s="209" t="s">
        <v>4235</v>
      </c>
      <c r="F1949" s="209" t="s">
        <v>4253</v>
      </c>
      <c r="G1949" s="209" t="s">
        <v>105</v>
      </c>
      <c r="H1949" s="209" t="s">
        <v>4253</v>
      </c>
      <c r="I1949" s="209" t="s">
        <v>4237</v>
      </c>
      <c r="J1949" s="209" t="s">
        <v>169</v>
      </c>
      <c r="K1949" s="209" t="s">
        <v>4523</v>
      </c>
      <c r="L1949" s="209" t="s">
        <v>265</v>
      </c>
      <c r="M1949" s="209" t="s">
        <v>184</v>
      </c>
      <c r="N1949" s="209">
        <v>50034574</v>
      </c>
      <c r="O1949" s="209" t="s">
        <v>196</v>
      </c>
      <c r="P1949" s="209" t="s">
        <v>4247</v>
      </c>
      <c r="Q1949" s="209" t="s">
        <v>174</v>
      </c>
      <c r="R1949" s="209" t="s">
        <v>175</v>
      </c>
      <c r="S1949" s="209" t="s">
        <v>176</v>
      </c>
      <c r="T1949" s="209" t="s">
        <v>177</v>
      </c>
      <c r="U1949" s="209" t="s">
        <v>178</v>
      </c>
      <c r="V1949" s="209" t="s">
        <v>179</v>
      </c>
      <c r="W1949" s="209" t="s">
        <v>179</v>
      </c>
      <c r="X1949" s="209" t="s">
        <v>180</v>
      </c>
      <c r="Y1949" s="209" t="s">
        <v>180</v>
      </c>
      <c r="Z1949" s="209" t="s">
        <v>4408</v>
      </c>
      <c r="AA1949" s="209" t="s">
        <v>4409</v>
      </c>
      <c r="AB1949" s="209" t="s">
        <v>180</v>
      </c>
      <c r="AC1949" s="209" t="s">
        <v>182</v>
      </c>
      <c r="AD1949" s="209" t="s">
        <v>4237</v>
      </c>
      <c r="AE1949" s="209" t="s">
        <v>4242</v>
      </c>
      <c r="AF1949" s="227">
        <v>46059</v>
      </c>
      <c r="AG1949" s="227">
        <v>46064</v>
      </c>
      <c r="AH1949" s="227">
        <v>46064</v>
      </c>
      <c r="AI1949" s="228">
        <v>732888</v>
      </c>
      <c r="AJ1949" s="228">
        <v>39</v>
      </c>
      <c r="AK1949" s="228">
        <v>732888</v>
      </c>
      <c r="AL1949" s="228">
        <v>39</v>
      </c>
      <c r="AM1949" s="228">
        <v>0</v>
      </c>
      <c r="AN1949" s="228">
        <v>0</v>
      </c>
      <c r="AO1949" s="229">
        <v>7</v>
      </c>
      <c r="AP1949" s="231">
        <v>2</v>
      </c>
      <c r="AQ1949" s="231">
        <v>2026</v>
      </c>
      <c r="AR1949" s="231" t="str">
        <f t="shared" si="279"/>
        <v>02/2026</v>
      </c>
      <c r="AS1949" s="231">
        <f t="shared" si="280"/>
        <v>19.5</v>
      </c>
      <c r="AT1949" s="239">
        <f>IF(G1949="CERVECERIA Y MALTERIA",(AS1949*AK1949/1000000)*(1-VLOOKUP(N1949,FCST!D:I,6,FALSE)),0)</f>
        <v>14.291316</v>
      </c>
      <c r="AU1949" s="232">
        <v>5.0000000000000001E-3</v>
      </c>
      <c r="AV1949" s="239">
        <f t="shared" si="281"/>
        <v>14.362772579999998</v>
      </c>
      <c r="AW1949" s="239">
        <f>(AS1949*AK1949/1000000)*(VLOOKUP(N1949,FCST!D:I,6,FALSE))</f>
        <v>0</v>
      </c>
      <c r="AX1949" s="239">
        <f t="shared" si="282"/>
        <v>0</v>
      </c>
      <c r="AY1949" s="239">
        <f>IF($G1949="CERVECERIA Y MALTERIA.",($AS1949*$AK1949/1000000)*(1-VLOOKUP($N1949,FCST!D:I,6,FALSE)),0)</f>
        <v>0</v>
      </c>
      <c r="AZ1949" s="239">
        <f t="shared" si="283"/>
        <v>0</v>
      </c>
    </row>
    <row r="1950" spans="1:52" x14ac:dyDescent="0.25">
      <c r="A1950" s="209" t="s">
        <v>4486</v>
      </c>
      <c r="B1950" s="209" t="s">
        <v>4251</v>
      </c>
      <c r="C1950" s="209" t="s">
        <v>4524</v>
      </c>
      <c r="D1950" s="209" t="s">
        <v>4233</v>
      </c>
      <c r="E1950" s="209" t="s">
        <v>4235</v>
      </c>
      <c r="F1950" s="209" t="s">
        <v>4236</v>
      </c>
      <c r="G1950" s="209" t="s">
        <v>117</v>
      </c>
      <c r="H1950" s="209" t="s">
        <v>4236</v>
      </c>
      <c r="I1950" s="209" t="s">
        <v>4237</v>
      </c>
      <c r="J1950" s="209" t="s">
        <v>169</v>
      </c>
      <c r="K1950" s="209" t="s">
        <v>4525</v>
      </c>
      <c r="L1950" s="209" t="s">
        <v>265</v>
      </c>
      <c r="M1950" s="209" t="s">
        <v>184</v>
      </c>
      <c r="N1950" s="209">
        <v>50027468</v>
      </c>
      <c r="O1950" s="209" t="s">
        <v>285</v>
      </c>
      <c r="P1950" s="209" t="s">
        <v>4239</v>
      </c>
      <c r="Q1950" s="209" t="s">
        <v>186</v>
      </c>
      <c r="R1950" s="209" t="s">
        <v>175</v>
      </c>
      <c r="S1950" s="209" t="s">
        <v>176</v>
      </c>
      <c r="T1950" s="209" t="s">
        <v>187</v>
      </c>
      <c r="U1950" s="209" t="s">
        <v>188</v>
      </c>
      <c r="V1950" s="209" t="s">
        <v>179</v>
      </c>
      <c r="W1950" s="209" t="s">
        <v>179</v>
      </c>
      <c r="X1950" s="209" t="s">
        <v>180</v>
      </c>
      <c r="Y1950" s="209" t="s">
        <v>180</v>
      </c>
      <c r="Z1950" s="209" t="s">
        <v>4394</v>
      </c>
      <c r="AA1950" s="209" t="s">
        <v>4395</v>
      </c>
      <c r="AB1950" s="209" t="s">
        <v>180</v>
      </c>
      <c r="AC1950" s="209" t="s">
        <v>182</v>
      </c>
      <c r="AD1950" s="209" t="s">
        <v>4237</v>
      </c>
      <c r="AE1950" s="209" t="s">
        <v>4242</v>
      </c>
      <c r="AF1950" s="227">
        <v>46059</v>
      </c>
      <c r="AG1950" s="227">
        <v>46064</v>
      </c>
      <c r="AH1950" s="227">
        <v>46064</v>
      </c>
      <c r="AI1950" s="228">
        <v>92160</v>
      </c>
      <c r="AJ1950" s="228">
        <v>12</v>
      </c>
      <c r="AK1950" s="228">
        <v>92160</v>
      </c>
      <c r="AL1950" s="228">
        <v>12</v>
      </c>
      <c r="AM1950" s="228">
        <v>0</v>
      </c>
      <c r="AN1950" s="228">
        <v>0</v>
      </c>
      <c r="AO1950" s="229">
        <v>7</v>
      </c>
      <c r="AP1950" s="231">
        <v>2</v>
      </c>
      <c r="AQ1950" s="231">
        <v>2026</v>
      </c>
      <c r="AR1950" s="231" t="str">
        <f t="shared" si="279"/>
        <v>02/2026</v>
      </c>
      <c r="AS1950" s="231">
        <f t="shared" si="280"/>
        <v>52</v>
      </c>
      <c r="AT1950" s="239">
        <f>IF(G1950="CERVECERIA Y MALTERIA",(AS1950*AK1950/1000000)*(1-VLOOKUP(N1950,FCST!D:I,6,FALSE)),0)</f>
        <v>0</v>
      </c>
      <c r="AU1950" s="232">
        <v>5.0000000000000001E-3</v>
      </c>
      <c r="AV1950" s="239">
        <f t="shared" si="281"/>
        <v>0</v>
      </c>
      <c r="AW1950" s="239">
        <f>(AS1950*AK1950/1000000)*(VLOOKUP(N1950,FCST!D:I,6,FALSE))</f>
        <v>0</v>
      </c>
      <c r="AX1950" s="239">
        <f t="shared" si="282"/>
        <v>0</v>
      </c>
      <c r="AY1950" s="239">
        <f>IF($G1950="CERVECERIA Y MALTERIA.",($AS1950*$AK1950/1000000)*(1-VLOOKUP($N1950,FCST!D:I,6,FALSE)),0)</f>
        <v>4.7923200000000001</v>
      </c>
      <c r="AZ1950" s="239">
        <f t="shared" si="283"/>
        <v>4.8162815999999999</v>
      </c>
    </row>
    <row r="1951" spans="1:52" x14ac:dyDescent="0.25">
      <c r="A1951" s="209" t="s">
        <v>4403</v>
      </c>
      <c r="B1951" s="209" t="s">
        <v>4388</v>
      </c>
      <c r="C1951" s="209" t="s">
        <v>4526</v>
      </c>
      <c r="D1951" s="209" t="s">
        <v>4233</v>
      </c>
      <c r="E1951" s="209" t="s">
        <v>4235</v>
      </c>
      <c r="F1951" s="209" t="s">
        <v>4253</v>
      </c>
      <c r="G1951" s="209" t="s">
        <v>105</v>
      </c>
      <c r="H1951" s="209" t="s">
        <v>4253</v>
      </c>
      <c r="I1951" s="209" t="s">
        <v>4237</v>
      </c>
      <c r="J1951" s="209" t="s">
        <v>169</v>
      </c>
      <c r="K1951" s="209" t="s">
        <v>4527</v>
      </c>
      <c r="L1951" s="209" t="s">
        <v>265</v>
      </c>
      <c r="M1951" s="209" t="s">
        <v>199</v>
      </c>
      <c r="N1951" s="209">
        <v>50037887</v>
      </c>
      <c r="O1951" s="209" t="s">
        <v>679</v>
      </c>
      <c r="P1951" s="209" t="s">
        <v>4247</v>
      </c>
      <c r="Q1951" s="209" t="s">
        <v>200</v>
      </c>
      <c r="R1951" s="209" t="s">
        <v>201</v>
      </c>
      <c r="S1951" s="209" t="s">
        <v>202</v>
      </c>
      <c r="T1951" s="209" t="s">
        <v>203</v>
      </c>
      <c r="U1951" s="209" t="s">
        <v>201</v>
      </c>
      <c r="V1951" s="209" t="s">
        <v>179</v>
      </c>
      <c r="W1951" s="209" t="s">
        <v>179</v>
      </c>
      <c r="X1951" s="209" t="s">
        <v>180</v>
      </c>
      <c r="Y1951" s="209" t="s">
        <v>180</v>
      </c>
      <c r="Z1951" s="209" t="s">
        <v>4259</v>
      </c>
      <c r="AA1951" s="209" t="s">
        <v>4260</v>
      </c>
      <c r="AB1951" s="209" t="s">
        <v>180</v>
      </c>
      <c r="AC1951" s="209" t="s">
        <v>182</v>
      </c>
      <c r="AD1951" s="209" t="s">
        <v>4237</v>
      </c>
      <c r="AE1951" s="209" t="s">
        <v>4242</v>
      </c>
      <c r="AF1951" s="227">
        <v>46059</v>
      </c>
      <c r="AG1951" s="227">
        <v>46064</v>
      </c>
      <c r="AH1951" s="227">
        <v>46064</v>
      </c>
      <c r="AI1951" s="228">
        <v>531648</v>
      </c>
      <c r="AJ1951" s="228">
        <v>52</v>
      </c>
      <c r="AK1951" s="228">
        <v>531648</v>
      </c>
      <c r="AL1951" s="228">
        <v>52</v>
      </c>
      <c r="AM1951" s="228">
        <v>0</v>
      </c>
      <c r="AN1951" s="228">
        <v>0</v>
      </c>
      <c r="AO1951" s="229">
        <v>7</v>
      </c>
      <c r="AP1951" s="231">
        <v>2</v>
      </c>
      <c r="AQ1951" s="231">
        <v>2026</v>
      </c>
      <c r="AR1951" s="231" t="str">
        <f t="shared" si="279"/>
        <v>02/2026</v>
      </c>
      <c r="AS1951" s="231">
        <f t="shared" si="280"/>
        <v>37.200000000000003</v>
      </c>
      <c r="AT1951" s="239">
        <f>IF(G1951="CERVECERIA Y MALTERIA",(AS1951*AK1951/1000000)*(1-VLOOKUP(N1951,FCST!D:I,6,FALSE)),0)</f>
        <v>19.777305600000002</v>
      </c>
      <c r="AU1951" s="232">
        <v>5.0000000000000001E-3</v>
      </c>
      <c r="AV1951" s="239">
        <f t="shared" si="281"/>
        <v>19.876192128</v>
      </c>
      <c r="AW1951" s="239">
        <f>(AS1951*AK1951/1000000)*(VLOOKUP(N1951,FCST!D:I,6,FALSE))</f>
        <v>0</v>
      </c>
      <c r="AX1951" s="239">
        <f t="shared" si="282"/>
        <v>0</v>
      </c>
      <c r="AY1951" s="239">
        <f>IF($G1951="CERVECERIA Y MALTERIA.",($AS1951*$AK1951/1000000)*(1-VLOOKUP($N1951,FCST!D:I,6,FALSE)),0)</f>
        <v>0</v>
      </c>
      <c r="AZ1951" s="239">
        <f t="shared" si="283"/>
        <v>0</v>
      </c>
    </row>
  </sheetData>
  <autoFilter ref="A1:BA112" xr:uid="{798F27DD-D097-4190-8B1C-5A05A111406C}"/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CCF4-4AA4-4396-B478-60AC37E07D98}">
  <sheetPr codeName="Hoja9"/>
  <dimension ref="B1:AU60"/>
  <sheetViews>
    <sheetView showGridLines="0" zoomScale="86" zoomScaleNormal="86" workbookViewId="0">
      <pane xSplit="2" ySplit="2" topLeftCell="S36" activePane="bottomRight" state="frozen"/>
      <selection pane="topRight" activeCell="R50" sqref="R50"/>
      <selection pane="bottomLeft" activeCell="R50" sqref="R50"/>
      <selection pane="bottomRight" activeCell="W60" sqref="W60"/>
    </sheetView>
  </sheetViews>
  <sheetFormatPr defaultColWidth="9.453125" defaultRowHeight="14.5" x14ac:dyDescent="0.35"/>
  <cols>
    <col min="2" max="2" width="9.54296875" customWidth="1"/>
    <col min="13" max="13" width="17.54296875" bestFit="1" customWidth="1"/>
    <col min="14" max="19" width="9.54296875" customWidth="1"/>
    <col min="20" max="22" width="15.54296875" customWidth="1"/>
    <col min="23" max="23" width="10.453125" bestFit="1" customWidth="1"/>
    <col min="24" max="25" width="0" hidden="1" customWidth="1"/>
    <col min="45" max="45" width="11.54296875" customWidth="1"/>
  </cols>
  <sheetData>
    <row r="1" spans="2:47" ht="15.5" x14ac:dyDescent="0.35">
      <c r="B1" s="316" t="s">
        <v>3382</v>
      </c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8"/>
      <c r="AA1" s="316" t="s">
        <v>3383</v>
      </c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</row>
    <row r="2" spans="2:47" ht="48" x14ac:dyDescent="0.35">
      <c r="B2" s="21" t="s">
        <v>3384</v>
      </c>
      <c r="C2" s="22" t="s">
        <v>3385</v>
      </c>
      <c r="D2" s="22" t="s">
        <v>3386</v>
      </c>
      <c r="E2" s="22" t="s">
        <v>3387</v>
      </c>
      <c r="F2" s="23" t="s">
        <v>3388</v>
      </c>
      <c r="G2" s="22" t="s">
        <v>3389</v>
      </c>
      <c r="H2" s="23" t="s">
        <v>3390</v>
      </c>
      <c r="I2" s="22" t="s">
        <v>3391</v>
      </c>
      <c r="J2" s="22" t="s">
        <v>3392</v>
      </c>
      <c r="K2" s="22" t="s">
        <v>3393</v>
      </c>
      <c r="L2" s="23" t="s">
        <v>3394</v>
      </c>
      <c r="M2" s="22" t="s">
        <v>3395</v>
      </c>
      <c r="N2" s="22" t="s">
        <v>3396</v>
      </c>
      <c r="O2" s="22" t="s">
        <v>3397</v>
      </c>
      <c r="P2" s="22" t="s">
        <v>3398</v>
      </c>
      <c r="Q2" s="22" t="s">
        <v>3399</v>
      </c>
      <c r="R2" s="22" t="s">
        <v>3400</v>
      </c>
      <c r="S2" s="22" t="s">
        <v>3401</v>
      </c>
      <c r="T2" s="22" t="s">
        <v>3402</v>
      </c>
      <c r="U2" s="22" t="s">
        <v>3403</v>
      </c>
      <c r="V2" s="22" t="s">
        <v>3404</v>
      </c>
      <c r="W2" s="22" t="s">
        <v>3405</v>
      </c>
      <c r="X2" s="22" t="s">
        <v>3406</v>
      </c>
      <c r="Y2" s="22" t="s">
        <v>3407</v>
      </c>
      <c r="AA2" s="21" t="s">
        <v>3384</v>
      </c>
      <c r="AB2" s="22" t="s">
        <v>3385</v>
      </c>
      <c r="AC2" s="22" t="s">
        <v>3408</v>
      </c>
      <c r="AD2" s="22" t="s">
        <v>3387</v>
      </c>
      <c r="AE2" s="23" t="s">
        <v>3388</v>
      </c>
      <c r="AF2" s="22" t="s">
        <v>3389</v>
      </c>
      <c r="AG2" s="23" t="s">
        <v>3390</v>
      </c>
      <c r="AH2" s="22" t="s">
        <v>3391</v>
      </c>
      <c r="AI2" s="23" t="s">
        <v>3409</v>
      </c>
      <c r="AJ2" s="22" t="s">
        <v>3395</v>
      </c>
      <c r="AK2" s="22" t="s">
        <v>3410</v>
      </c>
      <c r="AL2" s="22" t="s">
        <v>3397</v>
      </c>
      <c r="AM2" s="22" t="s">
        <v>3398</v>
      </c>
      <c r="AN2" s="22" t="s">
        <v>3399</v>
      </c>
      <c r="AO2" s="22" t="s">
        <v>3400</v>
      </c>
      <c r="AP2" s="22" t="s">
        <v>3401</v>
      </c>
      <c r="AQ2" s="22" t="s">
        <v>3402</v>
      </c>
      <c r="AR2" s="22" t="s">
        <v>3403</v>
      </c>
      <c r="AS2" s="22" t="s">
        <v>3411</v>
      </c>
      <c r="AT2" s="22" t="s">
        <v>3412</v>
      </c>
      <c r="AU2" s="22" t="s">
        <v>3407</v>
      </c>
    </row>
    <row r="3" spans="2:47" x14ac:dyDescent="0.35">
      <c r="B3" s="24">
        <v>44440</v>
      </c>
      <c r="C3" s="122">
        <f>+'CSD Resina Ush'!C3</f>
        <v>959.5</v>
      </c>
      <c r="D3" s="144">
        <v>357</v>
      </c>
      <c r="E3" s="124">
        <v>-72</v>
      </c>
      <c r="F3" s="145">
        <f>+'CSD Resina Ush'!F3</f>
        <v>2.3960000000000001E-3</v>
      </c>
      <c r="G3" s="25">
        <f t="shared" ref="G3:G30" si="0">IFERROR((C3+D3)*(F3+2%)*(180/365),"")</f>
        <v>14.540219506849315</v>
      </c>
      <c r="H3" s="125">
        <v>0.12139999999999999</v>
      </c>
      <c r="I3" s="25">
        <f t="shared" ref="I3:I8" si="1">+H3*C3</f>
        <v>116.4833</v>
      </c>
      <c r="J3" s="125">
        <v>0.14199999999999999</v>
      </c>
      <c r="K3" s="25">
        <f t="shared" ref="K3:K30" si="2">IFERROR(SUM(C3,D3,G3)*J3,"")</f>
        <v>189.00771116997259</v>
      </c>
      <c r="L3" s="125">
        <v>1.0999999999999999E-2</v>
      </c>
      <c r="M3" s="25">
        <f>IFERROR(SUM(C3,D3,G3)*L3+86,"")</f>
        <v>100.64144241457534</v>
      </c>
      <c r="N3" s="35">
        <f t="shared" ref="N3:N30" si="3">IFERROR(-IF(C3&gt;1000,C3*2%,20),"")</f>
        <v>-20</v>
      </c>
      <c r="O3" s="35"/>
      <c r="P3" s="35"/>
      <c r="Q3" s="35"/>
      <c r="R3" s="35"/>
      <c r="S3" s="35"/>
      <c r="T3" s="35"/>
      <c r="U3" s="35"/>
      <c r="V3" s="35"/>
      <c r="W3" s="34">
        <f t="shared" ref="W3:W11" si="4">SUM(C3,D3,G3,I3,K3,M3,N3,E3,T3)</f>
        <v>1645.1726730913972</v>
      </c>
      <c r="X3" s="35">
        <f>+'CSD Resina Ush'!U3</f>
        <v>1494.3255970958905</v>
      </c>
      <c r="Y3" s="34">
        <f t="shared" ref="Y3:Y25" si="5">+X3+45</f>
        <v>1539.3255970958905</v>
      </c>
      <c r="AA3" s="24">
        <v>44440</v>
      </c>
      <c r="AB3" s="122">
        <v>959.5</v>
      </c>
      <c r="AC3" s="123">
        <v>426</v>
      </c>
      <c r="AD3" s="124">
        <v>-72</v>
      </c>
      <c r="AE3" s="125">
        <v>2.3960000000000001E-3</v>
      </c>
      <c r="AF3" s="25">
        <f t="shared" ref="AF3:AF30" si="6">IFERROR((AB3+AC3)*(AE3+2%)*(180/365),"")</f>
        <v>15.30229709589041</v>
      </c>
      <c r="AG3" s="125">
        <v>0.12139999999999999</v>
      </c>
      <c r="AH3" s="25">
        <f t="shared" ref="AH3:AH11" si="7">+AG3*AB3</f>
        <v>116.4833</v>
      </c>
      <c r="AI3" s="125"/>
      <c r="AJ3" s="25">
        <f t="shared" ref="AJ3:AJ30" si="8">IFERROR(79.04,"")</f>
        <v>79.040000000000006</v>
      </c>
      <c r="AK3" s="35">
        <f t="shared" ref="AK3:AK30" si="9">IFERROR(-IF(AB3&gt;1000,AB3*3%,30),"")</f>
        <v>-30</v>
      </c>
      <c r="AL3" s="35"/>
      <c r="AM3" s="35"/>
      <c r="AN3" s="35"/>
      <c r="AO3" s="35"/>
      <c r="AP3" s="35"/>
      <c r="AQ3" s="35"/>
      <c r="AR3" s="35"/>
      <c r="AS3" s="35"/>
      <c r="AT3" s="126">
        <f t="shared" ref="AT3:AT11" si="10">SUM(AB3,AC3,AF3,AH3,AJ3,AK3,AD3,AQ3)</f>
        <v>1494.3255970958905</v>
      </c>
      <c r="AU3" s="34">
        <f>AT3+30</f>
        <v>1524.3255970958905</v>
      </c>
    </row>
    <row r="4" spans="2:47" x14ac:dyDescent="0.35">
      <c r="B4" s="24">
        <v>44470</v>
      </c>
      <c r="C4" s="122">
        <f>+'CSD Resina Ush'!C4</f>
        <v>966.25</v>
      </c>
      <c r="D4" s="144">
        <v>357</v>
      </c>
      <c r="E4" s="124">
        <v>-72</v>
      </c>
      <c r="F4" s="145">
        <f>+'CSD Resina Ush'!F4</f>
        <v>2.3960000000000001E-3</v>
      </c>
      <c r="G4" s="25">
        <f t="shared" si="0"/>
        <v>14.614770575342465</v>
      </c>
      <c r="H4" s="125">
        <v>0.12139999999999999</v>
      </c>
      <c r="I4" s="25">
        <f t="shared" si="1"/>
        <v>117.30274999999999</v>
      </c>
      <c r="J4" s="125">
        <v>0.14199999999999999</v>
      </c>
      <c r="K4" s="25">
        <f t="shared" si="2"/>
        <v>189.97679742169859</v>
      </c>
      <c r="L4" s="125">
        <v>1.0999999999999999E-2</v>
      </c>
      <c r="M4" s="25">
        <f t="shared" ref="M4:M11" si="11">IFERROR(SUM(C4,D4,G4)*L4+86,"")</f>
        <v>100.71651247632876</v>
      </c>
      <c r="N4" s="35">
        <f t="shared" si="3"/>
        <v>-20</v>
      </c>
      <c r="O4" s="35"/>
      <c r="P4" s="35"/>
      <c r="Q4" s="35"/>
      <c r="R4" s="35"/>
      <c r="S4" s="35"/>
      <c r="T4" s="35"/>
      <c r="U4" s="35"/>
      <c r="V4" s="35"/>
      <c r="W4" s="34">
        <f t="shared" si="4"/>
        <v>1653.8608304733698</v>
      </c>
      <c r="X4" s="35">
        <f>+'CSD Resina Ush'!U4</f>
        <v>1501.9695981643836</v>
      </c>
      <c r="Y4" s="34">
        <f t="shared" si="5"/>
        <v>1546.9695981643836</v>
      </c>
      <c r="AA4" s="24">
        <v>44470</v>
      </c>
      <c r="AB4" s="122">
        <v>966.25</v>
      </c>
      <c r="AC4" s="123">
        <v>426</v>
      </c>
      <c r="AD4" s="124">
        <v>-72</v>
      </c>
      <c r="AE4" s="125">
        <v>2.3960000000000001E-3</v>
      </c>
      <c r="AF4" s="25">
        <f t="shared" si="6"/>
        <v>15.37684816438356</v>
      </c>
      <c r="AG4" s="125">
        <v>0.12139999999999999</v>
      </c>
      <c r="AH4" s="25">
        <f t="shared" si="7"/>
        <v>117.30274999999999</v>
      </c>
      <c r="AI4" s="125"/>
      <c r="AJ4" s="25">
        <f t="shared" si="8"/>
        <v>79.040000000000006</v>
      </c>
      <c r="AK4" s="35">
        <f t="shared" si="9"/>
        <v>-30</v>
      </c>
      <c r="AL4" s="35"/>
      <c r="AM4" s="35"/>
      <c r="AN4" s="35"/>
      <c r="AO4" s="35"/>
      <c r="AP4" s="35"/>
      <c r="AQ4" s="35"/>
      <c r="AR4" s="35"/>
      <c r="AS4" s="35"/>
      <c r="AT4" s="126">
        <f t="shared" si="10"/>
        <v>1501.9695981643836</v>
      </c>
      <c r="AU4" s="34">
        <f t="shared" ref="AU4:AU38" si="12">AT4+30</f>
        <v>1531.9695981643836</v>
      </c>
    </row>
    <row r="5" spans="2:47" x14ac:dyDescent="0.35">
      <c r="B5" s="24">
        <f>+'CSD Resina Ush'!B5</f>
        <v>44501</v>
      </c>
      <c r="C5" s="122">
        <f>+'CSD Resina Ush'!C5</f>
        <v>953</v>
      </c>
      <c r="D5" s="144">
        <v>357</v>
      </c>
      <c r="E5" s="124">
        <v>-72</v>
      </c>
      <c r="F5" s="145">
        <f>+'CSD Resina Ush'!F5</f>
        <v>2.2790000000000002E-3</v>
      </c>
      <c r="G5" s="25">
        <f t="shared" si="0"/>
        <v>14.392844383561643</v>
      </c>
      <c r="H5" s="125">
        <v>0.12139999999999999</v>
      </c>
      <c r="I5" s="25">
        <f t="shared" si="1"/>
        <v>115.6942</v>
      </c>
      <c r="J5" s="125">
        <v>0.14199999999999999</v>
      </c>
      <c r="K5" s="25">
        <f t="shared" si="2"/>
        <v>188.06378390246573</v>
      </c>
      <c r="L5" s="125">
        <v>1.0999999999999999E-2</v>
      </c>
      <c r="M5" s="25">
        <f t="shared" si="11"/>
        <v>100.56832128821918</v>
      </c>
      <c r="N5" s="35">
        <f t="shared" si="3"/>
        <v>-20</v>
      </c>
      <c r="O5" s="35"/>
      <c r="P5" s="35"/>
      <c r="Q5" s="35"/>
      <c r="R5" s="35"/>
      <c r="S5" s="35"/>
      <c r="T5" s="35"/>
      <c r="U5" s="35"/>
      <c r="V5" s="35"/>
      <c r="W5" s="34">
        <f t="shared" si="4"/>
        <v>1636.7191495742463</v>
      </c>
      <c r="X5" s="35">
        <f>+'CSD Resina Ush'!U5</f>
        <v>1486.8851407671232</v>
      </c>
      <c r="Y5" s="34">
        <f t="shared" si="5"/>
        <v>1531.8851407671232</v>
      </c>
      <c r="AA5" s="24">
        <v>44501</v>
      </c>
      <c r="AB5" s="122">
        <v>953</v>
      </c>
      <c r="AC5" s="123">
        <v>426</v>
      </c>
      <c r="AD5" s="124">
        <v>-72</v>
      </c>
      <c r="AE5" s="125">
        <v>2.2790000000000002E-3</v>
      </c>
      <c r="AF5" s="25">
        <f t="shared" si="6"/>
        <v>15.150940767123286</v>
      </c>
      <c r="AG5" s="125">
        <v>0.12139999999999999</v>
      </c>
      <c r="AH5" s="25">
        <f t="shared" si="7"/>
        <v>115.6942</v>
      </c>
      <c r="AI5" s="125"/>
      <c r="AJ5" s="25">
        <f t="shared" si="8"/>
        <v>79.040000000000006</v>
      </c>
      <c r="AK5" s="35">
        <f t="shared" si="9"/>
        <v>-30</v>
      </c>
      <c r="AL5" s="35"/>
      <c r="AM5" s="35"/>
      <c r="AN5" s="35"/>
      <c r="AO5" s="35"/>
      <c r="AP5" s="35"/>
      <c r="AQ5" s="35"/>
      <c r="AR5" s="35"/>
      <c r="AS5" s="35"/>
      <c r="AT5" s="126">
        <f t="shared" si="10"/>
        <v>1486.8851407671232</v>
      </c>
      <c r="AU5" s="34">
        <f t="shared" si="12"/>
        <v>1516.8851407671232</v>
      </c>
    </row>
    <row r="6" spans="2:47" x14ac:dyDescent="0.35">
      <c r="B6" s="24">
        <f>+'CSD Resina Ush'!B6</f>
        <v>44531</v>
      </c>
      <c r="C6" s="122">
        <f>+'CSD Resina Ush'!C6</f>
        <v>1111.8800000000001</v>
      </c>
      <c r="D6" s="144">
        <v>357</v>
      </c>
      <c r="E6" s="124">
        <v>-72</v>
      </c>
      <c r="F6" s="145">
        <f>+'CSD Resina Ush'!F6</f>
        <v>3.6725E-3</v>
      </c>
      <c r="G6" s="25">
        <f t="shared" si="0"/>
        <v>17.147866093150686</v>
      </c>
      <c r="H6" s="125">
        <v>0.12139999999999999</v>
      </c>
      <c r="I6" s="25">
        <f t="shared" si="1"/>
        <v>134.98223200000001</v>
      </c>
      <c r="J6" s="125">
        <v>0.14199999999999999</v>
      </c>
      <c r="K6" s="25">
        <f t="shared" si="2"/>
        <v>211.0159569852274</v>
      </c>
      <c r="L6" s="125">
        <v>1.0999999999999999E-2</v>
      </c>
      <c r="M6" s="25">
        <f t="shared" si="11"/>
        <v>102.34630652702467</v>
      </c>
      <c r="N6" s="35">
        <f t="shared" si="3"/>
        <v>-22.237600000000004</v>
      </c>
      <c r="O6" s="35"/>
      <c r="P6" s="35"/>
      <c r="Q6" s="35"/>
      <c r="R6" s="35"/>
      <c r="S6" s="35"/>
      <c r="T6" s="35"/>
      <c r="U6" s="35"/>
      <c r="V6" s="35"/>
      <c r="W6" s="34">
        <f t="shared" si="4"/>
        <v>1840.1347616054029</v>
      </c>
      <c r="X6" s="35">
        <f>+'CSD Resina Ush'!U6</f>
        <v>1664.4992116547949</v>
      </c>
      <c r="Y6" s="34">
        <f t="shared" si="5"/>
        <v>1709.4992116547949</v>
      </c>
      <c r="AA6" s="24">
        <v>44531</v>
      </c>
      <c r="AB6" s="122">
        <v>1111.8800000000001</v>
      </c>
      <c r="AC6" s="123">
        <v>426</v>
      </c>
      <c r="AD6" s="124">
        <v>-72</v>
      </c>
      <c r="AE6" s="125">
        <v>3.6725E-3</v>
      </c>
      <c r="AF6" s="25">
        <f t="shared" si="6"/>
        <v>17.953379654794517</v>
      </c>
      <c r="AG6" s="125">
        <v>0.12139999999999999</v>
      </c>
      <c r="AH6" s="25">
        <f t="shared" si="7"/>
        <v>134.98223200000001</v>
      </c>
      <c r="AI6" s="125"/>
      <c r="AJ6" s="25">
        <f t="shared" si="8"/>
        <v>79.040000000000006</v>
      </c>
      <c r="AK6" s="35">
        <f t="shared" si="9"/>
        <v>-33.356400000000001</v>
      </c>
      <c r="AL6" s="35"/>
      <c r="AM6" s="35"/>
      <c r="AN6" s="35"/>
      <c r="AO6" s="35"/>
      <c r="AP6" s="35"/>
      <c r="AQ6" s="35"/>
      <c r="AR6" s="35"/>
      <c r="AS6" s="35"/>
      <c r="AT6" s="126">
        <f>SUM(AB6,AC6,AF6,AH6,AJ6,AK6,AD6,AQ6)</f>
        <v>1664.4992116547949</v>
      </c>
      <c r="AU6" s="34">
        <f t="shared" si="12"/>
        <v>1694.4992116547949</v>
      </c>
    </row>
    <row r="7" spans="2:47" x14ac:dyDescent="0.35">
      <c r="B7" s="24">
        <f>+'CSD Resina Ush'!B7</f>
        <v>44562</v>
      </c>
      <c r="C7" s="122">
        <f>+'CSD Resina Ush'!C7</f>
        <v>1124.3800000000001</v>
      </c>
      <c r="D7" s="144">
        <v>357</v>
      </c>
      <c r="E7" s="124">
        <v>-72</v>
      </c>
      <c r="F7" s="145">
        <f>+'CSD Resina Ush'!F7</f>
        <v>3.8238E-3</v>
      </c>
      <c r="G7" s="25">
        <f t="shared" si="0"/>
        <v>17.404323703890412</v>
      </c>
      <c r="H7" s="125">
        <v>0.12139999999999999</v>
      </c>
      <c r="I7" s="25">
        <f t="shared" si="1"/>
        <v>136.49973199999999</v>
      </c>
      <c r="J7" s="125">
        <v>0.14199999999999999</v>
      </c>
      <c r="K7" s="25">
        <f t="shared" si="2"/>
        <v>212.82737396595243</v>
      </c>
      <c r="L7" s="125">
        <v>1.0999999999999999E-2</v>
      </c>
      <c r="M7" s="25">
        <f t="shared" si="11"/>
        <v>102.48662756074279</v>
      </c>
      <c r="N7" s="35">
        <f t="shared" si="3"/>
        <v>-22.487600000000004</v>
      </c>
      <c r="O7" s="35"/>
      <c r="P7" s="35"/>
      <c r="Q7" s="35"/>
      <c r="R7" s="35"/>
      <c r="S7" s="35"/>
      <c r="T7" s="35"/>
      <c r="U7" s="35"/>
      <c r="V7" s="35"/>
      <c r="W7" s="34">
        <f t="shared" si="4"/>
        <v>1856.1104572305858</v>
      </c>
      <c r="X7" s="35">
        <f>+'CSD Resina Ush'!U7</f>
        <v>1678.4033176107398</v>
      </c>
      <c r="Y7" s="34">
        <f t="shared" si="5"/>
        <v>1723.4033176107398</v>
      </c>
      <c r="AA7" s="24">
        <v>44562</v>
      </c>
      <c r="AB7" s="122">
        <v>1124.3800000000001</v>
      </c>
      <c r="AC7" s="123">
        <v>426</v>
      </c>
      <c r="AD7" s="124">
        <v>-72</v>
      </c>
      <c r="AE7" s="125">
        <v>3.8238E-3</v>
      </c>
      <c r="AF7" s="25">
        <f t="shared" si="6"/>
        <v>18.214985610739724</v>
      </c>
      <c r="AG7" s="125">
        <v>0.12139999999999999</v>
      </c>
      <c r="AH7" s="25">
        <f t="shared" si="7"/>
        <v>136.49973199999999</v>
      </c>
      <c r="AI7" s="125"/>
      <c r="AJ7" s="25">
        <f t="shared" si="8"/>
        <v>79.040000000000006</v>
      </c>
      <c r="AK7" s="35">
        <f t="shared" si="9"/>
        <v>-33.731400000000001</v>
      </c>
      <c r="AL7" s="35"/>
      <c r="AM7" s="35"/>
      <c r="AN7" s="35"/>
      <c r="AO7" s="35"/>
      <c r="AP7" s="35"/>
      <c r="AQ7" s="35"/>
      <c r="AR7" s="35"/>
      <c r="AS7" s="35"/>
      <c r="AT7" s="126">
        <f t="shared" si="10"/>
        <v>1678.4033176107398</v>
      </c>
      <c r="AU7" s="34">
        <f t="shared" si="12"/>
        <v>1708.4033176107398</v>
      </c>
    </row>
    <row r="8" spans="2:47" x14ac:dyDescent="0.35">
      <c r="B8" s="24">
        <f>+'CSD Resina Ush'!B8</f>
        <v>44593</v>
      </c>
      <c r="C8" s="122">
        <f>+'CSD Resina Ush'!C8</f>
        <v>1026.5</v>
      </c>
      <c r="D8" s="144">
        <v>357</v>
      </c>
      <c r="E8" s="124">
        <v>-72</v>
      </c>
      <c r="F8" s="145">
        <f>+'CSD Resina Ush'!F8</f>
        <v>3.8238E-3</v>
      </c>
      <c r="G8" s="25">
        <f t="shared" si="0"/>
        <v>16.25435866849315</v>
      </c>
      <c r="H8" s="125">
        <v>0.12139999999999999</v>
      </c>
      <c r="I8" s="25">
        <f t="shared" si="1"/>
        <v>124.61709999999999</v>
      </c>
      <c r="J8" s="125">
        <v>0.14199999999999999</v>
      </c>
      <c r="K8" s="25">
        <f t="shared" si="2"/>
        <v>198.76511893092601</v>
      </c>
      <c r="L8" s="125">
        <v>1.0999999999999999E-2</v>
      </c>
      <c r="M8" s="25">
        <f t="shared" si="11"/>
        <v>101.39729794535342</v>
      </c>
      <c r="N8" s="35">
        <f t="shared" si="3"/>
        <v>-20.53</v>
      </c>
      <c r="O8" s="35"/>
      <c r="P8" s="35"/>
      <c r="Q8" s="35"/>
      <c r="R8" s="35"/>
      <c r="S8" s="35"/>
      <c r="T8" s="35"/>
      <c r="U8" s="35"/>
      <c r="V8" s="35"/>
      <c r="W8" s="34">
        <f t="shared" si="4"/>
        <v>1732.0038755447724</v>
      </c>
      <c r="X8" s="35">
        <f>+'CSD Resina Ush'!U8</f>
        <v>1570.4271205753423</v>
      </c>
      <c r="Y8" s="34">
        <f t="shared" si="5"/>
        <v>1615.4271205753423</v>
      </c>
      <c r="AA8" s="24">
        <v>44593</v>
      </c>
      <c r="AB8" s="122">
        <v>1026.5</v>
      </c>
      <c r="AC8" s="123">
        <v>426</v>
      </c>
      <c r="AD8" s="124">
        <v>-72</v>
      </c>
      <c r="AE8" s="125">
        <v>3.8238E-3</v>
      </c>
      <c r="AF8" s="25">
        <f t="shared" si="6"/>
        <v>17.065020575342466</v>
      </c>
      <c r="AG8" s="125">
        <v>0.12139999999999999</v>
      </c>
      <c r="AH8" s="25">
        <f t="shared" si="7"/>
        <v>124.61709999999999</v>
      </c>
      <c r="AI8" s="125"/>
      <c r="AJ8" s="25">
        <f t="shared" si="8"/>
        <v>79.040000000000006</v>
      </c>
      <c r="AK8" s="35">
        <f t="shared" si="9"/>
        <v>-30.794999999999998</v>
      </c>
      <c r="AL8" s="35"/>
      <c r="AM8" s="35"/>
      <c r="AN8" s="35"/>
      <c r="AO8" s="35"/>
      <c r="AP8" s="35"/>
      <c r="AQ8" s="35"/>
      <c r="AR8" s="35"/>
      <c r="AS8" s="35"/>
      <c r="AT8" s="126">
        <f t="shared" si="10"/>
        <v>1570.4271205753423</v>
      </c>
      <c r="AU8" s="34">
        <f t="shared" si="12"/>
        <v>1600.4271205753423</v>
      </c>
    </row>
    <row r="9" spans="2:47" x14ac:dyDescent="0.35">
      <c r="B9" s="24">
        <f>+'CSD Resina Ush'!B9</f>
        <v>44621</v>
      </c>
      <c r="C9" s="122">
        <f>+'CSD Resina Ush'!C9</f>
        <v>1076.25</v>
      </c>
      <c r="D9" s="144">
        <v>357</v>
      </c>
      <c r="E9" s="144"/>
      <c r="F9" s="145">
        <f>+'CSD Resina Ush'!F9</f>
        <v>9.6229999999999996E-3</v>
      </c>
      <c r="G9" s="25">
        <f t="shared" si="0"/>
        <v>20.937779876712327</v>
      </c>
      <c r="H9" s="125">
        <v>0.12139999999999999</v>
      </c>
      <c r="I9" s="25">
        <f>+H9*C9</f>
        <v>130.65674999999999</v>
      </c>
      <c r="J9" s="125">
        <v>0.14199999999999999</v>
      </c>
      <c r="K9" s="25">
        <f t="shared" si="2"/>
        <v>206.49466474249311</v>
      </c>
      <c r="L9" s="125">
        <v>1.0999999999999999E-2</v>
      </c>
      <c r="M9" s="25">
        <f t="shared" si="11"/>
        <v>101.99606557864384</v>
      </c>
      <c r="N9" s="35">
        <f t="shared" si="3"/>
        <v>-21.525000000000002</v>
      </c>
      <c r="O9" s="35"/>
      <c r="P9" s="35"/>
      <c r="Q9" s="35"/>
      <c r="R9" s="35"/>
      <c r="S9" s="35"/>
      <c r="T9" s="35"/>
      <c r="U9" s="35"/>
      <c r="V9" s="35"/>
      <c r="W9" s="34">
        <f t="shared" si="4"/>
        <v>1871.8102601978492</v>
      </c>
      <c r="X9" s="35">
        <f>+'CSD Resina Ush'!U9</f>
        <v>1733.0951009452056</v>
      </c>
      <c r="Y9" s="34">
        <f t="shared" si="5"/>
        <v>1778.0951009452056</v>
      </c>
      <c r="AA9" s="24">
        <v>44621</v>
      </c>
      <c r="AB9" s="122">
        <v>1076.25</v>
      </c>
      <c r="AC9" s="123">
        <v>528</v>
      </c>
      <c r="AD9" s="124">
        <v>-72</v>
      </c>
      <c r="AE9" s="125">
        <v>9.6229999999999996E-3</v>
      </c>
      <c r="AF9" s="25">
        <f t="shared" si="6"/>
        <v>23.435850945205477</v>
      </c>
      <c r="AG9" s="125">
        <v>0.12139999999999999</v>
      </c>
      <c r="AH9" s="25">
        <f t="shared" si="7"/>
        <v>130.65674999999999</v>
      </c>
      <c r="AI9" s="125"/>
      <c r="AJ9" s="25">
        <f t="shared" si="8"/>
        <v>79.040000000000006</v>
      </c>
      <c r="AK9" s="35">
        <f t="shared" si="9"/>
        <v>-32.287500000000001</v>
      </c>
      <c r="AL9" s="35"/>
      <c r="AM9" s="35"/>
      <c r="AN9" s="35"/>
      <c r="AO9" s="35"/>
      <c r="AP9" s="35"/>
      <c r="AQ9" s="35"/>
      <c r="AR9" s="35"/>
      <c r="AS9" s="35"/>
      <c r="AT9" s="126">
        <f t="shared" si="10"/>
        <v>1733.0951009452056</v>
      </c>
      <c r="AU9" s="34">
        <f t="shared" si="12"/>
        <v>1763.0951009452056</v>
      </c>
    </row>
    <row r="10" spans="2:47" x14ac:dyDescent="0.35">
      <c r="B10" s="24">
        <f>+'CSD Resina Ush'!B10</f>
        <v>44652</v>
      </c>
      <c r="C10" s="122">
        <f>+'CSD Resina Ush'!C10</f>
        <v>1138</v>
      </c>
      <c r="D10" s="144">
        <v>459</v>
      </c>
      <c r="E10" s="124">
        <v>-30</v>
      </c>
      <c r="F10" s="145">
        <f>+'CSD Resina Ush'!F10</f>
        <v>1.2862999999999999E-2</v>
      </c>
      <c r="G10" s="25">
        <f t="shared" si="0"/>
        <v>25.881638301369865</v>
      </c>
      <c r="H10" s="125">
        <v>0.12139999999999999</v>
      </c>
      <c r="I10" s="25">
        <f t="shared" ref="I10:I28" si="13">+H10*C10</f>
        <v>138.1532</v>
      </c>
      <c r="J10" s="125">
        <v>0.14199999999999999</v>
      </c>
      <c r="K10" s="25">
        <f t="shared" si="2"/>
        <v>230.4491926387945</v>
      </c>
      <c r="L10" s="125">
        <v>1.0999999999999999E-2</v>
      </c>
      <c r="M10" s="25">
        <f t="shared" si="11"/>
        <v>103.85169802131506</v>
      </c>
      <c r="N10" s="35">
        <f t="shared" si="3"/>
        <v>-22.76</v>
      </c>
      <c r="O10" s="35"/>
      <c r="P10" s="35"/>
      <c r="Q10" s="35"/>
      <c r="R10" s="35"/>
      <c r="S10" s="35"/>
      <c r="T10" s="35"/>
      <c r="U10" s="35"/>
      <c r="V10" s="35"/>
      <c r="W10" s="34">
        <f t="shared" si="4"/>
        <v>2042.5757289614789</v>
      </c>
      <c r="X10" s="35">
        <f>+'CSD Resina Ush'!U10</f>
        <v>1846.0530806575341</v>
      </c>
      <c r="Y10" s="34">
        <f t="shared" si="5"/>
        <v>1891.0530806575341</v>
      </c>
      <c r="AA10" s="24">
        <v>44652</v>
      </c>
      <c r="AB10" s="122">
        <v>1138</v>
      </c>
      <c r="AC10" s="124">
        <v>528</v>
      </c>
      <c r="AD10" s="124">
        <v>-30</v>
      </c>
      <c r="AE10" s="125">
        <v>1.2862999999999999E-2</v>
      </c>
      <c r="AF10" s="25">
        <f t="shared" si="6"/>
        <v>26.999880657534248</v>
      </c>
      <c r="AG10" s="125">
        <v>0.12139999999999999</v>
      </c>
      <c r="AH10" s="25">
        <f t="shared" si="7"/>
        <v>138.1532</v>
      </c>
      <c r="AI10" s="125"/>
      <c r="AJ10" s="25">
        <f t="shared" si="8"/>
        <v>79.040000000000006</v>
      </c>
      <c r="AK10" s="35">
        <f t="shared" si="9"/>
        <v>-34.14</v>
      </c>
      <c r="AL10" s="35"/>
      <c r="AM10" s="35"/>
      <c r="AN10" s="35"/>
      <c r="AO10" s="35"/>
      <c r="AP10" s="35"/>
      <c r="AQ10" s="35"/>
      <c r="AR10" s="35"/>
      <c r="AS10" s="35"/>
      <c r="AT10" s="126">
        <f t="shared" si="10"/>
        <v>1846.0530806575341</v>
      </c>
      <c r="AU10" s="34">
        <f t="shared" si="12"/>
        <v>1876.0530806575341</v>
      </c>
    </row>
    <row r="11" spans="2:47" x14ac:dyDescent="0.35">
      <c r="B11" s="24">
        <f>+'CSD Resina Ush'!B11</f>
        <v>44682</v>
      </c>
      <c r="C11" s="122">
        <f>+'CSD Resina Ush'!C11</f>
        <v>1213</v>
      </c>
      <c r="D11" s="144">
        <v>459</v>
      </c>
      <c r="E11" s="124"/>
      <c r="F11" s="145">
        <f>+'CSD Resina Ush'!F11</f>
        <v>2.1014000000000001E-2</v>
      </c>
      <c r="G11" s="25">
        <f t="shared" si="0"/>
        <v>33.818009424657539</v>
      </c>
      <c r="H11" s="125">
        <v>0.12139999999999999</v>
      </c>
      <c r="I11" s="25">
        <f t="shared" si="13"/>
        <v>147.25819999999999</v>
      </c>
      <c r="J11" s="125">
        <v>0.14199999999999999</v>
      </c>
      <c r="K11" s="25">
        <f t="shared" si="2"/>
        <v>242.22615733830133</v>
      </c>
      <c r="L11" s="125">
        <v>1.0999999999999999E-2</v>
      </c>
      <c r="M11" s="25">
        <f t="shared" si="11"/>
        <v>104.76399810367123</v>
      </c>
      <c r="N11" s="35">
        <f t="shared" si="3"/>
        <v>-24.26</v>
      </c>
      <c r="O11" s="35"/>
      <c r="P11" s="35"/>
      <c r="Q11" s="35"/>
      <c r="R11" s="35"/>
      <c r="S11" s="35"/>
      <c r="T11" s="35"/>
      <c r="U11" s="35"/>
      <c r="V11" s="35"/>
      <c r="W11" s="34">
        <f t="shared" si="4"/>
        <v>2175.8063648666298</v>
      </c>
      <c r="X11" s="35">
        <f>+'CSD Resina Ush'!U11</f>
        <v>1966.1218090958903</v>
      </c>
      <c r="Y11" s="34">
        <f t="shared" si="5"/>
        <v>2011.1218090958903</v>
      </c>
      <c r="AA11" s="24">
        <v>44682</v>
      </c>
      <c r="AB11" s="122">
        <v>1213</v>
      </c>
      <c r="AC11" s="124">
        <v>528</v>
      </c>
      <c r="AD11" s="124"/>
      <c r="AE11" s="125">
        <v>2.1014000000000001E-2</v>
      </c>
      <c r="AF11" s="25">
        <f t="shared" si="6"/>
        <v>35.213609095890412</v>
      </c>
      <c r="AG11" s="125">
        <v>0.12139999999999999</v>
      </c>
      <c r="AH11" s="25">
        <f t="shared" si="7"/>
        <v>147.25819999999999</v>
      </c>
      <c r="AI11" s="125"/>
      <c r="AJ11" s="25">
        <f t="shared" si="8"/>
        <v>79.040000000000006</v>
      </c>
      <c r="AK11" s="35">
        <f t="shared" si="9"/>
        <v>-36.39</v>
      </c>
      <c r="AL11" s="35"/>
      <c r="AM11" s="35"/>
      <c r="AN11" s="35"/>
      <c r="AO11" s="35"/>
      <c r="AP11" s="35"/>
      <c r="AQ11" s="35"/>
      <c r="AR11" s="35"/>
      <c r="AS11" s="35"/>
      <c r="AT11" s="126">
        <f t="shared" si="10"/>
        <v>1966.1218090958903</v>
      </c>
      <c r="AU11" s="34">
        <f t="shared" si="12"/>
        <v>1996.1218090958903</v>
      </c>
    </row>
    <row r="12" spans="2:47" x14ac:dyDescent="0.35">
      <c r="B12" s="24">
        <f>+'CSD Resina Ush'!B12</f>
        <v>44713</v>
      </c>
      <c r="C12" s="122">
        <f>+'CSD Resina Ush'!C12</f>
        <v>1198.75</v>
      </c>
      <c r="D12" s="144">
        <v>459</v>
      </c>
      <c r="E12" s="124">
        <v>-30</v>
      </c>
      <c r="F12" s="145">
        <f>+'CSD Resina Ush'!F12</f>
        <v>2.5491E-2</v>
      </c>
      <c r="G12" s="25">
        <f t="shared" si="0"/>
        <v>37.189827246575341</v>
      </c>
      <c r="H12" s="125">
        <v>0.12139999999999999</v>
      </c>
      <c r="I12" s="25">
        <f t="shared" si="13"/>
        <v>145.52824999999999</v>
      </c>
      <c r="J12" s="125">
        <v>0.14199999999999999</v>
      </c>
      <c r="K12" s="25">
        <f t="shared" si="2"/>
        <v>240.68145546901368</v>
      </c>
      <c r="L12" s="125">
        <v>1.0999999999999999E-2</v>
      </c>
      <c r="M12" s="25">
        <f>IFERROR(SUM(C12,D12,G12)*L12+86,"")</f>
        <v>104.64433809971233</v>
      </c>
      <c r="N12" s="35">
        <f t="shared" si="3"/>
        <v>-23.975000000000001</v>
      </c>
      <c r="O12" s="35"/>
      <c r="P12" s="35"/>
      <c r="Q12" s="35"/>
      <c r="R12" s="35"/>
      <c r="S12" s="35"/>
      <c r="T12" s="35">
        <v>180</v>
      </c>
      <c r="U12" s="35"/>
      <c r="V12" s="35"/>
      <c r="W12" s="34">
        <f>SUM(C12,D12,G12,I12,K12,M12,N12,E12,T12)</f>
        <v>2311.8188708153016</v>
      </c>
      <c r="X12" s="35">
        <f>+'CSD Resina Ush'!U12</f>
        <v>2104.0935175753425</v>
      </c>
      <c r="Y12" s="34">
        <f t="shared" si="5"/>
        <v>2149.0935175753425</v>
      </c>
      <c r="AA12" s="24">
        <v>44713</v>
      </c>
      <c r="AB12" s="122">
        <v>1198.75</v>
      </c>
      <c r="AC12" s="124">
        <v>528</v>
      </c>
      <c r="AD12" s="124">
        <v>-30</v>
      </c>
      <c r="AE12" s="125">
        <v>2.5491E-2</v>
      </c>
      <c r="AF12" s="25">
        <f t="shared" si="6"/>
        <v>38.737767575342467</v>
      </c>
      <c r="AG12" s="125">
        <v>0.12139999999999999</v>
      </c>
      <c r="AH12" s="25">
        <f>+AG12*AB12</f>
        <v>145.52824999999999</v>
      </c>
      <c r="AI12" s="125"/>
      <c r="AJ12" s="25">
        <f t="shared" si="8"/>
        <v>79.040000000000006</v>
      </c>
      <c r="AK12" s="35">
        <f t="shared" si="9"/>
        <v>-35.962499999999999</v>
      </c>
      <c r="AL12" s="35"/>
      <c r="AM12" s="35"/>
      <c r="AN12" s="35"/>
      <c r="AO12" s="35"/>
      <c r="AP12" s="35"/>
      <c r="AQ12" s="35">
        <v>180</v>
      </c>
      <c r="AR12" s="35"/>
      <c r="AS12" s="35"/>
      <c r="AT12" s="126">
        <f>SUM(AB12,AC12,AF12,AH12,AJ12,AK12,AD12,AQ12)</f>
        <v>2104.0935175753425</v>
      </c>
      <c r="AU12" s="34">
        <f t="shared" si="12"/>
        <v>2134.0935175753425</v>
      </c>
    </row>
    <row r="13" spans="2:47" x14ac:dyDescent="0.35">
      <c r="B13" s="24">
        <f>+'CSD Resina Ush'!B13</f>
        <v>44743</v>
      </c>
      <c r="C13" s="122">
        <f>+'CSD Resina Ush'!C13</f>
        <v>1216.25</v>
      </c>
      <c r="D13" s="144">
        <v>459</v>
      </c>
      <c r="E13" s="124">
        <v>-30</v>
      </c>
      <c r="F13" s="145">
        <f>+'CSD Resina Ush'!F13</f>
        <v>2.5491E-2</v>
      </c>
      <c r="G13" s="25">
        <f t="shared" si="0"/>
        <v>37.582420808219176</v>
      </c>
      <c r="H13" s="125">
        <v>0.12139999999999999</v>
      </c>
      <c r="I13" s="25">
        <f t="shared" si="13"/>
        <v>147.65275</v>
      </c>
      <c r="J13" s="125">
        <v>0.14199999999999999</v>
      </c>
      <c r="K13" s="25">
        <f t="shared" si="2"/>
        <v>243.22220375476712</v>
      </c>
      <c r="L13" s="125">
        <v>1.0999999999999999E-2</v>
      </c>
      <c r="M13" s="25">
        <f t="shared" ref="M13:M30" si="14">IFERROR(SUM(C13,D13,G13)*L13+86,"")</f>
        <v>104.84115662889042</v>
      </c>
      <c r="N13" s="35">
        <f t="shared" si="3"/>
        <v>-24.324999999999999</v>
      </c>
      <c r="O13" s="35"/>
      <c r="P13" s="35"/>
      <c r="Q13" s="35"/>
      <c r="R13" s="35"/>
      <c r="S13" s="35"/>
      <c r="T13" s="35">
        <f>+'CSD Resina Ush'!R13</f>
        <v>211</v>
      </c>
      <c r="U13" s="35"/>
      <c r="V13" s="35"/>
      <c r="W13" s="34">
        <f>SUM(C13,D13,G13,I13,K13,M13,N13,E13,T13)</f>
        <v>2365.2235311918771</v>
      </c>
      <c r="X13" s="35">
        <f>+'CSD Resina Ush'!U13</f>
        <v>2154.5856111369862</v>
      </c>
      <c r="Y13" s="34">
        <f t="shared" si="5"/>
        <v>2199.5856111369862</v>
      </c>
      <c r="AA13" s="24">
        <v>44743</v>
      </c>
      <c r="AB13" s="122">
        <v>1216.25</v>
      </c>
      <c r="AC13" s="124">
        <v>528</v>
      </c>
      <c r="AD13" s="124">
        <v>-30</v>
      </c>
      <c r="AE13" s="125">
        <v>2.5491E-2</v>
      </c>
      <c r="AF13" s="25">
        <f t="shared" si="6"/>
        <v>39.130361136986302</v>
      </c>
      <c r="AG13" s="125">
        <v>0.12139999999999999</v>
      </c>
      <c r="AH13" s="25">
        <f t="shared" ref="AH13:AH30" si="15">+AG13*AB13</f>
        <v>147.65275</v>
      </c>
      <c r="AI13" s="125"/>
      <c r="AJ13" s="25">
        <f t="shared" si="8"/>
        <v>79.040000000000006</v>
      </c>
      <c r="AK13" s="35">
        <f t="shared" si="9"/>
        <v>-36.487499999999997</v>
      </c>
      <c r="AL13" s="35"/>
      <c r="AM13" s="35"/>
      <c r="AN13" s="35"/>
      <c r="AO13" s="35"/>
      <c r="AP13" s="35"/>
      <c r="AQ13" s="35">
        <v>211</v>
      </c>
      <c r="AR13" s="35"/>
      <c r="AS13" s="35"/>
      <c r="AT13" s="126">
        <f>SUM(AB13,AC13,AF13,AH13,AJ13,AK13,AD13,AQ13)</f>
        <v>2154.5856111369862</v>
      </c>
      <c r="AU13" s="34">
        <f t="shared" si="12"/>
        <v>2184.5856111369862</v>
      </c>
    </row>
    <row r="14" spans="2:47" x14ac:dyDescent="0.35">
      <c r="B14" s="24">
        <f>+'CSD Resina Ush'!B14</f>
        <v>44774</v>
      </c>
      <c r="C14" s="122">
        <f>+'CSD Resina Ush'!C14</f>
        <v>1235</v>
      </c>
      <c r="D14" s="144">
        <v>459</v>
      </c>
      <c r="E14" s="124"/>
      <c r="F14" s="145">
        <f>+'CSD Resina Ush'!F14</f>
        <v>2.5491E-2</v>
      </c>
      <c r="G14" s="25">
        <f t="shared" si="0"/>
        <v>38.00305676712329</v>
      </c>
      <c r="H14" s="125">
        <v>0.12139999999999999</v>
      </c>
      <c r="I14" s="25">
        <f t="shared" si="13"/>
        <v>149.929</v>
      </c>
      <c r="J14" s="125">
        <v>0.14199999999999999</v>
      </c>
      <c r="K14" s="25">
        <f t="shared" si="2"/>
        <v>245.94443406093148</v>
      </c>
      <c r="L14" s="125">
        <v>1.0999999999999999E-2</v>
      </c>
      <c r="M14" s="25">
        <f t="shared" si="14"/>
        <v>105.05203362443835</v>
      </c>
      <c r="N14" s="35">
        <f t="shared" si="3"/>
        <v>-24.7</v>
      </c>
      <c r="O14" s="35"/>
      <c r="P14" s="35"/>
      <c r="Q14" s="35"/>
      <c r="R14" s="35"/>
      <c r="S14" s="35"/>
      <c r="T14" s="35">
        <f>+'CSD Resina Ush'!R14</f>
        <v>318</v>
      </c>
      <c r="U14" s="35">
        <v>-159</v>
      </c>
      <c r="V14" s="35"/>
      <c r="W14" s="34">
        <f t="shared" ref="W14:W26" si="16">SUM(C14,D14,G14,I14,K14,M14,N14,E14,T14+U14)</f>
        <v>2367.2285244524937</v>
      </c>
      <c r="X14" s="35">
        <f>+'CSD Resina Ush'!U14</f>
        <v>2153.4699970958904</v>
      </c>
      <c r="Y14" s="34">
        <f t="shared" si="5"/>
        <v>2198.4699970958904</v>
      </c>
      <c r="AA14" s="24">
        <v>44774</v>
      </c>
      <c r="AB14" s="122">
        <v>1235</v>
      </c>
      <c r="AC14" s="124">
        <v>528</v>
      </c>
      <c r="AD14" s="124"/>
      <c r="AE14" s="125">
        <v>2.5491E-2</v>
      </c>
      <c r="AF14" s="25">
        <f t="shared" si="6"/>
        <v>39.550997095890416</v>
      </c>
      <c r="AG14" s="125">
        <v>0.12139999999999999</v>
      </c>
      <c r="AH14" s="25">
        <f t="shared" si="15"/>
        <v>149.929</v>
      </c>
      <c r="AI14" s="125"/>
      <c r="AJ14" s="25">
        <f t="shared" si="8"/>
        <v>79.040000000000006</v>
      </c>
      <c r="AK14" s="35">
        <f t="shared" si="9"/>
        <v>-37.049999999999997</v>
      </c>
      <c r="AL14" s="35"/>
      <c r="AM14" s="35"/>
      <c r="AN14" s="35"/>
      <c r="AO14" s="35"/>
      <c r="AP14" s="35"/>
      <c r="AQ14" s="35">
        <v>318</v>
      </c>
      <c r="AR14" s="35">
        <v>-159</v>
      </c>
      <c r="AS14" s="35"/>
      <c r="AT14" s="126">
        <f>SUM(AB14,AC14,AF14,AH14,AJ14,AK14,AD14,AQ14+AR14)</f>
        <v>2153.4699970958904</v>
      </c>
      <c r="AU14" s="34">
        <f t="shared" si="12"/>
        <v>2183.4699970958904</v>
      </c>
    </row>
    <row r="15" spans="2:47" x14ac:dyDescent="0.35">
      <c r="B15" s="24">
        <f>+'CSD Resina Ush'!B15</f>
        <v>44805</v>
      </c>
      <c r="C15" s="122">
        <f>+'CSD Resina Ush'!C15</f>
        <v>1125</v>
      </c>
      <c r="D15" s="144">
        <v>359</v>
      </c>
      <c r="E15" s="124"/>
      <c r="F15" s="145">
        <f>+'CSD Resina Ush'!F15</f>
        <v>3.7072899999999999E-2</v>
      </c>
      <c r="G15" s="25">
        <f t="shared" si="0"/>
        <v>41.767980953424654</v>
      </c>
      <c r="H15" s="125">
        <v>0.12139999999999999</v>
      </c>
      <c r="I15" s="25">
        <f t="shared" si="13"/>
        <v>136.57499999999999</v>
      </c>
      <c r="J15" s="125">
        <v>0.14199999999999999</v>
      </c>
      <c r="K15" s="25">
        <f t="shared" si="2"/>
        <v>216.65905329538629</v>
      </c>
      <c r="L15" s="125">
        <v>1.0999999999999999E-2</v>
      </c>
      <c r="M15" s="25">
        <f t="shared" si="14"/>
        <v>102.78344779048767</v>
      </c>
      <c r="N15" s="35">
        <f t="shared" si="3"/>
        <v>-22.5</v>
      </c>
      <c r="O15" s="35"/>
      <c r="P15" s="35"/>
      <c r="Q15" s="35"/>
      <c r="R15" s="35"/>
      <c r="S15" s="35"/>
      <c r="T15" s="35">
        <v>320</v>
      </c>
      <c r="U15" s="35">
        <v>-161</v>
      </c>
      <c r="V15" s="35"/>
      <c r="W15" s="34">
        <f t="shared" si="16"/>
        <v>2118.2854820392986</v>
      </c>
      <c r="X15" s="35">
        <f>+'CSD Resina Ush'!U15</f>
        <v>1937.5750231945206</v>
      </c>
      <c r="Y15" s="34">
        <f t="shared" si="5"/>
        <v>1982.5750231945206</v>
      </c>
      <c r="AA15" s="24">
        <v>44805</v>
      </c>
      <c r="AB15" s="122">
        <v>1125</v>
      </c>
      <c r="AC15" s="124">
        <v>428</v>
      </c>
      <c r="AD15" s="124"/>
      <c r="AE15" s="125">
        <v>3.7072899999999999E-2</v>
      </c>
      <c r="AF15" s="25">
        <f t="shared" si="6"/>
        <v>43.710023194520538</v>
      </c>
      <c r="AG15" s="125">
        <v>0.12139999999999999</v>
      </c>
      <c r="AH15" s="25">
        <f t="shared" si="15"/>
        <v>136.57499999999999</v>
      </c>
      <c r="AI15" s="125"/>
      <c r="AJ15" s="25">
        <f t="shared" si="8"/>
        <v>79.040000000000006</v>
      </c>
      <c r="AK15" s="35">
        <f t="shared" si="9"/>
        <v>-33.75</v>
      </c>
      <c r="AL15" s="35"/>
      <c r="AM15" s="35"/>
      <c r="AN15" s="35"/>
      <c r="AO15" s="35"/>
      <c r="AP15" s="35"/>
      <c r="AQ15" s="35">
        <v>320</v>
      </c>
      <c r="AR15" s="35">
        <v>-161</v>
      </c>
      <c r="AS15" s="35"/>
      <c r="AT15" s="126">
        <f>SUM(AB15,AC15,AF15,AH15,AJ15,AK15,AD15,AQ15+AR15)</f>
        <v>1937.5750231945206</v>
      </c>
      <c r="AU15" s="34">
        <f t="shared" si="12"/>
        <v>1967.5750231945206</v>
      </c>
    </row>
    <row r="16" spans="2:47" x14ac:dyDescent="0.35">
      <c r="B16" s="24">
        <f>+'CSD Resina Ush'!B16</f>
        <v>44835</v>
      </c>
      <c r="C16" s="122">
        <f>+'CSD Resina Ush'!C16</f>
        <v>1096.25</v>
      </c>
      <c r="D16" s="144">
        <v>359</v>
      </c>
      <c r="E16" s="124"/>
      <c r="F16" s="145">
        <f>+'CSD Resina Ush'!F16</f>
        <v>4.1598999999999997E-2</v>
      </c>
      <c r="G16" s="25">
        <f t="shared" si="0"/>
        <v>44.206986452054792</v>
      </c>
      <c r="H16" s="125">
        <v>0.12139999999999999</v>
      </c>
      <c r="I16" s="25">
        <f t="shared" si="13"/>
        <v>133.08474999999999</v>
      </c>
      <c r="J16" s="125">
        <v>0.14199999999999999</v>
      </c>
      <c r="K16" s="25">
        <f t="shared" si="2"/>
        <v>212.92289207619174</v>
      </c>
      <c r="L16" s="125">
        <v>1.0999999999999999E-2</v>
      </c>
      <c r="M16" s="25">
        <f t="shared" si="14"/>
        <v>102.4940268509726</v>
      </c>
      <c r="N16" s="35">
        <f t="shared" si="3"/>
        <v>-21.925000000000001</v>
      </c>
      <c r="O16" s="35"/>
      <c r="P16" s="35"/>
      <c r="Q16" s="35"/>
      <c r="R16" s="35"/>
      <c r="S16" s="35"/>
      <c r="T16" s="35"/>
      <c r="U16" s="35"/>
      <c r="V16" s="35"/>
      <c r="W16" s="34">
        <f t="shared" si="16"/>
        <v>1926.0336553792192</v>
      </c>
      <c r="X16" s="35">
        <f>+'CSD Resina Ush'!U16</f>
        <v>1749.7902900958902</v>
      </c>
      <c r="Y16" s="34">
        <f t="shared" si="5"/>
        <v>1794.7902900958902</v>
      </c>
      <c r="AA16" s="24">
        <v>44835</v>
      </c>
      <c r="AB16" s="122">
        <v>1096.25</v>
      </c>
      <c r="AC16" s="124">
        <v>428</v>
      </c>
      <c r="AD16" s="124"/>
      <c r="AE16" s="125">
        <v>4.1598999999999997E-2</v>
      </c>
      <c r="AF16" s="25">
        <f t="shared" si="6"/>
        <v>46.30304009589041</v>
      </c>
      <c r="AG16" s="125">
        <v>0.12139999999999999</v>
      </c>
      <c r="AH16" s="25">
        <f t="shared" si="15"/>
        <v>133.08474999999999</v>
      </c>
      <c r="AI16" s="125"/>
      <c r="AJ16" s="25">
        <f t="shared" si="8"/>
        <v>79.040000000000006</v>
      </c>
      <c r="AK16" s="35">
        <f t="shared" si="9"/>
        <v>-32.887499999999996</v>
      </c>
      <c r="AL16" s="35"/>
      <c r="AM16" s="35"/>
      <c r="AN16" s="35"/>
      <c r="AO16" s="35"/>
      <c r="AP16" s="35"/>
      <c r="AQ16" s="35"/>
      <c r="AR16" s="35"/>
      <c r="AS16" s="35"/>
      <c r="AT16" s="126">
        <f t="shared" ref="AT16:AT26" si="17">SUM(AB16,AC16,AF16,AH16,AJ16,AK16,AD16,AQ16)</f>
        <v>1749.7902900958902</v>
      </c>
      <c r="AU16" s="34">
        <f t="shared" si="12"/>
        <v>1779.7902900958902</v>
      </c>
    </row>
    <row r="17" spans="2:47" x14ac:dyDescent="0.35">
      <c r="B17" s="24">
        <f>+'CSD Resina Ush'!B17</f>
        <v>44866</v>
      </c>
      <c r="C17" s="122">
        <f>+'CSD Resina Ush'!C17</f>
        <v>1048</v>
      </c>
      <c r="D17" s="144">
        <v>359</v>
      </c>
      <c r="E17" s="124"/>
      <c r="F17" s="145">
        <f>+'CSD Resina Ush'!F17</f>
        <v>4.1598999999999997E-2</v>
      </c>
      <c r="G17" s="25">
        <f t="shared" si="0"/>
        <v>42.741267780821914</v>
      </c>
      <c r="H17" s="125">
        <v>0.12139999999999999</v>
      </c>
      <c r="I17" s="25">
        <f t="shared" si="13"/>
        <v>127.2272</v>
      </c>
      <c r="J17" s="125">
        <v>0.14199999999999999</v>
      </c>
      <c r="K17" s="25">
        <f t="shared" si="2"/>
        <v>205.86326002487669</v>
      </c>
      <c r="L17" s="125">
        <v>1.0999999999999999E-2</v>
      </c>
      <c r="M17" s="25">
        <f t="shared" si="14"/>
        <v>101.94715394558904</v>
      </c>
      <c r="N17" s="35">
        <f t="shared" si="3"/>
        <v>-20.96</v>
      </c>
      <c r="O17" s="35"/>
      <c r="P17" s="35"/>
      <c r="Q17" s="35"/>
      <c r="R17" s="35"/>
      <c r="S17" s="35"/>
      <c r="T17" s="35"/>
      <c r="U17" s="35"/>
      <c r="V17" s="35"/>
      <c r="W17" s="34">
        <f t="shared" si="16"/>
        <v>1863.8188817512878</v>
      </c>
      <c r="X17" s="35">
        <f>+'CSD Resina Ush'!U17</f>
        <v>1695.6645214246576</v>
      </c>
      <c r="Y17" s="34">
        <f t="shared" si="5"/>
        <v>1740.6645214246576</v>
      </c>
      <c r="AA17" s="24">
        <v>44866</v>
      </c>
      <c r="AB17" s="122">
        <v>1048</v>
      </c>
      <c r="AC17" s="124">
        <v>428</v>
      </c>
      <c r="AD17" s="124"/>
      <c r="AE17" s="125">
        <v>4.1598999999999997E-2</v>
      </c>
      <c r="AF17" s="25">
        <f t="shared" si="6"/>
        <v>44.837321424657532</v>
      </c>
      <c r="AG17" s="125">
        <v>0.12139999999999999</v>
      </c>
      <c r="AH17" s="25">
        <f t="shared" si="15"/>
        <v>127.2272</v>
      </c>
      <c r="AI17" s="125"/>
      <c r="AJ17" s="25">
        <f t="shared" si="8"/>
        <v>79.040000000000006</v>
      </c>
      <c r="AK17" s="35">
        <f t="shared" si="9"/>
        <v>-31.439999999999998</v>
      </c>
      <c r="AL17" s="35"/>
      <c r="AM17" s="35"/>
      <c r="AN17" s="35"/>
      <c r="AO17" s="35"/>
      <c r="AP17" s="35"/>
      <c r="AQ17" s="35"/>
      <c r="AR17" s="35"/>
      <c r="AS17" s="35"/>
      <c r="AT17" s="126">
        <f t="shared" si="17"/>
        <v>1695.6645214246576</v>
      </c>
      <c r="AU17" s="34">
        <f t="shared" si="12"/>
        <v>1725.6645214246576</v>
      </c>
    </row>
    <row r="18" spans="2:47" x14ac:dyDescent="0.35">
      <c r="B18" s="24">
        <f>+'CSD Resina Ush'!B18</f>
        <v>44896</v>
      </c>
      <c r="C18" s="122">
        <f>+'CSD Resina Ush'!C18</f>
        <v>975.625</v>
      </c>
      <c r="D18" s="144">
        <v>359</v>
      </c>
      <c r="E18" s="124"/>
      <c r="F18" s="145">
        <f>+'CSD Resina Ush'!F18</f>
        <v>5.4482900000000001E-2</v>
      </c>
      <c r="G18" s="25">
        <f t="shared" si="0"/>
        <v>49.022502121232876</v>
      </c>
      <c r="H18" s="125">
        <v>0.12139999999999999</v>
      </c>
      <c r="I18" s="25">
        <f t="shared" si="13"/>
        <v>118.44087499999999</v>
      </c>
      <c r="J18" s="125">
        <v>0.14199999999999999</v>
      </c>
      <c r="K18" s="25">
        <f t="shared" si="2"/>
        <v>196.47794530121507</v>
      </c>
      <c r="L18" s="125">
        <v>1.0999999999999999E-2</v>
      </c>
      <c r="M18" s="25">
        <f t="shared" si="14"/>
        <v>101.22012252333356</v>
      </c>
      <c r="N18" s="35">
        <f t="shared" si="3"/>
        <v>-20</v>
      </c>
      <c r="O18" s="35"/>
      <c r="P18" s="35"/>
      <c r="Q18" s="35"/>
      <c r="R18" s="35"/>
      <c r="S18" s="35"/>
      <c r="T18" s="35"/>
      <c r="U18" s="35"/>
      <c r="V18" s="35"/>
      <c r="W18" s="34">
        <f t="shared" si="16"/>
        <v>1779.7864449457818</v>
      </c>
      <c r="X18" s="35">
        <f>+'CSD Resina Ush'!U18</f>
        <v>1622.6628363486302</v>
      </c>
      <c r="Y18" s="34">
        <f t="shared" si="5"/>
        <v>1667.6628363486302</v>
      </c>
      <c r="AA18" s="24">
        <v>44896</v>
      </c>
      <c r="AB18" s="122">
        <v>975.625</v>
      </c>
      <c r="AC18" s="124">
        <v>428</v>
      </c>
      <c r="AD18" s="124"/>
      <c r="AE18" s="125">
        <v>5.4482900000000001E-2</v>
      </c>
      <c r="AF18" s="25">
        <f t="shared" si="6"/>
        <v>51.556961348630139</v>
      </c>
      <c r="AG18" s="125">
        <v>0.12139999999999999</v>
      </c>
      <c r="AH18" s="25">
        <f t="shared" si="15"/>
        <v>118.44087499999999</v>
      </c>
      <c r="AI18" s="125"/>
      <c r="AJ18" s="25">
        <f t="shared" si="8"/>
        <v>79.040000000000006</v>
      </c>
      <c r="AK18" s="35">
        <f t="shared" si="9"/>
        <v>-30</v>
      </c>
      <c r="AL18" s="35"/>
      <c r="AM18" s="35"/>
      <c r="AN18" s="35"/>
      <c r="AO18" s="35"/>
      <c r="AP18" s="35"/>
      <c r="AQ18" s="35"/>
      <c r="AR18" s="35"/>
      <c r="AS18" s="35"/>
      <c r="AT18" s="126">
        <f t="shared" si="17"/>
        <v>1622.6628363486302</v>
      </c>
      <c r="AU18" s="34">
        <f t="shared" si="12"/>
        <v>1652.6628363486302</v>
      </c>
    </row>
    <row r="19" spans="2:47" x14ac:dyDescent="0.35">
      <c r="B19" s="24">
        <f>+'CSD Resina Ush'!B19</f>
        <v>44927</v>
      </c>
      <c r="C19" s="122">
        <f>+'CSD Resina Ush'!C19</f>
        <v>897.5</v>
      </c>
      <c r="D19" s="144">
        <v>359</v>
      </c>
      <c r="E19" s="124"/>
      <c r="F19" s="145">
        <f>+'CSD Resina Ush'!F19</f>
        <v>5.4482900000000001E-2</v>
      </c>
      <c r="G19" s="25">
        <f t="shared" si="0"/>
        <v>46.152869843835617</v>
      </c>
      <c r="H19" s="125">
        <v>0.12139999999999999</v>
      </c>
      <c r="I19" s="25">
        <f t="shared" si="13"/>
        <v>108.95649999999999</v>
      </c>
      <c r="J19" s="125">
        <v>0.14199999999999999</v>
      </c>
      <c r="K19" s="25">
        <f t="shared" si="2"/>
        <v>184.97670751782462</v>
      </c>
      <c r="L19" s="125">
        <v>1.0999999999999999E-2</v>
      </c>
      <c r="M19" s="25">
        <f t="shared" si="14"/>
        <v>100.32918156828219</v>
      </c>
      <c r="N19" s="35">
        <f t="shared" si="3"/>
        <v>-20</v>
      </c>
      <c r="O19" s="35"/>
      <c r="P19" s="35"/>
      <c r="Q19" s="35"/>
      <c r="R19" s="35"/>
      <c r="S19" s="35"/>
      <c r="T19" s="35"/>
      <c r="U19" s="35"/>
      <c r="V19" s="35"/>
      <c r="W19" s="34">
        <f t="shared" si="16"/>
        <v>1676.9152589299424</v>
      </c>
      <c r="X19" s="35">
        <f>+'CSD Resina Ush'!U19</f>
        <v>1532.1838290712328</v>
      </c>
      <c r="Y19" s="34">
        <f t="shared" si="5"/>
        <v>1577.1838290712328</v>
      </c>
      <c r="AA19" s="24">
        <v>44927</v>
      </c>
      <c r="AB19" s="122">
        <v>897.5</v>
      </c>
      <c r="AC19" s="124">
        <v>428</v>
      </c>
      <c r="AD19" s="124"/>
      <c r="AE19" s="125">
        <v>5.4482900000000001E-2</v>
      </c>
      <c r="AF19" s="25">
        <f t="shared" si="6"/>
        <v>48.687329071232881</v>
      </c>
      <c r="AG19" s="125">
        <v>0.12139999999999999</v>
      </c>
      <c r="AH19" s="25">
        <f t="shared" si="15"/>
        <v>108.95649999999999</v>
      </c>
      <c r="AI19" s="125"/>
      <c r="AJ19" s="25">
        <f t="shared" si="8"/>
        <v>79.040000000000006</v>
      </c>
      <c r="AK19" s="35">
        <f t="shared" si="9"/>
        <v>-30</v>
      </c>
      <c r="AL19" s="35"/>
      <c r="AM19" s="35"/>
      <c r="AN19" s="35"/>
      <c r="AO19" s="35"/>
      <c r="AP19" s="35"/>
      <c r="AQ19" s="35"/>
      <c r="AR19" s="35"/>
      <c r="AS19" s="35"/>
      <c r="AT19" s="126">
        <f t="shared" si="17"/>
        <v>1532.1838290712328</v>
      </c>
      <c r="AU19" s="34">
        <f t="shared" si="12"/>
        <v>1562.1838290712328</v>
      </c>
    </row>
    <row r="20" spans="2:47" x14ac:dyDescent="0.35">
      <c r="B20" s="24">
        <f>+'CSD Resina Ush'!B20</f>
        <v>44958</v>
      </c>
      <c r="C20" s="122">
        <v>890</v>
      </c>
      <c r="D20" s="144">
        <v>359</v>
      </c>
      <c r="E20" s="124"/>
      <c r="F20" s="145">
        <f>+'CSD Resina Ush'!F20</f>
        <v>4.5874499999999999E-2</v>
      </c>
      <c r="G20" s="25">
        <f t="shared" si="0"/>
        <v>40.575082438356169</v>
      </c>
      <c r="H20" s="125">
        <v>0.12139999999999999</v>
      </c>
      <c r="I20" s="25">
        <f t="shared" si="13"/>
        <v>108.04599999999999</v>
      </c>
      <c r="J20" s="125">
        <v>0.14199999999999999</v>
      </c>
      <c r="K20" s="25">
        <f t="shared" si="2"/>
        <v>183.11966170624657</v>
      </c>
      <c r="L20" s="125">
        <v>1.0999999999999999E-2</v>
      </c>
      <c r="M20" s="25">
        <f t="shared" si="14"/>
        <v>100.18532590682192</v>
      </c>
      <c r="N20" s="35">
        <f t="shared" si="3"/>
        <v>-20</v>
      </c>
      <c r="O20" s="35"/>
      <c r="P20" s="35"/>
      <c r="Q20" s="35"/>
      <c r="R20" s="35"/>
      <c r="S20" s="35"/>
      <c r="T20" s="35"/>
      <c r="U20" s="35"/>
      <c r="V20" s="35"/>
      <c r="W20" s="34">
        <f t="shared" si="16"/>
        <v>1660.9260700514249</v>
      </c>
      <c r="X20" s="35">
        <f>+'CSD Resina Ush'!U20</f>
        <v>1517.9026202191781</v>
      </c>
      <c r="Y20" s="34">
        <f t="shared" si="5"/>
        <v>1562.9026202191781</v>
      </c>
      <c r="AA20" s="24">
        <v>44958</v>
      </c>
      <c r="AB20" s="122">
        <v>890</v>
      </c>
      <c r="AC20" s="124">
        <v>428</v>
      </c>
      <c r="AD20" s="124"/>
      <c r="AE20" s="125">
        <v>4.5874499999999999E-2</v>
      </c>
      <c r="AF20" s="25">
        <f t="shared" si="6"/>
        <v>42.816620219178084</v>
      </c>
      <c r="AG20" s="125">
        <v>0.12139999999999999</v>
      </c>
      <c r="AH20" s="25">
        <f t="shared" si="15"/>
        <v>108.04599999999999</v>
      </c>
      <c r="AI20" s="125"/>
      <c r="AJ20" s="25">
        <f t="shared" si="8"/>
        <v>79.040000000000006</v>
      </c>
      <c r="AK20" s="35">
        <f t="shared" si="9"/>
        <v>-30</v>
      </c>
      <c r="AL20" s="35"/>
      <c r="AM20" s="35"/>
      <c r="AN20" s="35"/>
      <c r="AO20" s="35"/>
      <c r="AP20" s="35"/>
      <c r="AQ20" s="35"/>
      <c r="AR20" s="35"/>
      <c r="AS20" s="35"/>
      <c r="AT20" s="136">
        <f t="shared" si="17"/>
        <v>1517.9026202191781</v>
      </c>
      <c r="AU20" s="34">
        <f t="shared" si="12"/>
        <v>1547.9026202191781</v>
      </c>
    </row>
    <row r="21" spans="2:47" x14ac:dyDescent="0.35">
      <c r="B21" s="24">
        <f>+'CSD Resina Ush'!B21</f>
        <v>44986</v>
      </c>
      <c r="C21" s="122">
        <f>'CSD Resina Ush'!C21</f>
        <v>941.88</v>
      </c>
      <c r="D21" s="144">
        <v>278</v>
      </c>
      <c r="E21" s="124"/>
      <c r="F21" s="145">
        <f>+'CSD Resina Ush'!F21</f>
        <v>4.6854899999999998E-2</v>
      </c>
      <c r="G21" s="25">
        <f t="shared" si="0"/>
        <v>40.218882120986301</v>
      </c>
      <c r="H21" s="125">
        <v>0.12139999999999999</v>
      </c>
      <c r="I21" s="25">
        <f t="shared" si="13"/>
        <v>114.34423199999999</v>
      </c>
      <c r="J21" s="125">
        <v>0.14199999999999999</v>
      </c>
      <c r="K21" s="25">
        <f t="shared" si="2"/>
        <v>178.93404126118006</v>
      </c>
      <c r="L21" s="125">
        <v>1.0999999999999999E-2</v>
      </c>
      <c r="M21" s="25">
        <f t="shared" si="14"/>
        <v>99.861087703330853</v>
      </c>
      <c r="N21" s="35">
        <f t="shared" si="3"/>
        <v>-20</v>
      </c>
      <c r="O21" s="35"/>
      <c r="P21" s="35"/>
      <c r="Q21" s="35"/>
      <c r="R21" s="35"/>
      <c r="S21" s="35"/>
      <c r="T21" s="35"/>
      <c r="U21" s="35"/>
      <c r="V21" s="35"/>
      <c r="W21" s="34">
        <f t="shared" si="16"/>
        <v>1633.2382430854973</v>
      </c>
      <c r="X21" s="35">
        <f>+'CSD Resina Ush'!U21</f>
        <v>1494.7580123620821</v>
      </c>
      <c r="Y21" s="34">
        <f t="shared" si="5"/>
        <v>1539.7580123620821</v>
      </c>
      <c r="AA21" s="24">
        <v>44986</v>
      </c>
      <c r="AB21" s="122">
        <v>941.88</v>
      </c>
      <c r="AC21" s="124">
        <v>347</v>
      </c>
      <c r="AD21" s="124"/>
      <c r="AE21" s="125">
        <v>4.6854899999999998E-2</v>
      </c>
      <c r="AF21" s="25">
        <f t="shared" si="6"/>
        <v>42.493780362082184</v>
      </c>
      <c r="AG21" s="125">
        <v>0.12139999999999999</v>
      </c>
      <c r="AH21" s="25">
        <f t="shared" si="15"/>
        <v>114.34423199999999</v>
      </c>
      <c r="AI21" s="125"/>
      <c r="AJ21" s="25">
        <f t="shared" si="8"/>
        <v>79.040000000000006</v>
      </c>
      <c r="AK21" s="35">
        <f t="shared" si="9"/>
        <v>-30</v>
      </c>
      <c r="AL21" s="35"/>
      <c r="AM21" s="35"/>
      <c r="AN21" s="35"/>
      <c r="AO21" s="35"/>
      <c r="AP21" s="35"/>
      <c r="AQ21" s="35"/>
      <c r="AR21" s="35"/>
      <c r="AS21" s="35"/>
      <c r="AT21" s="136">
        <f t="shared" si="17"/>
        <v>1494.7580123620821</v>
      </c>
      <c r="AU21" s="34">
        <f t="shared" si="12"/>
        <v>1524.7580123620821</v>
      </c>
    </row>
    <row r="22" spans="2:47" x14ac:dyDescent="0.35">
      <c r="B22" s="24">
        <f>+'CSD Resina Ush'!B22</f>
        <v>45017</v>
      </c>
      <c r="C22" s="122">
        <f>'CSD Resina Ush'!C22</f>
        <v>965</v>
      </c>
      <c r="D22" s="144">
        <v>278</v>
      </c>
      <c r="E22" s="124"/>
      <c r="F22" s="145">
        <f>+'CSD Resina Ush'!F22</f>
        <v>4.8939199999999995E-2</v>
      </c>
      <c r="G22" s="25">
        <f t="shared" si="0"/>
        <v>42.258785227397254</v>
      </c>
      <c r="H22" s="125">
        <v>0.12139999999999999</v>
      </c>
      <c r="I22" s="25">
        <f t="shared" si="13"/>
        <v>117.151</v>
      </c>
      <c r="J22" s="125">
        <v>0.14199999999999999</v>
      </c>
      <c r="K22" s="25">
        <f t="shared" si="2"/>
        <v>182.50674750229041</v>
      </c>
      <c r="L22" s="125">
        <v>1.0999999999999999E-2</v>
      </c>
      <c r="M22" s="25">
        <f t="shared" si="14"/>
        <v>100.13784663750137</v>
      </c>
      <c r="N22" s="35">
        <f t="shared" si="3"/>
        <v>-20</v>
      </c>
      <c r="O22" s="35"/>
      <c r="P22" s="35"/>
      <c r="Q22" s="35"/>
      <c r="R22" s="35"/>
      <c r="S22" s="35"/>
      <c r="T22" s="35"/>
      <c r="U22" s="35"/>
      <c r="V22" s="35"/>
      <c r="W22" s="34">
        <f t="shared" si="16"/>
        <v>1665.0543793671891</v>
      </c>
      <c r="X22" s="35">
        <f>+'CSD Resina Ush'!U22</f>
        <v>1522.7956067726027</v>
      </c>
      <c r="Y22" s="34">
        <f t="shared" si="5"/>
        <v>1567.7956067726027</v>
      </c>
      <c r="AA22" s="24">
        <v>45017</v>
      </c>
      <c r="AB22" s="122">
        <v>965</v>
      </c>
      <c r="AC22" s="124">
        <v>347</v>
      </c>
      <c r="AD22" s="124"/>
      <c r="AE22" s="125">
        <v>4.8939199999999995E-2</v>
      </c>
      <c r="AF22" s="25">
        <f t="shared" si="6"/>
        <v>44.604606772602729</v>
      </c>
      <c r="AG22" s="125">
        <v>0.12139999999999999</v>
      </c>
      <c r="AH22" s="25">
        <f t="shared" si="15"/>
        <v>117.151</v>
      </c>
      <c r="AI22" s="125"/>
      <c r="AJ22" s="25">
        <f t="shared" si="8"/>
        <v>79.040000000000006</v>
      </c>
      <c r="AK22" s="35">
        <f t="shared" si="9"/>
        <v>-30</v>
      </c>
      <c r="AL22" s="35"/>
      <c r="AM22" s="35"/>
      <c r="AN22" s="35"/>
      <c r="AO22" s="35"/>
      <c r="AP22" s="35"/>
      <c r="AQ22" s="35"/>
      <c r="AR22" s="35"/>
      <c r="AS22" s="35"/>
      <c r="AT22" s="136">
        <f t="shared" si="17"/>
        <v>1522.7956067726027</v>
      </c>
      <c r="AU22" s="34">
        <f t="shared" si="12"/>
        <v>1552.7956067726027</v>
      </c>
    </row>
    <row r="23" spans="2:47" x14ac:dyDescent="0.35">
      <c r="B23" s="24">
        <f>+'CSD Resina Ush'!B23</f>
        <v>45047</v>
      </c>
      <c r="C23" s="122">
        <f>'CSD Resina Ush'!C23</f>
        <v>970</v>
      </c>
      <c r="D23" s="144">
        <v>278</v>
      </c>
      <c r="E23" s="124"/>
      <c r="F23" s="145">
        <f>+'CSD Resina Ush'!F23</f>
        <v>4.9085499999999997E-2</v>
      </c>
      <c r="G23" s="25">
        <f t="shared" si="0"/>
        <v>42.518812931506844</v>
      </c>
      <c r="H23" s="125">
        <v>0.12139999999999999</v>
      </c>
      <c r="I23" s="25">
        <f t="shared" si="13"/>
        <v>117.758</v>
      </c>
      <c r="J23" s="125">
        <v>0.14199999999999999</v>
      </c>
      <c r="K23" s="25">
        <f t="shared" si="2"/>
        <v>183.25367143627395</v>
      </c>
      <c r="L23" s="125">
        <v>1.0999999999999999E-2</v>
      </c>
      <c r="M23" s="25">
        <f t="shared" si="14"/>
        <v>100.19570694224657</v>
      </c>
      <c r="N23" s="35">
        <f t="shared" si="3"/>
        <v>-20</v>
      </c>
      <c r="O23" s="35"/>
      <c r="P23" s="35"/>
      <c r="Q23" s="35"/>
      <c r="R23" s="35"/>
      <c r="S23" s="35"/>
      <c r="T23" s="35"/>
      <c r="U23" s="35"/>
      <c r="V23" s="35"/>
      <c r="W23" s="34">
        <f t="shared" si="16"/>
        <v>1671.7261913100272</v>
      </c>
      <c r="X23" s="35">
        <f>+'CSD Resina Ush'!U23</f>
        <v>1528.6676126849316</v>
      </c>
      <c r="Y23" s="34">
        <f t="shared" si="5"/>
        <v>1573.6676126849316</v>
      </c>
      <c r="AA23" s="24">
        <v>45047</v>
      </c>
      <c r="AB23" s="122">
        <v>970</v>
      </c>
      <c r="AC23" s="124">
        <v>347</v>
      </c>
      <c r="AD23" s="124"/>
      <c r="AE23" s="125">
        <v>4.9085499999999997E-2</v>
      </c>
      <c r="AF23" s="25">
        <f t="shared" si="6"/>
        <v>44.869612684931504</v>
      </c>
      <c r="AG23" s="125">
        <v>0.12139999999999999</v>
      </c>
      <c r="AH23" s="25">
        <f t="shared" si="15"/>
        <v>117.758</v>
      </c>
      <c r="AI23" s="125"/>
      <c r="AJ23" s="25">
        <f t="shared" si="8"/>
        <v>79.040000000000006</v>
      </c>
      <c r="AK23" s="35">
        <f t="shared" si="9"/>
        <v>-30</v>
      </c>
      <c r="AL23" s="35"/>
      <c r="AM23" s="35"/>
      <c r="AN23" s="35"/>
      <c r="AO23" s="35"/>
      <c r="AP23" s="35"/>
      <c r="AQ23" s="35"/>
      <c r="AR23" s="35"/>
      <c r="AS23" s="35"/>
      <c r="AT23" s="136">
        <f t="shared" si="17"/>
        <v>1528.6676126849316</v>
      </c>
      <c r="AU23" s="34">
        <f t="shared" si="12"/>
        <v>1558.6676126849316</v>
      </c>
    </row>
    <row r="24" spans="2:47" x14ac:dyDescent="0.35">
      <c r="B24" s="24">
        <f>+'CSD Resina Ush'!B24</f>
        <v>45078</v>
      </c>
      <c r="C24" s="146">
        <f>'CSD Resina Ush'!C24</f>
        <v>1018.75</v>
      </c>
      <c r="D24" s="144">
        <v>278</v>
      </c>
      <c r="E24" s="124"/>
      <c r="F24" s="145">
        <f>+'CSD Resina Ush'!F24</f>
        <v>5.0812999999999997E-2</v>
      </c>
      <c r="G24" s="25">
        <f t="shared" si="0"/>
        <v>45.284428479452053</v>
      </c>
      <c r="H24" s="125">
        <v>0.12139999999999999</v>
      </c>
      <c r="I24" s="25">
        <f t="shared" si="13"/>
        <v>123.67625</v>
      </c>
      <c r="J24" s="125">
        <v>0.14199999999999999</v>
      </c>
      <c r="K24" s="25">
        <f t="shared" si="2"/>
        <v>190.56888884408218</v>
      </c>
      <c r="L24" s="125">
        <v>1.0999999999999999E-2</v>
      </c>
      <c r="M24" s="25">
        <f t="shared" si="14"/>
        <v>100.76237871327397</v>
      </c>
      <c r="N24" s="35">
        <f t="shared" si="3"/>
        <v>-20.375</v>
      </c>
      <c r="O24" s="35"/>
      <c r="P24" s="35"/>
      <c r="Q24" s="35"/>
      <c r="R24" s="35"/>
      <c r="S24" s="35"/>
      <c r="T24" s="35"/>
      <c r="U24" s="35"/>
      <c r="V24" s="35"/>
      <c r="W24" s="34">
        <f t="shared" si="16"/>
        <v>1736.6669460368084</v>
      </c>
      <c r="X24" s="35">
        <f>+'CSD Resina Ush'!U24</f>
        <v>1585.5977605616438</v>
      </c>
      <c r="Y24" s="34">
        <f t="shared" si="5"/>
        <v>1630.5977605616438</v>
      </c>
      <c r="AA24" s="24">
        <v>45078</v>
      </c>
      <c r="AB24" s="122">
        <v>1018.75</v>
      </c>
      <c r="AC24" s="124">
        <v>347</v>
      </c>
      <c r="AD24" s="124"/>
      <c r="AE24" s="125">
        <v>5.0812999999999997E-2</v>
      </c>
      <c r="AF24" s="25">
        <f t="shared" si="6"/>
        <v>47.694010561643836</v>
      </c>
      <c r="AG24" s="125">
        <v>0.12139999999999999</v>
      </c>
      <c r="AH24" s="25">
        <f t="shared" si="15"/>
        <v>123.67625</v>
      </c>
      <c r="AI24" s="125"/>
      <c r="AJ24" s="25">
        <f t="shared" si="8"/>
        <v>79.040000000000006</v>
      </c>
      <c r="AK24" s="35">
        <f t="shared" si="9"/>
        <v>-30.5625</v>
      </c>
      <c r="AL24" s="35"/>
      <c r="AM24" s="35"/>
      <c r="AN24" s="35"/>
      <c r="AO24" s="35"/>
      <c r="AP24" s="35"/>
      <c r="AQ24" s="35"/>
      <c r="AR24" s="35"/>
      <c r="AS24" s="35"/>
      <c r="AT24" s="136">
        <f t="shared" si="17"/>
        <v>1585.5977605616438</v>
      </c>
      <c r="AU24" s="34">
        <f t="shared" si="12"/>
        <v>1615.5977605616438</v>
      </c>
    </row>
    <row r="25" spans="2:47" x14ac:dyDescent="0.35">
      <c r="B25" s="24">
        <f>+'CSD Resina Ush'!B25</f>
        <v>45108</v>
      </c>
      <c r="C25" s="146">
        <f>'CSD Resina Ush'!C25</f>
        <v>938.13</v>
      </c>
      <c r="D25" s="144">
        <v>278</v>
      </c>
      <c r="E25" s="124"/>
      <c r="F25" s="145">
        <f>+'CSD Resina Ush'!F25</f>
        <v>5.2928200000000002E-2</v>
      </c>
      <c r="G25" s="25">
        <f t="shared" si="0"/>
        <v>43.737619002410959</v>
      </c>
      <c r="H25" s="125">
        <v>0.12139999999999999</v>
      </c>
      <c r="I25" s="25">
        <f t="shared" si="13"/>
        <v>113.888982</v>
      </c>
      <c r="J25" s="125">
        <v>0.14199999999999999</v>
      </c>
      <c r="K25" s="25">
        <f t="shared" si="2"/>
        <v>178.90120189834238</v>
      </c>
      <c r="L25" s="125">
        <v>1.0999999999999999E-2</v>
      </c>
      <c r="M25" s="25">
        <f t="shared" si="14"/>
        <v>99.858543809026514</v>
      </c>
      <c r="N25" s="35">
        <f t="shared" si="3"/>
        <v>-20</v>
      </c>
      <c r="O25" s="35"/>
      <c r="P25" s="35"/>
      <c r="Q25" s="35"/>
      <c r="R25" s="35"/>
      <c r="S25" s="35"/>
      <c r="T25" s="35"/>
      <c r="U25" s="35"/>
      <c r="V25" s="35"/>
      <c r="W25" s="34">
        <f t="shared" si="16"/>
        <v>1632.51634670978</v>
      </c>
      <c r="X25" s="35">
        <f>+'CSD Resina Ush'!U25</f>
        <v>1494.2781578352876</v>
      </c>
      <c r="Y25" s="34">
        <f t="shared" si="5"/>
        <v>1539.2781578352876</v>
      </c>
      <c r="AA25" s="24">
        <v>45108</v>
      </c>
      <c r="AB25" s="122">
        <v>938.13</v>
      </c>
      <c r="AC25" s="124">
        <v>347</v>
      </c>
      <c r="AD25" s="124"/>
      <c r="AE25" s="125">
        <v>5.2928200000000002E-2</v>
      </c>
      <c r="AF25" s="25">
        <f t="shared" si="6"/>
        <v>46.219175835287672</v>
      </c>
      <c r="AG25" s="125">
        <v>0.12139999999999999</v>
      </c>
      <c r="AH25" s="25">
        <f t="shared" si="15"/>
        <v>113.888982</v>
      </c>
      <c r="AI25" s="125"/>
      <c r="AJ25" s="25">
        <f t="shared" si="8"/>
        <v>79.040000000000006</v>
      </c>
      <c r="AK25" s="35">
        <f t="shared" si="9"/>
        <v>-30</v>
      </c>
      <c r="AL25" s="35"/>
      <c r="AM25" s="35"/>
      <c r="AN25" s="35"/>
      <c r="AO25" s="35"/>
      <c r="AP25" s="35"/>
      <c r="AQ25" s="35"/>
      <c r="AR25" s="35"/>
      <c r="AS25" s="35"/>
      <c r="AT25" s="136">
        <f t="shared" si="17"/>
        <v>1494.2781578352876</v>
      </c>
      <c r="AU25" s="34">
        <f t="shared" si="12"/>
        <v>1524.2781578352876</v>
      </c>
    </row>
    <row r="26" spans="2:47" x14ac:dyDescent="0.35">
      <c r="B26" s="24">
        <f>+'CSD Resina Ush'!B26</f>
        <v>45139</v>
      </c>
      <c r="C26" s="146">
        <f>'CSD Resina Ush'!C26</f>
        <v>882</v>
      </c>
      <c r="D26" s="144">
        <v>278</v>
      </c>
      <c r="E26" s="124"/>
      <c r="F26" s="145">
        <f>+'CSD Resina Ush'!F26</f>
        <v>5.2699999999999997E-2</v>
      </c>
      <c r="G26" s="25">
        <f t="shared" si="0"/>
        <v>41.588383561643838</v>
      </c>
      <c r="H26" s="125">
        <v>0.12139999999999999</v>
      </c>
      <c r="I26" s="25">
        <f t="shared" si="13"/>
        <v>107.0748</v>
      </c>
      <c r="J26" s="125">
        <v>0.14199999999999999</v>
      </c>
      <c r="K26" s="25">
        <f t="shared" si="2"/>
        <v>170.62555046575343</v>
      </c>
      <c r="L26" s="125">
        <v>1.0999999999999999E-2</v>
      </c>
      <c r="M26" s="25">
        <f t="shared" si="14"/>
        <v>99.217472219178077</v>
      </c>
      <c r="N26" s="35">
        <f t="shared" si="3"/>
        <v>-20</v>
      </c>
      <c r="O26" s="35"/>
      <c r="P26" s="35"/>
      <c r="Q26" s="35"/>
      <c r="R26" s="35"/>
      <c r="S26" s="35"/>
      <c r="T26" s="35"/>
      <c r="U26" s="35"/>
      <c r="V26" s="35"/>
      <c r="W26" s="136">
        <f t="shared" si="16"/>
        <v>1558.5062062465754</v>
      </c>
      <c r="X26" s="35">
        <f>+'CSD Resina Ush'!U26</f>
        <v>1429.1769753424658</v>
      </c>
      <c r="Y26" s="34">
        <f>+X26+45</f>
        <v>1474.1769753424658</v>
      </c>
      <c r="AA26" s="24">
        <v>45139</v>
      </c>
      <c r="AB26" s="122">
        <v>882</v>
      </c>
      <c r="AC26" s="124">
        <v>347</v>
      </c>
      <c r="AD26" s="124"/>
      <c r="AE26" s="125">
        <v>5.2699999999999997E-2</v>
      </c>
      <c r="AF26" s="25">
        <f t="shared" si="6"/>
        <v>44.06217534246575</v>
      </c>
      <c r="AG26" s="125">
        <v>0.12139999999999999</v>
      </c>
      <c r="AH26" s="25">
        <f t="shared" si="15"/>
        <v>107.0748</v>
      </c>
      <c r="AI26" s="125"/>
      <c r="AJ26" s="25">
        <f t="shared" si="8"/>
        <v>79.040000000000006</v>
      </c>
      <c r="AK26" s="35">
        <f t="shared" si="9"/>
        <v>-30</v>
      </c>
      <c r="AL26" s="35"/>
      <c r="AM26" s="35"/>
      <c r="AN26" s="35"/>
      <c r="AO26" s="35"/>
      <c r="AP26" s="35"/>
      <c r="AQ26" s="35"/>
      <c r="AR26" s="35"/>
      <c r="AS26" s="35"/>
      <c r="AT26" s="136">
        <f t="shared" si="17"/>
        <v>1429.1769753424658</v>
      </c>
      <c r="AU26" s="34">
        <f t="shared" si="12"/>
        <v>1459.1769753424658</v>
      </c>
    </row>
    <row r="27" spans="2:47" x14ac:dyDescent="0.35">
      <c r="B27" s="24">
        <f>+'CSD Resina Ush'!B27</f>
        <v>45170</v>
      </c>
      <c r="C27" s="146">
        <f>'CSD Resina Ush'!C27</f>
        <v>878.75</v>
      </c>
      <c r="D27" s="144">
        <v>278</v>
      </c>
      <c r="E27" s="124"/>
      <c r="F27" s="145">
        <f>+'CSD Resina Ush'!F27</f>
        <v>5.3699999999999998E-2</v>
      </c>
      <c r="G27" s="25">
        <f t="shared" si="0"/>
        <v>42.042316438356167</v>
      </c>
      <c r="H27" s="125">
        <v>0.12139999999999999</v>
      </c>
      <c r="I27" s="25">
        <f t="shared" si="13"/>
        <v>106.68025</v>
      </c>
      <c r="J27" s="125">
        <v>0.14199999999999999</v>
      </c>
      <c r="K27" s="25">
        <f t="shared" si="2"/>
        <v>170.22850893424658</v>
      </c>
      <c r="L27" s="125">
        <v>1.0999999999999999E-2</v>
      </c>
      <c r="M27" s="25">
        <f t="shared" si="14"/>
        <v>99.186715480821917</v>
      </c>
      <c r="N27" s="35">
        <f t="shared" si="3"/>
        <v>-20</v>
      </c>
      <c r="O27" s="35"/>
      <c r="P27" s="35"/>
      <c r="Q27" s="35"/>
      <c r="R27" s="35"/>
      <c r="S27" s="35"/>
      <c r="T27" s="35"/>
      <c r="U27" s="35"/>
      <c r="V27" s="35"/>
      <c r="W27" s="136">
        <f>SUM(C27,D27,G27,I27,K27,M27,N27,E27,T27+U27+V27)</f>
        <v>1554.8877908534248</v>
      </c>
      <c r="X27" s="35">
        <f>+'CSD Resina Ush'!U27</f>
        <v>1247.7690102739725</v>
      </c>
      <c r="Y27" s="34">
        <f>1419.77+45</f>
        <v>1464.77</v>
      </c>
      <c r="AA27" s="24">
        <v>45170</v>
      </c>
      <c r="AB27" s="122">
        <v>878.75</v>
      </c>
      <c r="AC27" s="124">
        <v>175</v>
      </c>
      <c r="AD27" s="124"/>
      <c r="AE27" s="125">
        <v>5.3699999999999998E-2</v>
      </c>
      <c r="AF27" s="25">
        <f t="shared" si="6"/>
        <v>38.298760273972604</v>
      </c>
      <c r="AG27" s="125">
        <v>0.12139999999999999</v>
      </c>
      <c r="AH27" s="25">
        <f t="shared" si="15"/>
        <v>106.68025</v>
      </c>
      <c r="AI27" s="125"/>
      <c r="AJ27" s="25">
        <f t="shared" si="8"/>
        <v>79.040000000000006</v>
      </c>
      <c r="AK27" s="35">
        <f t="shared" si="9"/>
        <v>-30</v>
      </c>
      <c r="AL27" s="35"/>
      <c r="AM27" s="35"/>
      <c r="AN27" s="35"/>
      <c r="AO27" s="35"/>
      <c r="AP27" s="35"/>
      <c r="AQ27" s="35"/>
      <c r="AR27" s="35"/>
      <c r="AS27" s="35"/>
      <c r="AT27" s="136">
        <f>SUM(AB27,AC27,AF27,AH27,AJ27,AK27,AD27,AQ27,AS27)</f>
        <v>1247.7690102739725</v>
      </c>
      <c r="AU27" s="34">
        <f t="shared" si="12"/>
        <v>1277.7690102739725</v>
      </c>
    </row>
    <row r="28" spans="2:47" x14ac:dyDescent="0.35">
      <c r="B28" s="24">
        <f>+'CSD Resina Ush'!B28</f>
        <v>45200</v>
      </c>
      <c r="C28" s="146">
        <f>'CSD Resina Ush'!C28</f>
        <v>889</v>
      </c>
      <c r="D28" s="144">
        <v>278</v>
      </c>
      <c r="E28" s="124"/>
      <c r="F28" s="145">
        <f>+'CSD Resina Ush'!F28</f>
        <v>5.3999999999999999E-2</v>
      </c>
      <c r="G28" s="25">
        <f t="shared" si="0"/>
        <v>42.587506849315062</v>
      </c>
      <c r="H28" s="125">
        <v>0.12139999999999999</v>
      </c>
      <c r="I28" s="25">
        <f t="shared" si="13"/>
        <v>107.9246</v>
      </c>
      <c r="J28" s="125">
        <v>0.14199999999999999</v>
      </c>
      <c r="K28" s="25">
        <f t="shared" si="2"/>
        <v>171.76142597260272</v>
      </c>
      <c r="L28" s="125">
        <v>1.0999999999999999E-2</v>
      </c>
      <c r="M28" s="25">
        <f t="shared" si="14"/>
        <v>99.30546257534246</v>
      </c>
      <c r="N28" s="35">
        <f t="shared" si="3"/>
        <v>-20</v>
      </c>
      <c r="O28" s="35"/>
      <c r="P28" s="35"/>
      <c r="Q28" s="35"/>
      <c r="R28" s="35"/>
      <c r="S28" s="35"/>
      <c r="T28" s="35"/>
      <c r="U28" s="35"/>
      <c r="V28" s="35">
        <f>+(C28+D28+G28)*3.75%</f>
        <v>45.359531506849315</v>
      </c>
      <c r="W28" s="136">
        <f>SUM(C28,D28,G28,I28,K28,M28,N28,E28,T28+U28+V28)</f>
        <v>1613.9385269041097</v>
      </c>
      <c r="X28" s="35">
        <f>+'CSD Resina Ush'!U28</f>
        <v>1301.1493890410959</v>
      </c>
      <c r="Y28" s="34">
        <f>1473.15+45</f>
        <v>1518.15</v>
      </c>
      <c r="AA28" s="24">
        <v>45200</v>
      </c>
      <c r="AB28" s="122">
        <v>889</v>
      </c>
      <c r="AC28" s="124">
        <v>175</v>
      </c>
      <c r="AD28" s="124"/>
      <c r="AE28" s="125">
        <v>5.3999999999999999E-2</v>
      </c>
      <c r="AF28" s="25">
        <f t="shared" si="6"/>
        <v>38.828712328767118</v>
      </c>
      <c r="AG28" s="125">
        <v>0.12139999999999999</v>
      </c>
      <c r="AH28" s="25">
        <f t="shared" si="15"/>
        <v>107.9246</v>
      </c>
      <c r="AI28" s="125"/>
      <c r="AJ28" s="25">
        <f t="shared" si="8"/>
        <v>79.040000000000006</v>
      </c>
      <c r="AK28" s="35">
        <f t="shared" si="9"/>
        <v>-30</v>
      </c>
      <c r="AL28" s="35"/>
      <c r="AM28" s="35"/>
      <c r="AN28" s="35"/>
      <c r="AO28" s="35"/>
      <c r="AP28" s="35"/>
      <c r="AQ28" s="35"/>
      <c r="AR28" s="35"/>
      <c r="AS28" s="137">
        <f>+(AB28+AC28+AF28)*3.75%</f>
        <v>41.356076712328765</v>
      </c>
      <c r="AT28" s="136">
        <f>SUM(AB28,AC28,AF28,AH28,AJ28,AK28,AD28,AQ28,AS28)</f>
        <v>1301.1493890410959</v>
      </c>
      <c r="AU28" s="34">
        <f t="shared" si="12"/>
        <v>1331.1493890410959</v>
      </c>
    </row>
    <row r="29" spans="2:47" x14ac:dyDescent="0.35">
      <c r="B29" s="24">
        <f>+'CSD Resina Ush'!B29</f>
        <v>45231</v>
      </c>
      <c r="C29" s="146">
        <f>'CSD Resina Ush'!C29</f>
        <v>898.75</v>
      </c>
      <c r="D29" s="144">
        <v>278</v>
      </c>
      <c r="E29" s="124"/>
      <c r="F29" s="145">
        <f>+'CSD Resina Ush'!F29</f>
        <v>5.3955000000000003E-2</v>
      </c>
      <c r="G29" s="25">
        <f t="shared" si="0"/>
        <v>42.91720089041096</v>
      </c>
      <c r="H29" s="125">
        <v>0.12139999999999999</v>
      </c>
      <c r="I29" s="25">
        <f>+H29*C29</f>
        <v>109.10825</v>
      </c>
      <c r="J29" s="125">
        <v>0.14199999999999999</v>
      </c>
      <c r="K29" s="25">
        <f t="shared" si="2"/>
        <v>173.19274252643834</v>
      </c>
      <c r="L29" s="125">
        <v>1.0999999999999999E-2</v>
      </c>
      <c r="M29" s="25">
        <f t="shared" si="14"/>
        <v>99.416339209794515</v>
      </c>
      <c r="N29" s="35">
        <f t="shared" si="3"/>
        <v>-20</v>
      </c>
      <c r="O29" s="35"/>
      <c r="P29" s="35"/>
      <c r="Q29" s="35"/>
      <c r="R29" s="35"/>
      <c r="S29" s="35"/>
      <c r="T29" s="35"/>
      <c r="U29" s="35"/>
      <c r="V29" s="35">
        <f>+(C29+D29+G29)*3.75%</f>
        <v>45.737520033390403</v>
      </c>
      <c r="W29" s="136">
        <f>SUM(C29,D29,G29,I29,K29,M29,N29,E29,T29+U29+V29)</f>
        <v>1627.1220526600343</v>
      </c>
      <c r="X29" s="35">
        <f>+'CSD Resina Ush'!U29</f>
        <v>1312.793093077911</v>
      </c>
      <c r="Y29" s="126">
        <f>1484.79+45</f>
        <v>1529.79</v>
      </c>
      <c r="AA29" s="24">
        <v>45231</v>
      </c>
      <c r="AB29" s="122">
        <v>898.75</v>
      </c>
      <c r="AC29" s="124">
        <v>175</v>
      </c>
      <c r="AD29" s="124"/>
      <c r="AE29" s="125">
        <v>5.3955000000000003E-2</v>
      </c>
      <c r="AF29" s="25">
        <f t="shared" si="6"/>
        <v>39.160692123287667</v>
      </c>
      <c r="AG29" s="125">
        <v>0.12139999999999999</v>
      </c>
      <c r="AH29" s="25">
        <f t="shared" si="15"/>
        <v>109.10825</v>
      </c>
      <c r="AI29" s="125"/>
      <c r="AJ29" s="25">
        <f t="shared" si="8"/>
        <v>79.040000000000006</v>
      </c>
      <c r="AK29" s="35">
        <f t="shared" si="9"/>
        <v>-30</v>
      </c>
      <c r="AL29" s="35"/>
      <c r="AM29" s="35"/>
      <c r="AN29" s="35"/>
      <c r="AO29" s="35"/>
      <c r="AP29" s="35"/>
      <c r="AQ29" s="35"/>
      <c r="AR29" s="35"/>
      <c r="AS29" s="137">
        <f>+(AB29+AC29+AF29)*3.75%</f>
        <v>41.734150954623281</v>
      </c>
      <c r="AT29" s="136">
        <f>SUM(AB29,AC29,AF29,AH29,AJ29,AK29,AD29,AQ29,AS29)</f>
        <v>1312.793093077911</v>
      </c>
      <c r="AU29" s="34">
        <f t="shared" si="12"/>
        <v>1342.793093077911</v>
      </c>
    </row>
    <row r="30" spans="2:47" x14ac:dyDescent="0.35">
      <c r="B30" s="24">
        <f>+'CSD Resina Ush'!B30</f>
        <v>45261</v>
      </c>
      <c r="C30" s="146">
        <f>'CSD Resina Ush'!C30</f>
        <v>875.63</v>
      </c>
      <c r="D30" s="144">
        <v>278</v>
      </c>
      <c r="E30" s="124"/>
      <c r="F30" s="145">
        <f>+'CSD Resina Ush'!F30</f>
        <v>5.38275E-2</v>
      </c>
      <c r="G30" s="25">
        <f t="shared" si="0"/>
        <v>42.001455858904116</v>
      </c>
      <c r="H30" s="125">
        <v>0.12139999999999999</v>
      </c>
      <c r="I30" s="25">
        <f>+H30*C30</f>
        <v>106.30148199999999</v>
      </c>
      <c r="J30" s="125">
        <v>0.14199999999999999</v>
      </c>
      <c r="K30" s="25">
        <f t="shared" si="2"/>
        <v>169.7796667319644</v>
      </c>
      <c r="L30" s="125">
        <v>1.0999999999999999E-2</v>
      </c>
      <c r="M30" s="25">
        <f t="shared" si="14"/>
        <v>99.151946014447944</v>
      </c>
      <c r="N30" s="35">
        <f t="shared" si="3"/>
        <v>-20</v>
      </c>
      <c r="O30" s="35"/>
      <c r="P30" s="35"/>
      <c r="Q30" s="35"/>
      <c r="R30" s="35"/>
      <c r="S30" s="35"/>
      <c r="T30" s="35"/>
      <c r="U30" s="35"/>
      <c r="V30" s="35">
        <f>+(C30+D30+G30)*3.75%</f>
        <v>44.836179594708909</v>
      </c>
      <c r="W30" s="136">
        <f>SUM(C30,D30,G30,I30,K30,M30,N30,E30,T30+U30+V30)</f>
        <v>1595.7007302000256</v>
      </c>
      <c r="X30" s="35">
        <f>+'CSD Resina Ush'!U30</f>
        <v>1285.055958770394</v>
      </c>
      <c r="Y30" s="126">
        <f>1457.06+45</f>
        <v>1502.06</v>
      </c>
      <c r="AA30" s="24">
        <v>45261</v>
      </c>
      <c r="AB30" s="122">
        <v>875.63</v>
      </c>
      <c r="AC30" s="124">
        <v>175</v>
      </c>
      <c r="AD30" s="124"/>
      <c r="AE30" s="125">
        <v>5.38275E-2</v>
      </c>
      <c r="AF30" s="25">
        <f t="shared" si="6"/>
        <v>38.251423393150688</v>
      </c>
      <c r="AG30" s="125">
        <v>0.12139999999999999</v>
      </c>
      <c r="AH30" s="25">
        <f t="shared" si="15"/>
        <v>106.30148199999999</v>
      </c>
      <c r="AI30" s="125"/>
      <c r="AJ30" s="25">
        <f t="shared" si="8"/>
        <v>79.040000000000006</v>
      </c>
      <c r="AK30" s="35">
        <f t="shared" si="9"/>
        <v>-30</v>
      </c>
      <c r="AL30" s="35"/>
      <c r="AM30" s="35"/>
      <c r="AN30" s="35"/>
      <c r="AO30" s="35"/>
      <c r="AP30" s="35"/>
      <c r="AQ30" s="35"/>
      <c r="AR30" s="35"/>
      <c r="AS30" s="137">
        <f>+(AB30+AC30+AF30)*3.75%</f>
        <v>40.833053377243154</v>
      </c>
      <c r="AT30" s="136">
        <f>SUM(AB30,AC30,AF30,AH30,AJ30,AK30,AD30,AQ30,AS30)</f>
        <v>1285.055958770394</v>
      </c>
      <c r="AU30" s="34">
        <f t="shared" si="12"/>
        <v>1315.055958770394</v>
      </c>
    </row>
    <row r="31" spans="2:47" x14ac:dyDescent="0.35">
      <c r="B31" s="24">
        <f>+'CSD Resina Ush'!B31</f>
        <v>45292</v>
      </c>
      <c r="C31" s="146"/>
      <c r="D31" s="144"/>
      <c r="E31" s="124"/>
      <c r="F31" s="145"/>
      <c r="G31" s="25"/>
      <c r="H31" s="125"/>
      <c r="I31" s="147"/>
      <c r="J31" s="125"/>
      <c r="K31" s="25"/>
      <c r="L31" s="125"/>
      <c r="M31" s="25"/>
      <c r="N31" s="148"/>
      <c r="O31" s="148"/>
      <c r="P31" s="148"/>
      <c r="Q31" s="148"/>
      <c r="R31" s="148"/>
      <c r="S31" s="148"/>
      <c r="T31" s="35"/>
      <c r="U31" s="35"/>
      <c r="V31" s="35"/>
      <c r="W31" s="136">
        <v>1827</v>
      </c>
      <c r="X31" s="35">
        <f>+'CSD Resina Ush'!U31</f>
        <v>1800</v>
      </c>
      <c r="Y31" s="136">
        <f>+X31</f>
        <v>1800</v>
      </c>
      <c r="AA31" s="24">
        <v>45292</v>
      </c>
      <c r="AB31" s="122"/>
      <c r="AC31" s="124"/>
      <c r="AD31" s="124"/>
      <c r="AE31" s="125"/>
      <c r="AF31" s="25"/>
      <c r="AG31" s="125"/>
      <c r="AH31" s="125"/>
      <c r="AI31" s="125"/>
      <c r="AJ31" s="25"/>
      <c r="AK31" s="125"/>
      <c r="AL31" s="138"/>
      <c r="AM31" s="139"/>
      <c r="AN31" s="139"/>
      <c r="AO31" s="139"/>
      <c r="AP31" s="139"/>
      <c r="AQ31" s="35"/>
      <c r="AR31" s="35"/>
      <c r="AS31" s="137"/>
      <c r="AT31" s="136">
        <v>1800</v>
      </c>
      <c r="AU31" s="34">
        <f t="shared" si="12"/>
        <v>1830</v>
      </c>
    </row>
    <row r="32" spans="2:47" x14ac:dyDescent="0.35">
      <c r="B32" s="24">
        <f>+'CSD Resina Ush'!B32</f>
        <v>45323</v>
      </c>
      <c r="C32" s="146"/>
      <c r="D32" s="144"/>
      <c r="E32" s="124"/>
      <c r="F32" s="145"/>
      <c r="G32" s="25"/>
      <c r="H32" s="125"/>
      <c r="I32" s="147"/>
      <c r="J32" s="125"/>
      <c r="K32" s="25"/>
      <c r="L32" s="125"/>
      <c r="M32" s="25"/>
      <c r="N32" s="148"/>
      <c r="O32" s="148"/>
      <c r="P32" s="148"/>
      <c r="Q32" s="148"/>
      <c r="R32" s="148"/>
      <c r="S32" s="148"/>
      <c r="T32" s="35"/>
      <c r="U32" s="35"/>
      <c r="V32" s="35"/>
      <c r="W32" s="136">
        <v>1863</v>
      </c>
      <c r="X32" s="35">
        <f>+'CSD Resina Ush'!U32</f>
        <v>1836</v>
      </c>
      <c r="Y32" s="136">
        <f>+X32</f>
        <v>1836</v>
      </c>
      <c r="AA32" s="24">
        <v>45323</v>
      </c>
      <c r="AB32" s="122"/>
      <c r="AC32" s="124"/>
      <c r="AD32" s="124"/>
      <c r="AE32" s="125"/>
      <c r="AF32" s="25"/>
      <c r="AG32" s="125"/>
      <c r="AH32" s="125"/>
      <c r="AI32" s="125"/>
      <c r="AJ32" s="25"/>
      <c r="AK32" s="125"/>
      <c r="AL32" s="138"/>
      <c r="AM32" s="139"/>
      <c r="AN32" s="139"/>
      <c r="AO32" s="139"/>
      <c r="AP32" s="139"/>
      <c r="AQ32" s="35"/>
      <c r="AR32" s="35"/>
      <c r="AS32" s="137"/>
      <c r="AT32" s="136">
        <v>1836</v>
      </c>
      <c r="AU32" s="34">
        <f t="shared" si="12"/>
        <v>1866</v>
      </c>
    </row>
    <row r="33" spans="2:47" x14ac:dyDescent="0.35">
      <c r="B33" s="24">
        <f>+'CSD Resina Ush'!B33</f>
        <v>45352</v>
      </c>
      <c r="C33" s="146"/>
      <c r="D33" s="144"/>
      <c r="E33" s="124"/>
      <c r="F33" s="145"/>
      <c r="G33" s="25"/>
      <c r="H33" s="125"/>
      <c r="I33" s="147"/>
      <c r="J33" s="125"/>
      <c r="K33" s="25"/>
      <c r="L33" s="125"/>
      <c r="M33" s="25"/>
      <c r="N33" s="148"/>
      <c r="O33" s="148"/>
      <c r="P33" s="148"/>
      <c r="Q33" s="148"/>
      <c r="R33" s="148"/>
      <c r="S33" s="148"/>
      <c r="T33" s="35"/>
      <c r="U33" s="35"/>
      <c r="V33" s="35"/>
      <c r="W33" s="136">
        <v>1863</v>
      </c>
      <c r="X33" s="35">
        <f>+'CSD Resina Ush'!U33</f>
        <v>1748</v>
      </c>
      <c r="Y33" s="136">
        <v>1836</v>
      </c>
      <c r="AA33" s="24">
        <v>45352</v>
      </c>
      <c r="AB33" s="122"/>
      <c r="AC33" s="124"/>
      <c r="AD33" s="124"/>
      <c r="AE33" s="125"/>
      <c r="AF33" s="25"/>
      <c r="AG33" s="125"/>
      <c r="AH33" s="125"/>
      <c r="AI33" s="125"/>
      <c r="AJ33" s="25"/>
      <c r="AK33" s="125"/>
      <c r="AL33" s="138"/>
      <c r="AM33" s="139"/>
      <c r="AN33" s="139"/>
      <c r="AO33" s="139"/>
      <c r="AP33" s="139"/>
      <c r="AQ33" s="35"/>
      <c r="AR33" s="35"/>
      <c r="AS33" s="137"/>
      <c r="AT33" s="136">
        <v>1748</v>
      </c>
      <c r="AU33" s="34">
        <f t="shared" si="12"/>
        <v>1778</v>
      </c>
    </row>
    <row r="34" spans="2:47" x14ac:dyDescent="0.35">
      <c r="B34" s="24">
        <f>+'CSD Resina Ush'!B34</f>
        <v>45383</v>
      </c>
      <c r="C34" s="146"/>
      <c r="D34" s="144"/>
      <c r="E34" s="124"/>
      <c r="F34" s="145"/>
      <c r="G34" s="25"/>
      <c r="H34" s="125"/>
      <c r="I34" s="147"/>
      <c r="J34" s="125"/>
      <c r="K34" s="25"/>
      <c r="L34" s="125"/>
      <c r="M34" s="25"/>
      <c r="N34" s="148"/>
      <c r="O34" s="148"/>
      <c r="P34" s="148"/>
      <c r="Q34" s="148"/>
      <c r="R34" s="148"/>
      <c r="S34" s="148"/>
      <c r="T34" s="35"/>
      <c r="U34" s="35"/>
      <c r="V34" s="35"/>
      <c r="W34" s="136">
        <v>1863</v>
      </c>
      <c r="X34" s="35">
        <f>+'CSD Resina Ush'!U34</f>
        <v>1703</v>
      </c>
      <c r="Y34" s="136">
        <f>+X34</f>
        <v>1703</v>
      </c>
      <c r="AA34" s="24">
        <v>45383</v>
      </c>
      <c r="AB34" s="122"/>
      <c r="AC34" s="124"/>
      <c r="AD34" s="124"/>
      <c r="AE34" s="125"/>
      <c r="AF34" s="25"/>
      <c r="AG34" s="125"/>
      <c r="AH34" s="125"/>
      <c r="AI34" s="125"/>
      <c r="AJ34" s="25"/>
      <c r="AK34" s="125"/>
      <c r="AL34" s="138"/>
      <c r="AM34" s="139"/>
      <c r="AN34" s="139"/>
      <c r="AO34" s="139"/>
      <c r="AP34" s="139"/>
      <c r="AQ34" s="35"/>
      <c r="AR34" s="35"/>
      <c r="AS34" s="137"/>
      <c r="AT34" s="136">
        <v>1703</v>
      </c>
      <c r="AU34" s="34">
        <f t="shared" si="12"/>
        <v>1733</v>
      </c>
    </row>
    <row r="35" spans="2:47" x14ac:dyDescent="0.35">
      <c r="B35" s="24">
        <f>+'CSD Resina Ush'!B35</f>
        <v>45413</v>
      </c>
      <c r="C35" s="146"/>
      <c r="D35" s="144"/>
      <c r="E35" s="124"/>
      <c r="F35" s="145"/>
      <c r="G35" s="25"/>
      <c r="H35" s="125"/>
      <c r="I35" s="147"/>
      <c r="J35" s="125"/>
      <c r="K35" s="25"/>
      <c r="L35" s="125"/>
      <c r="M35" s="25"/>
      <c r="N35" s="148"/>
      <c r="O35" s="148"/>
      <c r="P35" s="148"/>
      <c r="Q35" s="148"/>
      <c r="R35" s="148"/>
      <c r="S35" s="148"/>
      <c r="T35" s="35"/>
      <c r="U35" s="35"/>
      <c r="V35" s="35"/>
      <c r="W35" s="136">
        <v>1863</v>
      </c>
      <c r="X35" s="35">
        <f>+'CSD Resina Ush'!U35</f>
        <v>1500.001085567123</v>
      </c>
      <c r="Y35" s="136">
        <f>+X35+30</f>
        <v>1530.001085567123</v>
      </c>
      <c r="AA35" s="24">
        <v>45413</v>
      </c>
      <c r="AB35" s="122">
        <v>1013</v>
      </c>
      <c r="AC35" s="124">
        <v>234.2</v>
      </c>
      <c r="AD35" s="125"/>
      <c r="AE35" s="125"/>
      <c r="AF35" s="25">
        <f>7.7%*180*(AB35+AC35)/365</f>
        <v>47.359430136986298</v>
      </c>
      <c r="AG35" s="125">
        <v>0</v>
      </c>
      <c r="AH35" s="25">
        <f t="shared" ref="AH35:AH38" si="18">+AG35*AB35</f>
        <v>0</v>
      </c>
      <c r="AI35" s="183">
        <f>86+0.85%*(AB35+AC35+AF35)</f>
        <v>97.003755156164388</v>
      </c>
      <c r="AJ35" s="25">
        <v>0</v>
      </c>
      <c r="AK35" s="25">
        <v>0</v>
      </c>
      <c r="AL35" s="138"/>
      <c r="AM35" s="25">
        <v>45</v>
      </c>
      <c r="AN35" s="25"/>
      <c r="AO35" s="25"/>
      <c r="AP35" s="25"/>
      <c r="AQ35" s="35"/>
      <c r="AR35" s="35">
        <v>-163</v>
      </c>
      <c r="AS35" s="137">
        <v>226.43790027397256</v>
      </c>
      <c r="AT35" s="136">
        <f>SUM(AB35,AC35,AF35,AH35,AI35,AM35,AD35,AR35,AS35)</f>
        <v>1500.001085567123</v>
      </c>
      <c r="AU35" s="34">
        <f t="shared" si="12"/>
        <v>1530.001085567123</v>
      </c>
    </row>
    <row r="36" spans="2:47" x14ac:dyDescent="0.35">
      <c r="B36" s="24">
        <f>+'CSD Resina Ush'!B36</f>
        <v>45444</v>
      </c>
      <c r="C36" s="146"/>
      <c r="D36" s="144"/>
      <c r="E36" s="124"/>
      <c r="F36" s="145"/>
      <c r="G36" s="25"/>
      <c r="H36" s="125"/>
      <c r="I36" s="147"/>
      <c r="J36" s="125"/>
      <c r="K36" s="25"/>
      <c r="L36" s="125"/>
      <c r="M36" s="25"/>
      <c r="N36" s="148"/>
      <c r="O36" s="148"/>
      <c r="P36" s="148"/>
      <c r="Q36" s="148"/>
      <c r="R36" s="148"/>
      <c r="S36" s="148"/>
      <c r="T36" s="35"/>
      <c r="U36" s="35"/>
      <c r="V36" s="35"/>
      <c r="W36" s="136">
        <v>1863</v>
      </c>
      <c r="X36" s="35">
        <f>+'CSD Resina Ush'!U36</f>
        <v>1500.0033433273973</v>
      </c>
      <c r="Y36" s="136">
        <f>+X36+30</f>
        <v>1530.0033433273973</v>
      </c>
      <c r="AA36" s="24">
        <v>45444</v>
      </c>
      <c r="AB36" s="122">
        <v>1020</v>
      </c>
      <c r="AC36" s="124">
        <v>275.45</v>
      </c>
      <c r="AD36" s="125"/>
      <c r="AE36" s="125"/>
      <c r="AF36" s="25">
        <f>7.7%*180*(AB36+AC36)/365</f>
        <v>49.191608219178079</v>
      </c>
      <c r="AG36" s="125">
        <v>0</v>
      </c>
      <c r="AH36" s="25">
        <f t="shared" si="18"/>
        <v>0</v>
      </c>
      <c r="AI36" s="183">
        <f>86+0.85%*(AB36+AC36+AF36)</f>
        <v>97.429453669863022</v>
      </c>
      <c r="AJ36" s="25">
        <v>0</v>
      </c>
      <c r="AK36" s="25">
        <v>0</v>
      </c>
      <c r="AL36" s="138"/>
      <c r="AM36" s="25">
        <v>45</v>
      </c>
      <c r="AN36" s="25"/>
      <c r="AO36" s="25"/>
      <c r="AP36" s="25"/>
      <c r="AQ36" s="35"/>
      <c r="AR36" s="35">
        <v>-222</v>
      </c>
      <c r="AS36" s="137">
        <v>234.93228143835617</v>
      </c>
      <c r="AT36" s="136">
        <f>SUM(AB36,AC36,AF36,AH36,AI36,AM36,AD36,AR36,AS36)</f>
        <v>1500.0033433273973</v>
      </c>
      <c r="AU36" s="34">
        <f t="shared" si="12"/>
        <v>1530.0033433273973</v>
      </c>
    </row>
    <row r="37" spans="2:47" x14ac:dyDescent="0.35">
      <c r="B37" s="24">
        <f>+'CSD Resina Ush'!B37</f>
        <v>45474</v>
      </c>
      <c r="C37" s="146"/>
      <c r="D37" s="144"/>
      <c r="E37" s="124"/>
      <c r="F37" s="145"/>
      <c r="G37" s="25"/>
      <c r="H37" s="125"/>
      <c r="I37" s="147"/>
      <c r="J37" s="125"/>
      <c r="K37" s="25"/>
      <c r="L37" s="125"/>
      <c r="M37" s="25"/>
      <c r="N37" s="148"/>
      <c r="O37" s="148"/>
      <c r="P37" s="148"/>
      <c r="Q37" s="148"/>
      <c r="R37" s="148"/>
      <c r="S37" s="148"/>
      <c r="T37" s="35"/>
      <c r="U37" s="35"/>
      <c r="V37" s="35"/>
      <c r="W37" s="136">
        <v>1863</v>
      </c>
      <c r="X37" s="35">
        <f>+'CSD Resina Ush'!U37</f>
        <v>1499.9983517493149</v>
      </c>
      <c r="Y37" s="136">
        <f>+X37+30</f>
        <v>1529.9983517493149</v>
      </c>
      <c r="AA37" s="24">
        <v>45474</v>
      </c>
      <c r="AB37" s="122">
        <v>1007</v>
      </c>
      <c r="AC37" s="124">
        <v>381.35</v>
      </c>
      <c r="AD37" s="125"/>
      <c r="AE37" s="125"/>
      <c r="AF37" s="184">
        <f>7.7%*180*(AB37+AC37)/365</f>
        <v>52.71926301369863</v>
      </c>
      <c r="AG37" s="125">
        <v>0</v>
      </c>
      <c r="AH37" s="25">
        <f t="shared" si="18"/>
        <v>0</v>
      </c>
      <c r="AI37" s="183">
        <f>86+0.85%*(AB37+AC37+AF37)</f>
        <v>98.249088735616439</v>
      </c>
      <c r="AJ37" s="25">
        <v>0</v>
      </c>
      <c r="AK37" s="25">
        <v>0</v>
      </c>
      <c r="AL37" s="138"/>
      <c r="AM37" s="25">
        <v>45</v>
      </c>
      <c r="AN37" s="25"/>
      <c r="AO37" s="25"/>
      <c r="AP37" s="25"/>
      <c r="AQ37" s="35"/>
      <c r="AR37" s="35">
        <v>-337</v>
      </c>
      <c r="AS37" s="137">
        <v>252.68</v>
      </c>
      <c r="AT37" s="136">
        <f>SUM(AB37,AC37,AF37,AH37,AI37,AM37,AD37,AR37,AS37)</f>
        <v>1499.9983517493149</v>
      </c>
      <c r="AU37" s="34">
        <f t="shared" si="12"/>
        <v>1529.9983517493149</v>
      </c>
    </row>
    <row r="38" spans="2:47" x14ac:dyDescent="0.35">
      <c r="B38" s="24" t="str">
        <f>+'CSD Resina Ush'!B38</f>
        <v>1/8/2024</v>
      </c>
      <c r="C38" s="146"/>
      <c r="D38" s="144"/>
      <c r="E38" s="124"/>
      <c r="F38" s="145"/>
      <c r="G38" s="25"/>
      <c r="H38" s="125"/>
      <c r="I38" s="147"/>
      <c r="J38" s="125"/>
      <c r="K38" s="25"/>
      <c r="L38" s="125"/>
      <c r="M38" s="25"/>
      <c r="N38" s="148"/>
      <c r="O38" s="148"/>
      <c r="P38" s="148"/>
      <c r="Q38" s="148"/>
      <c r="R38" s="148"/>
      <c r="S38" s="148"/>
      <c r="T38" s="35"/>
      <c r="U38" s="35"/>
      <c r="V38" s="35"/>
      <c r="W38" s="136">
        <v>1863</v>
      </c>
      <c r="X38" s="35">
        <f>+'CSD Resina Ush'!U38</f>
        <v>1500</v>
      </c>
      <c r="Y38" s="136">
        <f>+X38+30</f>
        <v>1530</v>
      </c>
      <c r="AA38" s="24" t="str">
        <f>B38</f>
        <v>1/8/2024</v>
      </c>
      <c r="AB38" s="122">
        <v>1001</v>
      </c>
      <c r="AC38" s="124">
        <v>504</v>
      </c>
      <c r="AD38" s="125"/>
      <c r="AE38" s="125"/>
      <c r="AF38" s="184">
        <v>57</v>
      </c>
      <c r="AG38" s="125">
        <v>0</v>
      </c>
      <c r="AH38" s="25">
        <f t="shared" si="18"/>
        <v>0</v>
      </c>
      <c r="AI38" s="183">
        <v>99</v>
      </c>
      <c r="AJ38" s="25">
        <v>0</v>
      </c>
      <c r="AK38" s="25">
        <v>0</v>
      </c>
      <c r="AL38" s="138"/>
      <c r="AM38" s="25">
        <v>45</v>
      </c>
      <c r="AN38" s="25"/>
      <c r="AO38" s="25"/>
      <c r="AP38" s="25"/>
      <c r="AQ38" s="35"/>
      <c r="AR38" s="35">
        <v>-479</v>
      </c>
      <c r="AS38" s="137">
        <v>273</v>
      </c>
      <c r="AT38" s="136">
        <f>SUM(AB38,AC38,AF38,AH38,AI38,AM38,AD38,AR38,AS38)</f>
        <v>1500</v>
      </c>
      <c r="AU38" s="34">
        <f t="shared" si="12"/>
        <v>1530</v>
      </c>
    </row>
    <row r="39" spans="2:47" x14ac:dyDescent="0.35">
      <c r="B39" s="159"/>
      <c r="C39" s="146"/>
      <c r="D39" s="144"/>
      <c r="E39" s="124"/>
      <c r="F39" s="145"/>
      <c r="G39" s="25"/>
      <c r="H39" s="125"/>
      <c r="I39" s="147"/>
      <c r="J39" s="125"/>
      <c r="K39" s="25"/>
      <c r="L39" s="125"/>
      <c r="M39" s="25"/>
      <c r="N39" s="148"/>
      <c r="O39" s="148"/>
      <c r="P39" s="148"/>
      <c r="Q39" s="148"/>
      <c r="R39" s="148"/>
      <c r="S39" s="148"/>
      <c r="T39" s="35"/>
      <c r="U39" s="35"/>
      <c r="V39" s="35"/>
      <c r="W39" s="136"/>
      <c r="X39" s="35"/>
      <c r="Y39" s="136"/>
      <c r="AA39" s="159"/>
      <c r="AB39" s="146"/>
      <c r="AC39" s="144"/>
      <c r="AD39" s="124"/>
      <c r="AE39" s="145"/>
      <c r="AF39" s="25"/>
      <c r="AG39" s="125"/>
      <c r="AH39" s="147"/>
      <c r="AI39" s="125"/>
      <c r="AJ39" s="25"/>
      <c r="AK39" s="125"/>
      <c r="AL39" s="25"/>
      <c r="AM39" s="148"/>
      <c r="AN39" s="148"/>
      <c r="AO39" s="148"/>
      <c r="AP39" s="148"/>
      <c r="AQ39" s="148"/>
      <c r="AR39" s="148"/>
      <c r="AS39" s="35"/>
      <c r="AT39" s="35"/>
      <c r="AU39" s="35"/>
    </row>
    <row r="40" spans="2:47" x14ac:dyDescent="0.35">
      <c r="B40" s="158" t="s">
        <v>3413</v>
      </c>
      <c r="C40" s="158"/>
      <c r="D40" s="164"/>
      <c r="E40" s="150"/>
      <c r="F40" s="151"/>
      <c r="G40" s="141"/>
      <c r="H40" s="152"/>
      <c r="I40" s="141"/>
      <c r="J40" s="152"/>
      <c r="K40" s="141"/>
      <c r="L40" s="152"/>
      <c r="M40" s="141"/>
      <c r="N40" s="140"/>
      <c r="O40" s="140"/>
      <c r="P40" s="140"/>
      <c r="Q40" s="140"/>
      <c r="R40" s="140"/>
      <c r="S40" s="140"/>
      <c r="T40" s="140"/>
      <c r="U40" s="140"/>
      <c r="V40" s="140"/>
      <c r="W40" s="153"/>
      <c r="X40" s="140"/>
      <c r="Y40" s="153"/>
      <c r="AA40" s="158" t="s">
        <v>3413</v>
      </c>
      <c r="AB40" s="158"/>
      <c r="AC40" s="149"/>
      <c r="AD40" s="150"/>
      <c r="AE40" s="151"/>
      <c r="AF40" s="141"/>
      <c r="AG40" s="152"/>
      <c r="AH40" s="141"/>
      <c r="AI40" s="152"/>
      <c r="AJ40" s="141"/>
      <c r="AK40" s="152"/>
      <c r="AL40" s="141"/>
      <c r="AM40" s="140"/>
      <c r="AN40" s="140"/>
      <c r="AO40" s="140"/>
      <c r="AP40" s="140"/>
      <c r="AQ40" s="140"/>
      <c r="AR40" s="140"/>
      <c r="AS40" s="140"/>
      <c r="AT40" s="140"/>
      <c r="AU40" s="140"/>
    </row>
    <row r="41" spans="2:47" x14ac:dyDescent="0.35">
      <c r="B41" s="24">
        <f>+'CSD Resina Ush'!B41</f>
        <v>45505</v>
      </c>
      <c r="C41" s="144">
        <f>+'CSD Resina Ush'!C41+30</f>
        <v>1031</v>
      </c>
      <c r="D41" s="144">
        <v>384.28571428571428</v>
      </c>
      <c r="E41" s="124"/>
      <c r="F41" s="145"/>
      <c r="G41" s="35">
        <f t="shared" ref="G41:G45" si="19">7.7%*180*(C41+D41)/365</f>
        <v>53.742082191780817</v>
      </c>
      <c r="H41" s="125"/>
      <c r="I41" s="125"/>
      <c r="J41" s="125"/>
      <c r="K41" s="25"/>
      <c r="L41" s="35">
        <f t="shared" ref="L41:L46" si="20">107+(C41+D41+G41)*1.1%</f>
        <v>123.15930576125245</v>
      </c>
      <c r="M41" s="35">
        <f>(C41+D41+G41)*12.6%</f>
        <v>185.09750235616437</v>
      </c>
      <c r="N41" s="148"/>
      <c r="O41" s="139">
        <f t="shared" ref="O41:O46" si="21">(C41+D41+G41)*3%</f>
        <v>44.070833894324849</v>
      </c>
      <c r="P41" s="148">
        <v>45</v>
      </c>
      <c r="Q41" s="148"/>
      <c r="R41" s="148"/>
      <c r="S41" s="148"/>
      <c r="T41" s="35"/>
      <c r="U41" s="35"/>
      <c r="V41" s="35">
        <f>(C41+D41+G41)*7.5%</f>
        <v>110.17708473581213</v>
      </c>
      <c r="W41" s="34">
        <f t="shared" ref="W41:W46" si="22">SUM(C41:V41)</f>
        <v>1976.5325232250486</v>
      </c>
      <c r="X41" s="35">
        <f>+'CSD Resina Ush'!U41</f>
        <v>1801.4166495381603</v>
      </c>
      <c r="Y41" s="136">
        <f t="shared" ref="Y41:Y46" si="23">+X41+30</f>
        <v>1831.4166495381603</v>
      </c>
      <c r="AA41" s="24">
        <f>+'CSD Resina Ush'!B41</f>
        <v>45505</v>
      </c>
      <c r="AB41" s="144">
        <f>+C41</f>
        <v>1031</v>
      </c>
      <c r="AC41" s="144">
        <f>+'CSD Resina Ush'!D41</f>
        <v>484.28571428571428</v>
      </c>
      <c r="AD41" s="124"/>
      <c r="AE41" s="145"/>
      <c r="AF41" s="35">
        <f t="shared" ref="AF41:AF45" si="24">7.7%*180*(AB41+AC41)/365</f>
        <v>57.539342465753414</v>
      </c>
      <c r="AG41" s="125"/>
      <c r="AH41" s="147"/>
      <c r="AI41" s="125"/>
      <c r="AJ41" s="25"/>
      <c r="AK41" s="35">
        <f>86+(AB41+AC41+AF41)*0.85%</f>
        <v>99.369012982387474</v>
      </c>
      <c r="AL41" s="25"/>
      <c r="AM41" s="148">
        <v>45</v>
      </c>
      <c r="AN41" s="148"/>
      <c r="AO41" s="148"/>
      <c r="AP41" s="148"/>
      <c r="AQ41" s="148"/>
      <c r="AR41" s="148"/>
      <c r="AS41" s="35">
        <f>+(AB41+AC41+AF41)*7.5%</f>
        <v>117.96187925636006</v>
      </c>
      <c r="AT41" s="35"/>
      <c r="AU41" s="34">
        <f t="shared" ref="AU41:AU46" si="25">SUM(AB41:AS41)</f>
        <v>1835.1559489902152</v>
      </c>
    </row>
    <row r="42" spans="2:47" x14ac:dyDescent="0.35">
      <c r="B42" s="24">
        <f>+'CSD Resina Ush'!B42</f>
        <v>45536</v>
      </c>
      <c r="C42" s="144">
        <v>999</v>
      </c>
      <c r="D42" s="144">
        <v>446.28571428571428</v>
      </c>
      <c r="E42" s="124"/>
      <c r="F42" s="145"/>
      <c r="G42" s="35">
        <f t="shared" si="19"/>
        <v>54.8812602739726</v>
      </c>
      <c r="H42" s="125"/>
      <c r="I42" s="125"/>
      <c r="J42" s="125"/>
      <c r="K42" s="25"/>
      <c r="L42" s="35">
        <f t="shared" si="20"/>
        <v>123.50183672015656</v>
      </c>
      <c r="M42" s="35">
        <f>(C42+D42+G42)*12.6%</f>
        <v>189.02103879452054</v>
      </c>
      <c r="N42" s="148"/>
      <c r="O42" s="139">
        <f t="shared" si="21"/>
        <v>45.005009236790606</v>
      </c>
      <c r="P42" s="148">
        <v>45</v>
      </c>
      <c r="Q42" s="148"/>
      <c r="R42" s="148"/>
      <c r="S42" s="148"/>
      <c r="T42" s="35"/>
      <c r="U42" s="35"/>
      <c r="V42" s="35">
        <f>(C42+D42+G42)*7.5%</f>
        <v>112.51252309197652</v>
      </c>
      <c r="W42" s="34">
        <f t="shared" si="22"/>
        <v>2015.2073824031311</v>
      </c>
      <c r="X42" s="35">
        <f>+'CSD Resina Ush'!U42</f>
        <v>1868.5739217808218</v>
      </c>
      <c r="Y42" s="136">
        <f t="shared" si="23"/>
        <v>1898.5739217808218</v>
      </c>
      <c r="AA42" s="24">
        <f>+'CSD Resina Ush'!B42</f>
        <v>45536</v>
      </c>
      <c r="AB42" s="144">
        <f>999+30</f>
        <v>1029</v>
      </c>
      <c r="AC42" s="144">
        <v>546.28571428571422</v>
      </c>
      <c r="AD42" s="124"/>
      <c r="AE42" s="145"/>
      <c r="AF42" s="35">
        <f t="shared" si="24"/>
        <v>59.817698630136981</v>
      </c>
      <c r="AG42" s="125"/>
      <c r="AH42" s="147"/>
      <c r="AI42" s="125"/>
      <c r="AJ42" s="25"/>
      <c r="AK42" s="35">
        <f>86+(AB42+AC42+AF42)*0.85%</f>
        <v>99.898379009784733</v>
      </c>
      <c r="AL42" s="25"/>
      <c r="AM42" s="148">
        <v>45</v>
      </c>
      <c r="AN42" s="148"/>
      <c r="AO42" s="148"/>
      <c r="AP42" s="148"/>
      <c r="AQ42" s="148"/>
      <c r="AR42" s="148"/>
      <c r="AS42" s="35">
        <f>+(AB42+AC42+AF42)*7.5%</f>
        <v>122.63275596868883</v>
      </c>
      <c r="AT42" s="35"/>
      <c r="AU42" s="34">
        <f t="shared" si="25"/>
        <v>1902.6345478943247</v>
      </c>
    </row>
    <row r="43" spans="2:47" x14ac:dyDescent="0.35">
      <c r="B43" s="24">
        <f>+'CSD Resina Ush'!B43</f>
        <v>45566</v>
      </c>
      <c r="C43" s="144">
        <f>980+30</f>
        <v>1010</v>
      </c>
      <c r="D43" s="144">
        <v>383.38095238095241</v>
      </c>
      <c r="E43" s="124"/>
      <c r="F43" s="145"/>
      <c r="G43" s="35">
        <f t="shared" si="19"/>
        <v>52.910301369863006</v>
      </c>
      <c r="H43" s="125"/>
      <c r="I43" s="125"/>
      <c r="J43" s="125"/>
      <c r="K43" s="35">
        <f t="shared" ref="K43:K48" si="26">(C43+D43+G43)*6%</f>
        <v>86.777475225048917</v>
      </c>
      <c r="L43" s="35">
        <f t="shared" si="20"/>
        <v>122.90920379125897</v>
      </c>
      <c r="M43" s="35"/>
      <c r="N43" s="148"/>
      <c r="O43" s="139">
        <f t="shared" si="21"/>
        <v>43.388737612524459</v>
      </c>
      <c r="P43" s="148">
        <v>45</v>
      </c>
      <c r="Q43" s="148"/>
      <c r="R43" s="148"/>
      <c r="S43" s="148"/>
      <c r="T43" s="35"/>
      <c r="U43" s="35"/>
      <c r="V43" s="35">
        <f>(C43+D43+G43)*7.5%</f>
        <v>108.47184403131114</v>
      </c>
      <c r="W43" s="34">
        <f t="shared" si="22"/>
        <v>1852.8385144109586</v>
      </c>
      <c r="X43" s="35" t="e">
        <f>+'CSD Resina Ush'!#REF!</f>
        <v>#REF!</v>
      </c>
      <c r="Y43" s="136" t="e">
        <f t="shared" si="23"/>
        <v>#REF!</v>
      </c>
      <c r="AA43" s="24">
        <f t="shared" ref="AA43:AA48" si="27">B43</f>
        <v>45566</v>
      </c>
      <c r="AB43" s="144">
        <f>980+30</f>
        <v>1010</v>
      </c>
      <c r="AC43" s="144">
        <v>483.38095238095241</v>
      </c>
      <c r="AD43" s="124"/>
      <c r="AE43" s="145"/>
      <c r="AF43" s="35">
        <f t="shared" si="24"/>
        <v>56.707561643835611</v>
      </c>
      <c r="AG43" s="125"/>
      <c r="AH43" s="147"/>
      <c r="AI43" s="123">
        <f t="shared" ref="AI43:AI48" si="28">86+(AB43+AC43+AF43)*0.85%</f>
        <v>99.175752369210699</v>
      </c>
      <c r="AJ43" s="25"/>
      <c r="AK43" s="35"/>
      <c r="AL43" s="25"/>
      <c r="AM43" s="148">
        <v>45</v>
      </c>
      <c r="AN43" s="148"/>
      <c r="AO43" s="148"/>
      <c r="AP43" s="148"/>
      <c r="AQ43" s="148"/>
      <c r="AR43" s="148"/>
      <c r="AS43" s="35">
        <f>+(AB43+AC43+AF43)*7.5%</f>
        <v>116.25663855185908</v>
      </c>
      <c r="AT43" s="35"/>
      <c r="AU43" s="34">
        <f t="shared" si="25"/>
        <v>1810.5209049458576</v>
      </c>
    </row>
    <row r="44" spans="2:47" x14ac:dyDescent="0.35">
      <c r="B44" s="24">
        <f>+'CSD Resina Ush'!B45</f>
        <v>45597</v>
      </c>
      <c r="C44" s="144">
        <f>'CSD Resina Ush'!C45+30</f>
        <v>956</v>
      </c>
      <c r="D44" s="144">
        <v>368.66666666666669</v>
      </c>
      <c r="E44" s="124"/>
      <c r="F44" s="145"/>
      <c r="G44" s="35">
        <f t="shared" si="19"/>
        <v>50.301041095890412</v>
      </c>
      <c r="H44" s="125"/>
      <c r="I44" s="125"/>
      <c r="J44" s="125"/>
      <c r="K44" s="35">
        <f t="shared" si="26"/>
        <v>82.498062465753435</v>
      </c>
      <c r="L44" s="35">
        <f t="shared" si="20"/>
        <v>122.12464478538813</v>
      </c>
      <c r="M44" s="35"/>
      <c r="N44" s="148"/>
      <c r="O44" s="139">
        <f t="shared" si="21"/>
        <v>41.249031232876717</v>
      </c>
      <c r="P44" s="148">
        <v>45</v>
      </c>
      <c r="Q44" s="148"/>
      <c r="R44" s="148"/>
      <c r="S44" s="148"/>
      <c r="T44" s="35"/>
      <c r="U44" s="35"/>
      <c r="V44" s="35"/>
      <c r="W44" s="34">
        <f t="shared" si="22"/>
        <v>1665.8394462465756</v>
      </c>
      <c r="X44" s="35" t="e">
        <f>+'CSD Resina Ush'!#REF!</f>
        <v>#REF!</v>
      </c>
      <c r="Y44" s="136" t="e">
        <f t="shared" si="23"/>
        <v>#REF!</v>
      </c>
      <c r="AA44" s="24">
        <f t="shared" si="27"/>
        <v>45597</v>
      </c>
      <c r="AB44" s="144">
        <f>'CSD Resina Ush'!C45+30</f>
        <v>956</v>
      </c>
      <c r="AC44" s="144">
        <v>468.66666666666669</v>
      </c>
      <c r="AD44" s="124"/>
      <c r="AE44" s="145"/>
      <c r="AF44" s="35">
        <f t="shared" si="24"/>
        <v>54.098301369863016</v>
      </c>
      <c r="AG44" s="125"/>
      <c r="AH44" s="147"/>
      <c r="AI44" s="123">
        <f t="shared" si="28"/>
        <v>98.569502228310512</v>
      </c>
      <c r="AJ44" s="25"/>
      <c r="AK44" s="35"/>
      <c r="AL44" s="25"/>
      <c r="AM44" s="148">
        <v>45</v>
      </c>
      <c r="AN44" s="148"/>
      <c r="AO44" s="148"/>
      <c r="AP44" s="148"/>
      <c r="AQ44" s="148"/>
      <c r="AR44" s="148"/>
      <c r="AS44" s="35"/>
      <c r="AT44" s="35"/>
      <c r="AU44" s="34">
        <f t="shared" si="25"/>
        <v>1622.3344702648403</v>
      </c>
    </row>
    <row r="45" spans="2:47" x14ac:dyDescent="0.35">
      <c r="B45" s="24">
        <f>+'CSD Resina Ush'!B46</f>
        <v>45627</v>
      </c>
      <c r="C45" s="144">
        <f>'CSD Resina Ush'!C46+30</f>
        <v>976</v>
      </c>
      <c r="D45" s="144">
        <v>300.28571428571428</v>
      </c>
      <c r="E45" s="124"/>
      <c r="F45" s="145"/>
      <c r="G45" s="35">
        <f t="shared" si="19"/>
        <v>48.463890410958903</v>
      </c>
      <c r="H45" s="125"/>
      <c r="I45" s="125"/>
      <c r="J45" s="125"/>
      <c r="K45" s="35">
        <f t="shared" si="26"/>
        <v>79.484976281800385</v>
      </c>
      <c r="L45" s="35">
        <f t="shared" si="20"/>
        <v>121.57224565166341</v>
      </c>
      <c r="M45" s="35"/>
      <c r="N45" s="148"/>
      <c r="O45" s="139">
        <f t="shared" si="21"/>
        <v>39.742488140900193</v>
      </c>
      <c r="P45" s="148">
        <v>45</v>
      </c>
      <c r="Q45" s="148"/>
      <c r="R45" s="148"/>
      <c r="S45" s="148"/>
      <c r="T45" s="35"/>
      <c r="U45" s="35"/>
      <c r="V45" s="35"/>
      <c r="W45" s="34">
        <f t="shared" si="22"/>
        <v>1610.549314771037</v>
      </c>
      <c r="X45" s="35" t="e">
        <f>+'CSD Resina Ush'!#REF!</f>
        <v>#REF!</v>
      </c>
      <c r="Y45" s="136" t="e">
        <f t="shared" si="23"/>
        <v>#REF!</v>
      </c>
      <c r="AA45" s="24">
        <f t="shared" si="27"/>
        <v>45627</v>
      </c>
      <c r="AB45" s="144">
        <f>'CSD Resina Ush'!C46+30</f>
        <v>976</v>
      </c>
      <c r="AC45" s="144">
        <v>400.28571428571428</v>
      </c>
      <c r="AD45" s="124"/>
      <c r="AE45" s="145"/>
      <c r="AF45" s="35">
        <f t="shared" si="24"/>
        <v>52.261150684931508</v>
      </c>
      <c r="AG45" s="125"/>
      <c r="AH45" s="147"/>
      <c r="AI45" s="123">
        <f t="shared" si="28"/>
        <v>98.14264835225049</v>
      </c>
      <c r="AJ45" s="25"/>
      <c r="AK45" s="35"/>
      <c r="AL45" s="25"/>
      <c r="AM45" s="148">
        <v>45</v>
      </c>
      <c r="AN45" s="148"/>
      <c r="AO45" s="148"/>
      <c r="AP45" s="148"/>
      <c r="AQ45" s="148"/>
      <c r="AR45" s="148"/>
      <c r="AS45" s="35"/>
      <c r="AT45" s="35"/>
      <c r="AU45" s="34">
        <f t="shared" si="25"/>
        <v>1571.6895133228961</v>
      </c>
    </row>
    <row r="46" spans="2:47" x14ac:dyDescent="0.35">
      <c r="B46" s="24">
        <f>+'CSD Resina Ush'!B47</f>
        <v>45658</v>
      </c>
      <c r="C46" s="144">
        <v>944</v>
      </c>
      <c r="D46" s="144">
        <v>303.23809523809524</v>
      </c>
      <c r="E46" s="124"/>
      <c r="F46" s="145"/>
      <c r="G46" s="35">
        <f t="shared" ref="G46:G51" si="29">6.7%*180*(C46+D46)/365</f>
        <v>41.210113502935421</v>
      </c>
      <c r="H46" s="125"/>
      <c r="I46" s="125"/>
      <c r="J46" s="125"/>
      <c r="K46" s="35">
        <f t="shared" si="26"/>
        <v>77.30689252446183</v>
      </c>
      <c r="L46" s="35">
        <f t="shared" si="20"/>
        <v>121.17293029615134</v>
      </c>
      <c r="M46" s="35"/>
      <c r="N46" s="148"/>
      <c r="O46" s="139">
        <f t="shared" si="21"/>
        <v>38.653446262230915</v>
      </c>
      <c r="P46" s="148">
        <v>45</v>
      </c>
      <c r="Q46" s="148"/>
      <c r="R46" s="148"/>
      <c r="S46" s="148"/>
      <c r="T46" s="35"/>
      <c r="U46" s="35"/>
      <c r="V46" s="35"/>
      <c r="W46" s="34">
        <f t="shared" si="22"/>
        <v>1570.5814778238748</v>
      </c>
      <c r="X46" s="35" t="e">
        <f>+'CSD Resina Ush'!#REF!</f>
        <v>#REF!</v>
      </c>
      <c r="Y46" s="136" t="e">
        <f t="shared" si="23"/>
        <v>#REF!</v>
      </c>
      <c r="AA46" s="24">
        <f t="shared" si="27"/>
        <v>45658</v>
      </c>
      <c r="AB46" s="144">
        <f>'CSD Resina Ush'!C47+30</f>
        <v>944</v>
      </c>
      <c r="AC46" s="144">
        <v>403.23809523809524</v>
      </c>
      <c r="AD46" s="124"/>
      <c r="AE46" s="145"/>
      <c r="AF46" s="35">
        <f t="shared" ref="AF46:AF51" si="30">6.7%*180*(AB46+AC46)/365</f>
        <v>44.514223091976518</v>
      </c>
      <c r="AG46" s="125"/>
      <c r="AH46" s="147"/>
      <c r="AI46" s="123">
        <f t="shared" si="28"/>
        <v>97.829894705805614</v>
      </c>
      <c r="AJ46" s="25"/>
      <c r="AK46" s="35"/>
      <c r="AL46" s="25"/>
      <c r="AM46" s="148">
        <v>45</v>
      </c>
      <c r="AN46" s="148"/>
      <c r="AO46" s="148"/>
      <c r="AP46" s="148"/>
      <c r="AQ46" s="148"/>
      <c r="AR46" s="148"/>
      <c r="AS46" s="35"/>
      <c r="AT46" s="35"/>
      <c r="AU46" s="34">
        <f t="shared" si="25"/>
        <v>1534.5822130358772</v>
      </c>
    </row>
    <row r="47" spans="2:47" x14ac:dyDescent="0.35">
      <c r="B47" s="24">
        <f>+'CSD Resina Ush'!B48</f>
        <v>45689</v>
      </c>
      <c r="C47" s="144">
        <v>925</v>
      </c>
      <c r="D47" s="144">
        <v>278.57142857142856</v>
      </c>
      <c r="E47" s="124"/>
      <c r="F47" s="145"/>
      <c r="G47" s="35">
        <f t="shared" si="29"/>
        <v>39.767318982387472</v>
      </c>
      <c r="H47" s="125"/>
      <c r="I47" s="125"/>
      <c r="J47" s="125"/>
      <c r="K47" s="35">
        <f t="shared" si="26"/>
        <v>74.600324853228955</v>
      </c>
      <c r="L47" s="35">
        <f t="shared" ref="L47" si="31">107+(C47+D47+G47)*1.1%</f>
        <v>120.67672622309198</v>
      </c>
      <c r="M47" s="35"/>
      <c r="N47" s="148"/>
      <c r="O47" s="139">
        <f t="shared" ref="O47" si="32">(C47+D47+G47)*3%</f>
        <v>37.300162426614477</v>
      </c>
      <c r="P47" s="148">
        <v>45</v>
      </c>
      <c r="Q47" s="148"/>
      <c r="R47" s="148"/>
      <c r="S47" s="148"/>
      <c r="T47" s="35"/>
      <c r="U47" s="35"/>
      <c r="V47" s="35"/>
      <c r="W47" s="34">
        <f t="shared" ref="W47" si="33">SUM(C47:V47)</f>
        <v>1520.9159610567513</v>
      </c>
      <c r="X47" s="35" t="e">
        <f>+'CSD Resina Ush'!#REF!</f>
        <v>#REF!</v>
      </c>
      <c r="Y47" s="136" t="e">
        <f t="shared" ref="Y47" si="34">+X47+30</f>
        <v>#REF!</v>
      </c>
      <c r="AA47" s="24">
        <f t="shared" si="27"/>
        <v>45689</v>
      </c>
      <c r="AB47" s="144">
        <f>'CSD Resina Ush'!C48+30</f>
        <v>925</v>
      </c>
      <c r="AC47" s="144">
        <v>380</v>
      </c>
      <c r="AD47" s="124"/>
      <c r="AE47" s="145"/>
      <c r="AF47" s="35">
        <f t="shared" si="30"/>
        <v>43.118630136986305</v>
      </c>
      <c r="AG47" s="125"/>
      <c r="AH47" s="147"/>
      <c r="AI47" s="123">
        <f t="shared" si="28"/>
        <v>97.459008356164389</v>
      </c>
      <c r="AJ47" s="25"/>
      <c r="AK47" s="35"/>
      <c r="AL47" s="25"/>
      <c r="AM47" s="148">
        <v>45</v>
      </c>
      <c r="AN47" s="148"/>
      <c r="AO47" s="148"/>
      <c r="AP47" s="148"/>
      <c r="AQ47" s="148"/>
      <c r="AR47" s="148"/>
      <c r="AS47" s="35"/>
      <c r="AT47" s="35"/>
      <c r="AU47" s="34">
        <f t="shared" ref="AU47" si="35">SUM(AB47:AS47)</f>
        <v>1490.5776384931505</v>
      </c>
    </row>
    <row r="48" spans="2:47" x14ac:dyDescent="0.35">
      <c r="B48" s="24">
        <f>+'CSD Resina Ush'!B49</f>
        <v>45717</v>
      </c>
      <c r="C48" s="144">
        <v>916</v>
      </c>
      <c r="D48" s="144">
        <v>280.61904761904759</v>
      </c>
      <c r="E48" s="124"/>
      <c r="F48" s="145"/>
      <c r="G48" s="35">
        <f t="shared" si="29"/>
        <v>39.537604696673192</v>
      </c>
      <c r="H48" s="125"/>
      <c r="I48" s="125"/>
      <c r="J48" s="125"/>
      <c r="K48" s="35">
        <f t="shared" si="26"/>
        <v>74.169399138943263</v>
      </c>
      <c r="L48" s="35">
        <f t="shared" ref="L48" si="36">107+(C48+D48+G48)*1.1%</f>
        <v>120.59772317547294</v>
      </c>
      <c r="M48" s="35"/>
      <c r="N48" s="148"/>
      <c r="O48" s="139">
        <f t="shared" ref="O48" si="37">(C48+D48+G48)*3%</f>
        <v>37.084699569471631</v>
      </c>
      <c r="P48" s="148">
        <v>45</v>
      </c>
      <c r="Q48" s="148"/>
      <c r="R48" s="148"/>
      <c r="S48" s="148"/>
      <c r="T48" s="35"/>
      <c r="U48" s="35"/>
      <c r="V48" s="35"/>
      <c r="W48" s="34">
        <f t="shared" ref="W48" si="38">SUM(C48:V48)</f>
        <v>1513.0084741996088</v>
      </c>
      <c r="X48" s="35" t="e">
        <f>+'CSD Resina Ush'!#REF!</f>
        <v>#REF!</v>
      </c>
      <c r="Y48" s="136" t="e">
        <f t="shared" ref="Y48" si="39">+X48+30</f>
        <v>#REF!</v>
      </c>
      <c r="AA48" s="24">
        <f t="shared" si="27"/>
        <v>45717</v>
      </c>
      <c r="AB48" s="144">
        <f>'CSD Resina Ush'!C49+30</f>
        <v>916</v>
      </c>
      <c r="AC48" s="144">
        <v>380.61904761904759</v>
      </c>
      <c r="AD48" s="124"/>
      <c r="AE48" s="145"/>
      <c r="AF48" s="35">
        <f t="shared" si="30"/>
        <v>42.841714285714289</v>
      </c>
      <c r="AG48" s="125"/>
      <c r="AH48" s="147"/>
      <c r="AI48" s="123">
        <f t="shared" si="28"/>
        <v>97.385416476190471</v>
      </c>
      <c r="AJ48" s="25"/>
      <c r="AK48" s="35"/>
      <c r="AL48" s="25"/>
      <c r="AM48" s="148">
        <v>45</v>
      </c>
      <c r="AN48" s="148"/>
      <c r="AO48" s="148"/>
      <c r="AP48" s="148"/>
      <c r="AQ48" s="148"/>
      <c r="AR48" s="148"/>
      <c r="AS48" s="35"/>
      <c r="AT48" s="35"/>
      <c r="AU48" s="34">
        <f t="shared" ref="AU48" si="40">SUM(AB48:AS48)</f>
        <v>1481.8461783809526</v>
      </c>
    </row>
    <row r="49" spans="2:47" x14ac:dyDescent="0.35">
      <c r="B49" s="24">
        <f>+'CSD Resina Ush'!B50</f>
        <v>45748</v>
      </c>
      <c r="C49" s="144">
        <v>935</v>
      </c>
      <c r="D49" s="144">
        <v>179</v>
      </c>
      <c r="E49" s="124"/>
      <c r="F49" s="145"/>
      <c r="G49" s="35">
        <f t="shared" si="29"/>
        <v>36.80778082191781</v>
      </c>
      <c r="H49" s="125"/>
      <c r="I49" s="125"/>
      <c r="J49" s="125"/>
      <c r="K49" s="35">
        <f t="shared" ref="K49" si="41">(C49+D49+G49)*6%</f>
        <v>69.048466849315062</v>
      </c>
      <c r="L49" s="35">
        <f t="shared" ref="L49" si="42">107+(C49+D49+G49)*1.1%</f>
        <v>119.65888558904109</v>
      </c>
      <c r="M49" s="35"/>
      <c r="N49" s="148"/>
      <c r="O49" s="139">
        <f t="shared" ref="O49" si="43">(C49+D49+G49)*3%</f>
        <v>34.524233424657531</v>
      </c>
      <c r="P49" s="148">
        <v>45</v>
      </c>
      <c r="Q49" s="148"/>
      <c r="R49" s="148"/>
      <c r="S49" s="148"/>
      <c r="T49" s="35"/>
      <c r="U49" s="35"/>
      <c r="V49" s="35"/>
      <c r="W49" s="34">
        <f t="shared" ref="W49" si="44">SUM(C49:V49)</f>
        <v>1419.0393666849313</v>
      </c>
      <c r="X49" s="35" t="e">
        <f>+'CSD Resina Ush'!#REF!</f>
        <v>#REF!</v>
      </c>
      <c r="Y49" s="136" t="e">
        <f t="shared" ref="Y49" si="45">+X49+30</f>
        <v>#REF!</v>
      </c>
      <c r="AA49" s="24">
        <f t="shared" ref="AA49" si="46">B49</f>
        <v>45748</v>
      </c>
      <c r="AB49" s="144">
        <f>'CSD Resina Ush'!C50+30</f>
        <v>935</v>
      </c>
      <c r="AC49" s="144">
        <v>279</v>
      </c>
      <c r="AD49" s="124"/>
      <c r="AE49" s="145"/>
      <c r="AF49" s="35">
        <f t="shared" si="30"/>
        <v>40.111890410958907</v>
      </c>
      <c r="AG49" s="125"/>
      <c r="AH49" s="147"/>
      <c r="AI49" s="123">
        <f t="shared" ref="AI49" si="47">86+(AB49+AC49+AF49)*0.85%</f>
        <v>96.659951068493157</v>
      </c>
      <c r="AJ49" s="25"/>
      <c r="AK49" s="35"/>
      <c r="AL49" s="25"/>
      <c r="AM49" s="148">
        <v>45</v>
      </c>
      <c r="AN49" s="148"/>
      <c r="AO49" s="148"/>
      <c r="AP49" s="148"/>
      <c r="AQ49" s="148"/>
      <c r="AR49" s="148"/>
      <c r="AS49" s="35"/>
      <c r="AT49" s="35"/>
      <c r="AU49" s="34">
        <f t="shared" ref="AU49" si="48">SUM(AB49:AS49)</f>
        <v>1395.7718414794522</v>
      </c>
    </row>
    <row r="50" spans="2:47" x14ac:dyDescent="0.35">
      <c r="B50" s="24">
        <f>+'CSD Resina Ush'!B51</f>
        <v>45778</v>
      </c>
      <c r="C50" s="144">
        <v>935</v>
      </c>
      <c r="D50" s="144">
        <v>156.8095238095238</v>
      </c>
      <c r="E50" s="124"/>
      <c r="F50" s="145"/>
      <c r="G50" s="35">
        <f t="shared" si="29"/>
        <v>36.074583170254407</v>
      </c>
      <c r="H50" s="125"/>
      <c r="I50" s="125"/>
      <c r="J50" s="125"/>
      <c r="K50" s="35">
        <f t="shared" ref="K50" si="49">(C50+D50+G50)*6%</f>
        <v>67.673046418786683</v>
      </c>
      <c r="L50" s="35">
        <f t="shared" ref="L50" si="50">107+(C50+D50+G50)*1.1%</f>
        <v>119.40672517677756</v>
      </c>
      <c r="M50" s="35"/>
      <c r="N50" s="148"/>
      <c r="O50" s="139">
        <f t="shared" ref="O50" si="51">(C50+D50+G50)*3%</f>
        <v>33.836523209393341</v>
      </c>
      <c r="P50" s="148">
        <v>45</v>
      </c>
      <c r="Q50" s="148"/>
      <c r="R50" s="148"/>
      <c r="S50" s="148"/>
      <c r="T50" s="35"/>
      <c r="U50" s="35"/>
      <c r="V50" s="35"/>
      <c r="W50" s="34">
        <f t="shared" ref="W50" si="52">SUM(C50:V50)</f>
        <v>1393.8004017847359</v>
      </c>
      <c r="X50" s="35" t="e">
        <f>+'CSD Resina Ush'!#REF!</f>
        <v>#REF!</v>
      </c>
      <c r="Y50" s="136" t="e">
        <f t="shared" ref="Y50" si="53">+X50+30</f>
        <v>#REF!</v>
      </c>
      <c r="AA50" s="24">
        <f t="shared" ref="AA50" si="54">B50</f>
        <v>45778</v>
      </c>
      <c r="AB50" s="144">
        <f>'CSD Resina Ush'!C51+30</f>
        <v>935</v>
      </c>
      <c r="AC50" s="144">
        <v>256.8095238095238</v>
      </c>
      <c r="AD50" s="124"/>
      <c r="AE50" s="145"/>
      <c r="AF50" s="35">
        <f t="shared" si="30"/>
        <v>39.378692759295504</v>
      </c>
      <c r="AG50" s="125"/>
      <c r="AH50" s="147"/>
      <c r="AI50" s="123">
        <f t="shared" ref="AI50" si="55">86+(AB50+AC50+AF50)*0.85%</f>
        <v>96.465099840834966</v>
      </c>
      <c r="AJ50" s="25"/>
      <c r="AK50" s="35"/>
      <c r="AL50" s="25"/>
      <c r="AM50" s="148">
        <v>45</v>
      </c>
      <c r="AN50" s="148"/>
      <c r="AO50" s="148"/>
      <c r="AP50" s="148"/>
      <c r="AQ50" s="148"/>
      <c r="AR50" s="148"/>
      <c r="AS50" s="35"/>
      <c r="AT50" s="35"/>
      <c r="AU50" s="34">
        <f t="shared" ref="AU50" si="56">SUM(AB50:AS50)</f>
        <v>1372.6533164096543</v>
      </c>
    </row>
    <row r="51" spans="2:47" x14ac:dyDescent="0.35">
      <c r="B51" s="24">
        <f>+'CSD Resina Ush'!B52</f>
        <v>45809</v>
      </c>
      <c r="C51" s="144">
        <v>907</v>
      </c>
      <c r="D51" s="144">
        <v>96.666666666666671</v>
      </c>
      <c r="E51" s="124"/>
      <c r="F51" s="145"/>
      <c r="G51" s="35">
        <f t="shared" si="29"/>
        <v>33.162246575342465</v>
      </c>
      <c r="H51" s="125"/>
      <c r="I51" s="125"/>
      <c r="J51" s="125"/>
      <c r="K51" s="35">
        <f t="shared" ref="K51" si="57">(C51+D51+G51)*6%</f>
        <v>62.209734794520543</v>
      </c>
      <c r="L51" s="35">
        <f t="shared" ref="L51" si="58">107+(C51+D51+G51)*1.1%</f>
        <v>118.40511804566211</v>
      </c>
      <c r="M51" s="35"/>
      <c r="N51" s="148"/>
      <c r="O51" s="139">
        <f t="shared" ref="O51" si="59">(C51+D51+G51)*3%</f>
        <v>31.104867397260271</v>
      </c>
      <c r="P51" s="148">
        <v>45</v>
      </c>
      <c r="Q51" s="148"/>
      <c r="R51" s="148"/>
      <c r="S51" s="148"/>
      <c r="T51" s="35"/>
      <c r="U51" s="35"/>
      <c r="V51" s="35"/>
      <c r="W51" s="34">
        <f t="shared" ref="W51" si="60">SUM(C51:V51)</f>
        <v>1293.5486334794521</v>
      </c>
      <c r="X51" s="35" t="e">
        <f>+'CSD Resina Ush'!#REF!</f>
        <v>#REF!</v>
      </c>
      <c r="Y51" s="136" t="e">
        <f t="shared" ref="Y51" si="61">+X51+30</f>
        <v>#REF!</v>
      </c>
      <c r="AA51" s="24">
        <f t="shared" ref="AA51" si="62">B51</f>
        <v>45809</v>
      </c>
      <c r="AB51" s="144">
        <f>'CSD Resina Ush'!C52+30</f>
        <v>907</v>
      </c>
      <c r="AC51" s="144">
        <v>196.666666666667</v>
      </c>
      <c r="AD51" s="124"/>
      <c r="AE51" s="145"/>
      <c r="AF51" s="35">
        <f t="shared" si="30"/>
        <v>36.466356164383576</v>
      </c>
      <c r="AG51" s="125"/>
      <c r="AH51" s="147"/>
      <c r="AI51" s="123">
        <f t="shared" ref="AI51" si="63">86+(AB51+AC51+AF51)*0.85%</f>
        <v>95.691130694063929</v>
      </c>
      <c r="AJ51" s="25"/>
      <c r="AK51" s="35"/>
      <c r="AL51" s="25"/>
      <c r="AM51" s="148">
        <v>45</v>
      </c>
      <c r="AN51" s="148"/>
      <c r="AO51" s="148"/>
      <c r="AP51" s="148"/>
      <c r="AQ51" s="148"/>
      <c r="AR51" s="148"/>
      <c r="AS51" s="35"/>
      <c r="AT51" s="35"/>
      <c r="AU51" s="34">
        <f t="shared" ref="AU51" si="64">SUM(AB51:AS51)</f>
        <v>1280.8241535251145</v>
      </c>
    </row>
    <row r="52" spans="2:47" x14ac:dyDescent="0.35">
      <c r="B52" s="24">
        <f>+'CSD Resina Ush'!B53</f>
        <v>45839</v>
      </c>
      <c r="C52" s="144">
        <v>921</v>
      </c>
      <c r="D52" s="144">
        <v>83.857142857142861</v>
      </c>
      <c r="E52" s="124"/>
      <c r="F52" s="145"/>
      <c r="G52" s="35">
        <f t="shared" ref="G52" si="65">6.7%*180*(C52+D52)/365</f>
        <v>33.201581213307243</v>
      </c>
      <c r="H52" s="125"/>
      <c r="I52" s="125"/>
      <c r="J52" s="125"/>
      <c r="K52" s="35">
        <f t="shared" ref="K52" si="66">(C52+D52+G52)*6%</f>
        <v>62.283523444227008</v>
      </c>
      <c r="L52" s="35">
        <f t="shared" ref="L52" si="67">107+(C52+D52+G52)*1.1%</f>
        <v>118.41864596477495</v>
      </c>
      <c r="M52" s="35"/>
      <c r="N52" s="148"/>
      <c r="O52" s="139">
        <f t="shared" ref="O52" si="68">(C52+D52+G52)*3%</f>
        <v>31.141761722113504</v>
      </c>
      <c r="P52" s="148">
        <v>45</v>
      </c>
      <c r="Q52" s="148"/>
      <c r="R52" s="148"/>
      <c r="S52" s="148"/>
      <c r="T52" s="35"/>
      <c r="U52" s="35"/>
      <c r="V52" s="35"/>
      <c r="W52" s="34">
        <f t="shared" ref="W52" si="69">SUM(C52:V52)</f>
        <v>1294.9026552015655</v>
      </c>
      <c r="X52" s="35" t="e">
        <f>+'CSD Resina Ush'!#REF!</f>
        <v>#REF!</v>
      </c>
      <c r="Y52" s="136" t="e">
        <f t="shared" ref="Y52" si="70">+X52+30</f>
        <v>#REF!</v>
      </c>
      <c r="AA52" s="24">
        <f t="shared" ref="AA52" si="71">B52</f>
        <v>45839</v>
      </c>
      <c r="AB52" s="144">
        <f>'CSD Resina Ush'!C53+30</f>
        <v>921</v>
      </c>
      <c r="AC52" s="144">
        <v>183.85714285714286</v>
      </c>
      <c r="AD52" s="124"/>
      <c r="AE52" s="145"/>
      <c r="AF52" s="35">
        <f t="shared" ref="AF52" si="72">6.7%*180*(AB52+AC52)/365</f>
        <v>36.50569080234834</v>
      </c>
      <c r="AG52" s="125"/>
      <c r="AH52" s="147"/>
      <c r="AI52" s="123">
        <f t="shared" ref="AI52" si="73">86+(AB52+AC52+AF52)*0.85%</f>
        <v>95.701584086105669</v>
      </c>
      <c r="AJ52" s="25"/>
      <c r="AK52" s="35"/>
      <c r="AL52" s="25"/>
      <c r="AM52" s="148">
        <v>45</v>
      </c>
      <c r="AN52" s="148"/>
      <c r="AO52" s="148"/>
      <c r="AP52" s="148"/>
      <c r="AQ52" s="148"/>
      <c r="AR52" s="148"/>
      <c r="AS52" s="35"/>
      <c r="AT52" s="35"/>
      <c r="AU52" s="34">
        <f t="shared" ref="AU52" si="74">SUM(AB52:AS52)</f>
        <v>1282.0644177455968</v>
      </c>
    </row>
    <row r="53" spans="2:47" x14ac:dyDescent="0.35">
      <c r="B53" s="24">
        <f>+'CSD Resina Ush'!B54</f>
        <v>45870</v>
      </c>
      <c r="C53" s="144">
        <v>922</v>
      </c>
      <c r="D53" s="144">
        <v>180.0952380952381</v>
      </c>
      <c r="E53" s="124"/>
      <c r="F53" s="145"/>
      <c r="G53" s="35">
        <f>(4.22%+2.5%)*180*(C53+D53)/365</f>
        <v>36.523134246575339</v>
      </c>
      <c r="H53" s="125"/>
      <c r="I53" s="125"/>
      <c r="J53" s="125"/>
      <c r="K53" s="35">
        <f t="shared" ref="K53" si="75">(C53+D53+G53)*6%</f>
        <v>68.317102340508811</v>
      </c>
      <c r="L53" s="35">
        <f t="shared" ref="L53" si="76">107+(C53+D53+G53)*1.1%</f>
        <v>119.52480209575995</v>
      </c>
      <c r="M53" s="35"/>
      <c r="N53" s="148"/>
      <c r="O53" s="139">
        <f t="shared" ref="O53" si="77">(C53+D53+G53)*3%</f>
        <v>34.158551170254405</v>
      </c>
      <c r="P53" s="148">
        <v>46</v>
      </c>
      <c r="Q53" s="148"/>
      <c r="R53" s="148"/>
      <c r="S53" s="148"/>
      <c r="T53" s="35"/>
      <c r="U53" s="35"/>
      <c r="V53" s="35"/>
      <c r="W53" s="34">
        <f t="shared" ref="W53" si="78">SUM(C53:V53)</f>
        <v>1406.6188279483367</v>
      </c>
      <c r="X53" s="35" t="e">
        <f>+'CSD Resina Ush'!#REF!</f>
        <v>#REF!</v>
      </c>
      <c r="Y53" s="136" t="e">
        <f t="shared" ref="Y53" si="79">+X53+30</f>
        <v>#REF!</v>
      </c>
      <c r="AA53" s="24">
        <f t="shared" ref="AA53" si="80">B53</f>
        <v>45870</v>
      </c>
      <c r="AB53" s="144">
        <f>'CSD Resina Ush'!C54+30</f>
        <v>922</v>
      </c>
      <c r="AC53" s="144">
        <v>280.09523809523807</v>
      </c>
      <c r="AD53" s="124"/>
      <c r="AE53" s="145"/>
      <c r="AF53" s="35">
        <f t="shared" ref="AF53" si="81">6.7%*180*(AB53+AC53)/365</f>
        <v>39.718544031311161</v>
      </c>
      <c r="AG53" s="125"/>
      <c r="AH53" s="147"/>
      <c r="AI53" s="123">
        <f t="shared" ref="AI53" si="82">86+(AB53+AC53+AF53)*0.85%</f>
        <v>96.555417148075662</v>
      </c>
      <c r="AJ53" s="25"/>
      <c r="AK53" s="35"/>
      <c r="AL53" s="25"/>
      <c r="AM53" s="148">
        <v>45</v>
      </c>
      <c r="AN53" s="148"/>
      <c r="AO53" s="148"/>
      <c r="AP53" s="148"/>
      <c r="AQ53" s="148"/>
      <c r="AR53" s="148"/>
      <c r="AS53" s="35"/>
      <c r="AT53" s="35"/>
      <c r="AU53" s="34">
        <f t="shared" ref="AU53" si="83">SUM(AB53:AS53)</f>
        <v>1383.3691992746249</v>
      </c>
    </row>
    <row r="54" spans="2:47" x14ac:dyDescent="0.35">
      <c r="B54" s="158" t="s">
        <v>3414</v>
      </c>
    </row>
    <row r="55" spans="2:47" x14ac:dyDescent="0.35">
      <c r="B55" s="24">
        <f>+'CSD Resina Ush'!B56</f>
        <v>45901</v>
      </c>
      <c r="C55" s="144">
        <f>'CSD Resina Ush'!C56+30</f>
        <v>812</v>
      </c>
      <c r="D55" s="144">
        <v>270.28571428571428</v>
      </c>
      <c r="E55" s="124"/>
      <c r="F55" s="145"/>
      <c r="G55" s="35"/>
      <c r="H55" s="125"/>
      <c r="I55" s="125"/>
      <c r="J55" s="125"/>
      <c r="K55" s="35">
        <f t="shared" ref="K55" si="84">(C55+D55+G55)*6%</f>
        <v>64.937142857142845</v>
      </c>
      <c r="L55" s="35">
        <f t="shared" ref="L55:L60" si="85">116+(107-86)+(1.1%*(D55+C55))</f>
        <v>148.90514285714286</v>
      </c>
      <c r="M55" s="35"/>
      <c r="N55" s="148"/>
      <c r="O55" s="139">
        <f t="shared" ref="O55:O60" si="86">(C55+D55)*3%</f>
        <v>32.468571428571423</v>
      </c>
      <c r="P55" s="148">
        <v>45</v>
      </c>
      <c r="Q55" s="148">
        <v>35</v>
      </c>
      <c r="R55" s="148">
        <v>26</v>
      </c>
      <c r="S55" s="148">
        <v>14</v>
      </c>
      <c r="T55" s="35"/>
      <c r="U55" s="35"/>
      <c r="V55" s="35"/>
      <c r="W55" s="34">
        <f t="shared" ref="W55" si="87">SUM(C55:V55)</f>
        <v>1448.5965714285715</v>
      </c>
      <c r="X55" s="35" t="e">
        <f>+'CSD Resina Ush'!#REF!</f>
        <v>#REF!</v>
      </c>
      <c r="Y55" s="136" t="e">
        <f t="shared" ref="Y55" si="88">+X55+30</f>
        <v>#REF!</v>
      </c>
      <c r="AA55" s="24">
        <f t="shared" ref="AA55" si="89">B55</f>
        <v>45901</v>
      </c>
      <c r="AB55" s="144">
        <f>'CSD Resina Ush'!C56+30</f>
        <v>812</v>
      </c>
      <c r="AC55" s="144">
        <v>382.28571428571428</v>
      </c>
      <c r="AD55" s="124"/>
      <c r="AE55" s="145"/>
      <c r="AF55" s="35"/>
      <c r="AG55" s="125"/>
      <c r="AH55" s="147"/>
      <c r="AI55" s="123">
        <f t="shared" ref="AI55:AI60" si="90">116+(AB55+AC55)*0.85%</f>
        <v>126.15142857142857</v>
      </c>
      <c r="AJ55" s="25"/>
      <c r="AK55" s="35"/>
      <c r="AL55" s="25"/>
      <c r="AM55" s="148">
        <v>45</v>
      </c>
      <c r="AN55" s="148">
        <v>35</v>
      </c>
      <c r="AO55" s="148">
        <v>26</v>
      </c>
      <c r="AP55" s="148">
        <v>24</v>
      </c>
      <c r="AQ55" s="148"/>
      <c r="AR55" s="148"/>
      <c r="AS55" s="35"/>
      <c r="AT55" s="35"/>
      <c r="AU55" s="34">
        <f t="shared" ref="AU55" si="91">SUM(AB55:AS55)</f>
        <v>1450.4371428571428</v>
      </c>
    </row>
    <row r="56" spans="2:47" x14ac:dyDescent="0.35">
      <c r="B56" s="24">
        <f>+'CSD Resina Ush'!B57</f>
        <v>45931</v>
      </c>
      <c r="C56" s="144">
        <f>'CSD Resina Ush'!C57+30</f>
        <v>804</v>
      </c>
      <c r="D56" s="144">
        <v>249.43</v>
      </c>
      <c r="E56" s="124"/>
      <c r="F56" s="145"/>
      <c r="G56" s="35"/>
      <c r="H56" s="125"/>
      <c r="I56" s="125"/>
      <c r="J56" s="125"/>
      <c r="K56" s="35">
        <f t="shared" ref="K56" si="92">(C56+D56+G56)*6%</f>
        <v>63.205800000000004</v>
      </c>
      <c r="L56" s="35">
        <f t="shared" si="85"/>
        <v>148.58772999999999</v>
      </c>
      <c r="M56" s="35"/>
      <c r="N56" s="148"/>
      <c r="O56" s="139">
        <f t="shared" si="86"/>
        <v>31.602900000000002</v>
      </c>
      <c r="P56" s="148">
        <v>45</v>
      </c>
      <c r="Q56" s="148">
        <v>35</v>
      </c>
      <c r="R56" s="148">
        <v>26</v>
      </c>
      <c r="S56" s="148">
        <v>14</v>
      </c>
      <c r="T56" s="35"/>
      <c r="U56" s="35"/>
      <c r="V56" s="35"/>
      <c r="W56" s="34">
        <f t="shared" ref="W56" si="93">SUM(C56:V56)</f>
        <v>1416.8264300000001</v>
      </c>
      <c r="X56" s="35" t="e">
        <f>+'CSD Resina Ush'!#REF!</f>
        <v>#REF!</v>
      </c>
      <c r="Y56" s="136" t="e">
        <f t="shared" ref="Y56" si="94">+X56+30</f>
        <v>#REF!</v>
      </c>
      <c r="AA56" s="24">
        <f t="shared" ref="AA56" si="95">B56</f>
        <v>45931</v>
      </c>
      <c r="AB56" s="144">
        <f>'CSD Resina Ush'!C57+30</f>
        <v>804</v>
      </c>
      <c r="AC56" s="267">
        <v>361.43</v>
      </c>
      <c r="AD56" s="124"/>
      <c r="AE56" s="145"/>
      <c r="AF56" s="35"/>
      <c r="AG56" s="125"/>
      <c r="AH56" s="147"/>
      <c r="AI56" s="123">
        <f t="shared" si="90"/>
        <v>125.906155</v>
      </c>
      <c r="AJ56" s="25"/>
      <c r="AK56" s="35"/>
      <c r="AL56" s="25"/>
      <c r="AM56" s="148">
        <v>45</v>
      </c>
      <c r="AN56" s="148">
        <v>35</v>
      </c>
      <c r="AO56" s="148">
        <v>26</v>
      </c>
      <c r="AP56" s="148">
        <v>24</v>
      </c>
      <c r="AQ56" s="148"/>
      <c r="AR56" s="148"/>
      <c r="AS56" s="35"/>
      <c r="AT56" s="35"/>
      <c r="AU56" s="34">
        <f t="shared" ref="AU56" si="96">SUM(AB56:AS56)</f>
        <v>1421.336155</v>
      </c>
    </row>
    <row r="57" spans="2:47" x14ac:dyDescent="0.35">
      <c r="B57" s="24">
        <f>+'CSD Resina Ush'!B58</f>
        <v>45962</v>
      </c>
      <c r="C57" s="144">
        <f>'CSD Resina Ush'!C58+30</f>
        <v>795</v>
      </c>
      <c r="D57" s="144">
        <v>168.38</v>
      </c>
      <c r="E57" s="124"/>
      <c r="F57" s="145"/>
      <c r="G57" s="35"/>
      <c r="H57" s="125"/>
      <c r="I57" s="125"/>
      <c r="J57" s="125"/>
      <c r="K57" s="35">
        <f t="shared" ref="K57" si="97">(C57+D57+G57)*6%</f>
        <v>57.802799999999998</v>
      </c>
      <c r="L57" s="35">
        <f t="shared" si="85"/>
        <v>147.59718000000001</v>
      </c>
      <c r="M57" s="35"/>
      <c r="N57" s="148"/>
      <c r="O57" s="139">
        <f t="shared" si="86"/>
        <v>28.901399999999999</v>
      </c>
      <c r="P57" s="148">
        <v>45</v>
      </c>
      <c r="Q57" s="148">
        <v>35</v>
      </c>
      <c r="R57" s="148">
        <v>26</v>
      </c>
      <c r="S57" s="148">
        <v>14</v>
      </c>
      <c r="T57" s="35"/>
      <c r="U57" s="35"/>
      <c r="V57" s="35"/>
      <c r="W57" s="34">
        <f t="shared" ref="W57" si="98">SUM(C57:V57)</f>
        <v>1317.68138</v>
      </c>
      <c r="X57" s="35" t="e">
        <f>+'CSD Resina Ush'!#REF!</f>
        <v>#REF!</v>
      </c>
      <c r="Y57" s="136" t="e">
        <f t="shared" ref="Y57" si="99">+X57+30</f>
        <v>#REF!</v>
      </c>
      <c r="AA57" s="24">
        <f t="shared" ref="AA57" si="100">B57</f>
        <v>45962</v>
      </c>
      <c r="AB57" s="144">
        <f>'CSD Resina Ush'!C58+30</f>
        <v>795</v>
      </c>
      <c r="AC57" s="267">
        <v>280.38</v>
      </c>
      <c r="AD57" s="124"/>
      <c r="AE57" s="145"/>
      <c r="AF57" s="35"/>
      <c r="AG57" s="125"/>
      <c r="AH57" s="147"/>
      <c r="AI57" s="123">
        <f t="shared" si="90"/>
        <v>125.14073</v>
      </c>
      <c r="AJ57" s="25"/>
      <c r="AK57" s="35"/>
      <c r="AL57" s="25"/>
      <c r="AM57" s="148">
        <v>45</v>
      </c>
      <c r="AN57" s="148">
        <v>35</v>
      </c>
      <c r="AO57" s="148">
        <v>26</v>
      </c>
      <c r="AP57" s="148">
        <v>24</v>
      </c>
      <c r="AQ57" s="148"/>
      <c r="AR57" s="148"/>
      <c r="AS57" s="35"/>
      <c r="AT57" s="35"/>
      <c r="AU57" s="34">
        <f t="shared" ref="AU57" si="101">SUM(AB57:AS57)</f>
        <v>1330.5207300000002</v>
      </c>
    </row>
    <row r="58" spans="2:47" x14ac:dyDescent="0.35">
      <c r="B58" s="24">
        <f>+'CSD Resina Ush'!B59</f>
        <v>45992</v>
      </c>
      <c r="C58" s="144">
        <f>'CSD Resina Ush'!C59+30</f>
        <v>782</v>
      </c>
      <c r="D58" s="144">
        <v>150.42857142857142</v>
      </c>
      <c r="E58" s="124"/>
      <c r="F58" s="145"/>
      <c r="G58" s="35"/>
      <c r="H58" s="125"/>
      <c r="I58" s="125"/>
      <c r="J58" s="125"/>
      <c r="K58" s="35">
        <f t="shared" ref="K58" si="102">(C58+D58+G58)*6%</f>
        <v>55.945714285714281</v>
      </c>
      <c r="L58" s="35">
        <f t="shared" si="85"/>
        <v>147.25671428571428</v>
      </c>
      <c r="M58" s="35"/>
      <c r="N58" s="148"/>
      <c r="O58" s="139">
        <f t="shared" si="86"/>
        <v>27.972857142857141</v>
      </c>
      <c r="P58" s="148">
        <v>45</v>
      </c>
      <c r="Q58" s="148">
        <v>35</v>
      </c>
      <c r="R58" s="148">
        <v>40</v>
      </c>
      <c r="S58" s="148"/>
      <c r="T58" s="35"/>
      <c r="U58" s="35"/>
      <c r="V58" s="35"/>
      <c r="W58" s="34">
        <f t="shared" ref="W58" si="103">SUM(C58:V58)</f>
        <v>1283.6038571428571</v>
      </c>
      <c r="X58" s="35" t="e">
        <f>+'CSD Resina Ush'!#REF!</f>
        <v>#REF!</v>
      </c>
      <c r="Y58" s="136" t="e">
        <f t="shared" ref="Y58" si="104">+X58+30</f>
        <v>#REF!</v>
      </c>
      <c r="AA58" s="24">
        <f t="shared" ref="AA58" si="105">B58</f>
        <v>45992</v>
      </c>
      <c r="AB58" s="144">
        <f>'CSD Resina Ush'!C59+30</f>
        <v>782</v>
      </c>
      <c r="AC58" s="267">
        <v>262.42857142857144</v>
      </c>
      <c r="AD58" s="124"/>
      <c r="AE58" s="145"/>
      <c r="AF58" s="35"/>
      <c r="AG58" s="125"/>
      <c r="AH58" s="147"/>
      <c r="AI58" s="123">
        <f t="shared" si="90"/>
        <v>124.87764285714286</v>
      </c>
      <c r="AJ58" s="25"/>
      <c r="AK58" s="35"/>
      <c r="AL58" s="25"/>
      <c r="AM58" s="148">
        <v>45</v>
      </c>
      <c r="AN58" s="148">
        <v>35</v>
      </c>
      <c r="AO58" s="148">
        <v>30</v>
      </c>
      <c r="AP58" s="148"/>
      <c r="AQ58" s="148"/>
      <c r="AR58" s="148"/>
      <c r="AS58" s="35"/>
      <c r="AT58" s="35"/>
      <c r="AU58" s="34">
        <f t="shared" ref="AU58" si="106">SUM(AB58:AS58)</f>
        <v>1279.3062142857143</v>
      </c>
    </row>
    <row r="59" spans="2:47" x14ac:dyDescent="0.35">
      <c r="B59" s="24">
        <f>+'CSD Resina Ush'!B60</f>
        <v>46023</v>
      </c>
      <c r="C59" s="144">
        <f>'CSD Resina Ush'!C60+30</f>
        <v>778.75</v>
      </c>
      <c r="D59" s="144">
        <v>160.85714285714286</v>
      </c>
      <c r="E59" s="124"/>
      <c r="F59" s="145"/>
      <c r="G59" s="35"/>
      <c r="H59" s="125"/>
      <c r="I59" s="125"/>
      <c r="J59" s="125"/>
      <c r="K59" s="35">
        <f t="shared" ref="K59" si="107">(C59+D59+G59)*6%</f>
        <v>56.376428571428569</v>
      </c>
      <c r="L59" s="35">
        <f t="shared" si="85"/>
        <v>147.33567857142856</v>
      </c>
      <c r="M59" s="35"/>
      <c r="N59" s="148"/>
      <c r="O59" s="139">
        <f t="shared" si="86"/>
        <v>28.188214285714285</v>
      </c>
      <c r="P59" s="148">
        <v>45</v>
      </c>
      <c r="Q59" s="148">
        <v>35</v>
      </c>
      <c r="R59" s="148">
        <v>40</v>
      </c>
      <c r="S59" s="148"/>
      <c r="T59" s="35"/>
      <c r="U59" s="35"/>
      <c r="V59" s="35"/>
      <c r="W59" s="34">
        <f t="shared" ref="W59" si="108">SUM(C59:V59)</f>
        <v>1291.5074642857144</v>
      </c>
      <c r="X59" s="35" t="e">
        <f>+'CSD Resina Ush'!#REF!</f>
        <v>#REF!</v>
      </c>
      <c r="Y59" s="136" t="e">
        <f t="shared" ref="Y59" si="109">+X59+30</f>
        <v>#REF!</v>
      </c>
      <c r="AA59" s="24">
        <f t="shared" ref="AA59" si="110">B59</f>
        <v>46023</v>
      </c>
      <c r="AB59" s="144">
        <f>'CSD Resina Ush'!C60+30</f>
        <v>778.75</v>
      </c>
      <c r="AC59" s="267">
        <v>272.85714285714289</v>
      </c>
      <c r="AD59" s="124"/>
      <c r="AE59" s="145"/>
      <c r="AF59" s="35"/>
      <c r="AG59" s="125"/>
      <c r="AH59" s="147"/>
      <c r="AI59" s="123">
        <f t="shared" si="90"/>
        <v>124.93866071428572</v>
      </c>
      <c r="AJ59" s="25"/>
      <c r="AK59" s="35"/>
      <c r="AL59" s="25"/>
      <c r="AM59" s="148">
        <v>45</v>
      </c>
      <c r="AN59" s="148">
        <v>35</v>
      </c>
      <c r="AO59" s="148">
        <v>30</v>
      </c>
      <c r="AP59" s="148"/>
      <c r="AQ59" s="148"/>
      <c r="AR59" s="148"/>
      <c r="AS59" s="35"/>
      <c r="AT59" s="35"/>
      <c r="AU59" s="34">
        <f t="shared" ref="AU59" si="111">SUM(AB59:AS59)</f>
        <v>1286.5458035714287</v>
      </c>
    </row>
    <row r="60" spans="2:47" x14ac:dyDescent="0.35">
      <c r="B60" s="24">
        <f>+'CSD Resina Ush'!B61</f>
        <v>46054</v>
      </c>
      <c r="C60" s="144">
        <f>'CSD Resina Ush'!C61+30</f>
        <v>786.25</v>
      </c>
      <c r="D60" s="144">
        <v>144.33333333333334</v>
      </c>
      <c r="E60" s="124"/>
      <c r="F60" s="145"/>
      <c r="G60" s="35"/>
      <c r="H60" s="125"/>
      <c r="I60" s="125"/>
      <c r="J60" s="125"/>
      <c r="K60" s="35">
        <f t="shared" ref="K60" si="112">(C60+D60+G60)*6%</f>
        <v>55.835000000000001</v>
      </c>
      <c r="L60" s="35">
        <f t="shared" si="85"/>
        <v>147.23641666666666</v>
      </c>
      <c r="M60" s="35"/>
      <c r="N60" s="148"/>
      <c r="O60" s="139">
        <f t="shared" si="86"/>
        <v>27.9175</v>
      </c>
      <c r="P60" s="148">
        <v>45</v>
      </c>
      <c r="Q60" s="148">
        <v>35</v>
      </c>
      <c r="R60" s="148">
        <v>30</v>
      </c>
      <c r="S60" s="148"/>
      <c r="T60" s="35"/>
      <c r="U60" s="35"/>
      <c r="V60" s="35"/>
      <c r="W60" s="34">
        <f t="shared" ref="W60" si="113">SUM(C60:V60)</f>
        <v>1271.5722500000002</v>
      </c>
      <c r="X60" s="35" t="e">
        <f>+'CSD Resina Ush'!#REF!</f>
        <v>#REF!</v>
      </c>
      <c r="Y60" s="136" t="e">
        <f t="shared" ref="Y60" si="114">+X60+30</f>
        <v>#REF!</v>
      </c>
      <c r="AA60" s="24">
        <f t="shared" ref="AA60" si="115">B60</f>
        <v>46054</v>
      </c>
      <c r="AB60" s="144">
        <f>'CSD Resina Ush'!C61+30</f>
        <v>786.25</v>
      </c>
      <c r="AC60" s="267">
        <v>256.33333333333337</v>
      </c>
      <c r="AD60" s="124"/>
      <c r="AE60" s="145"/>
      <c r="AF60" s="35"/>
      <c r="AG60" s="125"/>
      <c r="AH60" s="147"/>
      <c r="AI60" s="123">
        <f t="shared" si="90"/>
        <v>124.86195833333333</v>
      </c>
      <c r="AJ60" s="25"/>
      <c r="AK60" s="35"/>
      <c r="AL60" s="25"/>
      <c r="AM60" s="148">
        <v>45</v>
      </c>
      <c r="AN60" s="148">
        <v>35</v>
      </c>
      <c r="AO60" s="148">
        <v>20</v>
      </c>
      <c r="AP60" s="148"/>
      <c r="AQ60" s="148"/>
      <c r="AR60" s="148"/>
      <c r="AS60" s="35"/>
      <c r="AT60" s="35"/>
      <c r="AU60" s="34">
        <f t="shared" ref="AU60" si="116">SUM(AB60:AS60)</f>
        <v>1267.4452916666669</v>
      </c>
    </row>
  </sheetData>
  <mergeCells count="2">
    <mergeCell ref="B1:W1"/>
    <mergeCell ref="AA1:AU1"/>
  </mergeCells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A3C6-1494-4829-B2FA-726B810E3EF8}">
  <sheetPr codeName="Hoja10"/>
  <dimension ref="A1:AK63"/>
  <sheetViews>
    <sheetView showGridLines="0" tabSelected="1" topLeftCell="E2" zoomScale="90" zoomScaleNormal="90" workbookViewId="0">
      <pane ySplit="11" topLeftCell="A56" activePane="bottomLeft" state="frozen"/>
      <selection activeCell="AC51" sqref="AC51"/>
      <selection pane="bottomLeft" activeCell="U62" sqref="U62"/>
    </sheetView>
  </sheetViews>
  <sheetFormatPr defaultColWidth="9.453125" defaultRowHeight="14.5" x14ac:dyDescent="0.35"/>
  <cols>
    <col min="1" max="1" width="8.453125" customWidth="1"/>
    <col min="2" max="2" width="15.7265625" customWidth="1"/>
    <col min="3" max="3" width="10.08984375" bestFit="1" customWidth="1"/>
    <col min="4" max="4" width="12.453125" bestFit="1" customWidth="1"/>
    <col min="5" max="5" width="7.453125" bestFit="1" customWidth="1"/>
    <col min="6" max="6" width="10.54296875" bestFit="1" customWidth="1"/>
    <col min="7" max="7" width="8" bestFit="1" customWidth="1"/>
    <col min="8" max="8" width="6.453125" bestFit="1" customWidth="1"/>
    <col min="9" max="9" width="12" bestFit="1" customWidth="1"/>
    <col min="10" max="10" width="16.453125" bestFit="1" customWidth="1"/>
    <col min="11" max="11" width="5.54296875" bestFit="1" customWidth="1"/>
    <col min="12" max="17" width="8.453125" customWidth="1"/>
    <col min="18" max="20" width="15" customWidth="1"/>
    <col min="21" max="21" width="14" customWidth="1"/>
    <col min="22" max="22" width="0.453125" customWidth="1"/>
    <col min="23" max="23" width="0.54296875" customWidth="1"/>
    <col min="24" max="32" width="8.453125" customWidth="1"/>
    <col min="33" max="35" width="17.54296875" customWidth="1"/>
    <col min="36" max="36" width="8.453125" customWidth="1"/>
  </cols>
  <sheetData>
    <row r="1" spans="2:37" x14ac:dyDescent="0.35">
      <c r="B1" s="26" t="s">
        <v>3415</v>
      </c>
      <c r="X1" s="26" t="s">
        <v>3416</v>
      </c>
    </row>
    <row r="2" spans="2:37" ht="36" x14ac:dyDescent="0.35">
      <c r="B2" s="21" t="s">
        <v>3384</v>
      </c>
      <c r="C2" s="22" t="s">
        <v>3385</v>
      </c>
      <c r="D2" s="22" t="s">
        <v>3408</v>
      </c>
      <c r="E2" s="22" t="s">
        <v>3387</v>
      </c>
      <c r="F2" s="23" t="s">
        <v>3388</v>
      </c>
      <c r="G2" s="22" t="s">
        <v>3389</v>
      </c>
      <c r="H2" s="23" t="s">
        <v>3390</v>
      </c>
      <c r="I2" s="22" t="s">
        <v>3391</v>
      </c>
      <c r="J2" s="23" t="s">
        <v>4532</v>
      </c>
      <c r="K2" s="22" t="s">
        <v>3395</v>
      </c>
      <c r="L2" s="22" t="s">
        <v>3410</v>
      </c>
      <c r="M2" s="22" t="s">
        <v>3397</v>
      </c>
      <c r="N2" s="22" t="s">
        <v>3398</v>
      </c>
      <c r="O2" s="22" t="s">
        <v>3399</v>
      </c>
      <c r="P2" s="22" t="s">
        <v>3400</v>
      </c>
      <c r="Q2" s="22" t="s">
        <v>3401</v>
      </c>
      <c r="R2" s="22" t="s">
        <v>3402</v>
      </c>
      <c r="S2" s="22" t="s">
        <v>3403</v>
      </c>
      <c r="T2" s="22" t="s">
        <v>3411</v>
      </c>
      <c r="U2" s="22" t="s">
        <v>3417</v>
      </c>
      <c r="X2" s="21" t="s">
        <v>3384</v>
      </c>
      <c r="Y2" s="22" t="s">
        <v>3385</v>
      </c>
      <c r="Z2" s="22" t="s">
        <v>3386</v>
      </c>
      <c r="AA2" s="23" t="s">
        <v>3388</v>
      </c>
      <c r="AB2" s="22" t="s">
        <v>3389</v>
      </c>
      <c r="AC2" s="23" t="s">
        <v>3390</v>
      </c>
      <c r="AD2" s="22" t="s">
        <v>3391</v>
      </c>
      <c r="AE2" s="22" t="s">
        <v>3395</v>
      </c>
      <c r="AF2" s="22" t="s">
        <v>3418</v>
      </c>
      <c r="AG2" s="22" t="s">
        <v>3402</v>
      </c>
      <c r="AH2" s="22" t="s">
        <v>3403</v>
      </c>
      <c r="AI2" s="22" t="s">
        <v>3419</v>
      </c>
      <c r="AJ2" s="22" t="s">
        <v>3417</v>
      </c>
    </row>
    <row r="3" spans="2:37" x14ac:dyDescent="0.35">
      <c r="B3" s="24">
        <v>44440</v>
      </c>
      <c r="C3" s="122">
        <v>959.5</v>
      </c>
      <c r="D3" s="123">
        <v>426</v>
      </c>
      <c r="E3" s="124">
        <v>-72</v>
      </c>
      <c r="F3" s="125">
        <v>2.3960000000000001E-3</v>
      </c>
      <c r="G3" s="25">
        <f t="shared" ref="G3:G30" si="0">IFERROR((C3+D3)*(F3+2%)*(180/365),"")</f>
        <v>15.30229709589041</v>
      </c>
      <c r="H3" s="125">
        <v>0.12139999999999999</v>
      </c>
      <c r="I3" s="25">
        <f t="shared" ref="I3:I11" si="1">+H3*C3</f>
        <v>116.4833</v>
      </c>
      <c r="J3" s="125"/>
      <c r="K3" s="25">
        <f t="shared" ref="K3:K30" si="2">IFERROR(79.04,"")</f>
        <v>79.040000000000006</v>
      </c>
      <c r="L3" s="35">
        <f t="shared" ref="L3:L30" si="3">IFERROR(-IF(C3&gt;1000,C3*3%,30),"")</f>
        <v>-30</v>
      </c>
      <c r="M3" s="35"/>
      <c r="N3" s="35"/>
      <c r="O3" s="35"/>
      <c r="P3" s="35"/>
      <c r="Q3" s="35"/>
      <c r="R3" s="35"/>
      <c r="S3" s="35"/>
      <c r="T3" s="35"/>
      <c r="U3" s="126">
        <f t="shared" ref="U3:U11" si="4">SUM(C3,D3,G3,I3,K3,L3,E3,R3)</f>
        <v>1494.3255970958905</v>
      </c>
      <c r="X3" s="127">
        <f t="shared" ref="X3:X30" si="5">+B3</f>
        <v>44440</v>
      </c>
      <c r="Y3" s="128">
        <f t="shared" ref="Y3:Y30" si="6">+C3</f>
        <v>959.5</v>
      </c>
      <c r="Z3" s="129">
        <f t="shared" ref="Z3:Z30" si="7">+D3</f>
        <v>426</v>
      </c>
      <c r="AA3" s="130">
        <f t="shared" ref="AA3:AA30" si="8">+F3</f>
        <v>2.3960000000000001E-3</v>
      </c>
      <c r="AB3" s="131">
        <f t="shared" ref="AB3:AB30" si="9">IFERROR((Y3+Z3)*(AA3+2%)*(180/365),"")</f>
        <v>15.30229709589041</v>
      </c>
      <c r="AC3" s="130">
        <v>0.12139999999999999</v>
      </c>
      <c r="AD3" s="131">
        <f t="shared" ref="AD3:AD30" si="10">+AC3*Y3</f>
        <v>116.4833</v>
      </c>
      <c r="AE3" s="131">
        <f t="shared" ref="AE3:AE30" si="11">IFERROR(79.04,"")</f>
        <v>79.040000000000006</v>
      </c>
      <c r="AF3" s="132">
        <v>13</v>
      </c>
      <c r="AG3" s="132"/>
      <c r="AH3" s="132"/>
      <c r="AI3" s="132"/>
      <c r="AJ3" s="133">
        <f t="shared" ref="AJ3:AJ13" si="12">SUM(Y3,Z3,AB3,AD3,AE3,AF3,AG3)</f>
        <v>1609.3255970958905</v>
      </c>
    </row>
    <row r="4" spans="2:37" x14ac:dyDescent="0.35">
      <c r="B4" s="24">
        <v>44470</v>
      </c>
      <c r="C4" s="122">
        <v>966.25</v>
      </c>
      <c r="D4" s="123">
        <v>426</v>
      </c>
      <c r="E4" s="124">
        <v>-72</v>
      </c>
      <c r="F4" s="125">
        <v>2.3960000000000001E-3</v>
      </c>
      <c r="G4" s="25">
        <f t="shared" si="0"/>
        <v>15.37684816438356</v>
      </c>
      <c r="H4" s="125">
        <v>0.12139999999999999</v>
      </c>
      <c r="I4" s="25">
        <f t="shared" si="1"/>
        <v>117.30274999999999</v>
      </c>
      <c r="J4" s="125"/>
      <c r="K4" s="25">
        <f t="shared" si="2"/>
        <v>79.040000000000006</v>
      </c>
      <c r="L4" s="35">
        <f t="shared" si="3"/>
        <v>-30</v>
      </c>
      <c r="M4" s="35"/>
      <c r="N4" s="35"/>
      <c r="O4" s="35"/>
      <c r="P4" s="35"/>
      <c r="Q4" s="35"/>
      <c r="R4" s="35"/>
      <c r="S4" s="35"/>
      <c r="T4" s="35"/>
      <c r="U4" s="126">
        <f t="shared" si="4"/>
        <v>1501.9695981643836</v>
      </c>
      <c r="X4" s="127">
        <f t="shared" si="5"/>
        <v>44470</v>
      </c>
      <c r="Y4" s="128">
        <f t="shared" si="6"/>
        <v>966.25</v>
      </c>
      <c r="Z4" s="129">
        <f t="shared" si="7"/>
        <v>426</v>
      </c>
      <c r="AA4" s="130">
        <f t="shared" si="8"/>
        <v>2.3960000000000001E-3</v>
      </c>
      <c r="AB4" s="131">
        <f t="shared" si="9"/>
        <v>15.37684816438356</v>
      </c>
      <c r="AC4" s="130">
        <v>0.12139999999999999</v>
      </c>
      <c r="AD4" s="131">
        <f t="shared" si="10"/>
        <v>117.30274999999999</v>
      </c>
      <c r="AE4" s="131">
        <f t="shared" si="11"/>
        <v>79.040000000000006</v>
      </c>
      <c r="AF4" s="132">
        <v>13</v>
      </c>
      <c r="AG4" s="132"/>
      <c r="AH4" s="132"/>
      <c r="AI4" s="132"/>
      <c r="AJ4" s="133">
        <f t="shared" si="12"/>
        <v>1616.9695981643836</v>
      </c>
    </row>
    <row r="5" spans="2:37" x14ac:dyDescent="0.35">
      <c r="B5" s="24">
        <v>44501</v>
      </c>
      <c r="C5" s="122">
        <v>953</v>
      </c>
      <c r="D5" s="123">
        <v>426</v>
      </c>
      <c r="E5" s="124">
        <v>-72</v>
      </c>
      <c r="F5" s="125">
        <v>2.2790000000000002E-3</v>
      </c>
      <c r="G5" s="25">
        <f t="shared" si="0"/>
        <v>15.150940767123286</v>
      </c>
      <c r="H5" s="125">
        <v>0.12139999999999999</v>
      </c>
      <c r="I5" s="25">
        <f t="shared" si="1"/>
        <v>115.6942</v>
      </c>
      <c r="J5" s="125"/>
      <c r="K5" s="25">
        <f t="shared" si="2"/>
        <v>79.040000000000006</v>
      </c>
      <c r="L5" s="35">
        <f t="shared" si="3"/>
        <v>-30</v>
      </c>
      <c r="M5" s="35"/>
      <c r="N5" s="35"/>
      <c r="O5" s="35"/>
      <c r="P5" s="35"/>
      <c r="Q5" s="35"/>
      <c r="R5" s="35"/>
      <c r="S5" s="35"/>
      <c r="T5" s="35"/>
      <c r="U5" s="126">
        <f t="shared" si="4"/>
        <v>1486.8851407671232</v>
      </c>
      <c r="X5" s="127">
        <f t="shared" si="5"/>
        <v>44501</v>
      </c>
      <c r="Y5" s="128">
        <f t="shared" si="6"/>
        <v>953</v>
      </c>
      <c r="Z5" s="129">
        <f t="shared" si="7"/>
        <v>426</v>
      </c>
      <c r="AA5" s="130">
        <f t="shared" si="8"/>
        <v>2.2790000000000002E-3</v>
      </c>
      <c r="AB5" s="131">
        <f t="shared" si="9"/>
        <v>15.150940767123286</v>
      </c>
      <c r="AC5" s="130">
        <v>0.12139999999999999</v>
      </c>
      <c r="AD5" s="131">
        <f t="shared" si="10"/>
        <v>115.6942</v>
      </c>
      <c r="AE5" s="131">
        <f t="shared" si="11"/>
        <v>79.040000000000006</v>
      </c>
      <c r="AF5" s="132">
        <v>13</v>
      </c>
      <c r="AG5" s="132"/>
      <c r="AH5" s="132"/>
      <c r="AI5" s="132"/>
      <c r="AJ5" s="133">
        <f t="shared" si="12"/>
        <v>1601.8851407671232</v>
      </c>
    </row>
    <row r="6" spans="2:37" x14ac:dyDescent="0.35">
      <c r="B6" s="24">
        <v>44531</v>
      </c>
      <c r="C6" s="122">
        <v>1111.8800000000001</v>
      </c>
      <c r="D6" s="123">
        <v>426</v>
      </c>
      <c r="E6" s="124">
        <v>-72</v>
      </c>
      <c r="F6" s="125">
        <v>3.6725E-3</v>
      </c>
      <c r="G6" s="25">
        <f t="shared" si="0"/>
        <v>17.953379654794517</v>
      </c>
      <c r="H6" s="125">
        <v>0.12139999999999999</v>
      </c>
      <c r="I6" s="25">
        <f t="shared" si="1"/>
        <v>134.98223200000001</v>
      </c>
      <c r="J6" s="125"/>
      <c r="K6" s="25">
        <f t="shared" si="2"/>
        <v>79.040000000000006</v>
      </c>
      <c r="L6" s="35">
        <f t="shared" si="3"/>
        <v>-33.356400000000001</v>
      </c>
      <c r="M6" s="35"/>
      <c r="N6" s="35"/>
      <c r="O6" s="35"/>
      <c r="P6" s="35"/>
      <c r="Q6" s="35"/>
      <c r="R6" s="35"/>
      <c r="S6" s="35"/>
      <c r="T6" s="35"/>
      <c r="U6" s="126">
        <f>SUM(C6,D6,G6,I6,K6,L6,E6,R6)</f>
        <v>1664.4992116547949</v>
      </c>
      <c r="X6" s="127">
        <f t="shared" si="5"/>
        <v>44531</v>
      </c>
      <c r="Y6" s="128">
        <f t="shared" si="6"/>
        <v>1111.8800000000001</v>
      </c>
      <c r="Z6" s="129">
        <f t="shared" si="7"/>
        <v>426</v>
      </c>
      <c r="AA6" s="130">
        <f t="shared" si="8"/>
        <v>3.6725E-3</v>
      </c>
      <c r="AB6" s="131">
        <f t="shared" si="9"/>
        <v>17.953379654794517</v>
      </c>
      <c r="AC6" s="130">
        <v>0.12139999999999999</v>
      </c>
      <c r="AD6" s="131">
        <f t="shared" si="10"/>
        <v>134.98223200000001</v>
      </c>
      <c r="AE6" s="131">
        <f t="shared" si="11"/>
        <v>79.040000000000006</v>
      </c>
      <c r="AF6" s="132">
        <v>13</v>
      </c>
      <c r="AG6" s="132"/>
      <c r="AH6" s="132"/>
      <c r="AI6" s="132"/>
      <c r="AJ6" s="133">
        <f t="shared" si="12"/>
        <v>1782.8556116547948</v>
      </c>
    </row>
    <row r="7" spans="2:37" x14ac:dyDescent="0.35">
      <c r="B7" s="24">
        <v>44562</v>
      </c>
      <c r="C7" s="122">
        <v>1124.3800000000001</v>
      </c>
      <c r="D7" s="123">
        <v>426</v>
      </c>
      <c r="E7" s="124">
        <v>-72</v>
      </c>
      <c r="F7" s="125">
        <v>3.8238E-3</v>
      </c>
      <c r="G7" s="25">
        <f t="shared" si="0"/>
        <v>18.214985610739724</v>
      </c>
      <c r="H7" s="125">
        <v>0.12139999999999999</v>
      </c>
      <c r="I7" s="25">
        <f t="shared" si="1"/>
        <v>136.49973199999999</v>
      </c>
      <c r="J7" s="125"/>
      <c r="K7" s="25">
        <f t="shared" si="2"/>
        <v>79.040000000000006</v>
      </c>
      <c r="L7" s="35">
        <f t="shared" si="3"/>
        <v>-33.731400000000001</v>
      </c>
      <c r="M7" s="35"/>
      <c r="N7" s="35"/>
      <c r="O7" s="35"/>
      <c r="P7" s="35"/>
      <c r="Q7" s="35"/>
      <c r="R7" s="35"/>
      <c r="S7" s="35"/>
      <c r="T7" s="35"/>
      <c r="U7" s="126">
        <f t="shared" si="4"/>
        <v>1678.4033176107398</v>
      </c>
      <c r="X7" s="127">
        <f t="shared" si="5"/>
        <v>44562</v>
      </c>
      <c r="Y7" s="128">
        <f t="shared" si="6"/>
        <v>1124.3800000000001</v>
      </c>
      <c r="Z7" s="129">
        <f t="shared" si="7"/>
        <v>426</v>
      </c>
      <c r="AA7" s="130">
        <f t="shared" si="8"/>
        <v>3.8238E-3</v>
      </c>
      <c r="AB7" s="131">
        <f t="shared" si="9"/>
        <v>18.214985610739724</v>
      </c>
      <c r="AC7" s="130">
        <v>0.12139999999999999</v>
      </c>
      <c r="AD7" s="131">
        <f t="shared" si="10"/>
        <v>136.49973199999999</v>
      </c>
      <c r="AE7" s="131">
        <f t="shared" si="11"/>
        <v>79.040000000000006</v>
      </c>
      <c r="AF7" s="132">
        <v>13</v>
      </c>
      <c r="AG7" s="132"/>
      <c r="AH7" s="132"/>
      <c r="AI7" s="132"/>
      <c r="AJ7" s="133">
        <f t="shared" si="12"/>
        <v>1797.1347176107397</v>
      </c>
    </row>
    <row r="8" spans="2:37" x14ac:dyDescent="0.35">
      <c r="B8" s="24">
        <v>44593</v>
      </c>
      <c r="C8" s="122">
        <v>1026.5</v>
      </c>
      <c r="D8" s="123">
        <v>426</v>
      </c>
      <c r="E8" s="124">
        <v>-72</v>
      </c>
      <c r="F8" s="125">
        <v>3.8238E-3</v>
      </c>
      <c r="G8" s="25">
        <f t="shared" si="0"/>
        <v>17.065020575342466</v>
      </c>
      <c r="H8" s="125">
        <v>0.12139999999999999</v>
      </c>
      <c r="I8" s="25">
        <f t="shared" si="1"/>
        <v>124.61709999999999</v>
      </c>
      <c r="J8" s="125"/>
      <c r="K8" s="25">
        <f t="shared" si="2"/>
        <v>79.040000000000006</v>
      </c>
      <c r="L8" s="35">
        <f t="shared" si="3"/>
        <v>-30.794999999999998</v>
      </c>
      <c r="M8" s="35"/>
      <c r="N8" s="35"/>
      <c r="O8" s="35"/>
      <c r="P8" s="35"/>
      <c r="Q8" s="35"/>
      <c r="R8" s="35"/>
      <c r="S8" s="35"/>
      <c r="T8" s="35"/>
      <c r="U8" s="126">
        <f t="shared" si="4"/>
        <v>1570.4271205753423</v>
      </c>
      <c r="X8" s="127">
        <f t="shared" si="5"/>
        <v>44593</v>
      </c>
      <c r="Y8" s="128">
        <f t="shared" si="6"/>
        <v>1026.5</v>
      </c>
      <c r="Z8" s="129">
        <f t="shared" si="7"/>
        <v>426</v>
      </c>
      <c r="AA8" s="130">
        <f t="shared" si="8"/>
        <v>3.8238E-3</v>
      </c>
      <c r="AB8" s="131">
        <f t="shared" si="9"/>
        <v>17.065020575342466</v>
      </c>
      <c r="AC8" s="130">
        <v>0.12139999999999999</v>
      </c>
      <c r="AD8" s="131">
        <f t="shared" si="10"/>
        <v>124.61709999999999</v>
      </c>
      <c r="AE8" s="131">
        <f t="shared" si="11"/>
        <v>79.040000000000006</v>
      </c>
      <c r="AF8" s="132">
        <v>13</v>
      </c>
      <c r="AG8" s="132"/>
      <c r="AH8" s="132"/>
      <c r="AI8" s="132"/>
      <c r="AJ8" s="133">
        <f t="shared" si="12"/>
        <v>1686.2221205753424</v>
      </c>
    </row>
    <row r="9" spans="2:37" x14ac:dyDescent="0.35">
      <c r="B9" s="24">
        <v>44621</v>
      </c>
      <c r="C9" s="122">
        <v>1076.25</v>
      </c>
      <c r="D9" s="123">
        <v>528</v>
      </c>
      <c r="E9" s="124">
        <v>-72</v>
      </c>
      <c r="F9" s="125">
        <v>9.6229999999999996E-3</v>
      </c>
      <c r="G9" s="25">
        <f t="shared" si="0"/>
        <v>23.435850945205477</v>
      </c>
      <c r="H9" s="125">
        <v>0.12139999999999999</v>
      </c>
      <c r="I9" s="25">
        <f t="shared" si="1"/>
        <v>130.65674999999999</v>
      </c>
      <c r="J9" s="125"/>
      <c r="K9" s="25">
        <f t="shared" si="2"/>
        <v>79.040000000000006</v>
      </c>
      <c r="L9" s="35">
        <f t="shared" si="3"/>
        <v>-32.287500000000001</v>
      </c>
      <c r="M9" s="35"/>
      <c r="N9" s="35"/>
      <c r="O9" s="35"/>
      <c r="P9" s="35"/>
      <c r="Q9" s="35"/>
      <c r="R9" s="35"/>
      <c r="S9" s="35"/>
      <c r="T9" s="35"/>
      <c r="U9" s="126">
        <f t="shared" si="4"/>
        <v>1733.0951009452056</v>
      </c>
      <c r="X9" s="127">
        <f t="shared" si="5"/>
        <v>44621</v>
      </c>
      <c r="Y9" s="128">
        <f t="shared" si="6"/>
        <v>1076.25</v>
      </c>
      <c r="Z9" s="129">
        <f t="shared" si="7"/>
        <v>528</v>
      </c>
      <c r="AA9" s="130">
        <f t="shared" si="8"/>
        <v>9.6229999999999996E-3</v>
      </c>
      <c r="AB9" s="131">
        <f t="shared" si="9"/>
        <v>23.435850945205477</v>
      </c>
      <c r="AC9" s="130">
        <v>0.12139999999999999</v>
      </c>
      <c r="AD9" s="131">
        <f t="shared" si="10"/>
        <v>130.65674999999999</v>
      </c>
      <c r="AE9" s="131">
        <f t="shared" si="11"/>
        <v>79.040000000000006</v>
      </c>
      <c r="AF9" s="132">
        <v>13</v>
      </c>
      <c r="AG9" s="132"/>
      <c r="AH9" s="132"/>
      <c r="AI9" s="132"/>
      <c r="AJ9" s="133">
        <f t="shared" si="12"/>
        <v>1850.3826009452055</v>
      </c>
    </row>
    <row r="10" spans="2:37" x14ac:dyDescent="0.35">
      <c r="B10" s="24">
        <v>44652</v>
      </c>
      <c r="C10" s="122">
        <v>1138</v>
      </c>
      <c r="D10" s="124">
        <v>528</v>
      </c>
      <c r="E10" s="124">
        <v>-30</v>
      </c>
      <c r="F10" s="125">
        <v>1.2862999999999999E-2</v>
      </c>
      <c r="G10" s="25">
        <f t="shared" si="0"/>
        <v>26.999880657534248</v>
      </c>
      <c r="H10" s="125">
        <v>0.12139999999999999</v>
      </c>
      <c r="I10" s="25">
        <f t="shared" si="1"/>
        <v>138.1532</v>
      </c>
      <c r="J10" s="125"/>
      <c r="K10" s="25">
        <f t="shared" si="2"/>
        <v>79.040000000000006</v>
      </c>
      <c r="L10" s="35">
        <f t="shared" si="3"/>
        <v>-34.14</v>
      </c>
      <c r="M10" s="35"/>
      <c r="N10" s="35"/>
      <c r="O10" s="35"/>
      <c r="P10" s="35"/>
      <c r="Q10" s="35"/>
      <c r="R10" s="35"/>
      <c r="S10" s="35"/>
      <c r="T10" s="35"/>
      <c r="U10" s="126">
        <f t="shared" si="4"/>
        <v>1846.0530806575341</v>
      </c>
      <c r="X10" s="127">
        <f t="shared" si="5"/>
        <v>44652</v>
      </c>
      <c r="Y10" s="128">
        <f t="shared" si="6"/>
        <v>1138</v>
      </c>
      <c r="Z10" s="129">
        <f t="shared" si="7"/>
        <v>528</v>
      </c>
      <c r="AA10" s="130">
        <f t="shared" si="8"/>
        <v>1.2862999999999999E-2</v>
      </c>
      <c r="AB10" s="131">
        <f t="shared" si="9"/>
        <v>26.999880657534248</v>
      </c>
      <c r="AC10" s="130">
        <v>0.12139999999999999</v>
      </c>
      <c r="AD10" s="131">
        <f t="shared" si="10"/>
        <v>138.1532</v>
      </c>
      <c r="AE10" s="131">
        <f t="shared" si="11"/>
        <v>79.040000000000006</v>
      </c>
      <c r="AF10" s="132">
        <v>13</v>
      </c>
      <c r="AG10" s="132"/>
      <c r="AH10" s="132"/>
      <c r="AI10" s="132"/>
      <c r="AJ10" s="133">
        <f t="shared" si="12"/>
        <v>1923.1930806575342</v>
      </c>
    </row>
    <row r="11" spans="2:37" x14ac:dyDescent="0.35">
      <c r="B11" s="24">
        <v>44682</v>
      </c>
      <c r="C11" s="122">
        <v>1213</v>
      </c>
      <c r="D11" s="124">
        <v>528</v>
      </c>
      <c r="E11" s="124"/>
      <c r="F11" s="125">
        <v>2.1014000000000001E-2</v>
      </c>
      <c r="G11" s="25">
        <f t="shared" si="0"/>
        <v>35.213609095890412</v>
      </c>
      <c r="H11" s="125">
        <v>0.12139999999999999</v>
      </c>
      <c r="I11" s="25">
        <f t="shared" si="1"/>
        <v>147.25819999999999</v>
      </c>
      <c r="J11" s="125"/>
      <c r="K11" s="25">
        <f t="shared" si="2"/>
        <v>79.040000000000006</v>
      </c>
      <c r="L11" s="35">
        <f t="shared" si="3"/>
        <v>-36.39</v>
      </c>
      <c r="M11" s="35"/>
      <c r="N11" s="35"/>
      <c r="O11" s="35"/>
      <c r="P11" s="35"/>
      <c r="Q11" s="35"/>
      <c r="R11" s="35"/>
      <c r="S11" s="35"/>
      <c r="T11" s="35"/>
      <c r="U11" s="126">
        <f t="shared" si="4"/>
        <v>1966.1218090958903</v>
      </c>
      <c r="X11" s="127">
        <f t="shared" si="5"/>
        <v>44682</v>
      </c>
      <c r="Y11" s="128">
        <f t="shared" si="6"/>
        <v>1213</v>
      </c>
      <c r="Z11" s="129">
        <f t="shared" si="7"/>
        <v>528</v>
      </c>
      <c r="AA11" s="130">
        <f t="shared" si="8"/>
        <v>2.1014000000000001E-2</v>
      </c>
      <c r="AB11" s="131">
        <f t="shared" si="9"/>
        <v>35.213609095890412</v>
      </c>
      <c r="AC11" s="130">
        <v>0.12139999999999999</v>
      </c>
      <c r="AD11" s="131">
        <f t="shared" si="10"/>
        <v>147.25819999999999</v>
      </c>
      <c r="AE11" s="131">
        <f t="shared" si="11"/>
        <v>79.040000000000006</v>
      </c>
      <c r="AF11" s="132">
        <v>13</v>
      </c>
      <c r="AG11" s="132"/>
      <c r="AH11" s="132"/>
      <c r="AI11" s="132"/>
      <c r="AJ11" s="133">
        <f t="shared" si="12"/>
        <v>2015.5118090958904</v>
      </c>
    </row>
    <row r="12" spans="2:37" x14ac:dyDescent="0.35">
      <c r="B12" s="24">
        <v>44713</v>
      </c>
      <c r="C12" s="122">
        <v>1198.75</v>
      </c>
      <c r="D12" s="124">
        <v>528</v>
      </c>
      <c r="E12" s="124">
        <v>-30</v>
      </c>
      <c r="F12" s="125">
        <v>2.5491E-2</v>
      </c>
      <c r="G12" s="25">
        <f t="shared" si="0"/>
        <v>38.737767575342467</v>
      </c>
      <c r="H12" s="125">
        <v>0.12139999999999999</v>
      </c>
      <c r="I12" s="25">
        <f>+H12*C12</f>
        <v>145.52824999999999</v>
      </c>
      <c r="J12" s="125"/>
      <c r="K12" s="25">
        <f t="shared" si="2"/>
        <v>79.040000000000006</v>
      </c>
      <c r="L12" s="35">
        <f t="shared" si="3"/>
        <v>-35.962499999999999</v>
      </c>
      <c r="M12" s="35"/>
      <c r="N12" s="35"/>
      <c r="O12" s="35"/>
      <c r="P12" s="35"/>
      <c r="Q12" s="35"/>
      <c r="R12" s="35">
        <v>180</v>
      </c>
      <c r="S12" s="35"/>
      <c r="T12" s="35"/>
      <c r="U12" s="126">
        <f>SUM(C12,D12,G12,I12,K12,L12,E12,R12)</f>
        <v>2104.0935175753425</v>
      </c>
      <c r="X12" s="127">
        <f t="shared" si="5"/>
        <v>44713</v>
      </c>
      <c r="Y12" s="128">
        <f t="shared" si="6"/>
        <v>1198.75</v>
      </c>
      <c r="Z12" s="129">
        <f t="shared" si="7"/>
        <v>528</v>
      </c>
      <c r="AA12" s="130">
        <f t="shared" si="8"/>
        <v>2.5491E-2</v>
      </c>
      <c r="AB12" s="131">
        <f t="shared" si="9"/>
        <v>38.737767575342467</v>
      </c>
      <c r="AC12" s="130">
        <v>0.12139999999999999</v>
      </c>
      <c r="AD12" s="131">
        <f t="shared" si="10"/>
        <v>145.52824999999999</v>
      </c>
      <c r="AE12" s="131">
        <f t="shared" si="11"/>
        <v>79.040000000000006</v>
      </c>
      <c r="AF12" s="132">
        <v>13</v>
      </c>
      <c r="AG12" s="134">
        <f t="shared" ref="AG12:AG30" si="13">+R12</f>
        <v>180</v>
      </c>
      <c r="AH12" s="134"/>
      <c r="AI12" s="134"/>
      <c r="AJ12" s="133">
        <f t="shared" si="12"/>
        <v>2183.0560175753426</v>
      </c>
      <c r="AK12" s="135"/>
    </row>
    <row r="13" spans="2:37" x14ac:dyDescent="0.35">
      <c r="B13" s="24">
        <v>44743</v>
      </c>
      <c r="C13" s="122">
        <v>1216.25</v>
      </c>
      <c r="D13" s="124">
        <v>528</v>
      </c>
      <c r="E13" s="124">
        <v>-30</v>
      </c>
      <c r="F13" s="125">
        <v>2.5491E-2</v>
      </c>
      <c r="G13" s="25">
        <f t="shared" si="0"/>
        <v>39.130361136986302</v>
      </c>
      <c r="H13" s="125">
        <v>0.12139999999999999</v>
      </c>
      <c r="I13" s="25">
        <f t="shared" ref="I13:I30" si="14">+H13*C13</f>
        <v>147.65275</v>
      </c>
      <c r="J13" s="125"/>
      <c r="K13" s="25">
        <f t="shared" si="2"/>
        <v>79.040000000000006</v>
      </c>
      <c r="L13" s="35">
        <f t="shared" si="3"/>
        <v>-36.487499999999997</v>
      </c>
      <c r="M13" s="35"/>
      <c r="N13" s="35"/>
      <c r="O13" s="35"/>
      <c r="P13" s="35"/>
      <c r="Q13" s="35"/>
      <c r="R13" s="35">
        <v>211</v>
      </c>
      <c r="S13" s="35"/>
      <c r="T13" s="35"/>
      <c r="U13" s="126">
        <f>SUM(C13,D13,G13,I13,K13,L13,E13,R13)</f>
        <v>2154.5856111369862</v>
      </c>
      <c r="X13" s="127">
        <f t="shared" si="5"/>
        <v>44743</v>
      </c>
      <c r="Y13" s="128">
        <f t="shared" si="6"/>
        <v>1216.25</v>
      </c>
      <c r="Z13" s="129">
        <f t="shared" si="7"/>
        <v>528</v>
      </c>
      <c r="AA13" s="130">
        <f t="shared" si="8"/>
        <v>2.5491E-2</v>
      </c>
      <c r="AB13" s="131">
        <f t="shared" si="9"/>
        <v>39.130361136986302</v>
      </c>
      <c r="AC13" s="130">
        <v>0.12139999999999999</v>
      </c>
      <c r="AD13" s="131">
        <f t="shared" si="10"/>
        <v>147.65275</v>
      </c>
      <c r="AE13" s="131">
        <f t="shared" si="11"/>
        <v>79.040000000000006</v>
      </c>
      <c r="AF13" s="132">
        <v>13</v>
      </c>
      <c r="AG13" s="134">
        <f t="shared" si="13"/>
        <v>211</v>
      </c>
      <c r="AH13" s="134"/>
      <c r="AI13" s="134"/>
      <c r="AJ13" s="133">
        <f t="shared" si="12"/>
        <v>2234.073111136986</v>
      </c>
      <c r="AK13" s="135"/>
    </row>
    <row r="14" spans="2:37" x14ac:dyDescent="0.35">
      <c r="B14" s="24">
        <v>44774</v>
      </c>
      <c r="C14" s="122">
        <v>1235</v>
      </c>
      <c r="D14" s="124">
        <v>528</v>
      </c>
      <c r="E14" s="124"/>
      <c r="F14" s="125">
        <v>2.5491E-2</v>
      </c>
      <c r="G14" s="25">
        <f t="shared" si="0"/>
        <v>39.550997095890416</v>
      </c>
      <c r="H14" s="125">
        <v>0.12139999999999999</v>
      </c>
      <c r="I14" s="25">
        <f t="shared" si="14"/>
        <v>149.929</v>
      </c>
      <c r="J14" s="125"/>
      <c r="K14" s="25">
        <f t="shared" si="2"/>
        <v>79.040000000000006</v>
      </c>
      <c r="L14" s="35">
        <f t="shared" si="3"/>
        <v>-37.049999999999997</v>
      </c>
      <c r="M14" s="35"/>
      <c r="N14" s="35"/>
      <c r="O14" s="35"/>
      <c r="P14" s="35"/>
      <c r="Q14" s="35"/>
      <c r="R14" s="35">
        <v>318</v>
      </c>
      <c r="S14" s="35">
        <v>-159</v>
      </c>
      <c r="T14" s="35"/>
      <c r="U14" s="126">
        <f>SUM(C14,D14,G14,I14,K14,L14,E14,R14+S14)</f>
        <v>2153.4699970958904</v>
      </c>
      <c r="X14" s="127">
        <f t="shared" si="5"/>
        <v>44774</v>
      </c>
      <c r="Y14" s="128">
        <f t="shared" si="6"/>
        <v>1235</v>
      </c>
      <c r="Z14" s="129">
        <f t="shared" si="7"/>
        <v>528</v>
      </c>
      <c r="AA14" s="130">
        <f t="shared" si="8"/>
        <v>2.5491E-2</v>
      </c>
      <c r="AB14" s="131">
        <f t="shared" si="9"/>
        <v>39.550997095890416</v>
      </c>
      <c r="AC14" s="130">
        <v>0.12139999999999999</v>
      </c>
      <c r="AD14" s="131">
        <f t="shared" si="10"/>
        <v>149.929</v>
      </c>
      <c r="AE14" s="131">
        <f t="shared" si="11"/>
        <v>79.040000000000006</v>
      </c>
      <c r="AF14" s="132">
        <v>13</v>
      </c>
      <c r="AG14" s="134">
        <f t="shared" si="13"/>
        <v>318</v>
      </c>
      <c r="AH14" s="134">
        <v>-159</v>
      </c>
      <c r="AI14" s="134"/>
      <c r="AJ14" s="133">
        <f>SUM(Y14,Z14,AB14,AD14,AE14,AF14,AG14+AH14)</f>
        <v>2203.5199970958902</v>
      </c>
      <c r="AK14" s="135"/>
    </row>
    <row r="15" spans="2:37" x14ac:dyDescent="0.35">
      <c r="B15" s="24">
        <v>44805</v>
      </c>
      <c r="C15" s="122">
        <v>1125</v>
      </c>
      <c r="D15" s="124">
        <v>428</v>
      </c>
      <c r="E15" s="124"/>
      <c r="F15" s="125">
        <v>3.7072899999999999E-2</v>
      </c>
      <c r="G15" s="25">
        <f t="shared" si="0"/>
        <v>43.710023194520538</v>
      </c>
      <c r="H15" s="125">
        <v>0.12139999999999999</v>
      </c>
      <c r="I15" s="25">
        <f t="shared" si="14"/>
        <v>136.57499999999999</v>
      </c>
      <c r="J15" s="125"/>
      <c r="K15" s="25">
        <f t="shared" si="2"/>
        <v>79.040000000000006</v>
      </c>
      <c r="L15" s="35">
        <f t="shared" si="3"/>
        <v>-33.75</v>
      </c>
      <c r="M15" s="35"/>
      <c r="N15" s="35"/>
      <c r="O15" s="35"/>
      <c r="P15" s="35"/>
      <c r="Q15" s="35"/>
      <c r="R15" s="35">
        <v>320</v>
      </c>
      <c r="S15" s="35">
        <v>-161</v>
      </c>
      <c r="T15" s="35"/>
      <c r="U15" s="126">
        <f>SUM(C15,D15,G15,I15,K15,L15,E15,R15+S15)</f>
        <v>1937.5750231945206</v>
      </c>
      <c r="X15" s="127">
        <f t="shared" si="5"/>
        <v>44805</v>
      </c>
      <c r="Y15" s="128">
        <f t="shared" si="6"/>
        <v>1125</v>
      </c>
      <c r="Z15" s="129">
        <f t="shared" si="7"/>
        <v>428</v>
      </c>
      <c r="AA15" s="130">
        <f t="shared" si="8"/>
        <v>3.7072899999999999E-2</v>
      </c>
      <c r="AB15" s="131">
        <f t="shared" si="9"/>
        <v>43.710023194520538</v>
      </c>
      <c r="AC15" s="130">
        <v>0.12139999999999999</v>
      </c>
      <c r="AD15" s="131">
        <f t="shared" si="10"/>
        <v>136.57499999999999</v>
      </c>
      <c r="AE15" s="131">
        <f t="shared" si="11"/>
        <v>79.040000000000006</v>
      </c>
      <c r="AF15" s="132">
        <v>13</v>
      </c>
      <c r="AG15" s="134">
        <f t="shared" si="13"/>
        <v>320</v>
      </c>
      <c r="AH15" s="134">
        <v>-161</v>
      </c>
      <c r="AI15" s="134"/>
      <c r="AJ15" s="133">
        <f>SUM(Y15,Z15,AB15,AD15,AE15,AF15,AG15+AH15)</f>
        <v>1984.3250231945206</v>
      </c>
      <c r="AK15" s="135"/>
    </row>
    <row r="16" spans="2:37" x14ac:dyDescent="0.35">
      <c r="B16" s="24">
        <v>44835</v>
      </c>
      <c r="C16" s="122">
        <v>1096.25</v>
      </c>
      <c r="D16" s="124">
        <v>428</v>
      </c>
      <c r="E16" s="124"/>
      <c r="F16" s="125">
        <v>4.1598999999999997E-2</v>
      </c>
      <c r="G16" s="25">
        <f t="shared" si="0"/>
        <v>46.30304009589041</v>
      </c>
      <c r="H16" s="125">
        <v>0.12139999999999999</v>
      </c>
      <c r="I16" s="25">
        <f t="shared" si="14"/>
        <v>133.08474999999999</v>
      </c>
      <c r="J16" s="125"/>
      <c r="K16" s="25">
        <f t="shared" si="2"/>
        <v>79.040000000000006</v>
      </c>
      <c r="L16" s="35">
        <f t="shared" si="3"/>
        <v>-32.887499999999996</v>
      </c>
      <c r="M16" s="35"/>
      <c r="N16" s="35"/>
      <c r="O16" s="35"/>
      <c r="P16" s="35"/>
      <c r="Q16" s="35"/>
      <c r="R16" s="35"/>
      <c r="S16" s="35"/>
      <c r="T16" s="35"/>
      <c r="U16" s="126">
        <f t="shared" ref="U16:U26" si="15">SUM(C16,D16,G16,I16,K16,L16,E16,R16)</f>
        <v>1749.7902900958902</v>
      </c>
      <c r="X16" s="127">
        <f t="shared" si="5"/>
        <v>44835</v>
      </c>
      <c r="Y16" s="128">
        <f t="shared" si="6"/>
        <v>1096.25</v>
      </c>
      <c r="Z16" s="129">
        <f t="shared" si="7"/>
        <v>428</v>
      </c>
      <c r="AA16" s="130">
        <f t="shared" si="8"/>
        <v>4.1598999999999997E-2</v>
      </c>
      <c r="AB16" s="131">
        <f t="shared" si="9"/>
        <v>46.30304009589041</v>
      </c>
      <c r="AC16" s="130">
        <v>0.12139999999999999</v>
      </c>
      <c r="AD16" s="131">
        <f t="shared" si="10"/>
        <v>133.08474999999999</v>
      </c>
      <c r="AE16" s="131">
        <f t="shared" si="11"/>
        <v>79.040000000000006</v>
      </c>
      <c r="AF16" s="132">
        <v>13</v>
      </c>
      <c r="AG16" s="134">
        <f t="shared" si="13"/>
        <v>0</v>
      </c>
      <c r="AH16" s="134"/>
      <c r="AI16" s="134"/>
      <c r="AJ16" s="133">
        <f t="shared" ref="AJ16:AJ26" si="16">SUM(Y16,Z16,AB16,AD16,AE16,AF16,AG16)</f>
        <v>1795.6777900958903</v>
      </c>
      <c r="AK16" s="135"/>
    </row>
    <row r="17" spans="2:37" x14ac:dyDescent="0.35">
      <c r="B17" s="24">
        <v>44866</v>
      </c>
      <c r="C17" s="122">
        <v>1048</v>
      </c>
      <c r="D17" s="124">
        <v>428</v>
      </c>
      <c r="E17" s="124"/>
      <c r="F17" s="125">
        <v>4.1598999999999997E-2</v>
      </c>
      <c r="G17" s="25">
        <f t="shared" si="0"/>
        <v>44.837321424657532</v>
      </c>
      <c r="H17" s="125">
        <v>0.12139999999999999</v>
      </c>
      <c r="I17" s="25">
        <f t="shared" si="14"/>
        <v>127.2272</v>
      </c>
      <c r="J17" s="125"/>
      <c r="K17" s="25">
        <f t="shared" si="2"/>
        <v>79.040000000000006</v>
      </c>
      <c r="L17" s="35">
        <f t="shared" si="3"/>
        <v>-31.439999999999998</v>
      </c>
      <c r="M17" s="35"/>
      <c r="N17" s="35"/>
      <c r="O17" s="35"/>
      <c r="P17" s="35"/>
      <c r="Q17" s="35"/>
      <c r="R17" s="35"/>
      <c r="S17" s="35"/>
      <c r="T17" s="35"/>
      <c r="U17" s="126">
        <f t="shared" si="15"/>
        <v>1695.6645214246576</v>
      </c>
      <c r="X17" s="127">
        <f t="shared" si="5"/>
        <v>44866</v>
      </c>
      <c r="Y17" s="128">
        <f t="shared" si="6"/>
        <v>1048</v>
      </c>
      <c r="Z17" s="129">
        <f t="shared" si="7"/>
        <v>428</v>
      </c>
      <c r="AA17" s="130">
        <f t="shared" si="8"/>
        <v>4.1598999999999997E-2</v>
      </c>
      <c r="AB17" s="131">
        <f t="shared" si="9"/>
        <v>44.837321424657532</v>
      </c>
      <c r="AC17" s="130">
        <v>0.12139999999999999</v>
      </c>
      <c r="AD17" s="131">
        <f t="shared" si="10"/>
        <v>127.2272</v>
      </c>
      <c r="AE17" s="131">
        <f t="shared" si="11"/>
        <v>79.040000000000006</v>
      </c>
      <c r="AF17" s="132">
        <v>13</v>
      </c>
      <c r="AG17" s="134">
        <f t="shared" si="13"/>
        <v>0</v>
      </c>
      <c r="AH17" s="134"/>
      <c r="AI17" s="134"/>
      <c r="AJ17" s="133">
        <f t="shared" si="16"/>
        <v>1740.1045214246576</v>
      </c>
      <c r="AK17" s="135"/>
    </row>
    <row r="18" spans="2:37" x14ac:dyDescent="0.35">
      <c r="B18" s="24">
        <v>44896</v>
      </c>
      <c r="C18" s="122">
        <v>975.625</v>
      </c>
      <c r="D18" s="124">
        <v>428</v>
      </c>
      <c r="E18" s="124"/>
      <c r="F18" s="125">
        <v>5.4482900000000001E-2</v>
      </c>
      <c r="G18" s="25">
        <f t="shared" si="0"/>
        <v>51.556961348630139</v>
      </c>
      <c r="H18" s="125">
        <v>0.12139999999999999</v>
      </c>
      <c r="I18" s="25">
        <f t="shared" si="14"/>
        <v>118.44087499999999</v>
      </c>
      <c r="J18" s="125"/>
      <c r="K18" s="25">
        <f t="shared" si="2"/>
        <v>79.040000000000006</v>
      </c>
      <c r="L18" s="35">
        <f t="shared" si="3"/>
        <v>-30</v>
      </c>
      <c r="M18" s="35"/>
      <c r="N18" s="35"/>
      <c r="O18" s="35"/>
      <c r="P18" s="35"/>
      <c r="Q18" s="35"/>
      <c r="R18" s="35"/>
      <c r="S18" s="35"/>
      <c r="T18" s="35"/>
      <c r="U18" s="126">
        <f t="shared" si="15"/>
        <v>1622.6628363486302</v>
      </c>
      <c r="X18" s="127">
        <f t="shared" si="5"/>
        <v>44896</v>
      </c>
      <c r="Y18" s="128">
        <f t="shared" si="6"/>
        <v>975.625</v>
      </c>
      <c r="Z18" s="129">
        <f t="shared" si="7"/>
        <v>428</v>
      </c>
      <c r="AA18" s="130">
        <f t="shared" si="8"/>
        <v>5.4482900000000001E-2</v>
      </c>
      <c r="AB18" s="131">
        <f t="shared" si="9"/>
        <v>51.556961348630139</v>
      </c>
      <c r="AC18" s="130">
        <v>0.12139999999999999</v>
      </c>
      <c r="AD18" s="131">
        <f t="shared" si="10"/>
        <v>118.44087499999999</v>
      </c>
      <c r="AE18" s="131">
        <f t="shared" si="11"/>
        <v>79.040000000000006</v>
      </c>
      <c r="AF18" s="132">
        <v>13</v>
      </c>
      <c r="AG18" s="134">
        <f t="shared" si="13"/>
        <v>0</v>
      </c>
      <c r="AH18" s="134"/>
      <c r="AI18" s="134"/>
      <c r="AJ18" s="133">
        <f t="shared" si="16"/>
        <v>1665.6628363486302</v>
      </c>
      <c r="AK18" s="135"/>
    </row>
    <row r="19" spans="2:37" x14ac:dyDescent="0.35">
      <c r="B19" s="24">
        <v>44927</v>
      </c>
      <c r="C19" s="122">
        <v>897.5</v>
      </c>
      <c r="D19" s="124">
        <v>428</v>
      </c>
      <c r="E19" s="124"/>
      <c r="F19" s="125">
        <v>5.4482900000000001E-2</v>
      </c>
      <c r="G19" s="25">
        <f t="shared" si="0"/>
        <v>48.687329071232881</v>
      </c>
      <c r="H19" s="125">
        <v>0.12139999999999999</v>
      </c>
      <c r="I19" s="25">
        <f t="shared" si="14"/>
        <v>108.95649999999999</v>
      </c>
      <c r="J19" s="125"/>
      <c r="K19" s="25">
        <f t="shared" si="2"/>
        <v>79.040000000000006</v>
      </c>
      <c r="L19" s="35">
        <f t="shared" si="3"/>
        <v>-30</v>
      </c>
      <c r="M19" s="35"/>
      <c r="N19" s="35"/>
      <c r="O19" s="35"/>
      <c r="P19" s="35"/>
      <c r="Q19" s="35"/>
      <c r="R19" s="35"/>
      <c r="S19" s="35"/>
      <c r="T19" s="35"/>
      <c r="U19" s="126">
        <f t="shared" si="15"/>
        <v>1532.1838290712328</v>
      </c>
      <c r="X19" s="127">
        <f t="shared" si="5"/>
        <v>44927</v>
      </c>
      <c r="Y19" s="128">
        <f t="shared" si="6"/>
        <v>897.5</v>
      </c>
      <c r="Z19" s="129">
        <f t="shared" si="7"/>
        <v>428</v>
      </c>
      <c r="AA19" s="130">
        <f t="shared" si="8"/>
        <v>5.4482900000000001E-2</v>
      </c>
      <c r="AB19" s="131">
        <f t="shared" si="9"/>
        <v>48.687329071232881</v>
      </c>
      <c r="AC19" s="130">
        <v>0.12139999999999999</v>
      </c>
      <c r="AD19" s="131">
        <f t="shared" si="10"/>
        <v>108.95649999999999</v>
      </c>
      <c r="AE19" s="131">
        <f t="shared" si="11"/>
        <v>79.040000000000006</v>
      </c>
      <c r="AF19" s="132">
        <v>13</v>
      </c>
      <c r="AG19" s="134">
        <f t="shared" si="13"/>
        <v>0</v>
      </c>
      <c r="AH19" s="134"/>
      <c r="AI19" s="134"/>
      <c r="AJ19" s="133">
        <f t="shared" si="16"/>
        <v>1575.1838290712328</v>
      </c>
      <c r="AK19" s="135"/>
    </row>
    <row r="20" spans="2:37" x14ac:dyDescent="0.35">
      <c r="B20" s="24">
        <v>44958</v>
      </c>
      <c r="C20" s="122">
        <v>890</v>
      </c>
      <c r="D20" s="124">
        <v>428</v>
      </c>
      <c r="E20" s="124"/>
      <c r="F20" s="125">
        <v>4.5874499999999999E-2</v>
      </c>
      <c r="G20" s="25">
        <f t="shared" si="0"/>
        <v>42.816620219178084</v>
      </c>
      <c r="H20" s="125">
        <v>0.12139999999999999</v>
      </c>
      <c r="I20" s="25">
        <f t="shared" si="14"/>
        <v>108.04599999999999</v>
      </c>
      <c r="J20" s="125"/>
      <c r="K20" s="25">
        <f t="shared" si="2"/>
        <v>79.040000000000006</v>
      </c>
      <c r="L20" s="35">
        <f t="shared" si="3"/>
        <v>-30</v>
      </c>
      <c r="M20" s="35"/>
      <c r="N20" s="35"/>
      <c r="O20" s="35"/>
      <c r="P20" s="35"/>
      <c r="Q20" s="35"/>
      <c r="R20" s="35"/>
      <c r="S20" s="35"/>
      <c r="T20" s="35"/>
      <c r="U20" s="136">
        <f t="shared" si="15"/>
        <v>1517.9026202191781</v>
      </c>
      <c r="X20" s="127">
        <f t="shared" si="5"/>
        <v>44958</v>
      </c>
      <c r="Y20" s="128">
        <f t="shared" si="6"/>
        <v>890</v>
      </c>
      <c r="Z20" s="129">
        <f t="shared" si="7"/>
        <v>428</v>
      </c>
      <c r="AA20" s="130">
        <f t="shared" si="8"/>
        <v>4.5874499999999999E-2</v>
      </c>
      <c r="AB20" s="131">
        <f t="shared" si="9"/>
        <v>42.816620219178084</v>
      </c>
      <c r="AC20" s="130">
        <v>0.12139999999999999</v>
      </c>
      <c r="AD20" s="131">
        <f t="shared" si="10"/>
        <v>108.04599999999999</v>
      </c>
      <c r="AE20" s="131">
        <f t="shared" si="11"/>
        <v>79.040000000000006</v>
      </c>
      <c r="AF20" s="132">
        <v>13</v>
      </c>
      <c r="AG20" s="134">
        <f t="shared" si="13"/>
        <v>0</v>
      </c>
      <c r="AH20" s="134"/>
      <c r="AI20" s="134"/>
      <c r="AJ20" s="133">
        <f t="shared" si="16"/>
        <v>1560.9026202191781</v>
      </c>
      <c r="AK20" s="135"/>
    </row>
    <row r="21" spans="2:37" x14ac:dyDescent="0.35">
      <c r="B21" s="24">
        <v>44986</v>
      </c>
      <c r="C21" s="122">
        <v>941.88</v>
      </c>
      <c r="D21" s="124">
        <v>347</v>
      </c>
      <c r="E21" s="124"/>
      <c r="F21" s="125">
        <v>4.6854899999999998E-2</v>
      </c>
      <c r="G21" s="25">
        <f t="shared" si="0"/>
        <v>42.493780362082184</v>
      </c>
      <c r="H21" s="125">
        <v>0.12139999999999999</v>
      </c>
      <c r="I21" s="25">
        <f t="shared" si="14"/>
        <v>114.34423199999999</v>
      </c>
      <c r="J21" s="125"/>
      <c r="K21" s="25">
        <f t="shared" si="2"/>
        <v>79.040000000000006</v>
      </c>
      <c r="L21" s="35">
        <f t="shared" si="3"/>
        <v>-30</v>
      </c>
      <c r="M21" s="35"/>
      <c r="N21" s="35"/>
      <c r="O21" s="35"/>
      <c r="P21" s="35"/>
      <c r="Q21" s="35"/>
      <c r="R21" s="35"/>
      <c r="S21" s="35"/>
      <c r="T21" s="35"/>
      <c r="U21" s="136">
        <f t="shared" si="15"/>
        <v>1494.7580123620821</v>
      </c>
      <c r="X21" s="127">
        <f t="shared" si="5"/>
        <v>44986</v>
      </c>
      <c r="Y21" s="128">
        <f t="shared" si="6"/>
        <v>941.88</v>
      </c>
      <c r="Z21" s="129">
        <f t="shared" si="7"/>
        <v>347</v>
      </c>
      <c r="AA21" s="130">
        <f t="shared" si="8"/>
        <v>4.6854899999999998E-2</v>
      </c>
      <c r="AB21" s="131">
        <f t="shared" si="9"/>
        <v>42.493780362082184</v>
      </c>
      <c r="AC21" s="130">
        <v>0.12139999999999999</v>
      </c>
      <c r="AD21" s="131">
        <f t="shared" si="10"/>
        <v>114.34423199999999</v>
      </c>
      <c r="AE21" s="131">
        <f t="shared" si="11"/>
        <v>79.040000000000006</v>
      </c>
      <c r="AF21" s="132">
        <v>13</v>
      </c>
      <c r="AG21" s="134">
        <f t="shared" si="13"/>
        <v>0</v>
      </c>
      <c r="AH21" s="134"/>
      <c r="AI21" s="134"/>
      <c r="AJ21" s="133">
        <f t="shared" si="16"/>
        <v>1537.7580123620821</v>
      </c>
      <c r="AK21" s="135"/>
    </row>
    <row r="22" spans="2:37" x14ac:dyDescent="0.35">
      <c r="B22" s="24">
        <v>45017</v>
      </c>
      <c r="C22" s="122">
        <v>965</v>
      </c>
      <c r="D22" s="124">
        <v>347</v>
      </c>
      <c r="E22" s="124"/>
      <c r="F22" s="125">
        <v>4.8939199999999995E-2</v>
      </c>
      <c r="G22" s="25">
        <f t="shared" si="0"/>
        <v>44.604606772602729</v>
      </c>
      <c r="H22" s="125">
        <v>0.12139999999999999</v>
      </c>
      <c r="I22" s="25">
        <f t="shared" si="14"/>
        <v>117.151</v>
      </c>
      <c r="J22" s="125"/>
      <c r="K22" s="25">
        <f t="shared" si="2"/>
        <v>79.040000000000006</v>
      </c>
      <c r="L22" s="35">
        <f t="shared" si="3"/>
        <v>-30</v>
      </c>
      <c r="M22" s="35"/>
      <c r="N22" s="35"/>
      <c r="O22" s="35"/>
      <c r="P22" s="35"/>
      <c r="Q22" s="35"/>
      <c r="R22" s="35"/>
      <c r="S22" s="35"/>
      <c r="T22" s="35"/>
      <c r="U22" s="136">
        <f t="shared" si="15"/>
        <v>1522.7956067726027</v>
      </c>
      <c r="X22" s="127">
        <f t="shared" si="5"/>
        <v>45017</v>
      </c>
      <c r="Y22" s="128">
        <f t="shared" si="6"/>
        <v>965</v>
      </c>
      <c r="Z22" s="129">
        <f t="shared" si="7"/>
        <v>347</v>
      </c>
      <c r="AA22" s="130">
        <f t="shared" si="8"/>
        <v>4.8939199999999995E-2</v>
      </c>
      <c r="AB22" s="131">
        <f t="shared" si="9"/>
        <v>44.604606772602729</v>
      </c>
      <c r="AC22" s="130">
        <v>0.12139999999999999</v>
      </c>
      <c r="AD22" s="131">
        <f t="shared" si="10"/>
        <v>117.151</v>
      </c>
      <c r="AE22" s="131">
        <f t="shared" si="11"/>
        <v>79.040000000000006</v>
      </c>
      <c r="AF22" s="132">
        <v>13</v>
      </c>
      <c r="AG22" s="134">
        <f t="shared" si="13"/>
        <v>0</v>
      </c>
      <c r="AH22" s="134"/>
      <c r="AI22" s="134"/>
      <c r="AJ22" s="133">
        <f t="shared" si="16"/>
        <v>1565.7956067726027</v>
      </c>
      <c r="AK22" s="135"/>
    </row>
    <row r="23" spans="2:37" x14ac:dyDescent="0.35">
      <c r="B23" s="24">
        <v>45047</v>
      </c>
      <c r="C23" s="122">
        <v>970</v>
      </c>
      <c r="D23" s="124">
        <v>347</v>
      </c>
      <c r="E23" s="124"/>
      <c r="F23" s="125">
        <v>4.9085499999999997E-2</v>
      </c>
      <c r="G23" s="25">
        <f t="shared" si="0"/>
        <v>44.869612684931504</v>
      </c>
      <c r="H23" s="125">
        <v>0.12139999999999999</v>
      </c>
      <c r="I23" s="25">
        <f t="shared" si="14"/>
        <v>117.758</v>
      </c>
      <c r="J23" s="125"/>
      <c r="K23" s="25">
        <f t="shared" si="2"/>
        <v>79.040000000000006</v>
      </c>
      <c r="L23" s="35">
        <f t="shared" si="3"/>
        <v>-30</v>
      </c>
      <c r="M23" s="35"/>
      <c r="N23" s="35"/>
      <c r="O23" s="35"/>
      <c r="P23" s="35"/>
      <c r="Q23" s="35"/>
      <c r="R23" s="35"/>
      <c r="S23" s="35"/>
      <c r="T23" s="35"/>
      <c r="U23" s="136">
        <f t="shared" si="15"/>
        <v>1528.6676126849316</v>
      </c>
      <c r="X23" s="127">
        <f t="shared" si="5"/>
        <v>45047</v>
      </c>
      <c r="Y23" s="128">
        <f t="shared" si="6"/>
        <v>970</v>
      </c>
      <c r="Z23" s="129">
        <f t="shared" si="7"/>
        <v>347</v>
      </c>
      <c r="AA23" s="130">
        <f t="shared" si="8"/>
        <v>4.9085499999999997E-2</v>
      </c>
      <c r="AB23" s="131">
        <f t="shared" si="9"/>
        <v>44.869612684931504</v>
      </c>
      <c r="AC23" s="130">
        <v>0.12139999999999999</v>
      </c>
      <c r="AD23" s="131">
        <f t="shared" si="10"/>
        <v>117.758</v>
      </c>
      <c r="AE23" s="131">
        <f t="shared" si="11"/>
        <v>79.040000000000006</v>
      </c>
      <c r="AF23" s="132">
        <v>13</v>
      </c>
      <c r="AG23" s="134">
        <f t="shared" si="13"/>
        <v>0</v>
      </c>
      <c r="AH23" s="134"/>
      <c r="AI23" s="134"/>
      <c r="AJ23" s="133">
        <f t="shared" si="16"/>
        <v>1571.6676126849316</v>
      </c>
      <c r="AK23" s="135"/>
    </row>
    <row r="24" spans="2:37" x14ac:dyDescent="0.35">
      <c r="B24" s="24">
        <v>45078</v>
      </c>
      <c r="C24" s="122">
        <v>1018.75</v>
      </c>
      <c r="D24" s="124">
        <v>347</v>
      </c>
      <c r="E24" s="124"/>
      <c r="F24" s="125">
        <v>5.0812999999999997E-2</v>
      </c>
      <c r="G24" s="25">
        <f t="shared" si="0"/>
        <v>47.694010561643836</v>
      </c>
      <c r="H24" s="125">
        <v>0.12139999999999999</v>
      </c>
      <c r="I24" s="25">
        <f t="shared" si="14"/>
        <v>123.67625</v>
      </c>
      <c r="J24" s="125"/>
      <c r="K24" s="25">
        <f t="shared" si="2"/>
        <v>79.040000000000006</v>
      </c>
      <c r="L24" s="35">
        <f t="shared" si="3"/>
        <v>-30.5625</v>
      </c>
      <c r="M24" s="35"/>
      <c r="N24" s="35"/>
      <c r="O24" s="35"/>
      <c r="P24" s="35"/>
      <c r="Q24" s="35"/>
      <c r="R24" s="35"/>
      <c r="S24" s="35"/>
      <c r="T24" s="35"/>
      <c r="U24" s="136">
        <f t="shared" si="15"/>
        <v>1585.5977605616438</v>
      </c>
      <c r="X24" s="127">
        <f t="shared" si="5"/>
        <v>45078</v>
      </c>
      <c r="Y24" s="128">
        <f t="shared" si="6"/>
        <v>1018.75</v>
      </c>
      <c r="Z24" s="129">
        <f t="shared" si="7"/>
        <v>347</v>
      </c>
      <c r="AA24" s="130">
        <f t="shared" si="8"/>
        <v>5.0812999999999997E-2</v>
      </c>
      <c r="AB24" s="131">
        <f t="shared" si="9"/>
        <v>47.694010561643836</v>
      </c>
      <c r="AC24" s="130">
        <v>0.12139999999999999</v>
      </c>
      <c r="AD24" s="131">
        <f t="shared" si="10"/>
        <v>123.67625</v>
      </c>
      <c r="AE24" s="131">
        <f t="shared" si="11"/>
        <v>79.040000000000006</v>
      </c>
      <c r="AF24" s="132">
        <v>13</v>
      </c>
      <c r="AG24" s="134">
        <f t="shared" si="13"/>
        <v>0</v>
      </c>
      <c r="AH24" s="134"/>
      <c r="AI24" s="134"/>
      <c r="AJ24" s="133">
        <f t="shared" si="16"/>
        <v>1629.1602605616438</v>
      </c>
      <c r="AK24" s="135"/>
    </row>
    <row r="25" spans="2:37" x14ac:dyDescent="0.35">
      <c r="B25" s="24">
        <v>45108</v>
      </c>
      <c r="C25" s="122">
        <v>938.13</v>
      </c>
      <c r="D25" s="124">
        <v>347</v>
      </c>
      <c r="E25" s="124"/>
      <c r="F25" s="125">
        <v>5.2928200000000002E-2</v>
      </c>
      <c r="G25" s="25">
        <f t="shared" si="0"/>
        <v>46.219175835287672</v>
      </c>
      <c r="H25" s="125">
        <v>0.12139999999999999</v>
      </c>
      <c r="I25" s="25">
        <f t="shared" si="14"/>
        <v>113.888982</v>
      </c>
      <c r="J25" s="125"/>
      <c r="K25" s="25">
        <f t="shared" si="2"/>
        <v>79.040000000000006</v>
      </c>
      <c r="L25" s="35">
        <f t="shared" si="3"/>
        <v>-30</v>
      </c>
      <c r="M25" s="35"/>
      <c r="N25" s="35"/>
      <c r="O25" s="35"/>
      <c r="P25" s="35"/>
      <c r="Q25" s="35"/>
      <c r="R25" s="35"/>
      <c r="S25" s="35"/>
      <c r="T25" s="35"/>
      <c r="U25" s="136">
        <f t="shared" si="15"/>
        <v>1494.2781578352876</v>
      </c>
      <c r="X25" s="127">
        <f t="shared" si="5"/>
        <v>45108</v>
      </c>
      <c r="Y25" s="128">
        <f t="shared" si="6"/>
        <v>938.13</v>
      </c>
      <c r="Z25" s="129">
        <f t="shared" si="7"/>
        <v>347</v>
      </c>
      <c r="AA25" s="130">
        <f t="shared" si="8"/>
        <v>5.2928200000000002E-2</v>
      </c>
      <c r="AB25" s="131">
        <f t="shared" si="9"/>
        <v>46.219175835287672</v>
      </c>
      <c r="AC25" s="130">
        <v>0.12139999999999999</v>
      </c>
      <c r="AD25" s="131">
        <f t="shared" si="10"/>
        <v>113.888982</v>
      </c>
      <c r="AE25" s="131">
        <f t="shared" si="11"/>
        <v>79.040000000000006</v>
      </c>
      <c r="AF25" s="132">
        <v>13</v>
      </c>
      <c r="AG25" s="134">
        <f t="shared" si="13"/>
        <v>0</v>
      </c>
      <c r="AH25" s="134"/>
      <c r="AI25" s="134"/>
      <c r="AJ25" s="133">
        <f t="shared" si="16"/>
        <v>1537.2781578352876</v>
      </c>
      <c r="AK25" s="135"/>
    </row>
    <row r="26" spans="2:37" x14ac:dyDescent="0.35">
      <c r="B26" s="24">
        <v>45139</v>
      </c>
      <c r="C26" s="122">
        <v>882</v>
      </c>
      <c r="D26" s="124">
        <v>347</v>
      </c>
      <c r="E26" s="124"/>
      <c r="F26" s="125">
        <v>5.2699999999999997E-2</v>
      </c>
      <c r="G26" s="25">
        <f t="shared" si="0"/>
        <v>44.06217534246575</v>
      </c>
      <c r="H26" s="125">
        <v>0.12139999999999999</v>
      </c>
      <c r="I26" s="25">
        <f t="shared" si="14"/>
        <v>107.0748</v>
      </c>
      <c r="J26" s="125"/>
      <c r="K26" s="25">
        <f t="shared" si="2"/>
        <v>79.040000000000006</v>
      </c>
      <c r="L26" s="35">
        <f t="shared" si="3"/>
        <v>-30</v>
      </c>
      <c r="M26" s="35"/>
      <c r="N26" s="35"/>
      <c r="O26" s="35"/>
      <c r="P26" s="35"/>
      <c r="Q26" s="35"/>
      <c r="R26" s="35"/>
      <c r="S26" s="35"/>
      <c r="T26" s="35"/>
      <c r="U26" s="136">
        <f t="shared" si="15"/>
        <v>1429.1769753424658</v>
      </c>
      <c r="X26" s="127">
        <f t="shared" si="5"/>
        <v>45139</v>
      </c>
      <c r="Y26" s="128">
        <f t="shared" si="6"/>
        <v>882</v>
      </c>
      <c r="Z26" s="129">
        <f t="shared" si="7"/>
        <v>347</v>
      </c>
      <c r="AA26" s="130">
        <f t="shared" si="8"/>
        <v>5.2699999999999997E-2</v>
      </c>
      <c r="AB26" s="131">
        <f t="shared" si="9"/>
        <v>44.06217534246575</v>
      </c>
      <c r="AC26" s="130">
        <v>0.12139999999999999</v>
      </c>
      <c r="AD26" s="131">
        <f t="shared" si="10"/>
        <v>107.0748</v>
      </c>
      <c r="AE26" s="131">
        <f t="shared" si="11"/>
        <v>79.040000000000006</v>
      </c>
      <c r="AF26" s="132">
        <v>13</v>
      </c>
      <c r="AG26" s="134">
        <f t="shared" si="13"/>
        <v>0</v>
      </c>
      <c r="AH26" s="134"/>
      <c r="AI26" s="134"/>
      <c r="AJ26" s="133">
        <f t="shared" si="16"/>
        <v>1472.1769753424658</v>
      </c>
      <c r="AK26" s="135"/>
    </row>
    <row r="27" spans="2:37" x14ac:dyDescent="0.35">
      <c r="B27" s="24">
        <v>45170</v>
      </c>
      <c r="C27" s="122">
        <v>878.75</v>
      </c>
      <c r="D27" s="124">
        <v>175</v>
      </c>
      <c r="E27" s="124"/>
      <c r="F27" s="125">
        <v>5.3699999999999998E-2</v>
      </c>
      <c r="G27" s="25">
        <f t="shared" si="0"/>
        <v>38.298760273972604</v>
      </c>
      <c r="H27" s="125">
        <v>0.12139999999999999</v>
      </c>
      <c r="I27" s="25">
        <f t="shared" si="14"/>
        <v>106.68025</v>
      </c>
      <c r="J27" s="125"/>
      <c r="K27" s="25">
        <f t="shared" si="2"/>
        <v>79.040000000000006</v>
      </c>
      <c r="L27" s="35">
        <f t="shared" si="3"/>
        <v>-30</v>
      </c>
      <c r="M27" s="35"/>
      <c r="N27" s="35"/>
      <c r="O27" s="35"/>
      <c r="P27" s="35"/>
      <c r="Q27" s="35"/>
      <c r="R27" s="35"/>
      <c r="S27" s="35"/>
      <c r="T27" s="35"/>
      <c r="U27" s="136">
        <f>SUM(C27,D27,G27,I27,K27,L27,E27,R27,T27)</f>
        <v>1247.7690102739725</v>
      </c>
      <c r="X27" s="127">
        <f t="shared" si="5"/>
        <v>45170</v>
      </c>
      <c r="Y27" s="128">
        <f t="shared" si="6"/>
        <v>878.75</v>
      </c>
      <c r="Z27" s="129">
        <f t="shared" si="7"/>
        <v>175</v>
      </c>
      <c r="AA27" s="130">
        <f t="shared" si="8"/>
        <v>5.3699999999999998E-2</v>
      </c>
      <c r="AB27" s="131">
        <f t="shared" si="9"/>
        <v>38.298760273972604</v>
      </c>
      <c r="AC27" s="130">
        <v>0.12139999999999999</v>
      </c>
      <c r="AD27" s="131">
        <f t="shared" si="10"/>
        <v>106.68025</v>
      </c>
      <c r="AE27" s="131">
        <f t="shared" si="11"/>
        <v>79.040000000000006</v>
      </c>
      <c r="AF27" s="132">
        <v>13</v>
      </c>
      <c r="AG27" s="134">
        <f t="shared" si="13"/>
        <v>0</v>
      </c>
      <c r="AH27" s="134"/>
      <c r="AI27" s="134"/>
      <c r="AJ27" s="133">
        <f t="shared" ref="AJ27:AJ33" si="17">SUM(Y27,Z27,AB27,AD27,AE27,AF27,AG27,AI27)</f>
        <v>1290.7690102739725</v>
      </c>
      <c r="AK27" s="135"/>
    </row>
    <row r="28" spans="2:37" x14ac:dyDescent="0.35">
      <c r="B28" s="24">
        <v>45200</v>
      </c>
      <c r="C28" s="122">
        <v>889</v>
      </c>
      <c r="D28" s="124">
        <v>175</v>
      </c>
      <c r="E28" s="124"/>
      <c r="F28" s="125">
        <v>5.3999999999999999E-2</v>
      </c>
      <c r="G28" s="25">
        <f t="shared" si="0"/>
        <v>38.828712328767118</v>
      </c>
      <c r="H28" s="125">
        <v>0.12139999999999999</v>
      </c>
      <c r="I28" s="25">
        <f t="shared" si="14"/>
        <v>107.9246</v>
      </c>
      <c r="J28" s="125"/>
      <c r="K28" s="25">
        <f t="shared" si="2"/>
        <v>79.040000000000006</v>
      </c>
      <c r="L28" s="35">
        <f t="shared" si="3"/>
        <v>-30</v>
      </c>
      <c r="M28" s="35"/>
      <c r="N28" s="35"/>
      <c r="O28" s="35"/>
      <c r="P28" s="35"/>
      <c r="Q28" s="35"/>
      <c r="R28" s="35"/>
      <c r="S28" s="35"/>
      <c r="T28" s="137">
        <f>+(C28+D28+G28)*3.75%</f>
        <v>41.356076712328765</v>
      </c>
      <c r="U28" s="136">
        <f>SUM(C28,D28,G28,I28,K28,L28,E28,R28,T28)</f>
        <v>1301.1493890410959</v>
      </c>
      <c r="X28" s="127">
        <f t="shared" si="5"/>
        <v>45200</v>
      </c>
      <c r="Y28" s="128">
        <f t="shared" si="6"/>
        <v>889</v>
      </c>
      <c r="Z28" s="129">
        <f t="shared" si="7"/>
        <v>175</v>
      </c>
      <c r="AA28" s="130">
        <f t="shared" si="8"/>
        <v>5.3999999999999999E-2</v>
      </c>
      <c r="AB28" s="131">
        <f t="shared" si="9"/>
        <v>38.828712328767118</v>
      </c>
      <c r="AC28" s="130">
        <v>0.12139999999999999</v>
      </c>
      <c r="AD28" s="131">
        <f t="shared" si="10"/>
        <v>107.9246</v>
      </c>
      <c r="AE28" s="131">
        <f t="shared" si="11"/>
        <v>79.040000000000006</v>
      </c>
      <c r="AF28" s="132">
        <v>13</v>
      </c>
      <c r="AG28" s="134">
        <f t="shared" si="13"/>
        <v>0</v>
      </c>
      <c r="AH28" s="134"/>
      <c r="AI28" s="134">
        <f>+(Y28+Z28+AB28)*3.75%</f>
        <v>41.356076712328765</v>
      </c>
      <c r="AJ28" s="133">
        <f t="shared" si="17"/>
        <v>1344.1493890410959</v>
      </c>
      <c r="AK28" s="135"/>
    </row>
    <row r="29" spans="2:37" x14ac:dyDescent="0.35">
      <c r="B29" s="24">
        <v>45231</v>
      </c>
      <c r="C29" s="122">
        <v>898.75</v>
      </c>
      <c r="D29" s="124">
        <v>175</v>
      </c>
      <c r="E29" s="124"/>
      <c r="F29" s="125">
        <v>5.3955000000000003E-2</v>
      </c>
      <c r="G29" s="25">
        <f t="shared" si="0"/>
        <v>39.160692123287667</v>
      </c>
      <c r="H29" s="125">
        <v>0.12139999999999999</v>
      </c>
      <c r="I29" s="25">
        <f t="shared" si="14"/>
        <v>109.10825</v>
      </c>
      <c r="J29" s="125"/>
      <c r="K29" s="25">
        <f t="shared" si="2"/>
        <v>79.040000000000006</v>
      </c>
      <c r="L29" s="35">
        <f t="shared" si="3"/>
        <v>-30</v>
      </c>
      <c r="M29" s="35"/>
      <c r="N29" s="35"/>
      <c r="O29" s="35"/>
      <c r="P29" s="35"/>
      <c r="Q29" s="35"/>
      <c r="R29" s="35"/>
      <c r="S29" s="35"/>
      <c r="T29" s="137">
        <f>+(C29+D29+G29)*3.75%</f>
        <v>41.734150954623281</v>
      </c>
      <c r="U29" s="136">
        <f>SUM(C29,D29,G29,I29,K29,L29,E29,R29,T29)</f>
        <v>1312.793093077911</v>
      </c>
      <c r="X29" s="127">
        <f t="shared" si="5"/>
        <v>45231</v>
      </c>
      <c r="Y29" s="128">
        <f t="shared" si="6"/>
        <v>898.75</v>
      </c>
      <c r="Z29" s="129">
        <f t="shared" si="7"/>
        <v>175</v>
      </c>
      <c r="AA29" s="130">
        <f t="shared" si="8"/>
        <v>5.3955000000000003E-2</v>
      </c>
      <c r="AB29" s="131">
        <f t="shared" si="9"/>
        <v>39.160692123287667</v>
      </c>
      <c r="AC29" s="130">
        <v>0.12139999999999999</v>
      </c>
      <c r="AD29" s="131">
        <f t="shared" si="10"/>
        <v>109.10825</v>
      </c>
      <c r="AE29" s="131">
        <f t="shared" si="11"/>
        <v>79.040000000000006</v>
      </c>
      <c r="AF29" s="132">
        <v>13</v>
      </c>
      <c r="AG29" s="134">
        <f t="shared" si="13"/>
        <v>0</v>
      </c>
      <c r="AH29" s="134"/>
      <c r="AI29" s="134">
        <f>+(Y29+Z29+AB29)*3.75%</f>
        <v>41.734150954623281</v>
      </c>
      <c r="AJ29" s="133">
        <f t="shared" si="17"/>
        <v>1355.793093077911</v>
      </c>
      <c r="AK29" s="135"/>
    </row>
    <row r="30" spans="2:37" x14ac:dyDescent="0.35">
      <c r="B30" s="24">
        <v>45261</v>
      </c>
      <c r="C30" s="122">
        <v>875.63</v>
      </c>
      <c r="D30" s="124">
        <v>175</v>
      </c>
      <c r="E30" s="124"/>
      <c r="F30" s="125">
        <v>5.38275E-2</v>
      </c>
      <c r="G30" s="25">
        <f t="shared" si="0"/>
        <v>38.251423393150688</v>
      </c>
      <c r="H30" s="125">
        <v>0.12139999999999999</v>
      </c>
      <c r="I30" s="25">
        <f t="shared" si="14"/>
        <v>106.30148199999999</v>
      </c>
      <c r="J30" s="125"/>
      <c r="K30" s="25">
        <f t="shared" si="2"/>
        <v>79.040000000000006</v>
      </c>
      <c r="L30" s="35">
        <f t="shared" si="3"/>
        <v>-30</v>
      </c>
      <c r="M30" s="35"/>
      <c r="N30" s="35"/>
      <c r="O30" s="35"/>
      <c r="P30" s="35"/>
      <c r="Q30" s="35"/>
      <c r="R30" s="35"/>
      <c r="S30" s="35"/>
      <c r="T30" s="137">
        <f>+(C30+D30+G30)*3.75%</f>
        <v>40.833053377243154</v>
      </c>
      <c r="U30" s="136">
        <f>SUM(C30,D30,G30,I30,K30,L30,E30,R30,T30)</f>
        <v>1285.055958770394</v>
      </c>
      <c r="X30" s="127">
        <f t="shared" si="5"/>
        <v>45261</v>
      </c>
      <c r="Y30" s="128">
        <f t="shared" si="6"/>
        <v>875.63</v>
      </c>
      <c r="Z30" s="129">
        <f t="shared" si="7"/>
        <v>175</v>
      </c>
      <c r="AA30" s="130">
        <f t="shared" si="8"/>
        <v>5.38275E-2</v>
      </c>
      <c r="AB30" s="131">
        <f t="shared" si="9"/>
        <v>38.251423393150688</v>
      </c>
      <c r="AC30" s="130">
        <v>0.12139999999999999</v>
      </c>
      <c r="AD30" s="131">
        <f t="shared" si="10"/>
        <v>106.30148199999999</v>
      </c>
      <c r="AE30" s="131">
        <f t="shared" si="11"/>
        <v>79.040000000000006</v>
      </c>
      <c r="AF30" s="132">
        <v>13</v>
      </c>
      <c r="AG30" s="134">
        <f t="shared" si="13"/>
        <v>0</v>
      </c>
      <c r="AH30" s="134"/>
      <c r="AI30" s="134">
        <f>+(Y30+Z30+AB30)*3.75%</f>
        <v>40.833053377243154</v>
      </c>
      <c r="AJ30" s="133">
        <f t="shared" si="17"/>
        <v>1328.055958770394</v>
      </c>
      <c r="AK30" s="135"/>
    </row>
    <row r="31" spans="2:37" x14ac:dyDescent="0.35">
      <c r="B31" s="24">
        <v>45292</v>
      </c>
      <c r="C31" s="122"/>
      <c r="D31" s="124"/>
      <c r="E31" s="124"/>
      <c r="F31" s="125"/>
      <c r="G31" s="25"/>
      <c r="H31" s="125"/>
      <c r="I31" s="125"/>
      <c r="J31" s="125"/>
      <c r="K31" s="25"/>
      <c r="L31" s="125"/>
      <c r="M31" s="138"/>
      <c r="N31" s="139"/>
      <c r="O31" s="139"/>
      <c r="P31" s="139"/>
      <c r="Q31" s="139"/>
      <c r="R31" s="35"/>
      <c r="S31" s="35"/>
      <c r="T31" s="137"/>
      <c r="U31" s="136">
        <v>1800</v>
      </c>
      <c r="X31" s="127">
        <f>+B31</f>
        <v>45292</v>
      </c>
      <c r="Y31" s="128"/>
      <c r="Z31" s="129"/>
      <c r="AA31" s="130"/>
      <c r="AB31" s="131"/>
      <c r="AC31" s="130"/>
      <c r="AD31" s="131"/>
      <c r="AE31" s="131"/>
      <c r="AF31" s="132"/>
      <c r="AG31" s="134"/>
      <c r="AH31" s="134"/>
      <c r="AI31" s="134"/>
      <c r="AJ31" s="133">
        <f t="shared" si="17"/>
        <v>0</v>
      </c>
      <c r="AK31" s="135"/>
    </row>
    <row r="32" spans="2:37" x14ac:dyDescent="0.35">
      <c r="B32" s="24">
        <v>45323</v>
      </c>
      <c r="C32" s="122"/>
      <c r="D32" s="124"/>
      <c r="E32" s="124"/>
      <c r="F32" s="125"/>
      <c r="G32" s="25"/>
      <c r="H32" s="125"/>
      <c r="I32" s="125"/>
      <c r="J32" s="125"/>
      <c r="K32" s="25"/>
      <c r="L32" s="125"/>
      <c r="M32" s="138"/>
      <c r="N32" s="139"/>
      <c r="O32" s="139"/>
      <c r="P32" s="139"/>
      <c r="Q32" s="139"/>
      <c r="R32" s="35"/>
      <c r="S32" s="35"/>
      <c r="T32" s="137"/>
      <c r="U32" s="34">
        <v>1836</v>
      </c>
      <c r="X32" s="127">
        <f>+B32</f>
        <v>45323</v>
      </c>
      <c r="Y32" s="128"/>
      <c r="Z32" s="129"/>
      <c r="AA32" s="130"/>
      <c r="AB32" s="131"/>
      <c r="AC32" s="130"/>
      <c r="AD32" s="131"/>
      <c r="AE32" s="131"/>
      <c r="AF32" s="132"/>
      <c r="AG32" s="134"/>
      <c r="AH32" s="134"/>
      <c r="AI32" s="134"/>
      <c r="AJ32" s="133">
        <f t="shared" si="17"/>
        <v>0</v>
      </c>
      <c r="AK32" s="135"/>
    </row>
    <row r="33" spans="1:37" x14ac:dyDescent="0.35">
      <c r="B33" s="24">
        <v>45352</v>
      </c>
      <c r="C33" s="122"/>
      <c r="D33" s="124"/>
      <c r="E33" s="124"/>
      <c r="F33" s="125"/>
      <c r="G33" s="25"/>
      <c r="H33" s="125"/>
      <c r="I33" s="125"/>
      <c r="J33" s="125"/>
      <c r="K33" s="25"/>
      <c r="L33" s="125"/>
      <c r="M33" s="138"/>
      <c r="N33" s="139"/>
      <c r="O33" s="139"/>
      <c r="P33" s="139"/>
      <c r="Q33" s="139"/>
      <c r="R33" s="35"/>
      <c r="S33" s="35"/>
      <c r="T33" s="137"/>
      <c r="U33" s="34">
        <v>1748</v>
      </c>
      <c r="X33" s="127">
        <f>+B33</f>
        <v>45352</v>
      </c>
      <c r="Y33" s="128"/>
      <c r="Z33" s="129"/>
      <c r="AA33" s="130"/>
      <c r="AB33" s="131"/>
      <c r="AC33" s="130"/>
      <c r="AD33" s="131"/>
      <c r="AE33" s="131"/>
      <c r="AF33" s="132"/>
      <c r="AG33" s="134"/>
      <c r="AH33" s="134"/>
      <c r="AI33" s="134"/>
      <c r="AJ33" s="133">
        <f t="shared" si="17"/>
        <v>0</v>
      </c>
      <c r="AK33" s="135"/>
    </row>
    <row r="34" spans="1:37" x14ac:dyDescent="0.35">
      <c r="B34" s="24">
        <v>45383</v>
      </c>
      <c r="C34" s="122"/>
      <c r="D34" s="124"/>
      <c r="E34" s="124"/>
      <c r="F34" s="125"/>
      <c r="G34" s="25"/>
      <c r="H34" s="125"/>
      <c r="I34" s="125"/>
      <c r="J34" s="125"/>
      <c r="K34" s="25"/>
      <c r="L34" s="125"/>
      <c r="M34" s="138"/>
      <c r="N34" s="139"/>
      <c r="O34" s="139"/>
      <c r="P34" s="139"/>
      <c r="Q34" s="139"/>
      <c r="R34" s="35"/>
      <c r="S34" s="35"/>
      <c r="T34" s="137"/>
      <c r="U34" s="34">
        <v>1703</v>
      </c>
    </row>
    <row r="35" spans="1:37" s="104" customFormat="1" x14ac:dyDescent="0.35">
      <c r="B35" s="24">
        <v>45413</v>
      </c>
      <c r="C35" s="101">
        <v>1013</v>
      </c>
      <c r="D35" s="35">
        <v>234.2</v>
      </c>
      <c r="E35" s="102"/>
      <c r="F35" s="102"/>
      <c r="G35" s="35">
        <f>7.7%*180*(C35+D35)/365</f>
        <v>47.359430136986298</v>
      </c>
      <c r="H35" s="102">
        <v>0</v>
      </c>
      <c r="I35" s="25">
        <f t="shared" ref="I35:I38" si="18">+H35*C35</f>
        <v>0</v>
      </c>
      <c r="J35" s="35">
        <f>86+0.85%*(C35+D35+G35)</f>
        <v>97.003755156164388</v>
      </c>
      <c r="K35" s="25">
        <v>0</v>
      </c>
      <c r="L35" s="25">
        <v>0</v>
      </c>
      <c r="M35" s="103"/>
      <c r="N35" s="25">
        <v>45</v>
      </c>
      <c r="O35" s="25"/>
      <c r="P35" s="25"/>
      <c r="Q35" s="25"/>
      <c r="R35" s="35"/>
      <c r="S35" s="35">
        <v>-163</v>
      </c>
      <c r="T35" s="137">
        <v>226.43790027397256</v>
      </c>
      <c r="U35" s="34">
        <f>SUM(C35,D35,G35,I35,J35,N35,E35,S35,T35)</f>
        <v>1500.001085567123</v>
      </c>
    </row>
    <row r="36" spans="1:37" s="104" customFormat="1" ht="15.65" customHeight="1" x14ac:dyDescent="0.35">
      <c r="B36" s="24">
        <v>45444</v>
      </c>
      <c r="C36" s="101">
        <v>1020</v>
      </c>
      <c r="D36" s="35">
        <v>275.45</v>
      </c>
      <c r="E36" s="102"/>
      <c r="F36" s="102"/>
      <c r="G36" s="35">
        <f>7.7%*180*(C36+D36)/365</f>
        <v>49.191608219178079</v>
      </c>
      <c r="H36" s="102">
        <v>0</v>
      </c>
      <c r="I36" s="25">
        <f t="shared" si="18"/>
        <v>0</v>
      </c>
      <c r="J36" s="35">
        <f>86+0.85%*(C36+D36+G36)</f>
        <v>97.429453669863022</v>
      </c>
      <c r="K36" s="25">
        <v>0</v>
      </c>
      <c r="L36" s="25">
        <v>0</v>
      </c>
      <c r="M36" s="103"/>
      <c r="N36" s="25">
        <v>45</v>
      </c>
      <c r="O36" s="25"/>
      <c r="P36" s="25"/>
      <c r="Q36" s="25"/>
      <c r="R36" s="35"/>
      <c r="S36" s="35">
        <v>-222</v>
      </c>
      <c r="T36" s="137">
        <v>234.93228143835617</v>
      </c>
      <c r="U36" s="34">
        <f>SUM(C36,D36,G36,I36,J36,N36,E36,S36,T36)</f>
        <v>1500.0033433273973</v>
      </c>
    </row>
    <row r="37" spans="1:37" s="104" customFormat="1" ht="15.65" customHeight="1" x14ac:dyDescent="0.35">
      <c r="B37" s="24">
        <v>45474</v>
      </c>
      <c r="C37" s="101">
        <v>1007</v>
      </c>
      <c r="D37" s="35">
        <v>381.35</v>
      </c>
      <c r="E37" s="102"/>
      <c r="F37" s="102"/>
      <c r="G37" s="35">
        <f>7.7%*180*(C37+D37)/365</f>
        <v>52.71926301369863</v>
      </c>
      <c r="H37" s="102">
        <v>0</v>
      </c>
      <c r="I37" s="25">
        <f t="shared" si="18"/>
        <v>0</v>
      </c>
      <c r="J37" s="35">
        <f>86+0.85%*(C37+D37+G37)</f>
        <v>98.249088735616439</v>
      </c>
      <c r="K37" s="25">
        <v>0</v>
      </c>
      <c r="L37" s="25">
        <v>0</v>
      </c>
      <c r="M37" s="103"/>
      <c r="N37" s="25">
        <v>45</v>
      </c>
      <c r="O37" s="25"/>
      <c r="P37" s="25"/>
      <c r="Q37" s="25"/>
      <c r="R37" s="35"/>
      <c r="S37" s="35">
        <v>-337</v>
      </c>
      <c r="T37" s="137">
        <v>252.68</v>
      </c>
      <c r="U37" s="34">
        <f>SUM(C37,D37,G37,I37,J37,N37,E37,S37,T37)</f>
        <v>1499.9983517493149</v>
      </c>
    </row>
    <row r="38" spans="1:37" s="104" customFormat="1" ht="15.65" customHeight="1" x14ac:dyDescent="0.35">
      <c r="B38" s="182" t="s">
        <v>3420</v>
      </c>
      <c r="C38" s="101">
        <v>1001</v>
      </c>
      <c r="D38" s="35">
        <v>504</v>
      </c>
      <c r="E38" s="102"/>
      <c r="F38" s="102"/>
      <c r="G38" s="35">
        <v>57</v>
      </c>
      <c r="H38" s="102">
        <v>0</v>
      </c>
      <c r="I38" s="25">
        <f t="shared" si="18"/>
        <v>0</v>
      </c>
      <c r="J38" s="35">
        <v>99</v>
      </c>
      <c r="K38" s="25">
        <v>0</v>
      </c>
      <c r="L38" s="25">
        <v>0</v>
      </c>
      <c r="M38" s="103"/>
      <c r="N38" s="25">
        <v>45</v>
      </c>
      <c r="O38" s="25"/>
      <c r="P38" s="25"/>
      <c r="Q38" s="25"/>
      <c r="R38" s="35"/>
      <c r="S38" s="35">
        <v>-479</v>
      </c>
      <c r="T38" s="137">
        <v>273</v>
      </c>
      <c r="U38" s="34">
        <f>SUM(C38,D38,G38,I38,J38,N38,E38,S38,T38)</f>
        <v>1500</v>
      </c>
    </row>
    <row r="39" spans="1:37" s="104" customFormat="1" ht="15.65" customHeight="1" x14ac:dyDescent="0.35">
      <c r="B39" s="160"/>
      <c r="C39" s="161"/>
      <c r="D39" s="140"/>
      <c r="E39" s="162"/>
      <c r="F39" s="162"/>
      <c r="G39" s="140"/>
      <c r="H39" s="162"/>
      <c r="I39" s="141"/>
      <c r="J39" s="140"/>
      <c r="K39" s="141"/>
      <c r="L39" s="141"/>
      <c r="M39" s="142"/>
      <c r="N39" s="141"/>
      <c r="O39" s="141"/>
      <c r="P39" s="141"/>
      <c r="Q39" s="141"/>
      <c r="R39" s="140"/>
      <c r="S39" s="140"/>
      <c r="T39" s="163"/>
      <c r="U39" s="143"/>
    </row>
    <row r="40" spans="1:37" s="157" customFormat="1" ht="15.65" customHeight="1" x14ac:dyDescent="0.35">
      <c r="B40" s="158" t="s">
        <v>3413</v>
      </c>
      <c r="C40" s="158"/>
      <c r="D40" s="143"/>
      <c r="E40" s="154"/>
      <c r="F40" s="154"/>
      <c r="G40" s="143"/>
      <c r="H40" s="154"/>
      <c r="I40" s="155"/>
      <c r="J40" s="143"/>
      <c r="K40" s="155"/>
      <c r="L40" s="155"/>
      <c r="M40" s="156"/>
      <c r="N40" s="155"/>
      <c r="O40" s="155"/>
      <c r="P40" s="155"/>
      <c r="Q40" s="155"/>
      <c r="R40" s="143"/>
      <c r="S40" s="143"/>
      <c r="T40" s="153"/>
      <c r="U40" s="143"/>
    </row>
    <row r="41" spans="1:37" s="104" customFormat="1" ht="15.65" customHeight="1" x14ac:dyDescent="0.35">
      <c r="B41" s="24">
        <v>45505</v>
      </c>
      <c r="C41" s="101">
        <v>1001</v>
      </c>
      <c r="D41" s="35">
        <v>484.28571428571428</v>
      </c>
      <c r="E41" s="102"/>
      <c r="F41" s="102"/>
      <c r="G41" s="35">
        <f t="shared" ref="G41:G46" si="19">7.7%*180*(C41+D41)/365</f>
        <v>56.400164383561638</v>
      </c>
      <c r="H41" s="102">
        <v>0</v>
      </c>
      <c r="I41" s="25">
        <f t="shared" ref="I41" si="20">+H41*C41</f>
        <v>0</v>
      </c>
      <c r="J41" s="35">
        <f>86+0.85%*(C41+D41+G41)</f>
        <v>99.104329968688845</v>
      </c>
      <c r="K41" s="25">
        <v>0</v>
      </c>
      <c r="L41" s="25">
        <v>0</v>
      </c>
      <c r="M41" s="103"/>
      <c r="N41" s="25">
        <v>45</v>
      </c>
      <c r="O41" s="25"/>
      <c r="P41" s="25"/>
      <c r="Q41" s="25"/>
      <c r="R41" s="35"/>
      <c r="S41" s="35"/>
      <c r="T41" s="137">
        <f>(C41+D41+G41)*7.5%</f>
        <v>115.62644090019567</v>
      </c>
      <c r="U41" s="136">
        <f t="shared" ref="U41:U46" si="21">SUM(C41,D41,G41,I41,J41,N41,E41,S41,T41)</f>
        <v>1801.4166495381603</v>
      </c>
    </row>
    <row r="42" spans="1:37" s="104" customFormat="1" ht="15.65" customHeight="1" x14ac:dyDescent="0.35">
      <c r="B42" s="24">
        <v>45536</v>
      </c>
      <c r="C42" s="101">
        <v>999</v>
      </c>
      <c r="D42" s="35">
        <v>546</v>
      </c>
      <c r="E42" s="102"/>
      <c r="F42" s="102"/>
      <c r="G42" s="35">
        <f t="shared" si="19"/>
        <v>58.667671232876714</v>
      </c>
      <c r="H42" s="102">
        <v>0</v>
      </c>
      <c r="I42" s="25">
        <f t="shared" ref="I42" si="22">+H42*C42</f>
        <v>0</v>
      </c>
      <c r="J42" s="35">
        <f>86+0.85%*(C42+D42+G42)</f>
        <v>99.631175205479451</v>
      </c>
      <c r="K42" s="25">
        <v>0</v>
      </c>
      <c r="L42" s="25">
        <v>0</v>
      </c>
      <c r="M42" s="103"/>
      <c r="N42" s="25">
        <v>45</v>
      </c>
      <c r="O42" s="25"/>
      <c r="P42" s="25"/>
      <c r="Q42" s="25"/>
      <c r="R42" s="35"/>
      <c r="S42" s="35"/>
      <c r="T42" s="137">
        <f>(C42+D42+G42)*7.5%</f>
        <v>120.27507534246575</v>
      </c>
      <c r="U42" s="136">
        <f t="shared" si="21"/>
        <v>1868.5739217808218</v>
      </c>
    </row>
    <row r="43" spans="1:37" s="104" customFormat="1" ht="15.65" customHeight="1" x14ac:dyDescent="0.35">
      <c r="A43" s="255"/>
      <c r="B43" s="24">
        <v>45566</v>
      </c>
      <c r="C43" s="101">
        <v>980</v>
      </c>
      <c r="D43" s="35">
        <v>483.38095238095241</v>
      </c>
      <c r="E43" s="102"/>
      <c r="F43" s="102"/>
      <c r="G43" s="35">
        <f t="shared" si="19"/>
        <v>55.568383561643834</v>
      </c>
      <c r="H43" s="102">
        <v>0</v>
      </c>
      <c r="I43" s="25">
        <f t="shared" ref="I43" si="23">+H43*C43</f>
        <v>0</v>
      </c>
      <c r="J43" s="35">
        <f>86+0.85%*(C43+D43+G43)</f>
        <v>98.911069355512069</v>
      </c>
      <c r="K43" s="25">
        <v>0</v>
      </c>
      <c r="L43" s="25">
        <v>0</v>
      </c>
      <c r="M43" s="103"/>
      <c r="N43" s="25">
        <v>45</v>
      </c>
      <c r="O43" s="25"/>
      <c r="P43" s="25"/>
      <c r="Q43" s="25"/>
      <c r="R43" s="35"/>
      <c r="S43" s="35"/>
      <c r="T43" s="35">
        <f>(C43+D43+G43)*7.5%</f>
        <v>113.92120019569471</v>
      </c>
      <c r="U43" s="136">
        <f t="shared" si="21"/>
        <v>1776.781605493803</v>
      </c>
    </row>
    <row r="44" spans="1:37" s="104" customFormat="1" ht="15.65" customHeight="1" x14ac:dyDescent="0.35">
      <c r="A44" s="159" t="s">
        <v>3421</v>
      </c>
      <c r="B44" s="24">
        <v>45566</v>
      </c>
      <c r="C44" s="101">
        <v>980</v>
      </c>
      <c r="D44" s="35">
        <v>335</v>
      </c>
      <c r="E44" s="102"/>
      <c r="F44" s="102"/>
      <c r="G44" s="35">
        <f t="shared" si="19"/>
        <v>49.933972602739722</v>
      </c>
      <c r="H44" s="102">
        <v>0</v>
      </c>
      <c r="I44" s="25">
        <f t="shared" ref="I44:I45" si="24">+H44*C44</f>
        <v>0</v>
      </c>
      <c r="J44" s="35">
        <v>142</v>
      </c>
      <c r="K44" s="25">
        <v>0</v>
      </c>
      <c r="L44" s="25">
        <v>0</v>
      </c>
      <c r="M44" s="103"/>
      <c r="N44" s="25">
        <v>45</v>
      </c>
      <c r="O44" s="25"/>
      <c r="P44" s="25"/>
      <c r="Q44" s="25"/>
      <c r="R44" s="35"/>
      <c r="S44" s="35"/>
      <c r="T44" s="35">
        <f>(C44+D44+G44)*7.5%</f>
        <v>102.37004794520547</v>
      </c>
      <c r="U44" s="34">
        <f>SUM(C44,D44,G44,I44,J44,N44,E43,S44,T44)</f>
        <v>1654.3040205479451</v>
      </c>
    </row>
    <row r="45" spans="1:37" s="104" customFormat="1" ht="15.65" customHeight="1" x14ac:dyDescent="0.35">
      <c r="A45" s="255"/>
      <c r="B45" s="24">
        <v>45597</v>
      </c>
      <c r="C45" s="101">
        <v>926</v>
      </c>
      <c r="D45" s="35">
        <v>468.66666666666669</v>
      </c>
      <c r="E45" s="102"/>
      <c r="F45" s="102"/>
      <c r="G45" s="35">
        <f t="shared" si="19"/>
        <v>52.95912328767124</v>
      </c>
      <c r="H45" s="102">
        <v>0</v>
      </c>
      <c r="I45" s="25">
        <f t="shared" si="24"/>
        <v>0</v>
      </c>
      <c r="J45" s="35">
        <f t="shared" ref="J45:J50" si="25">86+0.85%*(C45+D45+G45)</f>
        <v>98.304819214611868</v>
      </c>
      <c r="K45" s="25">
        <v>0</v>
      </c>
      <c r="L45" s="25">
        <v>0</v>
      </c>
      <c r="M45" s="103"/>
      <c r="N45" s="25">
        <v>45</v>
      </c>
      <c r="O45" s="25"/>
      <c r="P45" s="25"/>
      <c r="Q45" s="25"/>
      <c r="R45" s="35"/>
      <c r="S45" s="35"/>
      <c r="T45" s="35"/>
      <c r="U45" s="34">
        <f t="shared" si="21"/>
        <v>1590.9306091689498</v>
      </c>
    </row>
    <row r="46" spans="1:37" s="104" customFormat="1" ht="15.65" customHeight="1" x14ac:dyDescent="0.35">
      <c r="A46" s="255"/>
      <c r="B46" s="24">
        <v>45627</v>
      </c>
      <c r="C46" s="101">
        <v>946</v>
      </c>
      <c r="D46" s="267">
        <v>400</v>
      </c>
      <c r="E46" s="102"/>
      <c r="F46" s="102"/>
      <c r="G46" s="35">
        <f t="shared" si="19"/>
        <v>51.111123287671226</v>
      </c>
      <c r="H46" s="102">
        <v>0</v>
      </c>
      <c r="I46" s="25">
        <f t="shared" ref="I46" si="26">+H46*C46</f>
        <v>0</v>
      </c>
      <c r="J46" s="35">
        <f t="shared" si="25"/>
        <v>97.875444547945207</v>
      </c>
      <c r="K46" s="25">
        <v>0</v>
      </c>
      <c r="L46" s="25">
        <v>0</v>
      </c>
      <c r="M46" s="103"/>
      <c r="N46" s="25">
        <v>45</v>
      </c>
      <c r="O46" s="25"/>
      <c r="P46" s="25"/>
      <c r="Q46" s="25"/>
      <c r="R46" s="35"/>
      <c r="S46" s="35"/>
      <c r="T46" s="35"/>
      <c r="U46" s="34">
        <f t="shared" si="21"/>
        <v>1539.9865678356164</v>
      </c>
    </row>
    <row r="47" spans="1:37" s="104" customFormat="1" ht="15.65" customHeight="1" x14ac:dyDescent="0.35">
      <c r="A47" s="255"/>
      <c r="B47" s="24">
        <v>45658</v>
      </c>
      <c r="C47" s="101">
        <v>914</v>
      </c>
      <c r="D47" s="267">
        <v>403</v>
      </c>
      <c r="E47" s="102"/>
      <c r="F47" s="102"/>
      <c r="G47" s="35">
        <f>6.7%*180*(C47+D47)/365</f>
        <v>43.515123287671237</v>
      </c>
      <c r="H47" s="102">
        <v>0</v>
      </c>
      <c r="I47" s="25">
        <f t="shared" ref="I47" si="27">+H47*C47</f>
        <v>0</v>
      </c>
      <c r="J47" s="35">
        <f t="shared" si="25"/>
        <v>97.564378547945211</v>
      </c>
      <c r="K47" s="25">
        <v>0</v>
      </c>
      <c r="L47" s="25">
        <v>0</v>
      </c>
      <c r="M47" s="103"/>
      <c r="N47" s="25">
        <v>45</v>
      </c>
      <c r="O47" s="25"/>
      <c r="P47" s="25"/>
      <c r="Q47" s="25"/>
      <c r="R47" s="35"/>
      <c r="S47" s="35"/>
      <c r="T47" s="35"/>
      <c r="U47" s="34">
        <f t="shared" ref="U47" si="28">SUM(C47,D47,G47,I47,J47,N47,E47,S47,T47)</f>
        <v>1503.0795018356164</v>
      </c>
    </row>
    <row r="48" spans="1:37" s="104" customFormat="1" ht="15.65" customHeight="1" x14ac:dyDescent="0.35">
      <c r="A48" s="255"/>
      <c r="B48" s="24">
        <v>45689</v>
      </c>
      <c r="C48" s="101">
        <v>895</v>
      </c>
      <c r="D48" s="267">
        <v>378.57142857142856</v>
      </c>
      <c r="E48" s="102"/>
      <c r="F48" s="102"/>
      <c r="G48" s="35">
        <f>6.7%*180*(C48+D48)/365</f>
        <v>42.080195694716245</v>
      </c>
      <c r="H48" s="102">
        <v>0</v>
      </c>
      <c r="I48" s="25">
        <f t="shared" ref="I48" si="29">+H48*C48</f>
        <v>0</v>
      </c>
      <c r="J48" s="35">
        <f t="shared" si="25"/>
        <v>97.183038806262232</v>
      </c>
      <c r="K48" s="25">
        <v>0</v>
      </c>
      <c r="L48" s="25">
        <v>0</v>
      </c>
      <c r="M48" s="103"/>
      <c r="N48" s="25">
        <v>45</v>
      </c>
      <c r="O48" s="25"/>
      <c r="P48" s="25"/>
      <c r="Q48" s="25"/>
      <c r="R48" s="35"/>
      <c r="S48" s="35"/>
      <c r="T48" s="35"/>
      <c r="U48" s="34">
        <f t="shared" ref="U48" si="30">SUM(C48,D48,G48,I48,J48,N48,E48,S48,T48)</f>
        <v>1457.8346630724068</v>
      </c>
    </row>
    <row r="49" spans="1:21" s="104" customFormat="1" ht="15.65" customHeight="1" x14ac:dyDescent="0.35">
      <c r="A49" s="255"/>
      <c r="B49" s="24">
        <v>45717</v>
      </c>
      <c r="C49" s="101">
        <v>886</v>
      </c>
      <c r="D49" s="267">
        <v>380.61904761904759</v>
      </c>
      <c r="E49" s="102"/>
      <c r="F49" s="102"/>
      <c r="G49" s="35">
        <f>6.7%*180*(C49+D49)/365</f>
        <v>41.850481409001965</v>
      </c>
      <c r="H49" s="102">
        <v>0</v>
      </c>
      <c r="I49" s="25">
        <f t="shared" ref="I49" si="31">+H49*C49</f>
        <v>0</v>
      </c>
      <c r="J49" s="35">
        <f t="shared" si="25"/>
        <v>97.121990996738418</v>
      </c>
      <c r="K49" s="25">
        <v>0</v>
      </c>
      <c r="L49" s="25">
        <v>0</v>
      </c>
      <c r="M49" s="103"/>
      <c r="N49" s="25">
        <v>45</v>
      </c>
      <c r="O49" s="25"/>
      <c r="P49" s="25"/>
      <c r="Q49" s="25"/>
      <c r="R49" s="35"/>
      <c r="S49" s="35"/>
      <c r="T49" s="35"/>
      <c r="U49" s="34">
        <f t="shared" ref="U49" si="32">SUM(C49,D49,G49,I49,J49,N49,E49,S49,T49)</f>
        <v>1450.5915200247882</v>
      </c>
    </row>
    <row r="50" spans="1:21" s="104" customFormat="1" ht="15.65" customHeight="1" x14ac:dyDescent="0.35">
      <c r="A50" s="255"/>
      <c r="B50" s="24">
        <v>45748</v>
      </c>
      <c r="C50" s="101">
        <v>905</v>
      </c>
      <c r="D50" s="267">
        <v>279</v>
      </c>
      <c r="E50" s="102"/>
      <c r="F50" s="102"/>
      <c r="G50" s="35">
        <f>6.72%*180*(C50+D50)/365</f>
        <v>39.237435616438361</v>
      </c>
      <c r="H50" s="102">
        <v>0</v>
      </c>
      <c r="I50" s="25">
        <f t="shared" ref="I50" si="33">+H50*C50</f>
        <v>0</v>
      </c>
      <c r="J50" s="35">
        <f t="shared" si="25"/>
        <v>96.397518202739732</v>
      </c>
      <c r="K50" s="25">
        <v>0</v>
      </c>
      <c r="L50" s="25">
        <v>0</v>
      </c>
      <c r="M50" s="103"/>
      <c r="N50" s="25">
        <v>46</v>
      </c>
      <c r="O50" s="25"/>
      <c r="P50" s="25"/>
      <c r="Q50" s="25"/>
      <c r="R50" s="35"/>
      <c r="S50" s="35"/>
      <c r="T50" s="35"/>
      <c r="U50" s="34">
        <f t="shared" ref="U50" si="34">SUM(C50,D50,G50,I50,J50,N50,E50,S50,T50)</f>
        <v>1365.6349538191782</v>
      </c>
    </row>
    <row r="51" spans="1:21" s="104" customFormat="1" ht="15.65" customHeight="1" x14ac:dyDescent="0.35">
      <c r="A51" s="255"/>
      <c r="B51" s="24">
        <v>45778</v>
      </c>
      <c r="C51" s="101">
        <v>905</v>
      </c>
      <c r="D51" s="267">
        <v>256.8095238095238</v>
      </c>
      <c r="E51" s="102"/>
      <c r="F51" s="102"/>
      <c r="G51" s="35">
        <f>6.72%*180*(C51+D51)/365</f>
        <v>38.502049315068497</v>
      </c>
      <c r="H51" s="102">
        <v>0</v>
      </c>
      <c r="I51" s="25">
        <f t="shared" ref="I51" si="35">+H51*C51</f>
        <v>0</v>
      </c>
      <c r="J51" s="35">
        <f t="shared" ref="J51" si="36">86+0.85%*(C51+D51+G51)</f>
        <v>96.202648371559036</v>
      </c>
      <c r="K51" s="25">
        <v>0</v>
      </c>
      <c r="L51" s="25">
        <v>0</v>
      </c>
      <c r="M51" s="103"/>
      <c r="N51" s="25">
        <v>46</v>
      </c>
      <c r="O51" s="25"/>
      <c r="P51" s="25"/>
      <c r="Q51" s="25"/>
      <c r="R51" s="35"/>
      <c r="S51" s="35"/>
      <c r="T51" s="35"/>
      <c r="U51" s="34">
        <f t="shared" ref="U51" si="37">SUM(C51,D51,G51,I51,J51,N51,E51,S51,T51)</f>
        <v>1342.5142214961513</v>
      </c>
    </row>
    <row r="52" spans="1:21" s="104" customFormat="1" ht="15.65" customHeight="1" x14ac:dyDescent="0.35">
      <c r="A52" s="255"/>
      <c r="B52" s="24">
        <v>45809</v>
      </c>
      <c r="C52" s="101">
        <v>877</v>
      </c>
      <c r="D52" s="267">
        <v>196.666666666667</v>
      </c>
      <c r="E52" s="102"/>
      <c r="F52" s="102"/>
      <c r="G52" s="35">
        <f>6.72%*180*(C52+D52)/365</f>
        <v>35.581019178082201</v>
      </c>
      <c r="H52" s="102">
        <v>0</v>
      </c>
      <c r="I52" s="25">
        <f t="shared" ref="I52" si="38">+H52*C52</f>
        <v>0</v>
      </c>
      <c r="J52" s="35">
        <f t="shared" ref="J52" si="39">86+0.85%*(C52+D52+G52)</f>
        <v>95.428605329680366</v>
      </c>
      <c r="K52" s="25">
        <v>0</v>
      </c>
      <c r="L52" s="25">
        <v>0</v>
      </c>
      <c r="M52" s="103"/>
      <c r="N52" s="25">
        <v>46</v>
      </c>
      <c r="O52" s="25"/>
      <c r="P52" s="25"/>
      <c r="Q52" s="25"/>
      <c r="R52" s="35"/>
      <c r="S52" s="35"/>
      <c r="T52" s="35"/>
      <c r="U52" s="34">
        <f t="shared" ref="U52" si="40">SUM(C52,D52,G52,I52,J52,N52,E52,S52,T52)</f>
        <v>1250.6762911744295</v>
      </c>
    </row>
    <row r="53" spans="1:21" s="104" customFormat="1" ht="15.65" customHeight="1" x14ac:dyDescent="0.35">
      <c r="A53" s="255"/>
      <c r="B53" s="24">
        <v>45839</v>
      </c>
      <c r="C53" s="101">
        <v>891</v>
      </c>
      <c r="D53" s="267">
        <v>183.85714285714286</v>
      </c>
      <c r="E53" s="102"/>
      <c r="F53" s="102"/>
      <c r="G53" s="35">
        <f>6.72%*180*(C53+D53)/365</f>
        <v>35.62047123287671</v>
      </c>
      <c r="H53" s="102">
        <v>0</v>
      </c>
      <c r="I53" s="25">
        <f t="shared" ref="I53" si="41">+H53*C53</f>
        <v>0</v>
      </c>
      <c r="J53" s="35">
        <f t="shared" ref="J53" si="42">86+0.85%*(C53+D53+G53)</f>
        <v>95.439059719765169</v>
      </c>
      <c r="K53" s="25">
        <v>0</v>
      </c>
      <c r="L53" s="25">
        <v>0</v>
      </c>
      <c r="M53" s="103"/>
      <c r="N53" s="25">
        <v>46</v>
      </c>
      <c r="O53" s="25"/>
      <c r="P53" s="25"/>
      <c r="Q53" s="25"/>
      <c r="R53" s="35"/>
      <c r="S53" s="35"/>
      <c r="T53" s="35"/>
      <c r="U53" s="34">
        <f t="shared" ref="U53" si="43">SUM(C53,D53,G53,I53,J53,N53,E53,S53,T53)</f>
        <v>1251.9166738097847</v>
      </c>
    </row>
    <row r="54" spans="1:21" s="104" customFormat="1" ht="15.65" customHeight="1" x14ac:dyDescent="0.35">
      <c r="A54" s="255"/>
      <c r="B54" s="24">
        <v>45870</v>
      </c>
      <c r="C54" s="101">
        <v>892</v>
      </c>
      <c r="D54" s="267">
        <v>280.09523809523807</v>
      </c>
      <c r="E54" s="102"/>
      <c r="F54" s="102"/>
      <c r="G54" s="35">
        <f>6.72%*180*(C54+D54)/365</f>
        <v>38.842915068493156</v>
      </c>
      <c r="H54" s="102">
        <v>0</v>
      </c>
      <c r="I54" s="25">
        <f t="shared" ref="I54" si="44">+H54*C54</f>
        <v>0</v>
      </c>
      <c r="J54" s="35">
        <f t="shared" ref="J54" si="45">86+0.85%*(C54+D54+G54)</f>
        <v>96.292974301891718</v>
      </c>
      <c r="K54" s="25">
        <v>0</v>
      </c>
      <c r="L54" s="25">
        <v>0</v>
      </c>
      <c r="M54" s="103"/>
      <c r="N54" s="25">
        <v>45</v>
      </c>
      <c r="O54" s="25"/>
      <c r="P54" s="25"/>
      <c r="Q54" s="25"/>
      <c r="R54" s="35"/>
      <c r="S54" s="35"/>
      <c r="T54" s="35"/>
      <c r="U54" s="34">
        <f t="shared" ref="U54" si="46">SUM(C54,D54,G54,I54,J54,N54,E54,S54,T54)</f>
        <v>1352.2311274656229</v>
      </c>
    </row>
    <row r="55" spans="1:21" s="305" customFormat="1" ht="15.65" customHeight="1" x14ac:dyDescent="0.35">
      <c r="A55" s="255"/>
      <c r="B55" s="158" t="s">
        <v>3414</v>
      </c>
      <c r="C55" s="298"/>
      <c r="D55" s="299"/>
      <c r="E55" s="300"/>
      <c r="F55" s="300"/>
      <c r="G55" s="301"/>
      <c r="H55" s="300"/>
      <c r="I55" s="302"/>
      <c r="J55" s="301"/>
      <c r="K55" s="302"/>
      <c r="L55" s="302"/>
      <c r="M55" s="303"/>
      <c r="N55" s="302"/>
      <c r="O55" s="302"/>
      <c r="P55" s="302"/>
      <c r="Q55" s="302"/>
      <c r="R55" s="301"/>
      <c r="S55" s="301"/>
      <c r="T55" s="301"/>
      <c r="U55" s="304"/>
    </row>
    <row r="56" spans="1:21" s="104" customFormat="1" ht="15.65" customHeight="1" x14ac:dyDescent="0.35">
      <c r="A56" s="255"/>
      <c r="B56" s="24">
        <v>45901</v>
      </c>
      <c r="C56" s="101">
        <v>782</v>
      </c>
      <c r="D56" s="267">
        <v>382</v>
      </c>
      <c r="E56" s="102"/>
      <c r="F56" s="102"/>
      <c r="G56" s="35"/>
      <c r="H56" s="102">
        <v>0</v>
      </c>
      <c r="I56" s="25">
        <f t="shared" ref="I56" si="47">+H56*C56</f>
        <v>0</v>
      </c>
      <c r="J56" s="35">
        <f t="shared" ref="J56:J61" si="48">116+(C56+D56)*0.85%</f>
        <v>125.89400000000001</v>
      </c>
      <c r="K56" s="25">
        <v>0</v>
      </c>
      <c r="L56" s="25">
        <v>0</v>
      </c>
      <c r="M56" s="103"/>
      <c r="N56" s="25">
        <v>45</v>
      </c>
      <c r="O56" s="25">
        <v>35</v>
      </c>
      <c r="P56" s="25">
        <v>26</v>
      </c>
      <c r="Q56" s="25">
        <v>24</v>
      </c>
      <c r="R56" s="35"/>
      <c r="S56" s="35"/>
      <c r="T56" s="35"/>
      <c r="U56" s="34">
        <f t="shared" ref="U56:U61" si="49">SUM(C56:T56)</f>
        <v>1419.894</v>
      </c>
    </row>
    <row r="57" spans="1:21" s="104" customFormat="1" ht="15.65" customHeight="1" x14ac:dyDescent="0.35">
      <c r="A57" s="255"/>
      <c r="B57" s="24">
        <v>45931</v>
      </c>
      <c r="C57" s="101">
        <v>774</v>
      </c>
      <c r="D57" s="267">
        <v>361.43</v>
      </c>
      <c r="E57" s="102"/>
      <c r="F57" s="102"/>
      <c r="G57" s="35"/>
      <c r="H57" s="102">
        <v>0</v>
      </c>
      <c r="I57" s="25">
        <f t="shared" ref="I57" si="50">+H57*C57</f>
        <v>0</v>
      </c>
      <c r="J57" s="35">
        <f t="shared" si="48"/>
        <v>125.651155</v>
      </c>
      <c r="K57" s="25">
        <v>0</v>
      </c>
      <c r="L57" s="25">
        <v>0</v>
      </c>
      <c r="M57" s="103"/>
      <c r="N57" s="25">
        <v>45</v>
      </c>
      <c r="O57" s="25">
        <v>35</v>
      </c>
      <c r="P57" s="25">
        <v>26</v>
      </c>
      <c r="Q57" s="25">
        <v>24</v>
      </c>
      <c r="R57" s="35"/>
      <c r="S57" s="35"/>
      <c r="T57" s="35"/>
      <c r="U57" s="34">
        <f t="shared" si="49"/>
        <v>1391.0811550000001</v>
      </c>
    </row>
    <row r="58" spans="1:21" s="104" customFormat="1" ht="15.65" customHeight="1" x14ac:dyDescent="0.35">
      <c r="A58" s="255"/>
      <c r="B58" s="24">
        <v>45962</v>
      </c>
      <c r="C58" s="101">
        <v>765</v>
      </c>
      <c r="D58" s="267">
        <v>280.38</v>
      </c>
      <c r="E58" s="102"/>
      <c r="F58" s="102"/>
      <c r="G58" s="35"/>
      <c r="H58" s="102">
        <v>0</v>
      </c>
      <c r="I58" s="25">
        <f t="shared" ref="I58" si="51">+H58*C58</f>
        <v>0</v>
      </c>
      <c r="J58" s="35">
        <f t="shared" si="48"/>
        <v>124.88573</v>
      </c>
      <c r="K58" s="25">
        <v>0</v>
      </c>
      <c r="L58" s="25">
        <v>0</v>
      </c>
      <c r="M58" s="103"/>
      <c r="N58" s="25">
        <v>45</v>
      </c>
      <c r="O58" s="25">
        <v>35</v>
      </c>
      <c r="P58" s="25">
        <v>26</v>
      </c>
      <c r="Q58" s="25">
        <v>24</v>
      </c>
      <c r="R58" s="35"/>
      <c r="S58" s="35"/>
      <c r="T58" s="35"/>
      <c r="U58" s="34">
        <f t="shared" si="49"/>
        <v>1300.2657300000001</v>
      </c>
    </row>
    <row r="59" spans="1:21" s="104" customFormat="1" ht="15.65" customHeight="1" x14ac:dyDescent="0.35">
      <c r="A59" s="255"/>
      <c r="B59" s="24">
        <v>45992</v>
      </c>
      <c r="C59" s="101">
        <v>752</v>
      </c>
      <c r="D59" s="267">
        <v>262.42857142857144</v>
      </c>
      <c r="E59" s="102"/>
      <c r="F59" s="102"/>
      <c r="G59" s="35"/>
      <c r="H59" s="102">
        <v>0</v>
      </c>
      <c r="I59" s="25">
        <f t="shared" ref="I59" si="52">+H59*C59</f>
        <v>0</v>
      </c>
      <c r="J59" s="35">
        <f t="shared" si="48"/>
        <v>124.62264285714286</v>
      </c>
      <c r="K59" s="25">
        <v>0</v>
      </c>
      <c r="L59" s="25">
        <v>0</v>
      </c>
      <c r="M59" s="103"/>
      <c r="N59" s="25">
        <v>45</v>
      </c>
      <c r="O59" s="25">
        <v>35</v>
      </c>
      <c r="P59" s="25">
        <v>30</v>
      </c>
      <c r="Q59" s="25"/>
      <c r="R59" s="35"/>
      <c r="S59" s="35"/>
      <c r="T59" s="35"/>
      <c r="U59" s="34">
        <f t="shared" si="49"/>
        <v>1249.0512142857142</v>
      </c>
    </row>
    <row r="60" spans="1:21" s="104" customFormat="1" ht="15.65" customHeight="1" x14ac:dyDescent="0.35">
      <c r="A60" s="255"/>
      <c r="B60" s="24">
        <v>46023</v>
      </c>
      <c r="C60" s="101">
        <v>748.75</v>
      </c>
      <c r="D60" s="267">
        <v>272.85714285714289</v>
      </c>
      <c r="E60" s="102"/>
      <c r="F60" s="102"/>
      <c r="G60" s="35"/>
      <c r="H60" s="102">
        <v>0</v>
      </c>
      <c r="I60" s="25">
        <f t="shared" ref="I60" si="53">+H60*C60</f>
        <v>0</v>
      </c>
      <c r="J60" s="35">
        <f t="shared" si="48"/>
        <v>124.68366071428571</v>
      </c>
      <c r="K60" s="25">
        <v>0</v>
      </c>
      <c r="L60" s="25">
        <v>0</v>
      </c>
      <c r="M60" s="103"/>
      <c r="N60" s="25">
        <v>45</v>
      </c>
      <c r="O60" s="25">
        <v>35</v>
      </c>
      <c r="P60" s="25">
        <v>30</v>
      </c>
      <c r="Q60" s="25"/>
      <c r="R60" s="35"/>
      <c r="S60" s="35"/>
      <c r="T60" s="35"/>
      <c r="U60" s="34">
        <f t="shared" si="49"/>
        <v>1256.2908035714286</v>
      </c>
    </row>
    <row r="61" spans="1:21" s="327" customFormat="1" ht="15.65" customHeight="1" x14ac:dyDescent="0.35">
      <c r="A61" s="319"/>
      <c r="B61" s="320">
        <v>46054</v>
      </c>
      <c r="C61" s="321">
        <v>756.25</v>
      </c>
      <c r="D61" s="323">
        <v>256.33333333333337</v>
      </c>
      <c r="E61" s="322"/>
      <c r="F61" s="322"/>
      <c r="G61" s="323"/>
      <c r="H61" s="322">
        <v>0</v>
      </c>
      <c r="I61" s="324">
        <f t="shared" ref="I61" si="54">+H61*C61</f>
        <v>0</v>
      </c>
      <c r="J61" s="323">
        <f t="shared" si="48"/>
        <v>124.60695833333334</v>
      </c>
      <c r="K61" s="324">
        <v>0</v>
      </c>
      <c r="L61" s="324">
        <v>0</v>
      </c>
      <c r="M61" s="325"/>
      <c r="N61" s="324">
        <v>45</v>
      </c>
      <c r="O61" s="324">
        <v>35</v>
      </c>
      <c r="P61" s="324">
        <v>20</v>
      </c>
      <c r="Q61" s="324"/>
      <c r="R61" s="323"/>
      <c r="S61" s="323"/>
      <c r="T61" s="323"/>
      <c r="U61" s="326">
        <f t="shared" si="49"/>
        <v>1237.1902916666668</v>
      </c>
    </row>
    <row r="62" spans="1:21" x14ac:dyDescent="0.35">
      <c r="C62" s="104" t="s">
        <v>4528</v>
      </c>
      <c r="D62" s="104" t="s">
        <v>4529</v>
      </c>
      <c r="J62" t="s">
        <v>4531</v>
      </c>
      <c r="N62" s="328" t="s">
        <v>4533</v>
      </c>
      <c r="O62" s="328"/>
      <c r="P62" s="328"/>
    </row>
    <row r="63" spans="1:21" x14ac:dyDescent="0.35">
      <c r="D63" t="s">
        <v>4530</v>
      </c>
      <c r="J63" t="s">
        <v>40</v>
      </c>
    </row>
  </sheetData>
  <mergeCells count="1">
    <mergeCell ref="N62:P62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B206EE3B7F6743A90F6E167EE94294" ma:contentTypeVersion="13" ma:contentTypeDescription="Crear nuevo documento." ma:contentTypeScope="" ma:versionID="8883136b338bffe28c04f458a25fffc5">
  <xsd:schema xmlns:xsd="http://www.w3.org/2001/XMLSchema" xmlns:xs="http://www.w3.org/2001/XMLSchema" xmlns:p="http://schemas.microsoft.com/office/2006/metadata/properties" xmlns:ns2="59c4c933-1e6d-4f18-a26d-7d138d87ede5" xmlns:ns3="74c3a7b1-690d-4547-9bc9-0db842f7ce2c" targetNamespace="http://schemas.microsoft.com/office/2006/metadata/properties" ma:root="true" ma:fieldsID="2032507f3c0f7f22b8a1d2ab4dca73cb" ns2:_="" ns3:_="">
    <xsd:import namespace="59c4c933-1e6d-4f18-a26d-7d138d87ede5"/>
    <xsd:import namespace="74c3a7b1-690d-4547-9bc9-0db842f7ce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4c933-1e6d-4f18-a26d-7d138d87e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bafc36a-6912-4400-b945-c0abb72b2d47}" ma:internalName="TaxCatchAll" ma:showField="CatchAllData" ma:web="59c4c933-1e6d-4f18-a26d-7d138d87e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a7b1-690d-4547-9bc9-0db842f7ce2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a92d6be-14ea-4235-8c9e-de71a7ad1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c4c933-1e6d-4f18-a26d-7d138d87ede5" xsi:nil="true"/>
    <lcf76f155ced4ddcb4097134ff3c332f xmlns="74c3a7b1-690d-4547-9bc9-0db842f7ce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44845-BA5B-4FD7-9229-22E970C29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4c933-1e6d-4f18-a26d-7d138d87ede5"/>
    <ds:schemaRef ds:uri="74c3a7b1-690d-4547-9bc9-0db842f7c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EB56B1-84BE-44FE-9A6C-B91BF4D4E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36597B-D8A9-4D1F-BB29-708CC00B938D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59c4c933-1e6d-4f18-a26d-7d138d87ede5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4c3a7b1-690d-4547-9bc9-0db842f7ce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CSD List</vt:lpstr>
      <vt:lpstr>HF List</vt:lpstr>
      <vt:lpstr>CSD Pricing</vt:lpstr>
      <vt:lpstr>HF Pricing</vt:lpstr>
      <vt:lpstr>Rolling</vt:lpstr>
      <vt:lpstr>Balance Resinas</vt:lpstr>
      <vt:lpstr>FCST</vt:lpstr>
      <vt:lpstr>Entregas</vt:lpstr>
      <vt:lpstr>HF resina</vt:lpstr>
      <vt:lpstr>CSD Resina Ush</vt:lpstr>
      <vt:lpstr>'CSD List'!Print_Area</vt:lpstr>
      <vt:lpstr>'HF List'!Print_Area</vt:lpstr>
    </vt:vector>
  </TitlesOfParts>
  <Manager/>
  <Company>Amcor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Gonzalez Prieto</dc:creator>
  <cp:keywords/>
  <dc:description/>
  <cp:lastModifiedBy>Murugan Narendhra Kumar</cp:lastModifiedBy>
  <cp:revision/>
  <dcterms:created xsi:type="dcterms:W3CDTF">2018-03-27T14:12:51Z</dcterms:created>
  <dcterms:modified xsi:type="dcterms:W3CDTF">2026-05-13T13:42:16Z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Pricing Ab Inbev CSD - 062020.xlsx</vt:lpwstr>
  </property>
  <property fmtid="{D5CDD505-2E9C-101B-9397-08002B2CF9AE}" pid="3" name="ContentTypeId">
    <vt:lpwstr>0x01010082B206EE3B7F6743A90F6E167EE94294</vt:lpwstr>
  </property>
  <property fmtid="{D5CDD505-2E9C-101B-9397-08002B2CF9AE}" pid="4" name="MediaServiceImageTags">
    <vt:lpwstr/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  <property fmtid="{D5CDD505-2E9C-101B-9397-08002B2CF9AE}" pid="7" name="CustomUiType">
    <vt:lpwstr>2</vt:lpwstr>
  </property>
  <property fmtid="{D5CDD505-2E9C-101B-9397-08002B2CF9AE}" pid="8" name="MSIP_Label_68104b14-b53d-46de-9ae8-975cc0e84815_Enabled">
    <vt:lpwstr>true</vt:lpwstr>
  </property>
  <property fmtid="{D5CDD505-2E9C-101B-9397-08002B2CF9AE}" pid="9" name="MSIP_Label_68104b14-b53d-46de-9ae8-975cc0e84815_SetDate">
    <vt:lpwstr>2026-05-13T13:37:17Z</vt:lpwstr>
  </property>
  <property fmtid="{D5CDD505-2E9C-101B-9397-08002B2CF9AE}" pid="10" name="MSIP_Label_68104b14-b53d-46de-9ae8-975cc0e84815_Method">
    <vt:lpwstr>Standard</vt:lpwstr>
  </property>
  <property fmtid="{D5CDD505-2E9C-101B-9397-08002B2CF9AE}" pid="11" name="MSIP_Label_68104b14-b53d-46de-9ae8-975cc0e84815_Name">
    <vt:lpwstr>ABI_MIP_InternalUseOnly</vt:lpwstr>
  </property>
  <property fmtid="{D5CDD505-2E9C-101B-9397-08002B2CF9AE}" pid="12" name="MSIP_Label_68104b14-b53d-46de-9ae8-975cc0e84815_SiteId">
    <vt:lpwstr>cef04b19-7776-4a94-b89b-375c77a8f936</vt:lpwstr>
  </property>
  <property fmtid="{D5CDD505-2E9C-101B-9397-08002B2CF9AE}" pid="13" name="MSIP_Label_68104b14-b53d-46de-9ae8-975cc0e84815_ActionId">
    <vt:lpwstr>3096a745-d4b1-45fb-9e13-68a93eb67f7f</vt:lpwstr>
  </property>
  <property fmtid="{D5CDD505-2E9C-101B-9397-08002B2CF9AE}" pid="14" name="MSIP_Label_68104b14-b53d-46de-9ae8-975cc0e84815_ContentBits">
    <vt:lpwstr>0</vt:lpwstr>
  </property>
  <property fmtid="{D5CDD505-2E9C-101B-9397-08002B2CF9AE}" pid="15" name="MSIP_Label_68104b14-b53d-46de-9ae8-975cc0e84815_Tag">
    <vt:lpwstr>10, 3, 0, 1</vt:lpwstr>
  </property>
</Properties>
</file>